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24226"/>
  <mc:AlternateContent xmlns:mc="http://schemas.openxmlformats.org/markup-compatibility/2006">
    <mc:Choice Requires="x15">
      <x15ac:absPath xmlns:x15ac="http://schemas.microsoft.com/office/spreadsheetml/2010/11/ac" url="D:\Professionnel\GC Fiscalité Plus Inc\Administration\Facturation\"/>
    </mc:Choice>
  </mc:AlternateContent>
  <xr:revisionPtr revIDLastSave="0" documentId="13_ncr:1_{C7DA31A8-9FA1-4BB6-BA4B-4E4BAD7770BA}" xr6:coauthVersionLast="45" xr6:coauthVersionMax="45" xr10:uidLastSave="{00000000-0000-0000-0000-000000000000}"/>
  <bookViews>
    <workbookView xWindow="-120" yWindow="-120" windowWidth="38640" windowHeight="15840" firstSheet="63" activeTab="75" xr2:uid="{00000000-000D-0000-FFFF-FFFF00000000}"/>
  </bookViews>
  <sheets>
    <sheet name="30-08-10" sheetId="4" r:id="rId1"/>
    <sheet name="08-11-10" sheetId="6" r:id="rId2"/>
    <sheet name="07-12-10" sheetId="7" r:id="rId3"/>
    <sheet name="22-12-10" sheetId="8" r:id="rId4"/>
    <sheet name="17-02-11" sheetId="9" r:id="rId5"/>
    <sheet name="08-04-11" sheetId="10" r:id="rId6"/>
    <sheet name="05-05-11" sheetId="11" r:id="rId7"/>
    <sheet name="23-05-11" sheetId="12" r:id="rId8"/>
    <sheet name="20-06-11" sheetId="13" r:id="rId9"/>
    <sheet name="08-07-11" sheetId="14" r:id="rId10"/>
    <sheet name="01-09-11" sheetId="15" r:id="rId11"/>
    <sheet name="30-09-11" sheetId="16" r:id="rId12"/>
    <sheet name="07-10-11" sheetId="17" r:id="rId13"/>
    <sheet name="07-11-11" sheetId="18" r:id="rId14"/>
    <sheet name="07-11-11 (2)" sheetId="19" r:id="rId15"/>
    <sheet name="23-01-12" sheetId="20" r:id="rId16"/>
    <sheet name="28-02-12" sheetId="21" r:id="rId17"/>
    <sheet name="05-04-12" sheetId="22" r:id="rId18"/>
    <sheet name="16-04-12" sheetId="23" r:id="rId19"/>
    <sheet name="03-05-12" sheetId="24" r:id="rId20"/>
    <sheet name="27-06-12" sheetId="25" r:id="rId21"/>
    <sheet name="16-07-12" sheetId="26" r:id="rId22"/>
    <sheet name="31-07-12" sheetId="27" r:id="rId23"/>
    <sheet name="23-10-12" sheetId="28" r:id="rId24"/>
    <sheet name="13-11-12" sheetId="29" r:id="rId25"/>
    <sheet name="13-12-12" sheetId="30" r:id="rId26"/>
    <sheet name="28-01-13" sheetId="31" r:id="rId27"/>
    <sheet name="25-02-13" sheetId="32" r:id="rId28"/>
    <sheet name="22-03-13" sheetId="33" r:id="rId29"/>
    <sheet name="29-04-13" sheetId="34" r:id="rId30"/>
    <sheet name="23-05-13" sheetId="35" r:id="rId31"/>
    <sheet name="28-06-13" sheetId="36" r:id="rId32"/>
    <sheet name="11-07-13" sheetId="37" r:id="rId33"/>
    <sheet name="26-08-13" sheetId="38" r:id="rId34"/>
    <sheet name="23-10-13" sheetId="39" r:id="rId35"/>
    <sheet name="10-12-13" sheetId="40" r:id="rId36"/>
    <sheet name="03-02-14" sheetId="41" r:id="rId37"/>
    <sheet name="17-02-14" sheetId="42" r:id="rId38"/>
    <sheet name="28-04-14" sheetId="43" r:id="rId39"/>
    <sheet name="22-05-14" sheetId="44" r:id="rId40"/>
    <sheet name="10-07-14" sheetId="45" r:id="rId41"/>
    <sheet name="03-09-14" sheetId="46" r:id="rId42"/>
    <sheet name="26-09-14" sheetId="47" r:id="rId43"/>
    <sheet name="30-10-14" sheetId="48" r:id="rId44"/>
    <sheet name="20-11-14" sheetId="49" r:id="rId45"/>
    <sheet name="11-12-14" sheetId="50" r:id="rId46"/>
    <sheet name="26-02-15" sheetId="51" r:id="rId47"/>
    <sheet name="30-04-15" sheetId="52" r:id="rId48"/>
    <sheet name="08-06-15" sheetId="53" r:id="rId49"/>
    <sheet name="01-07-15" sheetId="54" r:id="rId50"/>
    <sheet name="16-07-15" sheetId="55" r:id="rId51"/>
    <sheet name="06-10-15" sheetId="56" r:id="rId52"/>
    <sheet name="02-11-15" sheetId="57" r:id="rId53"/>
    <sheet name="29-11-15" sheetId="58" r:id="rId54"/>
    <sheet name="29-01-16" sheetId="59" r:id="rId55"/>
    <sheet name="31-03-16" sheetId="60" r:id="rId56"/>
    <sheet name="27-04-16" sheetId="61" r:id="rId57"/>
    <sheet name="16-05-16" sheetId="62" r:id="rId58"/>
    <sheet name="31-05-16" sheetId="63" r:id="rId59"/>
    <sheet name="06-07-16" sheetId="64" r:id="rId60"/>
    <sheet name="06-07-16C" sheetId="67" r:id="rId61"/>
    <sheet name="18-07-16" sheetId="65" r:id="rId62"/>
    <sheet name="18-07-16 (2)" sheetId="66" r:id="rId63"/>
    <sheet name="08-09-16" sheetId="68" r:id="rId64"/>
    <sheet name="04-10-16" sheetId="69" r:id="rId65"/>
    <sheet name="04-10-16 (2)" sheetId="70" r:id="rId66"/>
    <sheet name="18-03-17" sheetId="71" r:id="rId67"/>
    <sheet name="30-03-17" sheetId="72" r:id="rId68"/>
    <sheet name="21-09-17" sheetId="73" r:id="rId69"/>
    <sheet name="13-11-17" sheetId="74" r:id="rId70"/>
    <sheet name="27-11-17" sheetId="75" r:id="rId71"/>
    <sheet name="30-11-2017" sheetId="76" r:id="rId72"/>
    <sheet name="12-04-18" sheetId="77" r:id="rId73"/>
    <sheet name="12-04-18 (2)" sheetId="78" r:id="rId74"/>
    <sheet name="26-09-2018" sheetId="79" r:id="rId75"/>
    <sheet name="06-03-20" sheetId="80" r:id="rId76"/>
    <sheet name="Activités" sheetId="5" r:id="rId77"/>
  </sheets>
  <definedNames>
    <definedName name="Liste_Activités" localSheetId="49">Activités!$C$5:$C$44</definedName>
    <definedName name="Liste_Activités" localSheetId="52">Activités!$C$5:$C$44</definedName>
    <definedName name="Liste_Activités" localSheetId="64">Activités!$C$5:$C$44</definedName>
    <definedName name="Liste_Activités" localSheetId="65">Activités!$C$5:$C$44</definedName>
    <definedName name="Liste_Activités" localSheetId="75">Activités!$C$5:$C$44</definedName>
    <definedName name="Liste_Activités" localSheetId="59">Activités!$C$5:$C$44</definedName>
    <definedName name="Liste_Activités" localSheetId="60">Activités!$C$5:$C$44</definedName>
    <definedName name="Liste_Activités" localSheetId="51">Activités!$C$5:$C$44</definedName>
    <definedName name="Liste_Activités" localSheetId="48">Activités!$C$5:$C$44</definedName>
    <definedName name="Liste_Activités" localSheetId="63">Activités!$C$5:$C$44</definedName>
    <definedName name="Liste_Activités" localSheetId="72">Activités!$C$5:$C$44</definedName>
    <definedName name="Liste_Activités" localSheetId="73">Activités!$C$5:$C$44</definedName>
    <definedName name="Liste_Activités" localSheetId="69">Activités!$C$5:$C$44</definedName>
    <definedName name="Liste_Activités" localSheetId="57">Activités!$C$5:$C$44</definedName>
    <definedName name="Liste_Activités" localSheetId="50">Activités!$C$5:$C$44</definedName>
    <definedName name="Liste_Activités" localSheetId="66">Activités!$C$5:$C$44</definedName>
    <definedName name="Liste_Activités" localSheetId="61">Activités!$C$5:$C$44</definedName>
    <definedName name="Liste_Activités" localSheetId="62">Activités!$C$5:$C$44</definedName>
    <definedName name="Liste_Activités" localSheetId="68">Activités!$C$5:$C$44</definedName>
    <definedName name="Liste_Activités" localSheetId="46">Activités!$C$5:$C$44</definedName>
    <definedName name="Liste_Activités" localSheetId="74">Activités!$C$5:$C$44</definedName>
    <definedName name="Liste_Activités" localSheetId="56">Activités!$C$5:$C$44</definedName>
    <definedName name="Liste_Activités" localSheetId="70">Activités!$C$5:$C$44</definedName>
    <definedName name="Liste_Activités" localSheetId="54">Activités!$C$5:$C$44</definedName>
    <definedName name="Liste_Activités" localSheetId="53">Activités!$C$5:$C$44</definedName>
    <definedName name="Liste_Activités" localSheetId="67">Activités!$C$5:$C$44</definedName>
    <definedName name="Liste_Activités" localSheetId="47">Activités!$C$5:$C$44</definedName>
    <definedName name="Liste_Activités" localSheetId="71">Activités!$C$5:$C$44</definedName>
    <definedName name="Liste_Activités" localSheetId="55">Activités!$C$5:$C$44</definedName>
    <definedName name="Liste_Activités" localSheetId="58">Activités!$C$5:$C$44</definedName>
    <definedName name="Liste_Activités">Activités!$C$5:$C$45</definedName>
    <definedName name="Print_Area" localSheetId="49">'01-07-15'!$A$1:$F$89</definedName>
    <definedName name="Print_Area" localSheetId="52">'02-11-15'!$A$1:$F$89</definedName>
    <definedName name="Print_Area" localSheetId="64">'04-10-16'!$A$1:$F$89</definedName>
    <definedName name="Print_Area" localSheetId="65">'04-10-16 (2)'!$A$1:$F$87</definedName>
    <definedName name="Print_Area" localSheetId="75">'06-03-20'!$A$1:$F$88</definedName>
    <definedName name="Print_Area" localSheetId="59">'06-07-16'!$A$1:$F$89</definedName>
    <definedName name="Print_Area" localSheetId="60">'06-07-16C'!$A$1:$F$89</definedName>
    <definedName name="Print_Area" localSheetId="51">'06-10-15'!$A$1:$F$89</definedName>
    <definedName name="Print_Area" localSheetId="48">'08-06-15'!$A$1:$F$89</definedName>
    <definedName name="Print_Area" localSheetId="63">'08-09-16'!$A$1:$F$89</definedName>
    <definedName name="Print_Area" localSheetId="72">'12-04-18'!$A$1:$F$89</definedName>
    <definedName name="Print_Area" localSheetId="73">'12-04-18 (2)'!$A$1:$F$89</definedName>
    <definedName name="Print_Area" localSheetId="69">'13-11-17'!$A$1:$F$89</definedName>
    <definedName name="Print_Area" localSheetId="57">'16-05-16'!$A$1:$F$89</definedName>
    <definedName name="Print_Area" localSheetId="50">'16-07-15'!$A$1:$F$89</definedName>
    <definedName name="Print_Area" localSheetId="66">'18-03-17'!$A$1:$F$89</definedName>
    <definedName name="Print_Area" localSheetId="61">'18-07-16'!$A$1:$F$87</definedName>
    <definedName name="Print_Area" localSheetId="62">'18-07-16 (2)'!$A$1:$F$89</definedName>
    <definedName name="Print_Area" localSheetId="68">'21-09-17'!$A$1:$F$87</definedName>
    <definedName name="Print_Area" localSheetId="46">'26-02-15'!$A$1:$F$89</definedName>
    <definedName name="Print_Area" localSheetId="74">'26-09-2018'!$A$1:$F$88</definedName>
    <definedName name="Print_Area" localSheetId="56">'27-04-16'!$A$1:$F$89</definedName>
    <definedName name="Print_Area" localSheetId="70">'27-11-17'!$A$1:$F$89</definedName>
    <definedName name="Print_Area" localSheetId="54">'29-01-16'!$A$1:$F$89</definedName>
    <definedName name="Print_Area" localSheetId="53">'29-11-15'!$A$1:$F$89</definedName>
    <definedName name="Print_Area" localSheetId="67">'30-03-17'!$A$1:$F$89</definedName>
    <definedName name="Print_Area" localSheetId="47">'30-04-15'!$A$1:$F$89</definedName>
    <definedName name="Print_Area" localSheetId="71">'30-11-2017'!$A$1:$F$88</definedName>
    <definedName name="Print_Area" localSheetId="55">'31-03-16'!$A$1:$F$89</definedName>
    <definedName name="Print_Area" localSheetId="58">'31-05-16'!$A$1:$F$89</definedName>
    <definedName name="_xlnm.Print_Area" localSheetId="49">'01-07-15'!$A$1:$F$89</definedName>
    <definedName name="_xlnm.Print_Area" localSheetId="10">'01-09-11'!$A$1:$F$95</definedName>
    <definedName name="_xlnm.Print_Area" localSheetId="52">'02-11-15'!$A$1:$F$89</definedName>
    <definedName name="_xlnm.Print_Area" localSheetId="36">'03-02-14'!$A$1:$F$94</definedName>
    <definedName name="_xlnm.Print_Area" localSheetId="19">'03-05-12'!$A$1:$F$95</definedName>
    <definedName name="_xlnm.Print_Area" localSheetId="41">'03-09-14'!$A$1:$F$94</definedName>
    <definedName name="_xlnm.Print_Area" localSheetId="64">'04-10-16'!$A$1:$F$89</definedName>
    <definedName name="_xlnm.Print_Area" localSheetId="65">'04-10-16 (2)'!$A$1:$F$87</definedName>
    <definedName name="_xlnm.Print_Area" localSheetId="17">'05-04-12'!$A$1:$F$95</definedName>
    <definedName name="_xlnm.Print_Area" localSheetId="6">'05-05-11'!$A$1:$F$95</definedName>
    <definedName name="_xlnm.Print_Area" localSheetId="75">'06-03-20'!$A$1:$F$88</definedName>
    <definedName name="_xlnm.Print_Area" localSheetId="59">'06-07-16'!$A$1:$F$89</definedName>
    <definedName name="_xlnm.Print_Area" localSheetId="60">'06-07-16C'!$A$1:$F$89</definedName>
    <definedName name="_xlnm.Print_Area" localSheetId="51">'06-10-15'!$A$1:$F$89</definedName>
    <definedName name="_xlnm.Print_Area" localSheetId="12">'07-10-11'!$A$1:$F$95</definedName>
    <definedName name="_xlnm.Print_Area" localSheetId="13">'07-11-11'!$A$1:$F$95</definedName>
    <definedName name="_xlnm.Print_Area" localSheetId="14">'07-11-11 (2)'!$A$1:$F$95</definedName>
    <definedName name="_xlnm.Print_Area" localSheetId="2">'07-12-10'!$A$1:$F$95</definedName>
    <definedName name="_xlnm.Print_Area" localSheetId="5">'08-04-11'!$A$1:$F$95</definedName>
    <definedName name="_xlnm.Print_Area" localSheetId="48">'08-06-15'!$A$1:$F$89</definedName>
    <definedName name="_xlnm.Print_Area" localSheetId="9">'08-07-11'!$A$1:$F$95</definedName>
    <definedName name="_xlnm.Print_Area" localSheetId="63">'08-09-16'!$A$1:$F$89</definedName>
    <definedName name="_xlnm.Print_Area" localSheetId="1">'08-11-10'!$A$1:$F$95</definedName>
    <definedName name="_xlnm.Print_Area" localSheetId="40">'10-07-14'!$A$1:$F$93</definedName>
    <definedName name="_xlnm.Print_Area" localSheetId="35">'10-12-13'!$A$1:$F$94</definedName>
    <definedName name="_xlnm.Print_Area" localSheetId="32">'11-07-13'!$A$1:$F$94</definedName>
    <definedName name="_xlnm.Print_Area" localSheetId="45">'11-12-14'!$A$1:$F$93</definedName>
    <definedName name="_xlnm.Print_Area" localSheetId="72">'12-04-18'!$A$1:$F$89</definedName>
    <definedName name="_xlnm.Print_Area" localSheetId="73">'12-04-18 (2)'!$A$1:$F$89</definedName>
    <definedName name="_xlnm.Print_Area" localSheetId="24">'13-11-12'!$A$1:$F$96</definedName>
    <definedName name="_xlnm.Print_Area" localSheetId="69">'13-11-17'!$A$1:$F$89</definedName>
    <definedName name="_xlnm.Print_Area" localSheetId="25">'13-12-12'!$A$1:$F$93</definedName>
    <definedName name="_xlnm.Print_Area" localSheetId="18">'16-04-12'!$A$1:$F$95</definedName>
    <definedName name="_xlnm.Print_Area" localSheetId="57">'16-05-16'!$A$1:$F$89</definedName>
    <definedName name="_xlnm.Print_Area" localSheetId="21">'16-07-12'!$A$1:$F$96</definedName>
    <definedName name="_xlnm.Print_Area" localSheetId="50">'16-07-15'!$A$1:$F$89</definedName>
    <definedName name="_xlnm.Print_Area" localSheetId="4">'17-02-11'!$A$1:$F$95</definedName>
    <definedName name="_xlnm.Print_Area" localSheetId="37">'17-02-14'!$A$1:$F$94</definedName>
    <definedName name="_xlnm.Print_Area" localSheetId="66">'18-03-17'!$A$1:$F$89</definedName>
    <definedName name="_xlnm.Print_Area" localSheetId="61">'18-07-16'!$A$1:$F$87</definedName>
    <definedName name="_xlnm.Print_Area" localSheetId="62">'18-07-16 (2)'!$A$1:$F$89</definedName>
    <definedName name="_xlnm.Print_Area" localSheetId="8">'20-06-11'!$A$1:$F$95</definedName>
    <definedName name="_xlnm.Print_Area" localSheetId="44">'20-11-14'!$A$1:$F$93</definedName>
    <definedName name="_xlnm.Print_Area" localSheetId="68">'21-09-17'!$A$1:$F$87</definedName>
    <definedName name="_xlnm.Print_Area" localSheetId="28">'22-03-13'!$A$1:$F$94</definedName>
    <definedName name="_xlnm.Print_Area" localSheetId="39">'22-05-14'!$A$1:$F$94</definedName>
    <definedName name="_xlnm.Print_Area" localSheetId="3">'22-12-10'!$A$1:$F$95</definedName>
    <definedName name="_xlnm.Print_Area" localSheetId="15">'23-01-12'!$A$1:$F$95</definedName>
    <definedName name="_xlnm.Print_Area" localSheetId="7">'23-05-11'!$A$1:$F$95</definedName>
    <definedName name="_xlnm.Print_Area" localSheetId="30">'23-05-13'!$A$1:$F$94</definedName>
    <definedName name="_xlnm.Print_Area" localSheetId="23">'23-10-12'!$A$1:$F$96</definedName>
    <definedName name="_xlnm.Print_Area" localSheetId="34">'23-10-13'!$A$1:$F$94</definedName>
    <definedName name="_xlnm.Print_Area" localSheetId="27">'25-02-13'!$A$1:$F$93</definedName>
    <definedName name="_xlnm.Print_Area" localSheetId="46">'26-02-15'!$A$1:$F$89</definedName>
    <definedName name="_xlnm.Print_Area" localSheetId="33">'26-08-13'!$A$1:$F$94</definedName>
    <definedName name="_xlnm.Print_Area" localSheetId="42">'26-09-14'!$A$1:$F$93</definedName>
    <definedName name="_xlnm.Print_Area" localSheetId="74">'26-09-2018'!$A$1:$F$88</definedName>
    <definedName name="_xlnm.Print_Area" localSheetId="56">'27-04-16'!$A$1:$F$89</definedName>
    <definedName name="_xlnm.Print_Area" localSheetId="20">'27-06-12'!$A$1:$F$95</definedName>
    <definedName name="_xlnm.Print_Area" localSheetId="70">'27-11-17'!$A$1:$F$89</definedName>
    <definedName name="_xlnm.Print_Area" localSheetId="26">'28-01-13'!$A$1:$F$93</definedName>
    <definedName name="_xlnm.Print_Area" localSheetId="16">'28-02-12'!$A$1:$F$95</definedName>
    <definedName name="_xlnm.Print_Area" localSheetId="38">'28-04-14'!$A$1:$F$94</definedName>
    <definedName name="_xlnm.Print_Area" localSheetId="31">'28-06-13'!$A$1:$F$94</definedName>
    <definedName name="_xlnm.Print_Area" localSheetId="54">'29-01-16'!$A$1:$F$89</definedName>
    <definedName name="_xlnm.Print_Area" localSheetId="29">'29-04-13'!$A$1:$F$94</definedName>
    <definedName name="_xlnm.Print_Area" localSheetId="53">'29-11-15'!$A$1:$F$89</definedName>
    <definedName name="_xlnm.Print_Area" localSheetId="67">'30-03-17'!$A$1:$F$89</definedName>
    <definedName name="_xlnm.Print_Area" localSheetId="47">'30-04-15'!$A$1:$F$89</definedName>
    <definedName name="_xlnm.Print_Area" localSheetId="0">'30-08-10'!$A$1:$F$95</definedName>
    <definedName name="_xlnm.Print_Area" localSheetId="11">'30-09-11'!$A$1:$F$95</definedName>
    <definedName name="_xlnm.Print_Area" localSheetId="43">'30-10-14'!$A$1:$F$93</definedName>
    <definedName name="_xlnm.Print_Area" localSheetId="71">'30-11-2017'!$A$1:$F$88</definedName>
    <definedName name="_xlnm.Print_Area" localSheetId="55">'31-03-16'!$A$1:$F$89</definedName>
    <definedName name="_xlnm.Print_Area" localSheetId="58">'31-05-16'!$A$1:$F$89</definedName>
    <definedName name="_xlnm.Print_Area" localSheetId="22">'31-07-12'!$A$1:$F$96</definedName>
    <definedName name="_xlnm.Print_Area" localSheetId="76">Activités!$A$1:$D$45</definedName>
    <definedName name="Zone_impres_MI" localSheetId="49">#REF!</definedName>
    <definedName name="Zone_impres_MI" localSheetId="10">#REF!</definedName>
    <definedName name="Zone_impres_MI" localSheetId="52">#REF!</definedName>
    <definedName name="Zone_impres_MI" localSheetId="36">#REF!</definedName>
    <definedName name="Zone_impres_MI" localSheetId="19">#REF!</definedName>
    <definedName name="Zone_impres_MI" localSheetId="41">#REF!</definedName>
    <definedName name="Zone_impres_MI" localSheetId="64">#REF!</definedName>
    <definedName name="Zone_impres_MI" localSheetId="65">#REF!</definedName>
    <definedName name="Zone_impres_MI" localSheetId="17">#REF!</definedName>
    <definedName name="Zone_impres_MI" localSheetId="6">#REF!</definedName>
    <definedName name="Zone_impres_MI" localSheetId="75">#REF!</definedName>
    <definedName name="Zone_impres_MI" localSheetId="59">#REF!</definedName>
    <definedName name="Zone_impres_MI" localSheetId="60">#REF!</definedName>
    <definedName name="Zone_impres_MI" localSheetId="51">#REF!</definedName>
    <definedName name="Zone_impres_MI" localSheetId="12">#REF!</definedName>
    <definedName name="Zone_impres_MI" localSheetId="13">#REF!</definedName>
    <definedName name="Zone_impres_MI" localSheetId="14">#REF!</definedName>
    <definedName name="Zone_impres_MI" localSheetId="2">#REF!</definedName>
    <definedName name="Zone_impres_MI" localSheetId="5">#REF!</definedName>
    <definedName name="Zone_impres_MI" localSheetId="48">#REF!</definedName>
    <definedName name="Zone_impres_MI" localSheetId="9">#REF!</definedName>
    <definedName name="Zone_impres_MI" localSheetId="63">#REF!</definedName>
    <definedName name="Zone_impres_MI" localSheetId="1">#REF!</definedName>
    <definedName name="Zone_impres_MI" localSheetId="40">#REF!</definedName>
    <definedName name="Zone_impres_MI" localSheetId="35">#REF!</definedName>
    <definedName name="Zone_impres_MI" localSheetId="32">#REF!</definedName>
    <definedName name="Zone_impres_MI" localSheetId="45">#REF!</definedName>
    <definedName name="Zone_impres_MI" localSheetId="72">#REF!</definedName>
    <definedName name="Zone_impres_MI" localSheetId="73">#REF!</definedName>
    <definedName name="Zone_impres_MI" localSheetId="24">#REF!</definedName>
    <definedName name="Zone_impres_MI" localSheetId="69">#REF!</definedName>
    <definedName name="Zone_impres_MI" localSheetId="25">#REF!</definedName>
    <definedName name="Zone_impres_MI" localSheetId="18">#REF!</definedName>
    <definedName name="Zone_impres_MI" localSheetId="57">#REF!</definedName>
    <definedName name="Zone_impres_MI" localSheetId="21">#REF!</definedName>
    <definedName name="Zone_impres_MI" localSheetId="50">#REF!</definedName>
    <definedName name="Zone_impres_MI" localSheetId="4">#REF!</definedName>
    <definedName name="Zone_impres_MI" localSheetId="37">#REF!</definedName>
    <definedName name="Zone_impres_MI" localSheetId="66">#REF!</definedName>
    <definedName name="Zone_impres_MI" localSheetId="61">#REF!</definedName>
    <definedName name="Zone_impres_MI" localSheetId="62">#REF!</definedName>
    <definedName name="Zone_impres_MI" localSheetId="8">#REF!</definedName>
    <definedName name="Zone_impres_MI" localSheetId="44">#REF!</definedName>
    <definedName name="Zone_impres_MI" localSheetId="68">#REF!</definedName>
    <definedName name="Zone_impres_MI" localSheetId="28">#REF!</definedName>
    <definedName name="Zone_impres_MI" localSheetId="39">#REF!</definedName>
    <definedName name="Zone_impres_MI" localSheetId="3">#REF!</definedName>
    <definedName name="Zone_impres_MI" localSheetId="15">#REF!</definedName>
    <definedName name="Zone_impres_MI" localSheetId="7">#REF!</definedName>
    <definedName name="Zone_impres_MI" localSheetId="30">#REF!</definedName>
    <definedName name="Zone_impres_MI" localSheetId="23">#REF!</definedName>
    <definedName name="Zone_impres_MI" localSheetId="34">#REF!</definedName>
    <definedName name="Zone_impres_MI" localSheetId="27">#REF!</definedName>
    <definedName name="Zone_impres_MI" localSheetId="46">#REF!</definedName>
    <definedName name="Zone_impres_MI" localSheetId="33">#REF!</definedName>
    <definedName name="Zone_impres_MI" localSheetId="42">#REF!</definedName>
    <definedName name="Zone_impres_MI" localSheetId="74">#REF!</definedName>
    <definedName name="Zone_impres_MI" localSheetId="56">#REF!</definedName>
    <definedName name="Zone_impres_MI" localSheetId="20">#REF!</definedName>
    <definedName name="Zone_impres_MI" localSheetId="70">#REF!</definedName>
    <definedName name="Zone_impres_MI" localSheetId="26">#REF!</definedName>
    <definedName name="Zone_impres_MI" localSheetId="16">#REF!</definedName>
    <definedName name="Zone_impres_MI" localSheetId="38">#REF!</definedName>
    <definedName name="Zone_impres_MI" localSheetId="31">#REF!</definedName>
    <definedName name="Zone_impres_MI" localSheetId="54">#REF!</definedName>
    <definedName name="Zone_impres_MI" localSheetId="29">#REF!</definedName>
    <definedName name="Zone_impres_MI" localSheetId="53">#REF!</definedName>
    <definedName name="Zone_impres_MI" localSheetId="67">#REF!</definedName>
    <definedName name="Zone_impres_MI" localSheetId="47">#REF!</definedName>
    <definedName name="Zone_impres_MI" localSheetId="11">#REF!</definedName>
    <definedName name="Zone_impres_MI" localSheetId="43">#REF!</definedName>
    <definedName name="Zone_impres_MI" localSheetId="71">#REF!</definedName>
    <definedName name="Zone_impres_MI" localSheetId="55">#REF!</definedName>
    <definedName name="Zone_impres_MI" localSheetId="58">#REF!</definedName>
    <definedName name="Zone_impres_MI" localSheetId="22">#REF!</definedName>
    <definedName name="Zone_impres_MI">#REF!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8" i="80" l="1"/>
  <c r="E71" i="80"/>
  <c r="E72" i="80"/>
  <c r="E73" i="80"/>
  <c r="E75" i="80"/>
  <c r="E79" i="80"/>
  <c r="E68" i="79"/>
  <c r="E71" i="79"/>
  <c r="E72" i="79"/>
  <c r="E73" i="79"/>
  <c r="E75" i="79"/>
  <c r="E79" i="79"/>
  <c r="E69" i="78"/>
  <c r="E72" i="78"/>
  <c r="E73" i="78"/>
  <c r="E74" i="78"/>
  <c r="E76" i="78"/>
  <c r="E80" i="78"/>
  <c r="E69" i="77"/>
  <c r="E72" i="77"/>
  <c r="E73" i="77"/>
  <c r="E74" i="77"/>
  <c r="E76" i="77"/>
  <c r="E80" i="77"/>
  <c r="E68" i="76"/>
  <c r="E71" i="76"/>
  <c r="E72" i="76"/>
  <c r="E73" i="76"/>
  <c r="E75" i="76"/>
  <c r="E79" i="76"/>
  <c r="E69" i="75"/>
  <c r="E72" i="75"/>
  <c r="E73" i="75"/>
  <c r="E74" i="75"/>
  <c r="E76" i="75"/>
  <c r="E80" i="75"/>
  <c r="E69" i="74"/>
  <c r="E72" i="74"/>
  <c r="E73" i="74"/>
  <c r="E74" i="74"/>
  <c r="E76" i="74"/>
  <c r="E80" i="74"/>
  <c r="E67" i="73"/>
  <c r="E70" i="73"/>
  <c r="E71" i="73"/>
  <c r="E72" i="73"/>
  <c r="E74" i="73"/>
  <c r="E78" i="73"/>
  <c r="E69" i="72"/>
  <c r="E72" i="72"/>
  <c r="E73" i="72"/>
  <c r="E74" i="72"/>
  <c r="E76" i="72"/>
  <c r="E80" i="72"/>
  <c r="E34" i="71"/>
  <c r="E69" i="71"/>
  <c r="E72" i="71"/>
  <c r="E73" i="71"/>
  <c r="E74" i="71"/>
  <c r="E76" i="71"/>
  <c r="E80" i="71"/>
  <c r="E62" i="70"/>
  <c r="E67" i="70"/>
  <c r="E70" i="70"/>
  <c r="E71" i="70"/>
  <c r="E72" i="70"/>
  <c r="E74" i="70"/>
  <c r="E78" i="70"/>
  <c r="E41" i="69"/>
  <c r="E39" i="69"/>
  <c r="E37" i="69"/>
  <c r="E69" i="69"/>
  <c r="E72" i="69"/>
  <c r="E73" i="69"/>
  <c r="E74" i="69"/>
  <c r="E76" i="69"/>
  <c r="E80" i="69"/>
  <c r="E47" i="68"/>
  <c r="E45" i="68"/>
  <c r="E43" i="68"/>
  <c r="E41" i="68"/>
  <c r="E39" i="68"/>
  <c r="E37" i="68"/>
  <c r="E35" i="68"/>
  <c r="E69" i="68"/>
  <c r="E72" i="68"/>
  <c r="E73" i="68"/>
  <c r="E74" i="68"/>
  <c r="E76" i="68"/>
  <c r="E80" i="68"/>
  <c r="E35" i="67"/>
  <c r="E69" i="67"/>
  <c r="E72" i="67"/>
  <c r="E73" i="67"/>
  <c r="E74" i="67"/>
  <c r="E76" i="67"/>
  <c r="E80" i="67"/>
  <c r="E41" i="66"/>
  <c r="E39" i="66"/>
  <c r="E37" i="66"/>
  <c r="E35" i="66"/>
  <c r="E69" i="66"/>
  <c r="E72" i="66"/>
  <c r="E73" i="66"/>
  <c r="E74" i="66"/>
  <c r="E76" i="66"/>
  <c r="E80" i="66"/>
  <c r="E60" i="65"/>
  <c r="E67" i="65"/>
  <c r="E69" i="65"/>
  <c r="E72" i="65"/>
  <c r="E73" i="65"/>
  <c r="E74" i="65"/>
  <c r="E76" i="65"/>
  <c r="E80" i="65"/>
  <c r="E57" i="64"/>
  <c r="E55" i="64"/>
  <c r="E53" i="64"/>
  <c r="E51" i="64"/>
  <c r="E49" i="64"/>
  <c r="E47" i="64"/>
  <c r="E45" i="64"/>
  <c r="E43" i="64"/>
  <c r="E41" i="64"/>
  <c r="E39" i="64"/>
  <c r="E37" i="64"/>
  <c r="E35" i="64"/>
  <c r="E69" i="64"/>
  <c r="E72" i="64"/>
  <c r="E73" i="64"/>
  <c r="E74" i="64"/>
  <c r="E76" i="64"/>
  <c r="E80" i="64"/>
  <c r="E41" i="63"/>
  <c r="E39" i="63"/>
  <c r="E37" i="63"/>
  <c r="E35" i="63"/>
  <c r="E69" i="63"/>
  <c r="E72" i="63"/>
  <c r="E73" i="63"/>
  <c r="E74" i="63"/>
  <c r="E76" i="63"/>
  <c r="E80" i="63"/>
  <c r="E35" i="62"/>
  <c r="E43" i="62"/>
  <c r="E41" i="62"/>
  <c r="E39" i="62"/>
  <c r="E69" i="62"/>
  <c r="E72" i="62"/>
  <c r="E73" i="62"/>
  <c r="E74" i="62"/>
  <c r="E76" i="62"/>
  <c r="E80" i="62"/>
  <c r="E43" i="61"/>
  <c r="E41" i="61"/>
  <c r="E39" i="61"/>
  <c r="E37" i="61"/>
  <c r="E69" i="61"/>
  <c r="E72" i="61"/>
  <c r="E73" i="61"/>
  <c r="E74" i="61"/>
  <c r="E76" i="61"/>
  <c r="E80" i="61"/>
  <c r="E57" i="60"/>
  <c r="E55" i="60"/>
  <c r="E53" i="60"/>
  <c r="E51" i="60"/>
  <c r="E49" i="60"/>
  <c r="E47" i="60"/>
  <c r="E45" i="60"/>
  <c r="E43" i="60"/>
  <c r="E41" i="60"/>
  <c r="E39" i="60"/>
  <c r="E37" i="60"/>
  <c r="E35" i="60"/>
  <c r="E69" i="60"/>
  <c r="E72" i="60"/>
  <c r="E73" i="60"/>
  <c r="E74" i="60"/>
  <c r="E76" i="60"/>
  <c r="E80" i="60"/>
  <c r="E61" i="59"/>
  <c r="E58" i="59"/>
  <c r="E56" i="59"/>
  <c r="E53" i="59"/>
  <c r="E50" i="59"/>
  <c r="E47" i="59"/>
  <c r="E44" i="59"/>
  <c r="E41" i="59"/>
  <c r="E38" i="59"/>
  <c r="E35" i="59"/>
  <c r="E69" i="59"/>
  <c r="E72" i="59"/>
  <c r="E73" i="59"/>
  <c r="E41" i="58"/>
  <c r="E38" i="58"/>
  <c r="E35" i="58"/>
  <c r="E69" i="58"/>
  <c r="E72" i="58"/>
  <c r="E74" i="59"/>
  <c r="E76" i="59"/>
  <c r="E80" i="59"/>
  <c r="E74" i="58"/>
  <c r="E73" i="58"/>
  <c r="E76" i="58"/>
  <c r="E80" i="58"/>
  <c r="E56" i="57"/>
  <c r="E50" i="57"/>
  <c r="E47" i="57"/>
  <c r="E44" i="57"/>
  <c r="E41" i="57"/>
  <c r="E38" i="57"/>
  <c r="E35" i="57"/>
  <c r="E69" i="57"/>
  <c r="E72" i="57"/>
  <c r="E74" i="57"/>
  <c r="E53" i="56"/>
  <c r="E50" i="56"/>
  <c r="E47" i="56"/>
  <c r="E44" i="56"/>
  <c r="E41" i="56"/>
  <c r="E38" i="56"/>
  <c r="E35" i="56"/>
  <c r="E73" i="57"/>
  <c r="E76" i="57"/>
  <c r="E80" i="57"/>
  <c r="E69" i="56"/>
  <c r="E72" i="56"/>
  <c r="E74" i="56"/>
  <c r="E53" i="55"/>
  <c r="E50" i="55"/>
  <c r="E47" i="55"/>
  <c r="E44" i="55"/>
  <c r="E41" i="55"/>
  <c r="E38" i="55"/>
  <c r="E35" i="55"/>
  <c r="E73" i="56"/>
  <c r="E76" i="56"/>
  <c r="E80" i="56"/>
  <c r="E69" i="55"/>
  <c r="E72" i="55"/>
  <c r="E73" i="55"/>
  <c r="E41" i="54"/>
  <c r="E35" i="54"/>
  <c r="E74" i="55"/>
  <c r="E76" i="55"/>
  <c r="E80" i="55"/>
  <c r="E69" i="54"/>
  <c r="E72" i="54"/>
  <c r="E73" i="54"/>
  <c r="E74" i="54"/>
  <c r="E76" i="54"/>
  <c r="E80" i="54"/>
  <c r="E44" i="53"/>
  <c r="E41" i="53"/>
  <c r="E35" i="53"/>
  <c r="E47" i="53"/>
  <c r="E69" i="53"/>
  <c r="E72" i="53"/>
  <c r="E74" i="53"/>
  <c r="E73" i="53"/>
  <c r="E53" i="52"/>
  <c r="E50" i="52"/>
  <c r="E47" i="52"/>
  <c r="E44" i="52"/>
  <c r="E41" i="52"/>
  <c r="E35" i="52"/>
  <c r="E38" i="52"/>
  <c r="E69" i="52"/>
  <c r="E72" i="52"/>
  <c r="E76" i="53"/>
  <c r="E80" i="53"/>
  <c r="E74" i="52"/>
  <c r="E73" i="52"/>
  <c r="E76" i="52"/>
  <c r="E80" i="52"/>
  <c r="E53" i="51"/>
  <c r="E50" i="51"/>
  <c r="E47" i="51"/>
  <c r="E41" i="51"/>
  <c r="E38" i="51"/>
  <c r="E35" i="51"/>
  <c r="E69" i="51"/>
  <c r="E72" i="51"/>
  <c r="E38" i="50"/>
  <c r="E35" i="50"/>
  <c r="E73" i="50"/>
  <c r="E76" i="50"/>
  <c r="E38" i="49"/>
  <c r="E35" i="49"/>
  <c r="E73" i="49"/>
  <c r="E76" i="49"/>
  <c r="E38" i="48"/>
  <c r="E35" i="48"/>
  <c r="E73" i="48"/>
  <c r="E76" i="48"/>
  <c r="E47" i="47"/>
  <c r="E44" i="47"/>
  <c r="E41" i="47"/>
  <c r="E38" i="47"/>
  <c r="E35" i="47"/>
  <c r="E73" i="47"/>
  <c r="E76" i="47"/>
  <c r="E62" i="46"/>
  <c r="E59" i="46"/>
  <c r="E56" i="46"/>
  <c r="E38" i="46"/>
  <c r="E53" i="46"/>
  <c r="E50" i="46"/>
  <c r="E47" i="46"/>
  <c r="E44" i="46"/>
  <c r="E41" i="46"/>
  <c r="E35" i="46"/>
  <c r="E74" i="46"/>
  <c r="E77" i="46"/>
  <c r="E57" i="45"/>
  <c r="E54" i="45"/>
  <c r="E51" i="45"/>
  <c r="E48" i="45"/>
  <c r="E45" i="45"/>
  <c r="E42" i="45"/>
  <c r="E39" i="45"/>
  <c r="E36" i="45"/>
  <c r="E73" i="45"/>
  <c r="E76" i="45"/>
  <c r="E48" i="44"/>
  <c r="E45" i="44"/>
  <c r="E42" i="44"/>
  <c r="E36" i="44"/>
  <c r="E39" i="44"/>
  <c r="E74" i="44"/>
  <c r="E77" i="44"/>
  <c r="E45" i="43"/>
  <c r="E51" i="43"/>
  <c r="E48" i="43"/>
  <c r="E42" i="43"/>
  <c r="E39" i="43"/>
  <c r="E36" i="43"/>
  <c r="E74" i="43"/>
  <c r="E77" i="43"/>
  <c r="E63" i="42"/>
  <c r="E57" i="42"/>
  <c r="E72" i="42"/>
  <c r="E69" i="42"/>
  <c r="E66" i="42"/>
  <c r="E60" i="42"/>
  <c r="E54" i="42"/>
  <c r="E51" i="42"/>
  <c r="E48" i="42"/>
  <c r="E45" i="42"/>
  <c r="E42" i="42"/>
  <c r="E39" i="42"/>
  <c r="E36" i="42"/>
  <c r="E74" i="42"/>
  <c r="E77" i="42"/>
  <c r="E42" i="41"/>
  <c r="E36" i="41"/>
  <c r="E39" i="41"/>
  <c r="E45" i="41"/>
  <c r="E74" i="41"/>
  <c r="E77" i="41"/>
  <c r="E63" i="40"/>
  <c r="E54" i="40"/>
  <c r="E51" i="40"/>
  <c r="E48" i="40"/>
  <c r="E45" i="40"/>
  <c r="E42" i="40"/>
  <c r="E39" i="40"/>
  <c r="E36" i="40"/>
  <c r="E74" i="40"/>
  <c r="E77" i="40"/>
  <c r="E42" i="39"/>
  <c r="E39" i="39"/>
  <c r="E36" i="39"/>
  <c r="E51" i="38"/>
  <c r="E48" i="38"/>
  <c r="E45" i="38"/>
  <c r="E42" i="38"/>
  <c r="E36" i="38"/>
  <c r="E39" i="38"/>
  <c r="E74" i="38"/>
  <c r="E77" i="38"/>
  <c r="E42" i="37"/>
  <c r="E39" i="37"/>
  <c r="E36" i="37"/>
  <c r="E51" i="36"/>
  <c r="E48" i="36"/>
  <c r="E45" i="36"/>
  <c r="E42" i="36"/>
  <c r="E39" i="36"/>
  <c r="E36" i="36"/>
  <c r="E36" i="35"/>
  <c r="E39" i="35"/>
  <c r="E42" i="34"/>
  <c r="E39" i="34"/>
  <c r="E36" i="34"/>
  <c r="E74" i="34"/>
  <c r="E77" i="34"/>
  <c r="E45" i="33"/>
  <c r="E42" i="33"/>
  <c r="E39" i="33"/>
  <c r="E36" i="33"/>
  <c r="E74" i="33"/>
  <c r="E77" i="33"/>
  <c r="E36" i="32"/>
  <c r="E74" i="39"/>
  <c r="E77" i="39"/>
  <c r="E74" i="37"/>
  <c r="E77" i="37"/>
  <c r="E74" i="36"/>
  <c r="E77" i="36"/>
  <c r="E74" i="35"/>
  <c r="E77" i="35"/>
  <c r="E73" i="32"/>
  <c r="E76" i="32"/>
  <c r="E45" i="31"/>
  <c r="E42" i="31"/>
  <c r="E39" i="31"/>
  <c r="E36" i="31"/>
  <c r="E73" i="31"/>
  <c r="E76" i="31"/>
  <c r="E73" i="30"/>
  <c r="E76" i="30"/>
  <c r="E42" i="29"/>
  <c r="E39" i="29"/>
  <c r="E36" i="29"/>
  <c r="E36" i="28"/>
  <c r="E76" i="28"/>
  <c r="E79" i="28"/>
  <c r="E36" i="27"/>
  <c r="E76" i="27"/>
  <c r="E79" i="27"/>
  <c r="E48" i="26"/>
  <c r="E45" i="26"/>
  <c r="E42" i="26"/>
  <c r="E39" i="26"/>
  <c r="E36" i="26"/>
  <c r="E76" i="26"/>
  <c r="E79" i="26"/>
  <c r="E42" i="25"/>
  <c r="E39" i="25"/>
  <c r="E36" i="25"/>
  <c r="E39" i="24"/>
  <c r="E36" i="24"/>
  <c r="E39" i="23"/>
  <c r="E36" i="23"/>
  <c r="E75" i="23"/>
  <c r="E78" i="23"/>
  <c r="E36" i="22"/>
  <c r="E39" i="22"/>
  <c r="E42" i="22"/>
  <c r="E42" i="21"/>
  <c r="E39" i="21"/>
  <c r="E36" i="21"/>
  <c r="E75" i="21"/>
  <c r="E78" i="21"/>
  <c r="E39" i="20"/>
  <c r="E36" i="20"/>
  <c r="E45" i="19"/>
  <c r="E39" i="19"/>
  <c r="E42" i="19"/>
  <c r="E36" i="19"/>
  <c r="E45" i="18"/>
  <c r="E51" i="18"/>
  <c r="E48" i="18"/>
  <c r="E42" i="18"/>
  <c r="E36" i="18"/>
  <c r="E39" i="18"/>
  <c r="E39" i="17"/>
  <c r="E36" i="17"/>
  <c r="E40" i="16"/>
  <c r="E36" i="16"/>
  <c r="E75" i="16"/>
  <c r="E78" i="16"/>
  <c r="E36" i="15"/>
  <c r="E75" i="15"/>
  <c r="E78" i="15"/>
  <c r="E39" i="14"/>
  <c r="E36" i="14"/>
  <c r="E75" i="14"/>
  <c r="E78" i="14"/>
  <c r="E77" i="13"/>
  <c r="E36" i="13"/>
  <c r="E39" i="13"/>
  <c r="E42" i="13"/>
  <c r="E75" i="13"/>
  <c r="E78" i="13"/>
  <c r="E36" i="12"/>
  <c r="E75" i="12"/>
  <c r="E78" i="12"/>
  <c r="E36" i="11"/>
  <c r="E75" i="11"/>
  <c r="E78" i="11"/>
  <c r="E39" i="10"/>
  <c r="E36" i="10"/>
  <c r="E42" i="9"/>
  <c r="E39" i="9"/>
  <c r="E36" i="9"/>
  <c r="E54" i="8"/>
  <c r="E51" i="8"/>
  <c r="E48" i="8"/>
  <c r="E42" i="8"/>
  <c r="E45" i="8"/>
  <c r="E39" i="8"/>
  <c r="E36" i="8"/>
  <c r="E36" i="7"/>
  <c r="E75" i="7"/>
  <c r="E78" i="7"/>
  <c r="E39" i="6"/>
  <c r="E36" i="6"/>
  <c r="E75" i="4"/>
  <c r="E78" i="4"/>
  <c r="E75" i="19"/>
  <c r="E78" i="19"/>
  <c r="E79" i="19"/>
  <c r="E75" i="6"/>
  <c r="E78" i="6"/>
  <c r="E75" i="18"/>
  <c r="E78" i="18"/>
  <c r="E77" i="30"/>
  <c r="E78" i="30"/>
  <c r="E80" i="30"/>
  <c r="E84" i="30"/>
  <c r="E76" i="29"/>
  <c r="E79" i="29"/>
  <c r="E75" i="25"/>
  <c r="E78" i="25"/>
  <c r="E75" i="24"/>
  <c r="E78" i="24"/>
  <c r="E75" i="22"/>
  <c r="E78" i="22"/>
  <c r="E75" i="20"/>
  <c r="E78" i="20"/>
  <c r="E79" i="20"/>
  <c r="E75" i="17"/>
  <c r="E78" i="17"/>
  <c r="E79" i="17"/>
  <c r="E79" i="15"/>
  <c r="E80" i="15"/>
  <c r="E82" i="15"/>
  <c r="E86" i="15"/>
  <c r="E75" i="10"/>
  <c r="E78" i="10"/>
  <c r="E75" i="9"/>
  <c r="E78" i="9"/>
  <c r="E75" i="8"/>
  <c r="E78" i="8"/>
  <c r="E79" i="7"/>
  <c r="E79" i="22"/>
  <c r="E80" i="22"/>
  <c r="E82" i="22"/>
  <c r="E86" i="22"/>
  <c r="E78" i="34"/>
  <c r="E79" i="34"/>
  <c r="E81" i="34"/>
  <c r="E85" i="34"/>
  <c r="E78" i="40"/>
  <c r="E79" i="40"/>
  <c r="E81" i="40"/>
  <c r="E85" i="40"/>
  <c r="E79" i="4"/>
  <c r="E80" i="4"/>
  <c r="E82" i="4"/>
  <c r="E86" i="4"/>
  <c r="E79" i="14"/>
  <c r="E80" i="14"/>
  <c r="E80" i="27"/>
  <c r="E81" i="27"/>
  <c r="E73" i="51"/>
  <c r="E74" i="51"/>
  <c r="E76" i="51"/>
  <c r="E80" i="51"/>
  <c r="E79" i="25"/>
  <c r="E79" i="39"/>
  <c r="E78" i="39"/>
  <c r="E81" i="39"/>
  <c r="E85" i="39"/>
  <c r="E79" i="41"/>
  <c r="E78" i="41"/>
  <c r="E81" i="41"/>
  <c r="E85" i="41"/>
  <c r="E78" i="48"/>
  <c r="E77" i="48"/>
  <c r="E80" i="48"/>
  <c r="E84" i="48"/>
  <c r="E79" i="33"/>
  <c r="E78" i="33"/>
  <c r="E81" i="33"/>
  <c r="E85" i="33"/>
  <c r="E79" i="13"/>
  <c r="E80" i="13"/>
  <c r="E82" i="13"/>
  <c r="E86" i="13"/>
  <c r="E78" i="38"/>
  <c r="E79" i="38"/>
  <c r="E81" i="38"/>
  <c r="E85" i="38"/>
  <c r="E78" i="44"/>
  <c r="E79" i="44"/>
  <c r="E81" i="44"/>
  <c r="E85" i="44"/>
  <c r="E79" i="24"/>
  <c r="E80" i="24"/>
  <c r="E82" i="24"/>
  <c r="E86" i="24"/>
  <c r="E79" i="11"/>
  <c r="E80" i="11"/>
  <c r="E82" i="11"/>
  <c r="E86" i="11"/>
  <c r="E78" i="37"/>
  <c r="E79" i="37"/>
  <c r="E81" i="37"/>
  <c r="E85" i="37"/>
  <c r="E79" i="43"/>
  <c r="E78" i="43"/>
  <c r="E81" i="43"/>
  <c r="E85" i="43"/>
  <c r="E80" i="29"/>
  <c r="E81" i="29"/>
  <c r="E83" i="29"/>
  <c r="E87" i="29"/>
  <c r="E79" i="12"/>
  <c r="E80" i="12"/>
  <c r="E82" i="12"/>
  <c r="E86" i="12"/>
  <c r="E80" i="28"/>
  <c r="E81" i="28"/>
  <c r="E77" i="31"/>
  <c r="E78" i="31"/>
  <c r="E80" i="31"/>
  <c r="E84" i="31"/>
  <c r="E78" i="46"/>
  <c r="E79" i="46"/>
  <c r="E81" i="46"/>
  <c r="E85" i="46"/>
  <c r="E79" i="42"/>
  <c r="E78" i="42"/>
  <c r="E81" i="42"/>
  <c r="E85" i="42"/>
  <c r="E79" i="9"/>
  <c r="E80" i="9"/>
  <c r="E82" i="9"/>
  <c r="E86" i="9"/>
  <c r="E80" i="26"/>
  <c r="E81" i="26"/>
  <c r="E83" i="26"/>
  <c r="E87" i="26"/>
  <c r="E78" i="49"/>
  <c r="E77" i="49"/>
  <c r="E80" i="49"/>
  <c r="E84" i="49"/>
  <c r="E79" i="8"/>
  <c r="E80" i="8"/>
  <c r="E82" i="8"/>
  <c r="E86" i="8"/>
  <c r="E77" i="45"/>
  <c r="E78" i="45"/>
  <c r="E80" i="45"/>
  <c r="E84" i="45"/>
  <c r="E79" i="18"/>
  <c r="E79" i="23"/>
  <c r="E80" i="23"/>
  <c r="E82" i="23"/>
  <c r="E86" i="23"/>
  <c r="E77" i="47"/>
  <c r="E78" i="47"/>
  <c r="E80" i="47"/>
  <c r="E84" i="47"/>
  <c r="E79" i="10"/>
  <c r="E80" i="10"/>
  <c r="E79" i="6"/>
  <c r="E77" i="32"/>
  <c r="E78" i="32"/>
  <c r="E80" i="32"/>
  <c r="E84" i="32"/>
  <c r="E78" i="50"/>
  <c r="E77" i="50"/>
  <c r="E80" i="50"/>
  <c r="E84" i="50"/>
  <c r="E79" i="16"/>
  <c r="E80" i="16"/>
  <c r="E82" i="16"/>
  <c r="E86" i="16"/>
  <c r="E79" i="21"/>
  <c r="E79" i="35"/>
  <c r="E78" i="35"/>
  <c r="E81" i="35"/>
  <c r="E85" i="35"/>
  <c r="E79" i="36"/>
  <c r="E78" i="36"/>
  <c r="E81" i="36"/>
  <c r="E85" i="36"/>
  <c r="E80" i="17"/>
  <c r="E82" i="17"/>
  <c r="E86" i="17"/>
  <c r="E80" i="19"/>
  <c r="E82" i="19"/>
  <c r="E86" i="19"/>
  <c r="E80" i="20"/>
  <c r="E82" i="20"/>
  <c r="E86" i="20"/>
  <c r="E80" i="21"/>
  <c r="E82" i="21"/>
  <c r="E86" i="21"/>
  <c r="E80" i="18"/>
  <c r="E82" i="18"/>
  <c r="E86" i="18"/>
  <c r="E83" i="28"/>
  <c r="E87" i="28"/>
  <c r="E83" i="27"/>
  <c r="E87" i="27"/>
  <c r="E80" i="6"/>
  <c r="E82" i="6"/>
  <c r="E86" i="6"/>
  <c r="E80" i="25"/>
  <c r="E82" i="25"/>
  <c r="E86" i="25"/>
  <c r="E82" i="10"/>
  <c r="E86" i="10"/>
  <c r="E82" i="14"/>
  <c r="E86" i="14"/>
  <c r="E80" i="7"/>
  <c r="E82" i="7"/>
  <c r="E86" i="7"/>
</calcChain>
</file>

<file path=xl/sharedStrings.xml><?xml version="1.0" encoding="utf-8"?>
<sst xmlns="http://schemas.openxmlformats.org/spreadsheetml/2006/main" count="1947" uniqueCount="550">
  <si>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</si>
  <si>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</si>
  <si>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</si>
  <si>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</si>
  <si>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</si>
  <si>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</si>
  <si>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</si>
  <si>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</si>
  <si>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</si>
  <si>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</si>
  <si>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</si>
  <si>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</si>
  <si>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</si>
  <si>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</si>
  <si>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</si>
  <si>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</si>
  <si>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</si>
  <si>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</si>
  <si>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</si>
  <si>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</si>
  <si>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</si>
  <si>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</si>
  <si>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</si>
  <si>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</si>
  <si>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</si>
  <si>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RAYNALD MEILLEUR</t>
  </si>
  <si>
    <t>Bourdon, Dufresne &amp; Meilleur inc.</t>
  </si>
  <si>
    <t>1301 chemin des Anglais</t>
  </si>
  <si>
    <t>Lachenaie  Québec  J6X 4G3</t>
  </si>
  <si>
    <t># 10161</t>
  </si>
  <si>
    <t xml:space="preserve"> - Discussions, courriels, prises de connaissances et analyses et révision des documents soumis dans le dossier de Télédétec;</t>
  </si>
  <si>
    <t>Le 31 août 2010</t>
  </si>
  <si>
    <t>Le 8 novembre 2010</t>
  </si>
  <si>
    <t># 10207</t>
  </si>
  <si>
    <t xml:space="preserve"> - Discussions avec Patrick dans le dossier de QUE103;</t>
  </si>
  <si>
    <t xml:space="preserve"> - Discussions avec Patrick dans le dossier de DAL100;</t>
  </si>
  <si>
    <t>Le 7 décembre 2010</t>
  </si>
  <si>
    <t># 10230</t>
  </si>
  <si>
    <t xml:space="preserve"> - Dossier de la succession Gravel  - discussions téléphoniques, analyse des documents soumis, recherches;</t>
  </si>
  <si>
    <t>Le 22 décembre 2010</t>
  </si>
  <si>
    <t>RAYNALD MEILLEUR / PATRICK BOURDON</t>
  </si>
  <si>
    <t># 10249</t>
  </si>
  <si>
    <t xml:space="preserve"> - Discussion avec Patrick - dossier QUE-308;</t>
  </si>
  <si>
    <t xml:space="preserve"> - Discussion avec Patrick - dossier GES-100;</t>
  </si>
  <si>
    <t xml:space="preserve"> - Recherche sur dossier de bien de remplacement - question de Patrick;</t>
  </si>
  <si>
    <t xml:space="preserve"> - Fournir les interprétation techniques pour les EPSP;</t>
  </si>
  <si>
    <t xml:space="preserve"> - Analyse de la situation de BDM, proposition de planification compte tenu de la situation, analyse des documents reçu, plusieurs révisions de documents pour le roulement de Patrick, recherches fiscales, diverses discussions téléphoniques avec Patrick et courriels relativement à cette planification;</t>
  </si>
  <si>
    <t xml:space="preserve"> - Discussions et recherches pour le cas des PTPE vs compagnie vs perso vs personnes liées;</t>
  </si>
  <si>
    <t xml:space="preserve"> - Discussions et analyse du livre des minutes dans le dossier de Frigo National;</t>
  </si>
  <si>
    <t>Le 17 février 2011</t>
  </si>
  <si>
    <t># 11011</t>
  </si>
  <si>
    <t xml:space="preserve"> - Discussions et recherches sur 256(2) et sur changement d'usage partiel ou complet d'un immeuble;</t>
  </si>
  <si>
    <t xml:space="preserve"> - Discussion sur technique pipeline pour succession gravel</t>
  </si>
  <si>
    <t xml:space="preserve"> - Révision de roulement de Patrick pour BDM et discussion;</t>
  </si>
  <si>
    <t>Le 8 avril 2011</t>
  </si>
  <si>
    <t># 11043</t>
  </si>
  <si>
    <t xml:space="preserve"> - Discussion du 07-04-11 relativement à divers sujets - dossier Que 315 Ben Girou;</t>
  </si>
  <si>
    <t xml:space="preserve"> - Recherches relatives à la discussion du 07-04-11 relativement à l'exonération pour résidence principale, la coupe de bois vs agricole et le crédit de taxes foncières;</t>
  </si>
  <si>
    <t>Le 5 mai 2011</t>
  </si>
  <si>
    <t># 11071</t>
  </si>
  <si>
    <t xml:space="preserve"> - Discussion du 04-05-11 avec Jean-Claude concernant les œuvres d'art et le condo en floride;</t>
  </si>
  <si>
    <t>Le 23 mai 2011</t>
  </si>
  <si>
    <t># 11086</t>
  </si>
  <si>
    <t xml:space="preserve"> - Analyse des questions reçues de Julie et discussion téléphonique;</t>
  </si>
  <si>
    <t>Le 20 juin 2011</t>
  </si>
  <si>
    <t>SYLVAIN DUFRESNE</t>
  </si>
  <si>
    <t xml:space="preserve"> - Dossier de Décor LI, analyses et discussions;</t>
  </si>
  <si>
    <t xml:space="preserve"> - Discussion et recherches sur 2 cas de PTPE ;</t>
  </si>
  <si>
    <t xml:space="preserve"> - Analyse, discussions avec vous, les notaires, Michel Taillefer et diverses recherches au sujet du groupe RTS;</t>
  </si>
  <si>
    <t>Frais de Lanoue Taillefer Audet dans le dossier de RTS</t>
  </si>
  <si>
    <t># 11112</t>
  </si>
  <si>
    <t># 11121</t>
  </si>
  <si>
    <t>Le 8 juillet 2011</t>
  </si>
  <si>
    <t>PATRICK BOURDON</t>
  </si>
  <si>
    <t xml:space="preserve"> - Discussion avec Julie et recherches fiscales concernant la création de pertes locatives avec la DPA dans le cas dont l'entreprise principale est la location d'immeubles;</t>
  </si>
  <si>
    <t xml:space="preserve"> - Discussions relativement au dossier de Télédétect ;</t>
  </si>
  <si>
    <t>Autres</t>
  </si>
  <si>
    <t># 11143</t>
  </si>
  <si>
    <t>Le 1 septembre 2011</t>
  </si>
  <si>
    <t xml:space="preserve"> - Discussion avec vous relativement aux règles d'attribution lors d'un transfert entre conjoint et recherches supplémentaires;</t>
  </si>
  <si>
    <t># 11157</t>
  </si>
  <si>
    <t>Le 28 septembre 2011</t>
  </si>
  <si>
    <t xml:space="preserve"> - Sortir une interprétation technique pour Jean-Claude relartivement à la conversion d'immeuble;</t>
  </si>
  <si>
    <t xml:space="preserve"> - Révision du roulement dans le dossier de Éric Bourdon et discussion avec vous;</t>
  </si>
  <si>
    <t>Le 7 octobre 2011</t>
  </si>
  <si>
    <t># 11169</t>
  </si>
  <si>
    <t xml:space="preserve"> - Analyse des questions de Jean-Claude - CHA100 - droits ou biens;</t>
  </si>
  <si>
    <t xml:space="preserve"> - Analyse des questions de Jean-Claude - CHA100 - revenu d'entreprise de pret;</t>
  </si>
  <si>
    <t># 11185</t>
  </si>
  <si>
    <t xml:space="preserve"> - Jean-Claude - Attila;</t>
  </si>
  <si>
    <t xml:space="preserve"> - Courriel - Groupe Landry</t>
  </si>
  <si>
    <t>Le 7 novembre 2011</t>
  </si>
  <si>
    <t xml:space="preserve"> - Discussions téléphoniques et recherches fiscales - re questions de Patrick - Cormier;</t>
  </si>
  <si>
    <t xml:space="preserve"> - Discussions téléphoniques et recherches fiscales - re questions de Patrick - imposition crédit apprenti</t>
  </si>
  <si>
    <t xml:space="preserve"> - Discussions téléphoniques et recherches fiscales - re questions de Patrick - dossier de Groupe Landry</t>
  </si>
  <si>
    <t xml:space="preserve"> - Discussions téléphoniques  - re questions de Patrick - dossier JCG - fiducie</t>
  </si>
  <si>
    <t>Le 29 novembre 2011</t>
  </si>
  <si>
    <t># 11202</t>
  </si>
  <si>
    <t xml:space="preserve"> - Dossier N Turenne;</t>
  </si>
  <si>
    <t xml:space="preserve"> - Recherche critère de détention de 24 mois vs transfert de senc dans une inc.</t>
  </si>
  <si>
    <t xml:space="preserve"> - Groupe Landry-Musi - questions</t>
  </si>
  <si>
    <t xml:space="preserve"> - Analyse dossier d'optométriste Lachenaie;</t>
  </si>
  <si>
    <t># 12001</t>
  </si>
  <si>
    <t>Le 23 janvier 2012</t>
  </si>
  <si>
    <t xml:space="preserve"> - Ritma - analyse de déduction pour gain en capital</t>
  </si>
  <si>
    <t xml:space="preserve"> - Question: rachat d'actions vs mélange de capital-versé</t>
  </si>
  <si>
    <t>Le 28 février 2012</t>
  </si>
  <si>
    <t># 12016</t>
  </si>
  <si>
    <t xml:space="preserve"> - Question Chales Drolet</t>
  </si>
  <si>
    <t xml:space="preserve"> - Dossier Frigo - Analyse sociétés associées</t>
  </si>
  <si>
    <t xml:space="preserve"> - Dossier Angelini: analyse avantage imposable vs utilisation personnelle de condos</t>
  </si>
  <si>
    <t>Le 5 avril 2012</t>
  </si>
  <si>
    <t># 12048</t>
  </si>
  <si>
    <t xml:space="preserve"> - Question de Jean-Claude sur le gain sur règlement de dette - CAN131;</t>
  </si>
  <si>
    <t xml:space="preserve"> - Discussion téléphonique au sujet de déductions sur véhicule et maison pour employé/actionnaire - jean-claude cyr;</t>
  </si>
  <si>
    <t xml:space="preserve"> - Discussion téléphonique au sujet de traitement de syndicats - Jean-Claude Cyr;</t>
  </si>
  <si>
    <t xml:space="preserve"> - Demande de mélissa - traitement comptable roulement et autres - ser110;</t>
  </si>
  <si>
    <t># 12059</t>
  </si>
  <si>
    <t xml:space="preserve"> - Révision du traitement fiscal des Cliniques d'optométrie Lachenaie avec les SENC, production de T5013, recherches et fournir un détail du calcul d'un PBR de SENC, recherches fiscales entourant la recharge d'un loyer à la SENC;</t>
  </si>
  <si>
    <t xml:space="preserve"> - Recherches, analyse des documents et discussion avec l'OCAQ, re: traitement de la réduction de Capital versé - Éric Bourdon;</t>
  </si>
  <si>
    <t>Le 16 avril 2012</t>
  </si>
  <si>
    <t>Le 3 mai 2012</t>
  </si>
  <si>
    <t># 12067</t>
  </si>
  <si>
    <t xml:space="preserve"> - Sucession Diane Pelletier - disc avec Sylvain;</t>
  </si>
  <si>
    <t xml:space="preserve"> - Question de mélissa sur t1135 - QUE560</t>
  </si>
  <si>
    <t># 12110</t>
  </si>
  <si>
    <t xml:space="preserve"> - Analyse des questions de Mélissa re: Services financiers Landry</t>
  </si>
  <si>
    <t xml:space="preserve"> - Question de Patrick - re: structure avec gesco et M. X</t>
  </si>
  <si>
    <t xml:space="preserve"> - Questions de PTPE / vente des actions pour 1$ + créance - QUE532;</t>
  </si>
  <si>
    <t>Le 27 JUIN 2012</t>
  </si>
  <si>
    <t># 12128</t>
  </si>
  <si>
    <t>Le 16 juillet 2012</t>
  </si>
  <si>
    <t xml:space="preserve"> - Questions sur les PTPE - QUE480</t>
  </si>
  <si>
    <t xml:space="preserve"> - Solofruit - Révision - gain sur règlement de dette;</t>
  </si>
  <si>
    <t xml:space="preserve"> - Analyse PTPE et rédaction position sommaire - Zoom;</t>
  </si>
  <si>
    <t xml:space="preserve"> - Dossier N Turenne - roulement;</t>
  </si>
  <si>
    <t xml:space="preserve"> - Question de Patrick sur CDC vs vente d'achalandage;</t>
  </si>
  <si>
    <t>Le 31 juillet 2012</t>
  </si>
  <si>
    <t># 12132</t>
  </si>
  <si>
    <t xml:space="preserve"> - Question de Mélissa - re: transfert d'assurance-vie</t>
  </si>
  <si>
    <t>Le 23 octobre 2012</t>
  </si>
  <si>
    <t># 12162</t>
  </si>
  <si>
    <t xml:space="preserve"> - Question de Julie - re: transfert au décès de REER à un ex-conjoint;</t>
  </si>
  <si>
    <t xml:space="preserve"> - Rencontre avec Sylvain Dufresne, planifications fiscales dans les dossiers de Coffrage National, groupe lavoie, Larente;</t>
  </si>
  <si>
    <t>Le 13 novembre 2012</t>
  </si>
  <si>
    <t># 12193</t>
  </si>
  <si>
    <t xml:space="preserve"> - Question de Sylvain - sociétés associées Attila - re : honoraires de gestion;</t>
  </si>
  <si>
    <t xml:space="preserve"> - Rencontre avec Sylvain - Coffrage National + recherche pour perte réputée nulle;</t>
  </si>
  <si>
    <t xml:space="preserve"> - Question de Sylvain - Fiset - œuvres d'art et antiquités;</t>
  </si>
  <si>
    <t># 12206</t>
  </si>
  <si>
    <t>Le 13 décembre 2012</t>
  </si>
  <si>
    <t xml:space="preserve"> - Question de Sylvain - particulier qui détient immeuble + structure de BDM vs EPSP et solutions (recherches et disc);</t>
  </si>
  <si>
    <t>Le 28 janvier 2013</t>
  </si>
  <si>
    <t># 13002</t>
  </si>
  <si>
    <t xml:space="preserve"> - Question de Sylvain - Recyclage MN vs Divulgation volontaire;</t>
  </si>
  <si>
    <t xml:space="preserve"> - Question Patrick - CDC et dividende de liquidation;</t>
  </si>
  <si>
    <t xml:space="preserve"> - Question Julie Morin - Dossier Éric Cissé;</t>
  </si>
  <si>
    <t xml:space="preserve"> - Question de Sylvain - Cousins vs notion de liés;</t>
  </si>
  <si>
    <t>Le 25 février 2013</t>
  </si>
  <si>
    <t xml:space="preserve"> - Question de Patrick - Protection d'actifs - disc et recherches;</t>
  </si>
  <si>
    <t># 13021</t>
  </si>
  <si>
    <t>Le 22 mars 2013</t>
  </si>
  <si>
    <t># 13058</t>
  </si>
  <si>
    <t xml:space="preserve"> - Question de Patrick sur structure verticale vs horizontale;</t>
  </si>
  <si>
    <t xml:space="preserve"> - Question de Michel Despaties vs majoration du dividende à une fiducie;</t>
  </si>
  <si>
    <t xml:space="preserve"> - Question de Raynald vs 2500$ de RRQ pour succession vs acceptation succession;</t>
  </si>
  <si>
    <t xml:space="preserve"> - Question de Jean-Claude sur structure d'un client Ontario vs Québec - créer une inc ou division;</t>
  </si>
  <si>
    <t>Le 29 avril 2013</t>
  </si>
  <si>
    <t># 13111</t>
  </si>
  <si>
    <t xml:space="preserve"> - Analyse et questions de Méliassa sur Landry Musi;</t>
  </si>
  <si>
    <t xml:space="preserve"> - Discussion avec Sylvain sur diverses questions de sociétés associés et autres questions;</t>
  </si>
  <si>
    <t xml:space="preserve"> - Question de Patrick - exonération résidence principale vs &gt; .5 hectar;</t>
  </si>
  <si>
    <t>Le 23 mai 2013</t>
  </si>
  <si>
    <t># 13125</t>
  </si>
  <si>
    <t xml:space="preserve"> - Question Sylvain - report de perte rétro - pré fusion;</t>
  </si>
  <si>
    <t xml:space="preserve"> - Question Sylvain - traitement des frais de Taxes municipales, intérêts et infrastructures - période de détention et construction;</t>
  </si>
  <si>
    <t xml:space="preserve"> - Recheches, analyses, discussions et courriels - démolition, reconstruction - traitement fiscal - re: Marie-Pierre Guay;</t>
  </si>
  <si>
    <t>Le 28 juin 2013</t>
  </si>
  <si>
    <t># 13153</t>
  </si>
  <si>
    <t xml:space="preserve"> - Tim Germain - Condo US;</t>
  </si>
  <si>
    <t xml:space="preserve"> - Analyse successorale - Entreprise Préché;</t>
  </si>
  <si>
    <t xml:space="preserve"> - Martial Lavoie - analyse planification pour acheter frère;</t>
  </si>
  <si>
    <t xml:space="preserve"> - Solofruit - perte en capital;</t>
  </si>
  <si>
    <t xml:space="preserve"> - Analayse et discussions avec Marie-Pierre - Entreprise de prestation de services personnels pour vendeur terrain;</t>
  </si>
  <si>
    <t xml:space="preserve"> - Question utilisation pertes suite à acquisition de contrôle et liquidation;</t>
  </si>
  <si>
    <t># 13169</t>
  </si>
  <si>
    <t xml:space="preserve"> - Analyse et discussion - groupe St-Denis - introduction de la fille;</t>
  </si>
  <si>
    <t xml:space="preserve"> - Dossier Magma - discussions et recherches;</t>
  </si>
  <si>
    <t xml:space="preserve"> - Grilli - dation en paiement - art 79;</t>
  </si>
  <si>
    <t>Le 11 juillet 2013</t>
  </si>
  <si>
    <t>Le 26 août 2013</t>
  </si>
  <si>
    <t># 13187</t>
  </si>
  <si>
    <t xml:space="preserve"> - Question sur imposition d'un revenu d'intérêts lorsque entreprise de prêt;</t>
  </si>
  <si>
    <t xml:space="preserve"> - Diverses questions, recherches, courriels, analyse du capital imposable, analyse des sociétés associés ,etc, - Groupe Gilli;</t>
  </si>
  <si>
    <t xml:space="preserve"> - Dossier de Protek - analyse et recherches, disc, courriel sommaire;</t>
  </si>
  <si>
    <t xml:space="preserve"> - Questions - Angelini - sociétés rattachées, IMRTD, RTD etc.</t>
  </si>
  <si>
    <t xml:space="preserve"> - Question PTPE - Magma;</t>
  </si>
  <si>
    <t xml:space="preserve"> - Question PTPE - Avcom;</t>
  </si>
  <si>
    <t>Le 23 octobre 2013</t>
  </si>
  <si>
    <t># 13231</t>
  </si>
  <si>
    <t xml:space="preserve"> - Question de Patrick - re: imposition d'une SENC, fin d'année et période tampon;</t>
  </si>
  <si>
    <t xml:space="preserve"> - Question de Patrick - re : taxe compensatoire des institution financière;</t>
  </si>
  <si>
    <t xml:space="preserve"> - Question de Patrick - re: provision pour somme impayée;</t>
  </si>
  <si>
    <t>Le 10 décembre 2013</t>
  </si>
  <si>
    <t># 13251</t>
  </si>
  <si>
    <t xml:space="preserve"> - Question de Sylvain - re: déficit actuariel et convention d'actionnaire;</t>
  </si>
  <si>
    <t xml:space="preserve"> - Question de Patrick - re : SENC vs période tampon vs perte;</t>
  </si>
  <si>
    <t xml:space="preserve"> - Dossier coffrage National - discussions, analyses, préparation à la rencontre, déplacement et rencontre;</t>
  </si>
  <si>
    <t xml:space="preserve"> - Question de Patrick - résidence principale vs séparation et choix possibles;</t>
  </si>
  <si>
    <t xml:space="preserve"> - Question Marc Lavoie- 9021;</t>
  </si>
  <si>
    <t xml:space="preserve"> - Question qualification AAPE pour planificatrice financière- plouffe lors de vente de sa compagnie;</t>
  </si>
  <si>
    <t xml:space="preserve"> - Courriels et discussions - incorporation d'un ingénieur;</t>
  </si>
  <si>
    <t xml:space="preserve"> - Question TVQ grande entreprise et possibilité de planification - Tim Horton Daas - incluant honoraire de consultant;</t>
  </si>
  <si>
    <t xml:space="preserve"> - Désassocier les compagnies - groupe Grili;</t>
  </si>
  <si>
    <t xml:space="preserve"> - Question de Julie sur investissement dans une compagnies de construction;</t>
  </si>
  <si>
    <t>Le 3 février 2014</t>
  </si>
  <si>
    <t># 14003</t>
  </si>
  <si>
    <t xml:space="preserve"> - Discussion sur notion d'acquisition de contrôle;</t>
  </si>
  <si>
    <t xml:space="preserve"> - Question Robert Daoust - balance de vente non encaissée;</t>
  </si>
  <si>
    <t xml:space="preserve"> - Que543 - question sur bien loué antérieurement et FNACC, recherches et disscussions;</t>
  </si>
  <si>
    <t xml:space="preserve"> - Discussion avec Mélissa sur dossier de Claire Denault - Succession;</t>
  </si>
  <si>
    <t>Le 17 février 2014</t>
  </si>
  <si>
    <t># 14014</t>
  </si>
  <si>
    <t xml:space="preserve"> - Discussion avec Sylvain sur vente de terrain à 1$ - dossier de Gestion Bergeron;</t>
  </si>
  <si>
    <t xml:space="preserve"> - Question de Sylvain - Can137;</t>
  </si>
  <si>
    <t xml:space="preserve"> - Question de Sylvain - Chambert;</t>
  </si>
  <si>
    <t xml:space="preserve"> - Question de Grili Ménard de Sylvain;</t>
  </si>
  <si>
    <t xml:space="preserve"> - Question de Sylvain - Malette Ménard;</t>
  </si>
  <si>
    <t xml:space="preserve"> - Question de Sylvain - Cité - Lehoullier;</t>
  </si>
  <si>
    <t xml:space="preserve"> - Question et analyse - Dossier Mindcore de Sylvain;</t>
  </si>
  <si>
    <t xml:space="preserve"> - Question de PTPE et perte en capital vs client de Ékitas - Sylvain - analyse et recherches;</t>
  </si>
  <si>
    <t xml:space="preserve"> - Question de pertes en capital - analyse et discussion au sujet de planification pour récupérer pertes en capital;</t>
  </si>
  <si>
    <t xml:space="preserve"> - Question retenue sur contrat en construction - disc avec sylvain et Patrick, analyses, disc avec juristes, courriel sommaire;</t>
  </si>
  <si>
    <t xml:space="preserve"> - Disc avec Patrick pour question RS&amp;DE;</t>
  </si>
  <si>
    <t xml:space="preserve"> - Question de Michel Despaties sur dossier de QUE370 pour exonération sur vente actions - réflexions et disc;</t>
  </si>
  <si>
    <t xml:space="preserve"> - Disc avec Mélissa Morin pour question haitien vs statut de résident vs impacts pour se partir en affaires;</t>
  </si>
  <si>
    <t>Terrebonne Québec  J6X 4G4</t>
  </si>
  <si>
    <t>Le 28 AVRIL 2014</t>
  </si>
  <si>
    <t># 14069</t>
  </si>
  <si>
    <t xml:space="preserve"> - Dossier Le Houllier - règles sur les sociétés associés - discussions + recherches et analyses;</t>
  </si>
  <si>
    <t xml:space="preserve"> - Question - Gestion Danielle Plouffe vs Qualification exo;</t>
  </si>
  <si>
    <t xml:space="preserve"> - Question de Julie Morin sur imposition de sommes reçues apres deces;</t>
  </si>
  <si>
    <t xml:space="preserve"> - Discussions avec Sylvain - Groupe CSR;</t>
  </si>
  <si>
    <t xml:space="preserve"> - Question de Patrick - transfert de l'immeuble au décès de son père;</t>
  </si>
  <si>
    <t xml:space="preserve"> - Question de Patrick - provision vs vente d'achalandage;</t>
  </si>
  <si>
    <t>Le 22 mai 2014</t>
  </si>
  <si>
    <t># 14119</t>
  </si>
  <si>
    <t xml:space="preserve"> - Question de Michel Despaties - Résident Québec déménagé au Nouveau Brunswick - impacts sur T1;</t>
  </si>
  <si>
    <t xml:space="preserve"> - Question de Marie-Pierre sur vente de créance à 1$ et planification entourant la vente d'actions également - Pilotte;</t>
  </si>
  <si>
    <t xml:space="preserve"> - Question de Raynald - Carole Dubé - PBR maison hérité;</t>
  </si>
  <si>
    <t xml:space="preserve"> - Groupe GSR - discussion sur structures avec fiducies;</t>
  </si>
  <si>
    <t xml:space="preserve"> - Discussion avec Julie Morin - Décore LI;</t>
  </si>
  <si>
    <t>Le 10 juillet 2014</t>
  </si>
  <si>
    <t># 14154</t>
  </si>
  <si>
    <t xml:space="preserve"> - Question de Michel Despaties - courriel pour Daniel Chartier;</t>
  </si>
  <si>
    <t xml:space="preserve"> - Question sur HDI100 vs optimization de perte et profits;</t>
  </si>
  <si>
    <t xml:space="preserve"> - Question de Marie-Pierre pour question sur dépenses sans factures vs impacts en impots;</t>
  </si>
  <si>
    <t xml:space="preserve"> - Question Johanne Grégoire pour dentiste vs EPSP et autres questions + requête au consultant en taxes (voir frais du consultant plus bas);</t>
  </si>
  <si>
    <t>Frais d'un consultant en taxes pour question pour dentiste</t>
  </si>
  <si>
    <t xml:space="preserve"> - Question de Patrick - subdivision d'immeuble en condos - rev entreprise vs gain en capital - discussions et recherches;</t>
  </si>
  <si>
    <t xml:space="preserve"> - Question d'acquisition de contrôle vs groupe de contrôle - réflexions et discussions;</t>
  </si>
  <si>
    <t xml:space="preserve"> - Question de Julie Morin - client nouveau brunswick - (michel a quitté le bureau sans note);</t>
  </si>
  <si>
    <t xml:space="preserve"> - Question de Mélissa sur disposition obligation vs gain en capital;</t>
  </si>
  <si>
    <t>3135 boul. de la Pinière</t>
  </si>
  <si>
    <t>Terrebonne  Québec  J6X 4P7</t>
  </si>
  <si>
    <t>Le 9 septembre 2014</t>
  </si>
  <si>
    <t># 14189</t>
  </si>
  <si>
    <t xml:space="preserve"> - Question de Julie Morin - client nouveau brunswick - disc avec Julie et courriel;</t>
  </si>
  <si>
    <t xml:space="preserve"> - Question Grili Ménard et discussions + analyse + courriels sur capital imposable, sociétés associées, etc;</t>
  </si>
  <si>
    <t xml:space="preserve"> - Question d'acquisition de contrôle dans le dossier de Martial Lavoie;</t>
  </si>
  <si>
    <t xml:space="preserve"> - Question de Mélissa sur PTPE;</t>
  </si>
  <si>
    <t xml:space="preserve"> - Question de Jean-Claude sur rémunération de liquidateur succession;</t>
  </si>
  <si>
    <t xml:space="preserve"> - Question d'association - Coffrage National;</t>
  </si>
  <si>
    <t xml:space="preserve"> - Question Johanne Grégoire pour dentiste vs EPSP - analyse du contrat, courriel et discussion;</t>
  </si>
  <si>
    <t xml:space="preserve"> - Question de PTPE et perte en capital dans cie de gestion de Sylvain;</t>
  </si>
  <si>
    <t xml:space="preserve"> - Question de Marie-Pierre sur calcul du capital imposable fédéral lorsque placements ctb à la JVM;</t>
  </si>
  <si>
    <t xml:space="preserve"> - Question de Patrick sur ctb et impacts fiscaux de transfert de bâtisse dans gestion;</t>
  </si>
  <si>
    <t>Frais d'un consultant en taxes</t>
  </si>
  <si>
    <t>Le 26 septembre 2014</t>
  </si>
  <si>
    <t># 14227</t>
  </si>
  <si>
    <t xml:space="preserve"> - Discussion sur pertes en capitale - compagnie de gestion de Sylvain;</t>
  </si>
  <si>
    <t xml:space="preserve"> - Discussion avec Patrick sur cie 1/3 Qc, 1/3 Chinois et 1/3 française;</t>
  </si>
  <si>
    <t xml:space="preserve"> - Vente de terre à Bois - disc avec Marie-Pierre et avec consultant en taxes - voir frais plus bas également - QUE615;</t>
  </si>
  <si>
    <t xml:space="preserve"> - Question de Julie sur changement d'usage et choix de 45(2) pour résidence principale qui est louée;</t>
  </si>
  <si>
    <t xml:space="preserve"> - Discussion avec Julie sur cotisation avoir net et possibilité de défense;</t>
  </si>
  <si>
    <t>Le 30 octobre 2014</t>
  </si>
  <si>
    <t># 14235</t>
  </si>
  <si>
    <t xml:space="preserve"> - Discussion sur Teledetect - ptpe et stock;</t>
  </si>
  <si>
    <t xml:space="preserve"> - Discussion avec Sylvain pour Dosti;</t>
  </si>
  <si>
    <t>Le 20 novembre 2014</t>
  </si>
  <si>
    <t># 14251</t>
  </si>
  <si>
    <t xml:space="preserve"> - Question de Marie-Pierre - dividende vs fins d'années différentes de sociétés;</t>
  </si>
  <si>
    <t xml:space="preserve"> - Dossier Vachon avec Sylvain - règles d'attributions et impôt pour enfants mineurs;</t>
  </si>
  <si>
    <t>Le 11 décembre 2014</t>
  </si>
  <si>
    <t># 14269</t>
  </si>
  <si>
    <t xml:space="preserve"> - Question de Julie sur les placements à report d'impôts - Fond Catégorie;</t>
  </si>
  <si>
    <t xml:space="preserve"> - Rencontre avec Jonathan St-Denis pour Groupe Connexion;</t>
  </si>
  <si>
    <t>*** Veuillez faire votre chèque à l'ordre de GC Fiscalité Plus Inc. Payable en ligne dans les institutions financières participantes.***</t>
  </si>
  <si>
    <t>*** Payable sur réception.  Frais d’administration de 24 % par année sur note d’honoraires passée due. ***</t>
  </si>
  <si>
    <t>Le 26 février 2015</t>
  </si>
  <si>
    <t>BOURDON DUFRESNE &amp; MEILLEUR INC.</t>
  </si>
  <si>
    <t>3135 boul. de la Pinière
Terrebonne  Québec  J6X 4P7</t>
  </si>
  <si>
    <t># 15049</t>
  </si>
  <si>
    <t xml:space="preserve"> - Question de Johanne Grégoire en lien avec le versement de dividende à fiducie;</t>
  </si>
  <si>
    <t xml:space="preserve"> - Question de Jonathan St-Michel pour dossier de Connexion vs honoraires de gestion;</t>
  </si>
  <si>
    <t xml:space="preserve"> - Question de Julie sur vente de résidence entre le fils et père et mère;</t>
  </si>
  <si>
    <t xml:space="preserve"> - Formulaire FATCA de Denise Dupuy - dossier de Sylvain Dufresne;</t>
  </si>
  <si>
    <t xml:space="preserve"> - Formulaire FATCA pour Serge Picard - dossier de Sylvain Dufresne;</t>
  </si>
  <si>
    <t xml:space="preserve"> - Analyse et discussion du dossier de Serge Ménard vs planification suggérée par la Banque Nationale;</t>
  </si>
  <si>
    <t xml:space="preserve"> - Question de Patrick sur roulement de bâtisse à une compagnie vs délai pour exonération pour gain en capital;</t>
  </si>
  <si>
    <t xml:space="preserve"> - Recherches fiscales pour frais de condo US dans une compagnie sans revenus - déductibilité - dossier avec Sylvain Dufresne;</t>
  </si>
  <si>
    <t># 15074</t>
  </si>
  <si>
    <t xml:space="preserve"> - Questions de Véronique sur l'imposition de la transaction de Tim Horton vs Burger King, analyse et recherches;</t>
  </si>
  <si>
    <t xml:space="preserve"> - Question de Sylvain au sujet de Dany Marrien;</t>
  </si>
  <si>
    <t xml:space="preserve"> - Analyse de Malette ménard pour le rachat d'actions de Jean-Nicholas;</t>
  </si>
  <si>
    <t xml:space="preserve"> - Question de Patrick sur acquisition de contrôle  lors de changement d'actionnaires;</t>
  </si>
  <si>
    <t xml:space="preserve"> - Fiducie Pierre Bourgeois - fid-103;</t>
  </si>
  <si>
    <t xml:space="preserve"> - Discussion avec Marie-Pierre - PTPE- vincent ménard;</t>
  </si>
  <si>
    <t xml:space="preserve"> - Cas de Robert Levasseur;</t>
  </si>
  <si>
    <t>Le 30 avril 2015</t>
  </si>
  <si>
    <t>Le 8 juin 2015</t>
  </si>
  <si>
    <t># 15117</t>
  </si>
  <si>
    <t xml:space="preserve"> - Discussion avec Sylvain - Serge Ménard - rachat du beau-fils</t>
  </si>
  <si>
    <t xml:space="preserve"> - Question de Julie sur gain sur règlement de dette et déduction en vertu de 61.3 - recherche, analyse, discussions et courriels;</t>
  </si>
  <si>
    <t xml:space="preserve"> - Analyse et discussion - dossier de M. Charlebois - vente;</t>
  </si>
  <si>
    <t xml:space="preserve"> - Discussion avec Julie le 12 mai au sujet de Clinique d'opto et assurances;</t>
  </si>
  <si>
    <t xml:space="preserve"> - Question de Sylvain sur placement fonds fidelity;</t>
  </si>
  <si>
    <t xml:space="preserve"> - Question de retenue sur contrats de Julie - analyse, recherches, discussions et courriels;</t>
  </si>
  <si>
    <t>Le 1er juillet 2015</t>
  </si>
  <si>
    <t># 15135</t>
  </si>
  <si>
    <t xml:space="preserve"> - Question de Sylvain- Gilles Lecavalier;</t>
  </si>
  <si>
    <t xml:space="preserve"> - Question de Julie - report de perte en capital au décès;</t>
  </si>
  <si>
    <t xml:space="preserve"> - Solofruit - disc avec Raynald, recherches, courriels avec Julie, courriel sommaire;</t>
  </si>
  <si>
    <t>Le 16 juillet 2015</t>
  </si>
  <si>
    <t># 15161</t>
  </si>
  <si>
    <t xml:space="preserve"> - Disc tel avec Julie sur stratégie de placements et sorties de fonds dans les fiducie et compagnie de gestion;</t>
  </si>
  <si>
    <t xml:space="preserve"> - Dossier de Sylvain- Gilles Lecavalier;</t>
  </si>
  <si>
    <t xml:space="preserve"> - Question de Julie - imposition des fiducies testamentaires et successions - analyse des nouvelles dispositions;</t>
  </si>
  <si>
    <t xml:space="preserve"> - Dossier de Fusion - Malette Ménard;</t>
  </si>
  <si>
    <t xml:space="preserve"> - Sylvain - demande de documents pour EPSP informaticiens;</t>
  </si>
  <si>
    <t xml:space="preserve"> - Question de Véronique sur perte dans le groupe Ménard - Serma;</t>
  </si>
  <si>
    <t xml:space="preserve"> - Question de Julie - Carte Cadeau vs TPS/TVQ;</t>
  </si>
  <si>
    <t>Le 6 octobre 2015</t>
  </si>
  <si>
    <t># 15188</t>
  </si>
  <si>
    <t xml:space="preserve"> - Question de Nora Bouhali vs Algérie</t>
  </si>
  <si>
    <t xml:space="preserve"> - Question de Sylvain dans dossier de Location Magma - locations-acquisitions;</t>
  </si>
  <si>
    <t xml:space="preserve"> - Entreprises Préché - qyestuib sur impact de ventes directes de magasin Tim;</t>
  </si>
  <si>
    <t xml:space="preserve"> - Question de Jules Mayrand sur qualification de terre à bois vs exonération pour bien agricole;</t>
  </si>
  <si>
    <t xml:space="preserve"> - Question de Patrick sur rachat d'un actionnaire;</t>
  </si>
  <si>
    <t xml:space="preserve"> - Question de Patrick Capîtal Concept et question vente d'un père à sa fille;</t>
  </si>
  <si>
    <t xml:space="preserve"> - Question de Sylvain sur dossier de Roulement d'une bâtisse à une inc;</t>
  </si>
  <si>
    <t>Le 2 novembre 2015</t>
  </si>
  <si>
    <t># 15214</t>
  </si>
  <si>
    <t xml:space="preserve"> - Question de Jules sur une sommes forfaitaire en début de bail</t>
  </si>
  <si>
    <t xml:space="preserve"> - Dossier de Pierre Bourgeois -question de Julie sur fonctionnement de la fiducie - analyse et discussion;</t>
  </si>
  <si>
    <t xml:space="preserve"> - Groupe Magma - Question de Jean-Benoit - sociétés liées;</t>
  </si>
  <si>
    <t xml:space="preserve"> - Recherches sur crédit pour formation Eagle's flight pour Mike Dass;</t>
  </si>
  <si>
    <t xml:space="preserve"> - Question sur rachat d'actions de Mme Hallé, analyses, recherches et téléphone;</t>
  </si>
  <si>
    <t xml:space="preserve"> - Discussions avec Patrick pour don à enfant mineur par le père;</t>
  </si>
  <si>
    <t xml:space="preserve"> - Demande de Johanne sur l'imposition des primes d'invalidités - recherches et courriels;</t>
  </si>
  <si>
    <t xml:space="preserve"> - Question de Patrick sur une succession de 2 filles avec une maison;</t>
  </si>
  <si>
    <t>Le 29 novembre 2015</t>
  </si>
  <si>
    <t># 15231</t>
  </si>
  <si>
    <t xml:space="preserve"> - Question de Julie sur structure Mike Dass vs achat de nouveaux magasins;</t>
  </si>
  <si>
    <t xml:space="preserve"> - Discussion téléphonique avec Raynald au sujet de HDI-100 - Vente d'actions;</t>
  </si>
  <si>
    <t xml:space="preserve"> - Recherches et discussions avec Jules au sujet de réserve sur vente de terrains - 9201-4497;</t>
  </si>
  <si>
    <t>Le 29 janvier 2016</t>
  </si>
  <si>
    <t># 16006</t>
  </si>
  <si>
    <t xml:space="preserve"> - Analyse de PTPE avec Patrick Bourdon ;</t>
  </si>
  <si>
    <t xml:space="preserve"> - Dossier de 9201-4497 - refus de la provision pour sommes à recevoir - recherches et modifications de lettre de Jules ;</t>
  </si>
  <si>
    <t xml:space="preserve"> - Habitation Charlevoix - question de Sylvain sur perte à la vente de terrain ;</t>
  </si>
  <si>
    <t xml:space="preserve"> - Tel avec Patrick sur dossier de vente de père au gendre ; </t>
  </si>
  <si>
    <t xml:space="preserve"> - Groupe Grili Ménard - demande de Jules sur capital imposable - analyse du dossier ;</t>
  </si>
  <si>
    <t xml:space="preserve"> - Dossier de Benoit Alain ; </t>
  </si>
  <si>
    <t xml:space="preserve"> - Question de Véronique sur Succession Mario Lord ;</t>
  </si>
  <si>
    <t xml:space="preserve"> - Question de Patrick sur PTPE vs caution sur bail ;</t>
  </si>
  <si>
    <t xml:space="preserve"> - Téléphone avec Patrick sur acquisition de contrôle dans un groupe vs rachat d'un des 3 actionnaires ;</t>
  </si>
  <si>
    <t xml:space="preserve"> - Dossier de Giroline - analyse du gain sur règlement de dette vs 61.3 LIR ;</t>
  </si>
  <si>
    <t>Le 31 mars 2016</t>
  </si>
  <si>
    <t># 16026</t>
  </si>
  <si>
    <t xml:space="preserve"> - Recherche pour Mindcore - frais de repas ;</t>
  </si>
  <si>
    <t xml:space="preserve"> - Analyse de l'intégration d'un gain en capital vs dividende avec Sylvain ;</t>
  </si>
  <si>
    <t xml:space="preserve"> - Analyse des nouvelles règles de safe income pour admin - rencontre avec Sylvain et Julie et discussions téléphoniques ;</t>
  </si>
  <si>
    <t xml:space="preserve"> - Question de PTPE par Véronique - analyse, recherche, téléphone et courriel ;</t>
  </si>
  <si>
    <t xml:space="preserve"> - Questions de Jules sur attribution par une fiducie et dépenses de fiducie vs attributions - quelques discussions ;</t>
  </si>
  <si>
    <t xml:space="preserve"> - Questions diverses de Raynald lors de mon passage au bureau ;</t>
  </si>
  <si>
    <t xml:space="preserve"> - Question de Julie Morin sur le traitement des retenues sur contrat ;</t>
  </si>
  <si>
    <t xml:space="preserve"> - Discussions avec Sylvain sur Attila - 9147-7372 pour le revenu passif ;</t>
  </si>
  <si>
    <t xml:space="preserve"> - Discussions avec Raynald sur dividendes vs Avances  - CON160 ;</t>
  </si>
  <si>
    <t xml:space="preserve"> - Dossier ADA - analyse, recherches, courriels et téléphone - reprise en paiement ;</t>
  </si>
  <si>
    <t xml:space="preserve"> - Vente de condo US - analyse, recherches, courriel, discussions avec Sylvain ;</t>
  </si>
  <si>
    <t xml:space="preserve"> - Questions de Julie sur l'attribution des différents revenus de fiducie et présentation à l'état financier - courriels et téléphone ;</t>
  </si>
  <si>
    <t>Le 27 avril 2016</t>
  </si>
  <si>
    <t># 16080</t>
  </si>
  <si>
    <t xml:space="preserve"> - Dossier avec Véronique : analyse des conséquences de reports de pertes rétro vs crtg vs dividende excessif + tel ;</t>
  </si>
  <si>
    <t xml:space="preserve"> - Question de Julie sur imposition des REER vs décédé ;</t>
  </si>
  <si>
    <t xml:space="preserve"> - Dossier avec Patrick - Ostiguy Gendron ;</t>
  </si>
  <si>
    <t xml:space="preserve"> - Dossier avec Jules de PTPE au rachat d'actions - analyses, recherches, courriels et tel ;</t>
  </si>
  <si>
    <t xml:space="preserve"> - Dossier avec Véronique: question sur dividende vs annulation d'actions et documents à envoyer au Qc lorsque Exo ;</t>
  </si>
  <si>
    <t>Le 16 mai 2016</t>
  </si>
  <si>
    <t xml:space="preserve"> - Discussion avec Sylvain - Dossier de perte locative avec lien de dépendance vs amortissement ;</t>
  </si>
  <si>
    <t xml:space="preserve"> - Dossier de 9093-4860 - réorganisation vs enlever le fils + nature du revenu de location, analyse, discussions avec Jules ;</t>
  </si>
  <si>
    <t xml:space="preserve"> - Discussion avec Jules - succession qui reçoit montant 8 ans après + dossier d'étalement de revenus ;</t>
  </si>
  <si>
    <t xml:space="preserve"> - Dossier de réorganisation interne - discussions, analyses, simulations, recherches, tableaux, rencontres, etc ;</t>
  </si>
  <si>
    <t xml:space="preserve"> - Rabais pour collaboration importante et appréciée ;</t>
  </si>
  <si>
    <t># 16104</t>
  </si>
  <si>
    <t>Le 31 mai 2016</t>
  </si>
  <si>
    <t># 16120</t>
  </si>
  <si>
    <t xml:space="preserve"> - Dossier Landry Musi - achat condo US - Gro-105 ;</t>
  </si>
  <si>
    <t xml:space="preserve"> - Questions de Julie sur T2 - dossier de Hdirect ;</t>
  </si>
  <si>
    <t xml:space="preserve"> - Question de Johanne sur Abdul et Mohammad vs renonciation de dividende ;</t>
  </si>
  <si>
    <t xml:space="preserve"> - Dossier de Maitre-Point - analyse de la situations vs projet de loi, rédaction de courriel et discussion téléphonique ;</t>
  </si>
  <si>
    <t xml:space="preserve"> - Dossier de Piscines A-9 - diverses questions de Jules ;</t>
  </si>
  <si>
    <t>Le 6 juillet 2016</t>
  </si>
  <si>
    <t># 16148</t>
  </si>
  <si>
    <t xml:space="preserve"> - Entreprise Préché - question de Julie au décès, analyses, discussions téléphoniques et courriels ;</t>
  </si>
  <si>
    <t xml:space="preserve"> - Dossier Sécoya - discussions téléphoniques, analyse de charte, question de Jules ;</t>
  </si>
  <si>
    <t xml:space="preserve"> - Dossier de Ménard - vente de désidence principale - discussions et recherches ;</t>
  </si>
  <si>
    <t xml:space="preserve"> - Dossier de Lehouiller - démolition de bâtisse - discussion téléphonique et recherche traitement fiscal ;</t>
  </si>
  <si>
    <t xml:space="preserve"> - Discussion téléphonique - Réjean Noël ; </t>
  </si>
  <si>
    <t xml:space="preserve"> - Analyse transaction pour Patates du nord ;</t>
  </si>
  <si>
    <t xml:space="preserve"> - Dossier de Martial Lavoie - vente de créance - analyse et discussion téléphonique ;</t>
  </si>
  <si>
    <t xml:space="preserve"> - Question de Jules sur commission provenant des USA ;</t>
  </si>
  <si>
    <t xml:space="preserve"> - Dossier CAN140 - Analyse de dividende avec Gesco et tel avec Jules ;</t>
  </si>
  <si>
    <t xml:space="preserve"> - Dossier Attila - Créance à radier - analyse, discussion téléphonique et courriel ;</t>
  </si>
  <si>
    <t xml:space="preserve"> - Demande de Jules sur fonctionnement de RRQ pour planification salaire vs dividende ;</t>
  </si>
  <si>
    <t xml:space="preserve"> - Dossier de Nettoyeur Vio-Dan - question de Carole sur les dividendes inter-sociétés et le safe income ;</t>
  </si>
  <si>
    <t>Le 18 juillet 2016</t>
  </si>
  <si>
    <t># 16174</t>
  </si>
  <si>
    <t>Réorganisations et consultations</t>
  </si>
  <si>
    <t xml:space="preserve"> - Rencontre avec vous à nos bureaux de Boucherville;</t>
  </si>
  <si>
    <t xml:space="preserve"> - Rencontre avec vous à vos bureaux et déplacement;</t>
  </si>
  <si>
    <t xml:space="preserve"> - Recueuillir les informations pour la création d'une société;</t>
  </si>
  <si>
    <t xml:space="preserve"> - Recueuillir les informations pour la création d'une fiducie;</t>
  </si>
  <si>
    <t xml:space="preserve"> - Analyse des livres des minutes pour déterminer les caractéristiques fiscales des actions;</t>
  </si>
  <si>
    <t xml:space="preserve"> - Préparation d'un organigramme avant et après opérations;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</si>
  <si>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</si>
  <si>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</si>
  <si>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</si>
  <si>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de directives sur l'utilisation de votre nouvelle structure;</t>
  </si>
  <si>
    <t xml:space="preserve"> - Aide à la détermination de la juste valeur marchande;</t>
  </si>
  <si>
    <t xml:space="preserve"> - Divers calculs effectués en lien avec la mise en place;</t>
  </si>
  <si>
    <t xml:space="preserve"> - Préparation du formulaire RC1 d'obtention du numéro d'entreprise fédéral pour la nouvelle société;</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</si>
  <si>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</si>
  <si>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</si>
  <si>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</si>
  <si>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des formulaires de CDC T2054 et CO-502 requis;</t>
  </si>
  <si>
    <t xml:space="preserve"> - Préparation du formulaire T2027 - règlement de dette lors de la liquidation de filiale;</t>
  </si>
  <si>
    <t xml:space="preserve"> - Préparer un sommaire de chèques à faire pour la séance de clôture</t>
  </si>
  <si>
    <t xml:space="preserve"> - Préparation des formulaires de choix fiscaux de clauses de non-concurrence;</t>
  </si>
  <si>
    <t xml:space="preserve"> - Diverses discussions téléphoniques avec vous ;</t>
  </si>
  <si>
    <t xml:space="preserve"> - Diverses discussions téléphoniques avec vous et le juriste;</t>
  </si>
  <si>
    <t xml:space="preserve"> - Diverses discussions téléphoniques avec vous, le juriste et votre comptable;</t>
  </si>
  <si>
    <t xml:space="preserve"> - Lecture et rédaction de divers courriels avec les divers intervenants;</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</si>
  <si>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</si>
  <si>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</si>
  <si>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</si>
  <si>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Révision de la T2 de et discussions avec les vérificateurs: dossier de xxx;</t>
  </si>
  <si>
    <t xml:space="preserve"> - Révision de la T3 et discussions avec les vérificateurs: dossier de xxx;</t>
  </si>
  <si>
    <t xml:space="preserve"> - Diverses modifications au mémorandum de réorganisation pour la réorganisation ;</t>
  </si>
  <si>
    <t xml:space="preserve"> - Diverses discussions téléphoniques avec vous, avec l'autre partie et les divers juristes au dossier ;</t>
  </si>
  <si>
    <t>Réorganisation interne séparé à 50% entre les parties :</t>
  </si>
  <si>
    <t>Portion de la réorganisation uniquement pour vous :</t>
  </si>
  <si>
    <t xml:space="preserve"> - Analyse de l'historique des roulements antérieurs, utilisations des exonération, planifications à venir pour ne pas perdre les exonérations déjà utilisés ;</t>
  </si>
  <si>
    <t xml:space="preserve"> - Partie de la réorganisation nécessaire pour régler le problème d'impôt de la partie IV, roulement, analyse des dividendes passés et des solutions possibles ;</t>
  </si>
  <si>
    <t xml:space="preserve"> - Vérification des états financiers et de la T2/CO-17 de BDM du 31-05-2016 ;</t>
  </si>
  <si>
    <t>Sous-total</t>
  </si>
  <si>
    <t>Frais de consultant en taxes à la consommation</t>
  </si>
  <si>
    <t xml:space="preserve"> - Entreprise Préché - question de Julie au décès - explications sur pertes en capital, PBR, etc ;</t>
  </si>
  <si>
    <t xml:space="preserve"> - Dossier Attila - Créance à radier - analyse et discussion téléphonique ;</t>
  </si>
  <si>
    <t xml:space="preserve"> - Dossier Patates du nord - facturation avec Filiale au cost ou à profit ;</t>
  </si>
  <si>
    <t xml:space="preserve"> - Recherche demandé par Véronique - Traitement fiscal des honoraires de création de fiducie ;</t>
  </si>
  <si>
    <t># 16179</t>
  </si>
  <si>
    <t xml:space="preserve"> - Note de crédit - Réjean Noël ;</t>
  </si>
  <si>
    <t># 16148C</t>
  </si>
  <si>
    <t>Le 21 juillet 2016</t>
  </si>
  <si>
    <t>Le 8 septembre 2016</t>
  </si>
  <si>
    <t># 16190</t>
  </si>
  <si>
    <t xml:space="preserve"> - Question de CDC de Véronique ;</t>
  </si>
  <si>
    <t xml:space="preserve"> - Question de Safe Income de BDM et dividendes à verser ;</t>
  </si>
  <si>
    <t xml:space="preserve"> - Question de Jules sur la règle de demi-taux et recherches fiscales ;</t>
  </si>
  <si>
    <t xml:space="preserve"> - Question de Sylvain - Dossier LDT - vente de location-acquisition ;</t>
  </si>
  <si>
    <t xml:space="preserve"> - Question de Sylvain - Dossier de Maeva - pertes, fusions, améliorations locatives, etc</t>
  </si>
  <si>
    <t xml:space="preserve"> - Question de Maxime sur les dividendes du CDC dans BDM ;</t>
  </si>
  <si>
    <t xml:space="preserve"> - Question de Valérie - Dossier Magma - calcul du capital imposable ;</t>
  </si>
  <si>
    <t>Le 4 octobre 2016</t>
  </si>
  <si>
    <t># 16208</t>
  </si>
  <si>
    <t xml:space="preserve"> - Rercherche Denis Lapointe - Incendie vs résidence principale ;</t>
  </si>
  <si>
    <t xml:space="preserve"> - Questions de Jules sur Succession et résidence principale vs choix non fait de 45(2) ;</t>
  </si>
  <si>
    <t xml:space="preserve"> - Questions de Carole sur Gertrude Bastien - testament vs fiducie ;</t>
  </si>
  <si>
    <t xml:space="preserve"> - Question Pompes Asselin - Pom100 - achat de chalet vs prêt à l'actionnaire ;</t>
  </si>
  <si>
    <t># 16209</t>
  </si>
  <si>
    <t xml:space="preserve"> - Analyse préliminaire des documents soumis vs transaction avec FBL à venir ;</t>
  </si>
  <si>
    <t xml:space="preserve"> - Diverses discussions téléphoniques avec vous, FBL et les juristes sur divers sujet concernant la transactions avec FBL, les dividendes passés dans BDM vs 55(2), etc ;</t>
  </si>
  <si>
    <t xml:space="preserve"> - Analyse des différentes versions de mémorandum préparés par FBL, recherches fiscales, commentaires et demandes de corrections nécessaires pour réduire les impacts fiscaux ;</t>
  </si>
  <si>
    <t xml:space="preserve"> - Révision de la documentation juridique à de multiples reprises et demandes de corrections ;</t>
  </si>
  <si>
    <t xml:space="preserve"> - Modification du formulaire de roulement T2057 et TP-518 de Raynald produit antérieurement ;</t>
  </si>
  <si>
    <t xml:space="preserve"> - Révision des multiples formulaires de roulement T2057 et TP-518 requis;</t>
  </si>
  <si>
    <t xml:space="preserve"> - Lecture et rédaction de divers courriels avec vous, FBL et le juriste pour divers aspects de la transaction ;</t>
  </si>
  <si>
    <t xml:space="preserve"> - Rencontre et déplacement pour la rencontre de signature des documents finaux aux bureaux de FBL ;</t>
  </si>
  <si>
    <t>Rabais pour collaboration importante pendant toutes ces années</t>
  </si>
  <si>
    <t xml:space="preserve"> - Dossier entreprise Préché - Code client E11042 - analyse du dossier et sommaire de la situation et des impacts ;</t>
  </si>
  <si>
    <t># 17042</t>
  </si>
  <si>
    <t>Le 18 MARS 2017</t>
  </si>
  <si>
    <t>GROUPE FBL INC</t>
  </si>
  <si>
    <t>Le 30 MARS 2017</t>
  </si>
  <si>
    <t># 17074</t>
  </si>
  <si>
    <t xml:space="preserve"> - Préparer les écritures comptables et annexes 3 pour toutes les sociétés relativement à la réorganisation / vente à FBL ;</t>
  </si>
  <si>
    <t xml:space="preserve"> - Révsion des états financiers de 9126 et explications des corrections ;</t>
  </si>
  <si>
    <t xml:space="preserve"> - Travail en lien avec toute la conformité avec l'ordre des CPA suite à la vente à FBL ;</t>
  </si>
  <si>
    <t xml:space="preserve"> - Valider EF et déclarations d'impôt de CDA et voir l'impact sur prix de vente vs IMRTD et diverses discussions téléphoniques ;</t>
  </si>
  <si>
    <t xml:space="preserve"> - Discussion téléphonique avec Sylvain concernant le dossier de Gestion Bergeron Gagné ;</t>
  </si>
  <si>
    <t>Le 21 septembre 2017</t>
  </si>
  <si>
    <t># 17214</t>
  </si>
  <si>
    <t xml:space="preserve"> - Analyse en lien avec les transactions survenues et révision des états financiers et déclarations d'impôts de BDM, 9126 et de 9182 ;</t>
  </si>
  <si>
    <t xml:space="preserve"> - Différentes communications en lien avec les états financiers et déclarations d'impôts des trois sociétés ;</t>
  </si>
  <si>
    <t xml:space="preserve"> - Recherches sur le traitement de la vente d'achalandage lorsque l'année d'imposition chevauche le 1er janvier 2017 et des choix à faire et préparation du formulaire de choix ;</t>
  </si>
  <si>
    <t xml:space="preserve"> - Mise à jour de l'organigramme des différentes sociétés et des caractéristiques fiscales des différentes actions émises suite à toutes les transactions de la dernière année ;</t>
  </si>
  <si>
    <t xml:space="preserve"> - Diverses discussions téléphoniques avec vous et les différentes personnes impliquées dans les dossiers ;</t>
  </si>
  <si>
    <t>Le 13 novembre 2017</t>
  </si>
  <si>
    <t># 17239</t>
  </si>
  <si>
    <t xml:space="preserve"> - Finalisation du mémorandum fiscal pour mettre en place la réorganisation;</t>
  </si>
  <si>
    <t xml:space="preserve"> - Révision des formulaires de CDC T2054 et CO-502 requis;</t>
  </si>
  <si>
    <t xml:space="preserve"> - Diverses discussions téléphoniques et courriels avec vous et la juriste;</t>
  </si>
  <si>
    <t xml:space="preserve"> - Préparation à la rencontre et Rencontre avec vous pour la signature des documents préparés;</t>
  </si>
  <si>
    <t>Le 27 novembre 2017</t>
  </si>
  <si>
    <t># 17260</t>
  </si>
  <si>
    <t xml:space="preserve"> - Travail entourant le problème des CDC produits en double - discussions téléphoniques, analyse et rédactions ;</t>
  </si>
  <si>
    <t>Le 30 novembre 2017</t>
  </si>
  <si>
    <t># 17263</t>
  </si>
  <si>
    <t>ROXANNE DAUPHINAIS</t>
  </si>
  <si>
    <t>SUCCESSION GUY DAUPHINAIS</t>
  </si>
  <si>
    <t>624 RANG PETIT SAINT-ESPRIT
L'ÉPIPHANIE, QUÉBEC, J5X 2M4</t>
  </si>
  <si>
    <t xml:space="preserve"> - Analyse et recherche concernant l'imposition d'un revenu de fond de pension encaissé plusieurs années après le décès et révision de la déclaration de revenus de la succession pour 2016 ;</t>
  </si>
  <si>
    <t>Le 12 AVRIL 2018</t>
  </si>
  <si>
    <t># 18086</t>
  </si>
  <si>
    <t xml:space="preserve"> - Question entourant les T5 à émettre dans le cadre de la réorganisation fiscale ;</t>
  </si>
  <si>
    <t xml:space="preserve"> - Questions de Véronique entourant les rachats d'actions dans la société de Sylvain ;</t>
  </si>
  <si>
    <t># 18087</t>
  </si>
  <si>
    <t>GESTION MICHEL LE HOUILLIER INC</t>
  </si>
  <si>
    <t>1500 RUE Marcel benoit
Laval Québec H7C 0A9</t>
  </si>
  <si>
    <t>MICHEL LE HOUILLIER</t>
  </si>
  <si>
    <t xml:space="preserve"> - Consultation fiscale ;</t>
  </si>
  <si>
    <t>Le 26 septembre 2018</t>
  </si>
  <si>
    <t># 18206</t>
  </si>
  <si>
    <t xml:space="preserve"> - Révisions des états financiers et T2 de BDM et 9126 pour valider traitement de la réorganisation, discussions téléphoniques et courriels avec Carole ;</t>
  </si>
  <si>
    <t xml:space="preserve"> - Analyser les sociétés liées à BDM et 9126 ;</t>
  </si>
  <si>
    <t>Le 6 MARS 2020</t>
  </si>
  <si>
    <t># 20005</t>
  </si>
  <si>
    <t xml:space="preserve"> - Tout le travail entourant les problèmes de CDC en double - analyse, recherches, négociations avec le gouvernement, préparer les différents formulaires requis, communications,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</si>
</sst>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5"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u/>
      <sz val="11"/>
      <color rgb="FF62585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108">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49" fontId="2" fillId="0" borderId="6" xfId="0" applyNumberFormat="1" applyFont="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10" xfId="0" applyFont="1" applyFill="1" applyBorder="1" applyAlignment="1">
      <alignment horizontal="center"/>
    </xf>
    <xf numFmtId="0" fontId="2" fillId="2" borderId="10" xfId="0" applyFont="1" applyFill="1" applyBorder="1"/>
    <xf numFmtId="0" fontId="2" fillId="2" borderId="11" xfId="0" applyFont="1" applyFill="1" applyBorder="1"/>
    <xf numFmtId="0" fontId="8" fillId="0" borderId="0" xfId="0" applyFont="1" applyFill="1" applyAlignment="1">
      <alignment horizontal="center"/>
    </xf>
    <xf numFmtId="0" fontId="9" fillId="0" borderId="0" xfId="0" applyFont="1" applyFill="1"/>
    <xf numFmtId="0" fontId="10" fillId="0" borderId="0" xfId="0" applyFont="1" applyFill="1"/>
    <xf numFmtId="0" fontId="9" fillId="0" borderId="1" xfId="0" applyFont="1" applyFill="1" applyBorder="1"/>
    <xf numFmtId="0" fontId="2" fillId="0" borderId="5" xfId="0" applyFont="1" applyFill="1" applyBorder="1"/>
    <xf numFmtId="0" fontId="6" fillId="0" borderId="10" xfId="0" applyFont="1" applyFill="1" applyBorder="1"/>
    <xf numFmtId="0" fontId="2" fillId="0" borderId="6" xfId="0" applyFont="1" applyFill="1" applyBorder="1"/>
    <xf numFmtId="0" fontId="2" fillId="0" borderId="1" xfId="0" applyFont="1" applyFill="1" applyBorder="1"/>
    <xf numFmtId="0" fontId="12" fillId="0" borderId="0" xfId="0" applyFont="1" applyFill="1"/>
    <xf numFmtId="0" fontId="13" fillId="0" borderId="0" xfId="0" applyFont="1" applyFill="1"/>
    <xf numFmtId="0" fontId="14" fillId="0" borderId="0" xfId="0" applyFont="1" applyFill="1"/>
    <xf numFmtId="0" fontId="14" fillId="0" borderId="0" xfId="0" applyFont="1" applyFill="1" applyAlignment="1">
      <alignment horizontal="center"/>
    </xf>
    <xf numFmtId="0" fontId="17" fillId="0" borderId="0" xfId="0" applyFont="1" applyFill="1"/>
    <xf numFmtId="0" fontId="18" fillId="0" borderId="0" xfId="0" applyFont="1" applyFill="1"/>
    <xf numFmtId="0" fontId="17" fillId="0" borderId="0" xfId="0" applyFont="1" applyFill="1" applyAlignment="1">
      <alignment horizontal="right"/>
    </xf>
    <xf numFmtId="7" fontId="13" fillId="0" borderId="0" xfId="0" applyNumberFormat="1" applyFont="1" applyFill="1"/>
    <xf numFmtId="166" fontId="17" fillId="0" borderId="0" xfId="2" applyNumberFormat="1" applyFont="1" applyFill="1"/>
    <xf numFmtId="166" fontId="18" fillId="0" borderId="0" xfId="2" applyNumberFormat="1" applyFont="1" applyFill="1"/>
    <xf numFmtId="10" fontId="18" fillId="0" borderId="0" xfId="0" applyNumberFormat="1" applyFont="1" applyFill="1" applyAlignment="1">
      <alignment horizontal="left"/>
    </xf>
    <xf numFmtId="166" fontId="18" fillId="0" borderId="0" xfId="0" applyNumberFormat="1" applyFont="1" applyFill="1"/>
    <xf numFmtId="166" fontId="17" fillId="0" borderId="3" xfId="2" applyNumberFormat="1" applyFont="1" applyFill="1" applyBorder="1"/>
    <xf numFmtId="0" fontId="18" fillId="0" borderId="0" xfId="0" applyFont="1" applyFill="1" applyAlignment="1">
      <alignment horizontal="right"/>
    </xf>
    <xf numFmtId="166" fontId="18" fillId="0" borderId="0" xfId="1" applyNumberFormat="1" applyFont="1" applyFill="1"/>
    <xf numFmtId="166" fontId="18" fillId="0" borderId="2" xfId="1" applyNumberFormat="1" applyFont="1" applyFill="1" applyBorder="1"/>
    <xf numFmtId="7" fontId="18" fillId="0" borderId="0" xfId="0" applyNumberFormat="1" applyFont="1" applyFill="1"/>
    <xf numFmtId="0" fontId="20" fillId="3" borderId="15" xfId="0" applyFont="1" applyFill="1" applyBorder="1" applyAlignment="1">
      <alignment vertical="center"/>
    </xf>
    <xf numFmtId="0" fontId="21" fillId="3" borderId="16" xfId="0" applyFont="1" applyFill="1" applyBorder="1" applyAlignment="1">
      <alignment vertical="center"/>
    </xf>
    <xf numFmtId="7" fontId="20" fillId="3" borderId="17" xfId="0" applyNumberFormat="1" applyFont="1" applyFill="1" applyBorder="1" applyAlignment="1">
      <alignment vertical="center"/>
    </xf>
    <xf numFmtId="0" fontId="2" fillId="0" borderId="0" xfId="0" applyFont="1" applyFill="1" applyAlignment="1">
      <alignment vertical="center"/>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167" fontId="18" fillId="0" borderId="0" xfId="0" applyNumberFormat="1" applyFont="1" applyFill="1" applyAlignment="1">
      <alignment horizontal="left"/>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8" fillId="0" borderId="0" xfId="0" applyFont="1" applyFill="1" applyAlignment="1">
      <alignment wrapTex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22" fillId="2" borderId="6" xfId="0" applyFont="1" applyFill="1" applyBorder="1" applyAlignment="1">
      <alignment horizontal="left" wrapText="1" shrinkToFit="1"/>
    </xf>
    <xf numFmtId="0" fontId="7" fillId="4" borderId="13" xfId="0" applyFont="1" applyFill="1" applyBorder="1" applyAlignment="1">
      <alignment horizontal="center"/>
    </xf>
    <xf numFmtId="0" fontId="7" fillId="4" borderId="12" xfId="0" applyFont="1" applyFill="1" applyBorder="1" applyAlignment="1">
      <alignment horizontal="center"/>
    </xf>
    <xf numFmtId="0" fontId="13" fillId="0" borderId="0" xfId="0" applyFont="1" applyFill="1" applyAlignment="1">
      <alignment horizontal="center"/>
    </xf>
    <xf numFmtId="0" fontId="11" fillId="0" borderId="0" xfId="0" applyFont="1" applyFill="1" applyAlignment="1">
      <alignment horizontal="center"/>
    </xf>
    <xf numFmtId="0" fontId="19" fillId="0" borderId="0" xfId="0" applyFont="1" applyFill="1" applyAlignment="1">
      <alignment horizontal="center"/>
    </xf>
    <xf numFmtId="0" fontId="13" fillId="0" borderId="0" xfId="0" applyFont="1" applyFill="1" applyAlignment="1">
      <alignment horizontal="left" wrapText="1" indent="1" shrinkToFit="1"/>
    </xf>
    <xf numFmtId="0" fontId="18" fillId="0" borderId="0" xfId="0" applyFont="1" applyFill="1" applyAlignment="1">
      <alignment horizontal="left"/>
    </xf>
    <xf numFmtId="0" fontId="18" fillId="0" borderId="0" xfId="0" applyFont="1" applyFill="1" applyAlignment="1">
      <alignment horizontal="left" indent="1"/>
    </xf>
    <xf numFmtId="0" fontId="11" fillId="0" borderId="14" xfId="0" applyFont="1" applyFill="1" applyBorder="1" applyAlignment="1">
      <alignment horizontal="center" vertical="center"/>
    </xf>
    <xf numFmtId="0" fontId="2" fillId="0" borderId="0" xfId="0" applyFont="1" applyFill="1" applyAlignment="1">
      <alignment horizontal="center" wrapText="1"/>
    </xf>
    <xf numFmtId="0" fontId="2" fillId="0" borderId="0" xfId="0" applyFont="1" applyFill="1" applyAlignment="1">
      <alignment horizontal="center"/>
    </xf>
    <xf numFmtId="0" fontId="15" fillId="0" borderId="0" xfId="0" applyFont="1" applyFill="1" applyAlignment="1">
      <alignment horizontal="center"/>
    </xf>
    <xf numFmtId="0" fontId="16" fillId="0" borderId="0" xfId="0" applyFont="1" applyFill="1" applyAlignment="1">
      <alignment horizontal="center"/>
    </xf>
    <xf numFmtId="0" fontId="13" fillId="0" borderId="0" xfId="0" applyFont="1" applyFill="1" applyAlignment="1">
      <alignment horizontal="right" wrapText="1" indent="1" shrinkToFit="1"/>
    </xf>
    <xf numFmtId="0" fontId="23" fillId="0" borderId="0" xfId="0" applyFont="1" applyFill="1" applyAlignment="1">
      <alignment horizontal="left" wrapText="1" indent="1" shrinkToFit="1"/>
    </xf>
    <xf numFmtId="0" fontId="24" fillId="0" borderId="0" xfId="0" applyFont="1" applyFill="1" applyAlignment="1">
      <alignment horizontal="left" wrapText="1" indent="1" shrinkToFit="1"/>
    </xf>
    <xf numFmtId="0" fontId="5" fillId="2" borderId="0" xfId="0" applyFont="1" applyFill="1" applyBorder="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4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562580A-FEC4-4D5A-B7B7-91639FA63D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29</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30</v>
      </c>
      <c r="C36" s="96"/>
      <c r="D36" s="96"/>
      <c r="E36" s="34"/>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5.5*175</f>
        <v>962.5</v>
      </c>
      <c r="F75" s="27"/>
    </row>
    <row r="76" spans="1:6" ht="13.5" customHeight="1" x14ac:dyDescent="0.2">
      <c r="A76" s="27"/>
      <c r="B76" s="40" t="s">
        <v>17</v>
      </c>
      <c r="C76" s="32"/>
      <c r="D76" s="32"/>
      <c r="E76" s="36">
        <v>0</v>
      </c>
      <c r="F76" s="27"/>
    </row>
    <row r="77" spans="1:6" ht="13.5" customHeight="1" x14ac:dyDescent="0.2">
      <c r="A77" s="27"/>
      <c r="B77" s="40" t="s">
        <v>18</v>
      </c>
      <c r="C77" s="32"/>
      <c r="D77" s="32"/>
      <c r="E77" s="36">
        <v>0</v>
      </c>
      <c r="F77" s="27"/>
    </row>
    <row r="78" spans="1:6" ht="13.5" customHeight="1" x14ac:dyDescent="0.2">
      <c r="A78" s="27"/>
      <c r="B78" s="31" t="s">
        <v>19</v>
      </c>
      <c r="C78" s="32"/>
      <c r="D78" s="32"/>
      <c r="E78" s="35">
        <f>SUM(E75:E77)</f>
        <v>962.5</v>
      </c>
      <c r="F78" s="27"/>
    </row>
    <row r="79" spans="1:6" ht="13.5" customHeight="1" x14ac:dyDescent="0.2">
      <c r="A79" s="27"/>
      <c r="B79" s="32" t="s">
        <v>5</v>
      </c>
      <c r="C79" s="37">
        <v>0.05</v>
      </c>
      <c r="D79" s="32"/>
      <c r="E79" s="41">
        <f>ROUND(E78*C79,2)</f>
        <v>48.13</v>
      </c>
      <c r="F79" s="27"/>
    </row>
    <row r="80" spans="1:6" ht="13.5" customHeight="1" x14ac:dyDescent="0.2">
      <c r="A80" s="27"/>
      <c r="B80" s="32" t="s">
        <v>4</v>
      </c>
      <c r="C80" s="37">
        <v>7.4999999999999997E-2</v>
      </c>
      <c r="D80" s="32"/>
      <c r="E80" s="42">
        <f>ROUND((E78+E79)*C80,2)</f>
        <v>75.8</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1086.43</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1086.43</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72</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73</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71</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74</v>
      </c>
      <c r="C36" s="96"/>
      <c r="D36" s="96"/>
      <c r="E36" s="34">
        <f>1.75*190</f>
        <v>332.5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75</v>
      </c>
      <c r="C39" s="96"/>
      <c r="D39" s="96"/>
      <c r="E39" s="34">
        <f>0.25*190</f>
        <v>47.5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380</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380</v>
      </c>
      <c r="F78" s="27"/>
    </row>
    <row r="79" spans="1:6" ht="13.5" customHeight="1" x14ac:dyDescent="0.2">
      <c r="A79" s="27"/>
      <c r="B79" s="32" t="s">
        <v>5</v>
      </c>
      <c r="C79" s="37">
        <v>0.05</v>
      </c>
      <c r="D79" s="32"/>
      <c r="E79" s="41">
        <f>ROUND(E78*C79,2)</f>
        <v>19</v>
      </c>
      <c r="F79" s="27"/>
    </row>
    <row r="80" spans="1:6" ht="13.5" customHeight="1" x14ac:dyDescent="0.2">
      <c r="A80" s="27"/>
      <c r="B80" s="32" t="s">
        <v>4</v>
      </c>
      <c r="C80" s="37">
        <v>8.5000000000000006E-2</v>
      </c>
      <c r="D80" s="32"/>
      <c r="E80" s="42">
        <f>ROUND((E78+E79)*C80,2)</f>
        <v>33.92</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432.92</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432.92</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9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78</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73</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77</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79</v>
      </c>
      <c r="C36" s="96"/>
      <c r="D36" s="96"/>
      <c r="E36" s="34">
        <f>0.75*190</f>
        <v>142.5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142.5</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142.5</v>
      </c>
      <c r="F78" s="27"/>
    </row>
    <row r="79" spans="1:6" ht="13.5" customHeight="1" x14ac:dyDescent="0.2">
      <c r="A79" s="27"/>
      <c r="B79" s="32" t="s">
        <v>5</v>
      </c>
      <c r="C79" s="37">
        <v>0.05</v>
      </c>
      <c r="D79" s="32"/>
      <c r="E79" s="41">
        <f>ROUND(E78*C79,2)</f>
        <v>7.13</v>
      </c>
      <c r="F79" s="27"/>
    </row>
    <row r="80" spans="1:6" ht="13.5" customHeight="1" x14ac:dyDescent="0.2">
      <c r="A80" s="27"/>
      <c r="B80" s="32" t="s">
        <v>4</v>
      </c>
      <c r="C80" s="37">
        <v>8.5000000000000006E-2</v>
      </c>
      <c r="D80" s="32"/>
      <c r="E80" s="42">
        <f>ROUND((E78+E79)*C80,2)</f>
        <v>12.72</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162.35</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162.35</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A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81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73</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80</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82</v>
      </c>
      <c r="C36" s="96"/>
      <c r="D36" s="96"/>
      <c r="E36" s="34">
        <f>0.25*190</f>
        <v>47.5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83</v>
      </c>
      <c r="C39" s="96"/>
      <c r="D39" s="96"/>
      <c r="E39" s="34"/>
      <c r="F39" s="27"/>
    </row>
    <row r="40" spans="1:6" ht="14.25" x14ac:dyDescent="0.2">
      <c r="A40" s="27"/>
      <c r="B40" s="96"/>
      <c r="C40" s="96"/>
      <c r="D40" s="96"/>
      <c r="E40" s="34">
        <f>1.25*190</f>
        <v>237.5</v>
      </c>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285</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285</v>
      </c>
      <c r="F78" s="27"/>
    </row>
    <row r="79" spans="1:6" ht="13.5" customHeight="1" x14ac:dyDescent="0.2">
      <c r="A79" s="27"/>
      <c r="B79" s="32" t="s">
        <v>5</v>
      </c>
      <c r="C79" s="37">
        <v>0.05</v>
      </c>
      <c r="D79" s="32"/>
      <c r="E79" s="41">
        <f>ROUND(E78*C79,2)</f>
        <v>14.25</v>
      </c>
      <c r="F79" s="27"/>
    </row>
    <row r="80" spans="1:6" ht="13.5" customHeight="1" x14ac:dyDescent="0.2">
      <c r="A80" s="27"/>
      <c r="B80" s="32" t="s">
        <v>4</v>
      </c>
      <c r="C80" s="37">
        <v>8.5000000000000006E-2</v>
      </c>
      <c r="D80" s="32"/>
      <c r="E80" s="42">
        <f>ROUND((E78+E79)*C80,2)</f>
        <v>25.44</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324.69</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324.69</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B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84</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73</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85</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86</v>
      </c>
      <c r="C36" s="96"/>
      <c r="D36" s="96"/>
      <c r="E36" s="34">
        <f>0.75*190</f>
        <v>142.5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87</v>
      </c>
      <c r="C39" s="96"/>
      <c r="D39" s="96"/>
      <c r="E39" s="34">
        <f>0.5*190</f>
        <v>95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237.5</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237.5</v>
      </c>
      <c r="F78" s="27"/>
    </row>
    <row r="79" spans="1:6" ht="13.5" customHeight="1" x14ac:dyDescent="0.2">
      <c r="A79" s="27"/>
      <c r="B79" s="32" t="s">
        <v>5</v>
      </c>
      <c r="C79" s="37">
        <v>0.05</v>
      </c>
      <c r="D79" s="32"/>
      <c r="E79" s="41">
        <f>ROUND(E78*C79,2)</f>
        <v>11.88</v>
      </c>
      <c r="F79" s="27"/>
    </row>
    <row r="80" spans="1:6" ht="13.5" customHeight="1" x14ac:dyDescent="0.2">
      <c r="A80" s="27"/>
      <c r="B80" s="32" t="s">
        <v>4</v>
      </c>
      <c r="C80" s="37">
        <v>8.5000000000000006E-2</v>
      </c>
      <c r="D80" s="32"/>
      <c r="E80" s="42">
        <f>ROUND((E78+E79)*C80,2)</f>
        <v>21.2</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270.58</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270.58</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C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91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73</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88</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89</v>
      </c>
      <c r="C36" s="96"/>
      <c r="D36" s="96"/>
      <c r="E36" s="34">
        <f>0.25*190</f>
        <v>47.5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90</v>
      </c>
      <c r="C39" s="96"/>
      <c r="D39" s="96"/>
      <c r="E39" s="34">
        <f>0.5*190</f>
        <v>95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94</v>
      </c>
      <c r="C42" s="96"/>
      <c r="D42" s="96"/>
      <c r="E42" s="34">
        <f>0.25*190</f>
        <v>47.5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92</v>
      </c>
      <c r="C45" s="96"/>
      <c r="D45" s="96"/>
      <c r="E45" s="34">
        <f>1.25*190</f>
        <v>237.5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t="s">
        <v>93</v>
      </c>
      <c r="C48" s="96"/>
      <c r="D48" s="96"/>
      <c r="E48" s="34">
        <f>0.5*190</f>
        <v>95</v>
      </c>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t="s">
        <v>95</v>
      </c>
      <c r="C51" s="96"/>
      <c r="D51" s="96"/>
      <c r="E51" s="34">
        <f>0.5*190</f>
        <v>95</v>
      </c>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48"/>
      <c r="C54" s="48"/>
      <c r="D54" s="48"/>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617.5</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617.5</v>
      </c>
      <c r="F78" s="27"/>
    </row>
    <row r="79" spans="1:6" ht="13.5" customHeight="1" x14ac:dyDescent="0.2">
      <c r="A79" s="27"/>
      <c r="B79" s="32" t="s">
        <v>5</v>
      </c>
      <c r="C79" s="37">
        <v>0.05</v>
      </c>
      <c r="D79" s="32"/>
      <c r="E79" s="41">
        <f>ROUND(E78*C79,2)</f>
        <v>30.88</v>
      </c>
      <c r="F79" s="27"/>
    </row>
    <row r="80" spans="1:6" ht="13.5" customHeight="1" x14ac:dyDescent="0.2">
      <c r="A80" s="27"/>
      <c r="B80" s="32" t="s">
        <v>4</v>
      </c>
      <c r="C80" s="37">
        <v>8.5000000000000006E-2</v>
      </c>
      <c r="D80" s="32"/>
      <c r="E80" s="42">
        <f>ROUND((E78+E79)*C80,2)</f>
        <v>55.11</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703.49</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703.49</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0">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0:D50"/>
    <mergeCell ref="B51:D51"/>
    <mergeCell ref="B52:D52"/>
    <mergeCell ref="B53:D53"/>
    <mergeCell ref="B55:D55"/>
    <mergeCell ref="B56:D56"/>
    <mergeCell ref="B57:D57"/>
    <mergeCell ref="B58:D58"/>
    <mergeCell ref="B59:D59"/>
    <mergeCell ref="B60:D60"/>
    <mergeCell ref="B61:D61"/>
    <mergeCell ref="B45:D45"/>
    <mergeCell ref="B46:D46"/>
    <mergeCell ref="B47:D47"/>
    <mergeCell ref="B48:D48"/>
    <mergeCell ref="B49:D49"/>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3:B85 B12:B20 B34:B74" xr:uid="{00000000-0002-0000-0D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pageSetUpPr fitToPage="1"/>
  </sheetPr>
  <dimension ref="A12:F98"/>
  <sheetViews>
    <sheetView view="pageBreakPreview" topLeftCell="A13"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96</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97</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98</v>
      </c>
      <c r="C36" s="96"/>
      <c r="D36" s="96"/>
      <c r="E36" s="34">
        <f>2*190</f>
        <v>380</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99</v>
      </c>
      <c r="C39" s="96"/>
      <c r="D39" s="96"/>
      <c r="E39" s="34">
        <f>0.75*190</f>
        <v>142.5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100</v>
      </c>
      <c r="C42" s="96"/>
      <c r="D42" s="96"/>
      <c r="E42" s="34">
        <f>1.5*190</f>
        <v>285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101</v>
      </c>
      <c r="C45" s="96"/>
      <c r="D45" s="96"/>
      <c r="E45" s="34">
        <f>1.75*190</f>
        <v>332.5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49"/>
      <c r="C54" s="49"/>
      <c r="D54" s="49"/>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1140</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1140</v>
      </c>
      <c r="F78" s="27"/>
    </row>
    <row r="79" spans="1:6" ht="13.5" customHeight="1" x14ac:dyDescent="0.2">
      <c r="A79" s="27"/>
      <c r="B79" s="32" t="s">
        <v>5</v>
      </c>
      <c r="C79" s="37">
        <v>0.05</v>
      </c>
      <c r="D79" s="32"/>
      <c r="E79" s="41">
        <f>ROUND(E78*C79,2)</f>
        <v>57</v>
      </c>
      <c r="F79" s="27"/>
    </row>
    <row r="80" spans="1:6" ht="13.5" customHeight="1" x14ac:dyDescent="0.2">
      <c r="A80" s="27"/>
      <c r="B80" s="32" t="s">
        <v>4</v>
      </c>
      <c r="C80" s="37">
        <v>8.5000000000000006E-2</v>
      </c>
      <c r="D80" s="32"/>
      <c r="E80" s="42">
        <f>ROUND((E78+E79)*C80,2)</f>
        <v>101.75</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1298.75</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1298.75</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0">
    <mergeCell ref="A94:F94"/>
    <mergeCell ref="B96:D96"/>
    <mergeCell ref="B84:D84"/>
    <mergeCell ref="B85:D85"/>
    <mergeCell ref="B89:E89"/>
    <mergeCell ref="A90:F90"/>
    <mergeCell ref="A91:F91"/>
    <mergeCell ref="B93:E93"/>
    <mergeCell ref="B83:D83"/>
    <mergeCell ref="B64:D64"/>
    <mergeCell ref="B65:D65"/>
    <mergeCell ref="B66:D66"/>
    <mergeCell ref="B67:D67"/>
    <mergeCell ref="B68:D68"/>
    <mergeCell ref="B69:D69"/>
    <mergeCell ref="B70:D70"/>
    <mergeCell ref="B71:D71"/>
    <mergeCell ref="B72:D72"/>
    <mergeCell ref="B73:D73"/>
    <mergeCell ref="B74:D74"/>
    <mergeCell ref="B63:D63"/>
    <mergeCell ref="B51:D51"/>
    <mergeCell ref="B52:D52"/>
    <mergeCell ref="B53:D53"/>
    <mergeCell ref="B55:D55"/>
    <mergeCell ref="B56:D56"/>
    <mergeCell ref="B57:D57"/>
    <mergeCell ref="B58:D58"/>
    <mergeCell ref="B59:D59"/>
    <mergeCell ref="B60:D60"/>
    <mergeCell ref="B61:D61"/>
    <mergeCell ref="B62:D62"/>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E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103</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102</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104</v>
      </c>
      <c r="C36" s="96"/>
      <c r="D36" s="96"/>
      <c r="E36" s="34">
        <f>0.5*190</f>
        <v>95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105</v>
      </c>
      <c r="C39" s="96"/>
      <c r="D39" s="96"/>
      <c r="E39" s="34">
        <f>0.5*190</f>
        <v>95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50"/>
      <c r="C54" s="50"/>
      <c r="D54" s="50"/>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190</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190</v>
      </c>
      <c r="F78" s="27"/>
    </row>
    <row r="79" spans="1:6" ht="13.5" customHeight="1" x14ac:dyDescent="0.2">
      <c r="A79" s="27"/>
      <c r="B79" s="32" t="s">
        <v>5</v>
      </c>
      <c r="C79" s="37">
        <v>0.05</v>
      </c>
      <c r="D79" s="32"/>
      <c r="E79" s="41">
        <f>ROUND(E78*C79,2)</f>
        <v>9.5</v>
      </c>
      <c r="F79" s="27"/>
    </row>
    <row r="80" spans="1:6" ht="13.5" customHeight="1" x14ac:dyDescent="0.2">
      <c r="A80" s="27"/>
      <c r="B80" s="32" t="s">
        <v>4</v>
      </c>
      <c r="C80" s="37">
        <v>9.5000000000000001E-2</v>
      </c>
      <c r="D80" s="32"/>
      <c r="E80" s="42">
        <f>ROUND((E78+E79)*C80,2)</f>
        <v>18.95</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218.45</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218.45</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0">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3:D63"/>
    <mergeCell ref="B51:D51"/>
    <mergeCell ref="B52:D52"/>
    <mergeCell ref="B53:D53"/>
    <mergeCell ref="B55:D55"/>
    <mergeCell ref="B56:D56"/>
    <mergeCell ref="B57:D57"/>
    <mergeCell ref="B58:D58"/>
    <mergeCell ref="B59:D59"/>
    <mergeCell ref="B60:D60"/>
    <mergeCell ref="B61:D61"/>
    <mergeCell ref="B62:D62"/>
    <mergeCell ref="B83:D83"/>
    <mergeCell ref="B64:D64"/>
    <mergeCell ref="B65:D65"/>
    <mergeCell ref="B66:D66"/>
    <mergeCell ref="B67:D67"/>
    <mergeCell ref="B68:D68"/>
    <mergeCell ref="B69:D69"/>
    <mergeCell ref="B70:D70"/>
    <mergeCell ref="B71:D71"/>
    <mergeCell ref="B72:D72"/>
    <mergeCell ref="B73:D73"/>
    <mergeCell ref="B74:D74"/>
    <mergeCell ref="A94:F94"/>
    <mergeCell ref="B96:D96"/>
    <mergeCell ref="B84:D84"/>
    <mergeCell ref="B85:D85"/>
    <mergeCell ref="B89:E89"/>
    <mergeCell ref="A90:F90"/>
    <mergeCell ref="A91:F91"/>
    <mergeCell ref="B93:E93"/>
  </mergeCells>
  <dataValidations count="1">
    <dataValidation type="list" allowBlank="1" showInputMessage="1" showErrorMessage="1" sqref="B83:B85 B12:B20 B34:B74" xr:uid="{00000000-0002-0000-0F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7">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106</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107</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108</v>
      </c>
      <c r="C36" s="96"/>
      <c r="D36" s="96"/>
      <c r="E36" s="34">
        <f>0.25*190</f>
        <v>47.5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109</v>
      </c>
      <c r="C39" s="96"/>
      <c r="D39" s="96"/>
      <c r="E39" s="34">
        <f>1.25*190</f>
        <v>237.5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110</v>
      </c>
      <c r="C42" s="96"/>
      <c r="D42" s="96"/>
      <c r="E42" s="34">
        <f>3*190</f>
        <v>570</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51"/>
      <c r="C54" s="51"/>
      <c r="D54" s="51"/>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855</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855</v>
      </c>
      <c r="F78" s="27"/>
    </row>
    <row r="79" spans="1:6" ht="13.5" customHeight="1" x14ac:dyDescent="0.2">
      <c r="A79" s="27"/>
      <c r="B79" s="32" t="s">
        <v>5</v>
      </c>
      <c r="C79" s="37">
        <v>0.05</v>
      </c>
      <c r="D79" s="32"/>
      <c r="E79" s="41">
        <f>ROUND(E78*C79,2)</f>
        <v>42.75</v>
      </c>
      <c r="F79" s="27"/>
    </row>
    <row r="80" spans="1:6" ht="13.5" customHeight="1" x14ac:dyDescent="0.2">
      <c r="A80" s="27"/>
      <c r="B80" s="32" t="s">
        <v>4</v>
      </c>
      <c r="C80" s="37">
        <v>9.5000000000000001E-2</v>
      </c>
      <c r="D80" s="32"/>
      <c r="E80" s="42">
        <f>ROUND((E78+E79)*C80,2)</f>
        <v>85.29</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983.04</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983.04</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0">
    <mergeCell ref="A94:F94"/>
    <mergeCell ref="B96:D96"/>
    <mergeCell ref="B84:D84"/>
    <mergeCell ref="B85:D85"/>
    <mergeCell ref="B89:E89"/>
    <mergeCell ref="A90:F90"/>
    <mergeCell ref="A91:F91"/>
    <mergeCell ref="B93:E93"/>
    <mergeCell ref="B83:D83"/>
    <mergeCell ref="B64:D64"/>
    <mergeCell ref="B65:D65"/>
    <mergeCell ref="B66:D66"/>
    <mergeCell ref="B67:D67"/>
    <mergeCell ref="B68:D68"/>
    <mergeCell ref="B69:D69"/>
    <mergeCell ref="B70:D70"/>
    <mergeCell ref="B71:D71"/>
    <mergeCell ref="B72:D72"/>
    <mergeCell ref="B73:D73"/>
    <mergeCell ref="B74:D74"/>
    <mergeCell ref="B63:D63"/>
    <mergeCell ref="B51:D51"/>
    <mergeCell ref="B52:D52"/>
    <mergeCell ref="B53:D53"/>
    <mergeCell ref="B55:D55"/>
    <mergeCell ref="B56:D56"/>
    <mergeCell ref="B57:D57"/>
    <mergeCell ref="B58:D58"/>
    <mergeCell ref="B59:D59"/>
    <mergeCell ref="B60:D60"/>
    <mergeCell ref="B61:D61"/>
    <mergeCell ref="B62:D62"/>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10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8">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111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112</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113</v>
      </c>
      <c r="C36" s="96"/>
      <c r="D36" s="96"/>
      <c r="E36" s="34">
        <f>3*190</f>
        <v>570</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114</v>
      </c>
      <c r="C39" s="96"/>
      <c r="D39" s="96"/>
      <c r="E39" s="34">
        <f>0.25*190</f>
        <v>47.5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115</v>
      </c>
      <c r="C42" s="96"/>
      <c r="D42" s="96"/>
      <c r="E42" s="34">
        <f>0.25*190</f>
        <v>47.5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116</v>
      </c>
      <c r="C45" s="96"/>
      <c r="D45" s="96"/>
      <c r="E45" s="34">
        <v>190</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52"/>
      <c r="C54" s="52"/>
      <c r="D54" s="52"/>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855</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855</v>
      </c>
      <c r="F78" s="27"/>
    </row>
    <row r="79" spans="1:6" ht="13.5" customHeight="1" x14ac:dyDescent="0.2">
      <c r="A79" s="27"/>
      <c r="B79" s="32" t="s">
        <v>5</v>
      </c>
      <c r="C79" s="37">
        <v>0.05</v>
      </c>
      <c r="D79" s="32"/>
      <c r="E79" s="41">
        <f>ROUND(E78*C79,2)</f>
        <v>42.75</v>
      </c>
      <c r="F79" s="27"/>
    </row>
    <row r="80" spans="1:6" ht="13.5" customHeight="1" x14ac:dyDescent="0.2">
      <c r="A80" s="27"/>
      <c r="B80" s="32" t="s">
        <v>4</v>
      </c>
      <c r="C80" s="37">
        <v>9.5000000000000001E-2</v>
      </c>
      <c r="D80" s="32"/>
      <c r="E80" s="42">
        <f>ROUND((E78+E79)*C80,2)</f>
        <v>85.29</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983.04</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983.04</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0">
    <mergeCell ref="A94:F94"/>
    <mergeCell ref="B96:D96"/>
    <mergeCell ref="B84:D84"/>
    <mergeCell ref="B85:D85"/>
    <mergeCell ref="B89:E89"/>
    <mergeCell ref="A90:F90"/>
    <mergeCell ref="A91:F91"/>
    <mergeCell ref="B93:E93"/>
    <mergeCell ref="B83:D83"/>
    <mergeCell ref="B64:D64"/>
    <mergeCell ref="B65:D65"/>
    <mergeCell ref="B66:D66"/>
    <mergeCell ref="B67:D67"/>
    <mergeCell ref="B68:D68"/>
    <mergeCell ref="B69:D69"/>
    <mergeCell ref="B70:D70"/>
    <mergeCell ref="B71:D71"/>
    <mergeCell ref="B72:D72"/>
    <mergeCell ref="B73:D73"/>
    <mergeCell ref="B74:D74"/>
    <mergeCell ref="B63:D63"/>
    <mergeCell ref="B51:D51"/>
    <mergeCell ref="B52:D52"/>
    <mergeCell ref="B53:D53"/>
    <mergeCell ref="B55:D55"/>
    <mergeCell ref="B56:D56"/>
    <mergeCell ref="B57:D57"/>
    <mergeCell ref="B58:D58"/>
    <mergeCell ref="B59:D59"/>
    <mergeCell ref="B60:D60"/>
    <mergeCell ref="B61:D61"/>
    <mergeCell ref="B62:D62"/>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11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9">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120</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117</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118</v>
      </c>
      <c r="C36" s="96"/>
      <c r="D36" s="96"/>
      <c r="E36" s="34">
        <f>3.5*190</f>
        <v>665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119</v>
      </c>
      <c r="C39" s="96"/>
      <c r="D39" s="96"/>
      <c r="E39" s="34">
        <f>190</f>
        <v>190</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53"/>
      <c r="C54" s="53"/>
      <c r="D54" s="53"/>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855</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855</v>
      </c>
      <c r="F78" s="27"/>
    </row>
    <row r="79" spans="1:6" ht="13.5" customHeight="1" x14ac:dyDescent="0.2">
      <c r="A79" s="27"/>
      <c r="B79" s="32" t="s">
        <v>5</v>
      </c>
      <c r="C79" s="37">
        <v>0.05</v>
      </c>
      <c r="D79" s="32"/>
      <c r="E79" s="41">
        <f>ROUND(E78*C79,2)</f>
        <v>42.75</v>
      </c>
      <c r="F79" s="27"/>
    </row>
    <row r="80" spans="1:6" ht="13.5" customHeight="1" x14ac:dyDescent="0.2">
      <c r="A80" s="27"/>
      <c r="B80" s="32" t="s">
        <v>4</v>
      </c>
      <c r="C80" s="37">
        <v>9.5000000000000001E-2</v>
      </c>
      <c r="D80" s="32"/>
      <c r="E80" s="42">
        <f>ROUND((E78+E79)*C80,2)</f>
        <v>85.29</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983.04</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983.04</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0">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3:D63"/>
    <mergeCell ref="B51:D51"/>
    <mergeCell ref="B52:D52"/>
    <mergeCell ref="B53:D53"/>
    <mergeCell ref="B55:D55"/>
    <mergeCell ref="B56:D56"/>
    <mergeCell ref="B57:D57"/>
    <mergeCell ref="B58:D58"/>
    <mergeCell ref="B59:D59"/>
    <mergeCell ref="B60:D60"/>
    <mergeCell ref="B61:D61"/>
    <mergeCell ref="B62:D62"/>
    <mergeCell ref="B83:D83"/>
    <mergeCell ref="B64:D64"/>
    <mergeCell ref="B65:D65"/>
    <mergeCell ref="B66:D66"/>
    <mergeCell ref="B67:D67"/>
    <mergeCell ref="B68:D68"/>
    <mergeCell ref="B69:D69"/>
    <mergeCell ref="B70:D70"/>
    <mergeCell ref="B71:D71"/>
    <mergeCell ref="B72:D72"/>
    <mergeCell ref="B73:D73"/>
    <mergeCell ref="B74:D74"/>
    <mergeCell ref="A94:F94"/>
    <mergeCell ref="B96:D96"/>
    <mergeCell ref="B84:D84"/>
    <mergeCell ref="B85:D85"/>
    <mergeCell ref="B89:E89"/>
    <mergeCell ref="A90:F90"/>
    <mergeCell ref="A91:F91"/>
    <mergeCell ref="B93:E93"/>
  </mergeCells>
  <dataValidations count="1">
    <dataValidation type="list" allowBlank="1" showInputMessage="1" showErrorMessage="1" sqref="B83:B85 B12:B20 B34:B74" xr:uid="{00000000-0002-0000-12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2:F98"/>
  <sheetViews>
    <sheetView view="pageBreakPreview" topLeftCell="A34"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32</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33</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34</v>
      </c>
      <c r="C36" s="96"/>
      <c r="D36" s="96"/>
      <c r="E36" s="34">
        <f>0.5*175</f>
        <v>87.5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35</v>
      </c>
      <c r="C39" s="96"/>
      <c r="D39" s="96"/>
      <c r="E39" s="34">
        <f>0.25*175</f>
        <v>43.75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131.25</v>
      </c>
      <c r="F75" s="27"/>
    </row>
    <row r="76" spans="1:6" ht="13.5" customHeight="1" x14ac:dyDescent="0.2">
      <c r="A76" s="27"/>
      <c r="B76" s="40" t="s">
        <v>17</v>
      </c>
      <c r="C76" s="32"/>
      <c r="D76" s="32"/>
      <c r="E76" s="36">
        <v>0</v>
      </c>
      <c r="F76" s="27"/>
    </row>
    <row r="77" spans="1:6" ht="13.5" customHeight="1" x14ac:dyDescent="0.2">
      <c r="A77" s="27"/>
      <c r="B77" s="40" t="s">
        <v>18</v>
      </c>
      <c r="C77" s="32"/>
      <c r="D77" s="32"/>
      <c r="E77" s="36">
        <v>0</v>
      </c>
      <c r="F77" s="27"/>
    </row>
    <row r="78" spans="1:6" ht="13.5" customHeight="1" x14ac:dyDescent="0.2">
      <c r="A78" s="27"/>
      <c r="B78" s="31" t="s">
        <v>19</v>
      </c>
      <c r="C78" s="32"/>
      <c r="D78" s="32"/>
      <c r="E78" s="35">
        <f>SUM(E75:E77)</f>
        <v>131.25</v>
      </c>
      <c r="F78" s="27"/>
    </row>
    <row r="79" spans="1:6" ht="13.5" customHeight="1" x14ac:dyDescent="0.2">
      <c r="A79" s="27"/>
      <c r="B79" s="32" t="s">
        <v>5</v>
      </c>
      <c r="C79" s="37">
        <v>0.05</v>
      </c>
      <c r="D79" s="32"/>
      <c r="E79" s="41">
        <f>ROUND(E78*C79,2)</f>
        <v>6.56</v>
      </c>
      <c r="F79" s="27"/>
    </row>
    <row r="80" spans="1:6" ht="13.5" customHeight="1" x14ac:dyDescent="0.2">
      <c r="A80" s="27"/>
      <c r="B80" s="32" t="s">
        <v>4</v>
      </c>
      <c r="C80" s="37">
        <v>7.4999999999999997E-2</v>
      </c>
      <c r="D80" s="32"/>
      <c r="E80" s="42">
        <f>ROUND((E78+E79)*C80,2)</f>
        <v>10.34</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148.15</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148.15</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0">
    <pageSetUpPr fitToPage="1"/>
  </sheetPr>
  <dimension ref="A12:F98"/>
  <sheetViews>
    <sheetView view="pageBreakPreview" topLeftCell="A43"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121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122</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123</v>
      </c>
      <c r="C36" s="96"/>
      <c r="D36" s="96"/>
      <c r="E36" s="34">
        <f>1.25*190</f>
        <v>237.5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124</v>
      </c>
      <c r="C39" s="96"/>
      <c r="D39" s="96"/>
      <c r="E39" s="34">
        <f>0.25*190</f>
        <v>47.5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54"/>
      <c r="C54" s="54"/>
      <c r="D54" s="54"/>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285</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285</v>
      </c>
      <c r="F78" s="27"/>
    </row>
    <row r="79" spans="1:6" ht="13.5" customHeight="1" x14ac:dyDescent="0.2">
      <c r="A79" s="27"/>
      <c r="B79" s="32" t="s">
        <v>5</v>
      </c>
      <c r="C79" s="37">
        <v>0.05</v>
      </c>
      <c r="D79" s="32"/>
      <c r="E79" s="41">
        <f>ROUND(E78*C79,2)</f>
        <v>14.25</v>
      </c>
      <c r="F79" s="27"/>
    </row>
    <row r="80" spans="1:6" ht="13.5" customHeight="1" x14ac:dyDescent="0.2">
      <c r="A80" s="27"/>
      <c r="B80" s="32" t="s">
        <v>4</v>
      </c>
      <c r="C80" s="37">
        <v>9.5000000000000001E-2</v>
      </c>
      <c r="D80" s="32"/>
      <c r="E80" s="42">
        <f>ROUND((E78+E79)*C80,2)</f>
        <v>28.43</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327.68</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327.68</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0">
    <mergeCell ref="A94:F94"/>
    <mergeCell ref="B96:D96"/>
    <mergeCell ref="B84:D84"/>
    <mergeCell ref="B85:D85"/>
    <mergeCell ref="B89:E89"/>
    <mergeCell ref="A90:F90"/>
    <mergeCell ref="A91:F91"/>
    <mergeCell ref="B93:E93"/>
    <mergeCell ref="B83:D83"/>
    <mergeCell ref="B64:D64"/>
    <mergeCell ref="B65:D65"/>
    <mergeCell ref="B66:D66"/>
    <mergeCell ref="B67:D67"/>
    <mergeCell ref="B68:D68"/>
    <mergeCell ref="B69:D69"/>
    <mergeCell ref="B70:D70"/>
    <mergeCell ref="B71:D71"/>
    <mergeCell ref="B72:D72"/>
    <mergeCell ref="B73:D73"/>
    <mergeCell ref="B74:D74"/>
    <mergeCell ref="B63:D63"/>
    <mergeCell ref="B51:D51"/>
    <mergeCell ref="B52:D52"/>
    <mergeCell ref="B53:D53"/>
    <mergeCell ref="B55:D55"/>
    <mergeCell ref="B56:D56"/>
    <mergeCell ref="B57:D57"/>
    <mergeCell ref="B58:D58"/>
    <mergeCell ref="B59:D59"/>
    <mergeCell ref="B60:D60"/>
    <mergeCell ref="B61:D61"/>
    <mergeCell ref="B62:D62"/>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13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1">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129</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125</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29.25" customHeight="1" x14ac:dyDescent="0.2">
      <c r="A36" s="27"/>
      <c r="B36" s="96" t="s">
        <v>126</v>
      </c>
      <c r="C36" s="96"/>
      <c r="D36" s="96"/>
      <c r="E36" s="34">
        <f>1.75*190</f>
        <v>332.5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127</v>
      </c>
      <c r="C39" s="96"/>
      <c r="D39" s="96"/>
      <c r="E39" s="34">
        <f>0.5*190</f>
        <v>95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128</v>
      </c>
      <c r="C42" s="96"/>
      <c r="D42" s="96"/>
      <c r="E42" s="34">
        <f>1.25*190</f>
        <v>237.5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55"/>
      <c r="C54" s="55"/>
      <c r="D54" s="55"/>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665</v>
      </c>
      <c r="F75" s="27"/>
    </row>
    <row r="76" spans="1:6" ht="13.5" customHeight="1" x14ac:dyDescent="0.2">
      <c r="A76" s="27"/>
      <c r="B76" s="40" t="s">
        <v>17</v>
      </c>
      <c r="C76" s="32"/>
      <c r="D76" s="32"/>
      <c r="E76" s="36">
        <v>0</v>
      </c>
      <c r="F76" s="27"/>
    </row>
    <row r="77" spans="1:6" ht="13.5" customHeight="1" x14ac:dyDescent="0.2">
      <c r="A77" s="27"/>
      <c r="B77" s="40" t="s">
        <v>76</v>
      </c>
      <c r="C77" s="32"/>
      <c r="D77" s="32"/>
      <c r="E77" s="36">
        <v>0</v>
      </c>
      <c r="F77" s="27"/>
    </row>
    <row r="78" spans="1:6" ht="13.5" customHeight="1" x14ac:dyDescent="0.2">
      <c r="A78" s="27"/>
      <c r="B78" s="31" t="s">
        <v>19</v>
      </c>
      <c r="C78" s="32"/>
      <c r="D78" s="32"/>
      <c r="E78" s="35">
        <f>SUM(E75:E77)</f>
        <v>665</v>
      </c>
      <c r="F78" s="27"/>
    </row>
    <row r="79" spans="1:6" ht="13.5" customHeight="1" x14ac:dyDescent="0.2">
      <c r="A79" s="27"/>
      <c r="B79" s="32" t="s">
        <v>5</v>
      </c>
      <c r="C79" s="37">
        <v>0.05</v>
      </c>
      <c r="D79" s="32"/>
      <c r="E79" s="41">
        <f>ROUND(E78*C79,2)</f>
        <v>33.25</v>
      </c>
      <c r="F79" s="27"/>
    </row>
    <row r="80" spans="1:6" ht="13.5" customHeight="1" x14ac:dyDescent="0.2">
      <c r="A80" s="27"/>
      <c r="B80" s="32" t="s">
        <v>4</v>
      </c>
      <c r="C80" s="37">
        <v>9.5000000000000001E-2</v>
      </c>
      <c r="D80" s="32"/>
      <c r="E80" s="42">
        <f>ROUND((E78+E79)*C80,2)</f>
        <v>66.33</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764.58</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764.58</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0">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3:D63"/>
    <mergeCell ref="B51:D51"/>
    <mergeCell ref="B52:D52"/>
    <mergeCell ref="B53:D53"/>
    <mergeCell ref="B55:D55"/>
    <mergeCell ref="B56:D56"/>
    <mergeCell ref="B57:D57"/>
    <mergeCell ref="B58:D58"/>
    <mergeCell ref="B59:D59"/>
    <mergeCell ref="B60:D60"/>
    <mergeCell ref="B61:D61"/>
    <mergeCell ref="B62:D62"/>
    <mergeCell ref="B83:D83"/>
    <mergeCell ref="B64:D64"/>
    <mergeCell ref="B65:D65"/>
    <mergeCell ref="B66:D66"/>
    <mergeCell ref="B67:D67"/>
    <mergeCell ref="B68:D68"/>
    <mergeCell ref="B69:D69"/>
    <mergeCell ref="B70:D70"/>
    <mergeCell ref="B71:D71"/>
    <mergeCell ref="B72:D72"/>
    <mergeCell ref="B73:D73"/>
    <mergeCell ref="B74:D74"/>
    <mergeCell ref="A94:F94"/>
    <mergeCell ref="B96:D96"/>
    <mergeCell ref="B84:D84"/>
    <mergeCell ref="B85:D85"/>
    <mergeCell ref="B89:E89"/>
    <mergeCell ref="A90:F90"/>
    <mergeCell ref="A91:F91"/>
    <mergeCell ref="B93:E93"/>
  </mergeCells>
  <dataValidations count="1">
    <dataValidation type="list" allowBlank="1" showInputMessage="1" showErrorMessage="1" sqref="B83:B85 B12:B20 B34:B74" xr:uid="{00000000-0002-0000-14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2">
    <pageSetUpPr fitToPage="1"/>
  </sheetPr>
  <dimension ref="A12:F99"/>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131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130</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132</v>
      </c>
      <c r="C36" s="96"/>
      <c r="D36" s="96"/>
      <c r="E36" s="34">
        <f>0.5*190</f>
        <v>95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133</v>
      </c>
      <c r="C39" s="96"/>
      <c r="D39" s="96"/>
      <c r="E39" s="34">
        <f>2*190</f>
        <v>380</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134</v>
      </c>
      <c r="C42" s="96"/>
      <c r="D42" s="96"/>
      <c r="E42" s="34">
        <f>2.25*190</f>
        <v>427.5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135</v>
      </c>
      <c r="C45" s="96"/>
      <c r="D45" s="96"/>
      <c r="E45" s="34">
        <f>0.25*190</f>
        <v>47.5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t="s">
        <v>136</v>
      </c>
      <c r="C48" s="96"/>
      <c r="D48" s="96"/>
      <c r="E48" s="34">
        <f>0.25*190</f>
        <v>47.5</v>
      </c>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56"/>
      <c r="C53" s="56"/>
      <c r="D53" s="56"/>
      <c r="E53" s="34"/>
      <c r="F53" s="27"/>
    </row>
    <row r="54" spans="1:6" ht="14.25" x14ac:dyDescent="0.2">
      <c r="A54" s="27"/>
      <c r="B54" s="96"/>
      <c r="C54" s="96"/>
      <c r="D54" s="96"/>
      <c r="E54" s="34"/>
      <c r="F54" s="27"/>
    </row>
    <row r="55" spans="1:6" ht="14.25" x14ac:dyDescent="0.2">
      <c r="A55" s="27"/>
      <c r="B55" s="56"/>
      <c r="C55" s="56"/>
      <c r="D55" s="5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4.25" x14ac:dyDescent="0.2">
      <c r="A74" s="27"/>
      <c r="B74" s="96"/>
      <c r="C74" s="96"/>
      <c r="D74" s="96"/>
      <c r="E74" s="34"/>
      <c r="F74" s="27"/>
    </row>
    <row r="75" spans="1:6" ht="13.5" customHeight="1" x14ac:dyDescent="0.2">
      <c r="A75" s="27"/>
      <c r="B75" s="96"/>
      <c r="C75" s="96"/>
      <c r="D75" s="96"/>
      <c r="E75" s="34"/>
      <c r="F75" s="27"/>
    </row>
    <row r="76" spans="1:6" ht="13.5" customHeight="1" x14ac:dyDescent="0.2">
      <c r="A76" s="27"/>
      <c r="B76" s="31" t="s">
        <v>20</v>
      </c>
      <c r="C76" s="32"/>
      <c r="D76" s="32"/>
      <c r="E76" s="35">
        <f>SUM(E36:E75)</f>
        <v>997.5</v>
      </c>
      <c r="F76" s="27"/>
    </row>
    <row r="77" spans="1:6" ht="13.5" customHeight="1" x14ac:dyDescent="0.2">
      <c r="A77" s="27"/>
      <c r="B77" s="40" t="s">
        <v>17</v>
      </c>
      <c r="C77" s="32"/>
      <c r="D77" s="32"/>
      <c r="E77" s="36">
        <v>0</v>
      </c>
      <c r="F77" s="27"/>
    </row>
    <row r="78" spans="1:6" ht="13.5" customHeight="1" x14ac:dyDescent="0.2">
      <c r="A78" s="27"/>
      <c r="B78" s="40" t="s">
        <v>76</v>
      </c>
      <c r="C78" s="32"/>
      <c r="D78" s="32"/>
      <c r="E78" s="36">
        <v>0</v>
      </c>
      <c r="F78" s="27"/>
    </row>
    <row r="79" spans="1:6" ht="13.5" customHeight="1" x14ac:dyDescent="0.2">
      <c r="A79" s="27"/>
      <c r="B79" s="31" t="s">
        <v>19</v>
      </c>
      <c r="C79" s="32"/>
      <c r="D79" s="32"/>
      <c r="E79" s="35">
        <f>SUM(E76:E78)</f>
        <v>997.5</v>
      </c>
      <c r="F79" s="27"/>
    </row>
    <row r="80" spans="1:6" ht="13.5" customHeight="1" x14ac:dyDescent="0.2">
      <c r="A80" s="27"/>
      <c r="B80" s="32" t="s">
        <v>5</v>
      </c>
      <c r="C80" s="37">
        <v>0.05</v>
      </c>
      <c r="D80" s="32"/>
      <c r="E80" s="41">
        <f>ROUND(E79*C80,2)</f>
        <v>49.88</v>
      </c>
      <c r="F80" s="27"/>
    </row>
    <row r="81" spans="1:6" ht="13.5" customHeight="1" x14ac:dyDescent="0.2">
      <c r="A81" s="27"/>
      <c r="B81" s="32" t="s">
        <v>4</v>
      </c>
      <c r="C81" s="37">
        <v>9.5000000000000001E-2</v>
      </c>
      <c r="D81" s="32"/>
      <c r="E81" s="42">
        <f>ROUND((E79+E80)*C81,2)</f>
        <v>99.5</v>
      </c>
      <c r="F81" s="27"/>
    </row>
    <row r="82" spans="1:6" ht="13.5" customHeight="1" x14ac:dyDescent="0.2">
      <c r="A82" s="27"/>
      <c r="B82" s="32"/>
      <c r="C82" s="32"/>
      <c r="D82" s="32"/>
      <c r="E82" s="38"/>
      <c r="F82" s="27"/>
    </row>
    <row r="83" spans="1:6" ht="16.5" customHeight="1" thickBot="1" x14ac:dyDescent="0.25">
      <c r="A83" s="27"/>
      <c r="B83" s="31" t="s">
        <v>21</v>
      </c>
      <c r="C83" s="32"/>
      <c r="D83" s="32"/>
      <c r="E83" s="39">
        <f>SUM(E79:E81)</f>
        <v>1146.8800000000001</v>
      </c>
      <c r="F83" s="27"/>
    </row>
    <row r="84" spans="1:6" ht="15.75" thickTop="1" x14ac:dyDescent="0.2">
      <c r="A84" s="27"/>
      <c r="B84" s="98"/>
      <c r="C84" s="98"/>
      <c r="D84" s="98"/>
      <c r="E84" s="43"/>
      <c r="F84" s="27"/>
    </row>
    <row r="85" spans="1:6" ht="15" x14ac:dyDescent="0.2">
      <c r="A85" s="27"/>
      <c r="B85" s="97" t="s">
        <v>23</v>
      </c>
      <c r="C85" s="97"/>
      <c r="D85" s="97"/>
      <c r="E85" s="43">
        <v>0</v>
      </c>
      <c r="F85" s="27"/>
    </row>
    <row r="86" spans="1:6" ht="15" x14ac:dyDescent="0.2">
      <c r="A86" s="27"/>
      <c r="B86" s="98"/>
      <c r="C86" s="98"/>
      <c r="D86" s="98"/>
      <c r="E86" s="43"/>
      <c r="F86" s="27"/>
    </row>
    <row r="87" spans="1:6" ht="19.5" customHeight="1" x14ac:dyDescent="0.2">
      <c r="A87" s="27"/>
      <c r="B87" s="44" t="s">
        <v>22</v>
      </c>
      <c r="C87" s="45"/>
      <c r="D87" s="45"/>
      <c r="E87" s="46">
        <f>E83-E85</f>
        <v>1146.8800000000001</v>
      </c>
      <c r="F87" s="27"/>
    </row>
    <row r="88" spans="1:6" ht="13.5" customHeight="1" x14ac:dyDescent="0.2">
      <c r="A88" s="27"/>
      <c r="B88" s="27"/>
      <c r="C88" s="27"/>
      <c r="D88" s="27"/>
      <c r="E88" s="27"/>
      <c r="F88" s="27"/>
    </row>
    <row r="89" spans="1:6" x14ac:dyDescent="0.2">
      <c r="A89" s="27"/>
      <c r="B89" s="27"/>
      <c r="C89" s="27"/>
      <c r="D89" s="27"/>
      <c r="E89" s="27"/>
      <c r="F89" s="27"/>
    </row>
    <row r="90" spans="1:6" x14ac:dyDescent="0.2">
      <c r="A90" s="27"/>
      <c r="B90" s="102"/>
      <c r="C90" s="102"/>
      <c r="D90" s="102"/>
      <c r="E90" s="102"/>
      <c r="F90" s="27"/>
    </row>
    <row r="91" spans="1:6" ht="14.25" x14ac:dyDescent="0.2">
      <c r="A91" s="95" t="s">
        <v>24</v>
      </c>
      <c r="B91" s="95"/>
      <c r="C91" s="95"/>
      <c r="D91" s="95"/>
      <c r="E91" s="95"/>
      <c r="F91" s="95"/>
    </row>
    <row r="92" spans="1:6" ht="14.25" x14ac:dyDescent="0.2">
      <c r="A92" s="93" t="s">
        <v>7</v>
      </c>
      <c r="B92" s="93"/>
      <c r="C92" s="93"/>
      <c r="D92" s="93"/>
      <c r="E92" s="93"/>
      <c r="F92" s="93"/>
    </row>
    <row r="93" spans="1:6" x14ac:dyDescent="0.2">
      <c r="A93" s="27"/>
      <c r="B93" s="27"/>
      <c r="C93" s="27"/>
      <c r="D93" s="27"/>
      <c r="E93" s="27"/>
      <c r="F93" s="27"/>
    </row>
    <row r="94" spans="1:6" x14ac:dyDescent="0.2">
      <c r="A94" s="27"/>
      <c r="B94" s="103"/>
      <c r="C94" s="103"/>
      <c r="D94" s="103"/>
      <c r="E94" s="103"/>
      <c r="F94" s="27"/>
    </row>
    <row r="95" spans="1:6" ht="15" x14ac:dyDescent="0.2">
      <c r="A95" s="94" t="s">
        <v>8</v>
      </c>
      <c r="B95" s="94"/>
      <c r="C95" s="94"/>
      <c r="D95" s="94"/>
      <c r="E95" s="94"/>
      <c r="F95" s="94"/>
    </row>
    <row r="97" spans="2:4" ht="39.75" customHeight="1" x14ac:dyDescent="0.2">
      <c r="B97" s="100"/>
      <c r="C97" s="101"/>
      <c r="D97" s="101"/>
    </row>
    <row r="98" spans="2:4" ht="13.5" customHeight="1" x14ac:dyDescent="0.2"/>
    <row r="99" spans="2:4" x14ac:dyDescent="0.2">
      <c r="B99" s="19"/>
      <c r="C99" s="19"/>
      <c r="D99" s="19"/>
    </row>
  </sheetData>
  <mergeCells count="50">
    <mergeCell ref="A95:F95"/>
    <mergeCell ref="B97:D97"/>
    <mergeCell ref="B85:D85"/>
    <mergeCell ref="B86:D86"/>
    <mergeCell ref="B90:E90"/>
    <mergeCell ref="A91:F91"/>
    <mergeCell ref="A92:F92"/>
    <mergeCell ref="B94:E94"/>
    <mergeCell ref="B84:D84"/>
    <mergeCell ref="B65:D65"/>
    <mergeCell ref="B66:D66"/>
    <mergeCell ref="B67:D67"/>
    <mergeCell ref="B68:D68"/>
    <mergeCell ref="B69:D69"/>
    <mergeCell ref="B70:D70"/>
    <mergeCell ref="B71:D71"/>
    <mergeCell ref="B72:D72"/>
    <mergeCell ref="B73:D73"/>
    <mergeCell ref="B74:D74"/>
    <mergeCell ref="B75:D75"/>
    <mergeCell ref="B64:D64"/>
    <mergeCell ref="B51:D51"/>
    <mergeCell ref="B52:D52"/>
    <mergeCell ref="B54:D54"/>
    <mergeCell ref="B56:D56"/>
    <mergeCell ref="B57:D57"/>
    <mergeCell ref="B58:D58"/>
    <mergeCell ref="B59:D59"/>
    <mergeCell ref="B60:D60"/>
    <mergeCell ref="B61:D61"/>
    <mergeCell ref="B62:D62"/>
    <mergeCell ref="B63:D63"/>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4:B86 B12:B20 B34:B75" xr:uid="{00000000-0002-0000-15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3">
    <pageSetUpPr fitToPage="1"/>
  </sheetPr>
  <dimension ref="A12:F99"/>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137</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138</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139</v>
      </c>
      <c r="C36" s="96"/>
      <c r="D36" s="96"/>
      <c r="E36" s="34">
        <f>0.5*190</f>
        <v>95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57"/>
      <c r="C53" s="57"/>
      <c r="D53" s="57"/>
      <c r="E53" s="34"/>
      <c r="F53" s="27"/>
    </row>
    <row r="54" spans="1:6" ht="14.25" x14ac:dyDescent="0.2">
      <c r="A54" s="27"/>
      <c r="B54" s="96"/>
      <c r="C54" s="96"/>
      <c r="D54" s="96"/>
      <c r="E54" s="34"/>
      <c r="F54" s="27"/>
    </row>
    <row r="55" spans="1:6" ht="14.25" x14ac:dyDescent="0.2">
      <c r="A55" s="27"/>
      <c r="B55" s="57"/>
      <c r="C55" s="57"/>
      <c r="D55" s="57"/>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4.25" x14ac:dyDescent="0.2">
      <c r="A74" s="27"/>
      <c r="B74" s="96"/>
      <c r="C74" s="96"/>
      <c r="D74" s="96"/>
      <c r="E74" s="34"/>
      <c r="F74" s="27"/>
    </row>
    <row r="75" spans="1:6" ht="13.5" customHeight="1" x14ac:dyDescent="0.2">
      <c r="A75" s="27"/>
      <c r="B75" s="96"/>
      <c r="C75" s="96"/>
      <c r="D75" s="96"/>
      <c r="E75" s="34"/>
      <c r="F75" s="27"/>
    </row>
    <row r="76" spans="1:6" ht="13.5" customHeight="1" x14ac:dyDescent="0.2">
      <c r="A76" s="27"/>
      <c r="B76" s="31" t="s">
        <v>20</v>
      </c>
      <c r="C76" s="32"/>
      <c r="D76" s="32"/>
      <c r="E76" s="35">
        <f>SUM(E36:E75)</f>
        <v>95</v>
      </c>
      <c r="F76" s="27"/>
    </row>
    <row r="77" spans="1:6" ht="13.5" customHeight="1" x14ac:dyDescent="0.2">
      <c r="A77" s="27"/>
      <c r="B77" s="40" t="s">
        <v>17</v>
      </c>
      <c r="C77" s="32"/>
      <c r="D77" s="32"/>
      <c r="E77" s="36">
        <v>0</v>
      </c>
      <c r="F77" s="27"/>
    </row>
    <row r="78" spans="1:6" ht="13.5" customHeight="1" x14ac:dyDescent="0.2">
      <c r="A78" s="27"/>
      <c r="B78" s="40" t="s">
        <v>76</v>
      </c>
      <c r="C78" s="32"/>
      <c r="D78" s="32"/>
      <c r="E78" s="36">
        <v>0</v>
      </c>
      <c r="F78" s="27"/>
    </row>
    <row r="79" spans="1:6" ht="13.5" customHeight="1" x14ac:dyDescent="0.2">
      <c r="A79" s="27"/>
      <c r="B79" s="31" t="s">
        <v>19</v>
      </c>
      <c r="C79" s="32"/>
      <c r="D79" s="32"/>
      <c r="E79" s="35">
        <f>SUM(E76:E78)</f>
        <v>95</v>
      </c>
      <c r="F79" s="27"/>
    </row>
    <row r="80" spans="1:6" ht="13.5" customHeight="1" x14ac:dyDescent="0.2">
      <c r="A80" s="27"/>
      <c r="B80" s="32" t="s">
        <v>5</v>
      </c>
      <c r="C80" s="37">
        <v>0.05</v>
      </c>
      <c r="D80" s="32"/>
      <c r="E80" s="41">
        <f>ROUND(E79*C80,2)</f>
        <v>4.75</v>
      </c>
      <c r="F80" s="27"/>
    </row>
    <row r="81" spans="1:6" ht="13.5" customHeight="1" x14ac:dyDescent="0.2">
      <c r="A81" s="27"/>
      <c r="B81" s="32" t="s">
        <v>4</v>
      </c>
      <c r="C81" s="37">
        <v>9.5000000000000001E-2</v>
      </c>
      <c r="D81" s="32"/>
      <c r="E81" s="42">
        <f>ROUND((E79+E80)*C81,2)</f>
        <v>9.48</v>
      </c>
      <c r="F81" s="27"/>
    </row>
    <row r="82" spans="1:6" ht="13.5" customHeight="1" x14ac:dyDescent="0.2">
      <c r="A82" s="27"/>
      <c r="B82" s="32"/>
      <c r="C82" s="32"/>
      <c r="D82" s="32"/>
      <c r="E82" s="38"/>
      <c r="F82" s="27"/>
    </row>
    <row r="83" spans="1:6" ht="16.5" customHeight="1" thickBot="1" x14ac:dyDescent="0.25">
      <c r="A83" s="27"/>
      <c r="B83" s="31" t="s">
        <v>21</v>
      </c>
      <c r="C83" s="32"/>
      <c r="D83" s="32"/>
      <c r="E83" s="39">
        <f>SUM(E79:E81)</f>
        <v>109.23</v>
      </c>
      <c r="F83" s="27"/>
    </row>
    <row r="84" spans="1:6" ht="15.75" thickTop="1" x14ac:dyDescent="0.2">
      <c r="A84" s="27"/>
      <c r="B84" s="98"/>
      <c r="C84" s="98"/>
      <c r="D84" s="98"/>
      <c r="E84" s="43"/>
      <c r="F84" s="27"/>
    </row>
    <row r="85" spans="1:6" ht="15" x14ac:dyDescent="0.2">
      <c r="A85" s="27"/>
      <c r="B85" s="97" t="s">
        <v>23</v>
      </c>
      <c r="C85" s="97"/>
      <c r="D85" s="97"/>
      <c r="E85" s="43">
        <v>0</v>
      </c>
      <c r="F85" s="27"/>
    </row>
    <row r="86" spans="1:6" ht="15" x14ac:dyDescent="0.2">
      <c r="A86" s="27"/>
      <c r="B86" s="98"/>
      <c r="C86" s="98"/>
      <c r="D86" s="98"/>
      <c r="E86" s="43"/>
      <c r="F86" s="27"/>
    </row>
    <row r="87" spans="1:6" ht="19.5" customHeight="1" x14ac:dyDescent="0.2">
      <c r="A87" s="27"/>
      <c r="B87" s="44" t="s">
        <v>22</v>
      </c>
      <c r="C87" s="45"/>
      <c r="D87" s="45"/>
      <c r="E87" s="46">
        <f>E83-E85</f>
        <v>109.23</v>
      </c>
      <c r="F87" s="27"/>
    </row>
    <row r="88" spans="1:6" ht="13.5" customHeight="1" x14ac:dyDescent="0.2">
      <c r="A88" s="27"/>
      <c r="B88" s="27"/>
      <c r="C88" s="27"/>
      <c r="D88" s="27"/>
      <c r="E88" s="27"/>
      <c r="F88" s="27"/>
    </row>
    <row r="89" spans="1:6" x14ac:dyDescent="0.2">
      <c r="A89" s="27"/>
      <c r="B89" s="27"/>
      <c r="C89" s="27"/>
      <c r="D89" s="27"/>
      <c r="E89" s="27"/>
      <c r="F89" s="27"/>
    </row>
    <row r="90" spans="1:6" x14ac:dyDescent="0.2">
      <c r="A90" s="27"/>
      <c r="B90" s="102"/>
      <c r="C90" s="102"/>
      <c r="D90" s="102"/>
      <c r="E90" s="102"/>
      <c r="F90" s="27"/>
    </row>
    <row r="91" spans="1:6" ht="14.25" x14ac:dyDescent="0.2">
      <c r="A91" s="95" t="s">
        <v>24</v>
      </c>
      <c r="B91" s="95"/>
      <c r="C91" s="95"/>
      <c r="D91" s="95"/>
      <c r="E91" s="95"/>
      <c r="F91" s="95"/>
    </row>
    <row r="92" spans="1:6" ht="14.25" x14ac:dyDescent="0.2">
      <c r="A92" s="93" t="s">
        <v>7</v>
      </c>
      <c r="B92" s="93"/>
      <c r="C92" s="93"/>
      <c r="D92" s="93"/>
      <c r="E92" s="93"/>
      <c r="F92" s="93"/>
    </row>
    <row r="93" spans="1:6" x14ac:dyDescent="0.2">
      <c r="A93" s="27"/>
      <c r="B93" s="27"/>
      <c r="C93" s="27"/>
      <c r="D93" s="27"/>
      <c r="E93" s="27"/>
      <c r="F93" s="27"/>
    </row>
    <row r="94" spans="1:6" x14ac:dyDescent="0.2">
      <c r="A94" s="27"/>
      <c r="B94" s="103"/>
      <c r="C94" s="103"/>
      <c r="D94" s="103"/>
      <c r="E94" s="103"/>
      <c r="F94" s="27"/>
    </row>
    <row r="95" spans="1:6" ht="15" x14ac:dyDescent="0.2">
      <c r="A95" s="94" t="s">
        <v>8</v>
      </c>
      <c r="B95" s="94"/>
      <c r="C95" s="94"/>
      <c r="D95" s="94"/>
      <c r="E95" s="94"/>
      <c r="F95" s="94"/>
    </row>
    <row r="97" spans="2:4" ht="39.75" customHeight="1" x14ac:dyDescent="0.2">
      <c r="B97" s="100"/>
      <c r="C97" s="101"/>
      <c r="D97" s="101"/>
    </row>
    <row r="98" spans="2:4" ht="13.5" customHeight="1" x14ac:dyDescent="0.2"/>
    <row r="99" spans="2:4" x14ac:dyDescent="0.2">
      <c r="B99" s="19"/>
      <c r="C99" s="19"/>
      <c r="D99" s="19"/>
    </row>
  </sheetData>
  <mergeCells count="50">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4:D64"/>
    <mergeCell ref="B51:D51"/>
    <mergeCell ref="B52:D52"/>
    <mergeCell ref="B54:D54"/>
    <mergeCell ref="B56:D56"/>
    <mergeCell ref="B57:D57"/>
    <mergeCell ref="B58:D58"/>
    <mergeCell ref="B59:D59"/>
    <mergeCell ref="B60:D60"/>
    <mergeCell ref="B61:D61"/>
    <mergeCell ref="B62:D62"/>
    <mergeCell ref="B63:D63"/>
    <mergeCell ref="B84:D84"/>
    <mergeCell ref="B65:D65"/>
    <mergeCell ref="B66:D66"/>
    <mergeCell ref="B67:D67"/>
    <mergeCell ref="B68:D68"/>
    <mergeCell ref="B69:D69"/>
    <mergeCell ref="B70:D70"/>
    <mergeCell ref="B71:D71"/>
    <mergeCell ref="B72:D72"/>
    <mergeCell ref="B73:D73"/>
    <mergeCell ref="B74:D74"/>
    <mergeCell ref="B75:D75"/>
    <mergeCell ref="A95:F95"/>
    <mergeCell ref="B97:D97"/>
    <mergeCell ref="B85:D85"/>
    <mergeCell ref="B86:D86"/>
    <mergeCell ref="B90:E90"/>
    <mergeCell ref="A91:F91"/>
    <mergeCell ref="A92:F92"/>
    <mergeCell ref="B94:E94"/>
  </mergeCells>
  <dataValidations count="1">
    <dataValidation type="list" allowBlank="1" showInputMessage="1" showErrorMessage="1" sqref="B84:B86 B12:B20 B34:B75" xr:uid="{00000000-0002-0000-16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4">
    <pageSetUpPr fitToPage="1"/>
  </sheetPr>
  <dimension ref="A12:F99"/>
  <sheetViews>
    <sheetView view="pageBreakPreview" topLeftCell="A31"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140</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141</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142</v>
      </c>
      <c r="C36" s="96"/>
      <c r="D36" s="96"/>
      <c r="E36" s="34">
        <f>0.5*190</f>
        <v>95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143</v>
      </c>
      <c r="C39" s="96"/>
      <c r="D39" s="96"/>
      <c r="E39" s="34">
        <v>190</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58"/>
      <c r="C53" s="58"/>
      <c r="D53" s="58"/>
      <c r="E53" s="34"/>
      <c r="F53" s="27"/>
    </row>
    <row r="54" spans="1:6" ht="14.25" x14ac:dyDescent="0.2">
      <c r="A54" s="27"/>
      <c r="B54" s="96"/>
      <c r="C54" s="96"/>
      <c r="D54" s="96"/>
      <c r="E54" s="34"/>
      <c r="F54" s="27"/>
    </row>
    <row r="55" spans="1:6" ht="14.25" x14ac:dyDescent="0.2">
      <c r="A55" s="27"/>
      <c r="B55" s="58"/>
      <c r="C55" s="58"/>
      <c r="D55" s="58"/>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4.25" x14ac:dyDescent="0.2">
      <c r="A74" s="27"/>
      <c r="B74" s="96"/>
      <c r="C74" s="96"/>
      <c r="D74" s="96"/>
      <c r="E74" s="34"/>
      <c r="F74" s="27"/>
    </row>
    <row r="75" spans="1:6" ht="13.5" customHeight="1" x14ac:dyDescent="0.2">
      <c r="A75" s="27"/>
      <c r="B75" s="96"/>
      <c r="C75" s="96"/>
      <c r="D75" s="96"/>
      <c r="E75" s="34"/>
      <c r="F75" s="27"/>
    </row>
    <row r="76" spans="1:6" ht="13.5" customHeight="1" x14ac:dyDescent="0.2">
      <c r="A76" s="27"/>
      <c r="B76" s="31" t="s">
        <v>20</v>
      </c>
      <c r="C76" s="32"/>
      <c r="D76" s="32"/>
      <c r="E76" s="35">
        <f>SUM(E36:E75)</f>
        <v>285</v>
      </c>
      <c r="F76" s="27"/>
    </row>
    <row r="77" spans="1:6" ht="13.5" customHeight="1" x14ac:dyDescent="0.2">
      <c r="A77" s="27"/>
      <c r="B77" s="40" t="s">
        <v>17</v>
      </c>
      <c r="C77" s="32"/>
      <c r="D77" s="32"/>
      <c r="E77" s="36">
        <v>0</v>
      </c>
      <c r="F77" s="27"/>
    </row>
    <row r="78" spans="1:6" ht="13.5" customHeight="1" x14ac:dyDescent="0.2">
      <c r="A78" s="27"/>
      <c r="B78" s="40" t="s">
        <v>76</v>
      </c>
      <c r="C78" s="32"/>
      <c r="D78" s="32"/>
      <c r="E78" s="36">
        <v>0</v>
      </c>
      <c r="F78" s="27"/>
    </row>
    <row r="79" spans="1:6" ht="13.5" customHeight="1" x14ac:dyDescent="0.2">
      <c r="A79" s="27"/>
      <c r="B79" s="31" t="s">
        <v>19</v>
      </c>
      <c r="C79" s="32"/>
      <c r="D79" s="32"/>
      <c r="E79" s="35">
        <f>SUM(E76:E78)</f>
        <v>285</v>
      </c>
      <c r="F79" s="27"/>
    </row>
    <row r="80" spans="1:6" ht="13.5" customHeight="1" x14ac:dyDescent="0.2">
      <c r="A80" s="27"/>
      <c r="B80" s="32" t="s">
        <v>5</v>
      </c>
      <c r="C80" s="37">
        <v>0.05</v>
      </c>
      <c r="D80" s="32"/>
      <c r="E80" s="41">
        <f>ROUND(E79*C80,2)</f>
        <v>14.25</v>
      </c>
      <c r="F80" s="27"/>
    </row>
    <row r="81" spans="1:6" ht="13.5" customHeight="1" x14ac:dyDescent="0.2">
      <c r="A81" s="27"/>
      <c r="B81" s="32" t="s">
        <v>4</v>
      </c>
      <c r="C81" s="37">
        <v>9.5000000000000001E-2</v>
      </c>
      <c r="D81" s="32"/>
      <c r="E81" s="42">
        <f>ROUND((E79+E80)*C81,2)</f>
        <v>28.43</v>
      </c>
      <c r="F81" s="27"/>
    </row>
    <row r="82" spans="1:6" ht="13.5" customHeight="1" x14ac:dyDescent="0.2">
      <c r="A82" s="27"/>
      <c r="B82" s="32"/>
      <c r="C82" s="32"/>
      <c r="D82" s="32"/>
      <c r="E82" s="38"/>
      <c r="F82" s="27"/>
    </row>
    <row r="83" spans="1:6" ht="16.5" customHeight="1" thickBot="1" x14ac:dyDescent="0.25">
      <c r="A83" s="27"/>
      <c r="B83" s="31" t="s">
        <v>21</v>
      </c>
      <c r="C83" s="32"/>
      <c r="D83" s="32"/>
      <c r="E83" s="39">
        <f>SUM(E79:E81)</f>
        <v>327.68</v>
      </c>
      <c r="F83" s="27"/>
    </row>
    <row r="84" spans="1:6" ht="15.75" thickTop="1" x14ac:dyDescent="0.2">
      <c r="A84" s="27"/>
      <c r="B84" s="98"/>
      <c r="C84" s="98"/>
      <c r="D84" s="98"/>
      <c r="E84" s="43"/>
      <c r="F84" s="27"/>
    </row>
    <row r="85" spans="1:6" ht="15" x14ac:dyDescent="0.2">
      <c r="A85" s="27"/>
      <c r="B85" s="97" t="s">
        <v>23</v>
      </c>
      <c r="C85" s="97"/>
      <c r="D85" s="97"/>
      <c r="E85" s="43">
        <v>0</v>
      </c>
      <c r="F85" s="27"/>
    </row>
    <row r="86" spans="1:6" ht="15" x14ac:dyDescent="0.2">
      <c r="A86" s="27"/>
      <c r="B86" s="98"/>
      <c r="C86" s="98"/>
      <c r="D86" s="98"/>
      <c r="E86" s="43"/>
      <c r="F86" s="27"/>
    </row>
    <row r="87" spans="1:6" ht="19.5" customHeight="1" x14ac:dyDescent="0.2">
      <c r="A87" s="27"/>
      <c r="B87" s="44" t="s">
        <v>22</v>
      </c>
      <c r="C87" s="45"/>
      <c r="D87" s="45"/>
      <c r="E87" s="46">
        <f>E83-E85</f>
        <v>327.68</v>
      </c>
      <c r="F87" s="27"/>
    </row>
    <row r="88" spans="1:6" ht="13.5" customHeight="1" x14ac:dyDescent="0.2">
      <c r="A88" s="27"/>
      <c r="B88" s="27"/>
      <c r="C88" s="27"/>
      <c r="D88" s="27"/>
      <c r="E88" s="27"/>
      <c r="F88" s="27"/>
    </row>
    <row r="89" spans="1:6" x14ac:dyDescent="0.2">
      <c r="A89" s="27"/>
      <c r="B89" s="27"/>
      <c r="C89" s="27"/>
      <c r="D89" s="27"/>
      <c r="E89" s="27"/>
      <c r="F89" s="27"/>
    </row>
    <row r="90" spans="1:6" x14ac:dyDescent="0.2">
      <c r="A90" s="27"/>
      <c r="B90" s="102"/>
      <c r="C90" s="102"/>
      <c r="D90" s="102"/>
      <c r="E90" s="102"/>
      <c r="F90" s="27"/>
    </row>
    <row r="91" spans="1:6" ht="14.25" x14ac:dyDescent="0.2">
      <c r="A91" s="95" t="s">
        <v>24</v>
      </c>
      <c r="B91" s="95"/>
      <c r="C91" s="95"/>
      <c r="D91" s="95"/>
      <c r="E91" s="95"/>
      <c r="F91" s="95"/>
    </row>
    <row r="92" spans="1:6" ht="14.25" x14ac:dyDescent="0.2">
      <c r="A92" s="93" t="s">
        <v>7</v>
      </c>
      <c r="B92" s="93"/>
      <c r="C92" s="93"/>
      <c r="D92" s="93"/>
      <c r="E92" s="93"/>
      <c r="F92" s="93"/>
    </row>
    <row r="93" spans="1:6" x14ac:dyDescent="0.2">
      <c r="A93" s="27"/>
      <c r="B93" s="27"/>
      <c r="C93" s="27"/>
      <c r="D93" s="27"/>
      <c r="E93" s="27"/>
      <c r="F93" s="27"/>
    </row>
    <row r="94" spans="1:6" x14ac:dyDescent="0.2">
      <c r="A94" s="27"/>
      <c r="B94" s="103"/>
      <c r="C94" s="103"/>
      <c r="D94" s="103"/>
      <c r="E94" s="103"/>
      <c r="F94" s="27"/>
    </row>
    <row r="95" spans="1:6" ht="15" x14ac:dyDescent="0.2">
      <c r="A95" s="94" t="s">
        <v>8</v>
      </c>
      <c r="B95" s="94"/>
      <c r="C95" s="94"/>
      <c r="D95" s="94"/>
      <c r="E95" s="94"/>
      <c r="F95" s="94"/>
    </row>
    <row r="97" spans="2:4" ht="39.75" customHeight="1" x14ac:dyDescent="0.2">
      <c r="B97" s="100"/>
      <c r="C97" s="101"/>
      <c r="D97" s="101"/>
    </row>
    <row r="98" spans="2:4" ht="13.5" customHeight="1" x14ac:dyDescent="0.2"/>
    <row r="99" spans="2:4" x14ac:dyDescent="0.2">
      <c r="B99" s="19"/>
      <c r="C99" s="19"/>
      <c r="D99" s="19"/>
    </row>
  </sheetData>
  <mergeCells count="50">
    <mergeCell ref="A95:F95"/>
    <mergeCell ref="B97:D97"/>
    <mergeCell ref="B85:D85"/>
    <mergeCell ref="B86:D86"/>
    <mergeCell ref="B90:E90"/>
    <mergeCell ref="A91:F91"/>
    <mergeCell ref="A92:F92"/>
    <mergeCell ref="B94:E94"/>
    <mergeCell ref="B84:D84"/>
    <mergeCell ref="B65:D65"/>
    <mergeCell ref="B66:D66"/>
    <mergeCell ref="B67:D67"/>
    <mergeCell ref="B68:D68"/>
    <mergeCell ref="B69:D69"/>
    <mergeCell ref="B70:D70"/>
    <mergeCell ref="B71:D71"/>
    <mergeCell ref="B72:D72"/>
    <mergeCell ref="B73:D73"/>
    <mergeCell ref="B74:D74"/>
    <mergeCell ref="B75:D75"/>
    <mergeCell ref="B64:D64"/>
    <mergeCell ref="B51:D51"/>
    <mergeCell ref="B52:D52"/>
    <mergeCell ref="B54:D54"/>
    <mergeCell ref="B56:D56"/>
    <mergeCell ref="B57:D57"/>
    <mergeCell ref="B58:D58"/>
    <mergeCell ref="B59:D59"/>
    <mergeCell ref="B60:D60"/>
    <mergeCell ref="B61:D61"/>
    <mergeCell ref="B62:D62"/>
    <mergeCell ref="B63:D63"/>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4:B86 B12:B20 B34:B75" xr:uid="{00000000-0002-0000-17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5">
    <pageSetUpPr fitToPage="1"/>
  </sheetPr>
  <dimension ref="A12:F99"/>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144</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145</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146</v>
      </c>
      <c r="C36" s="96"/>
      <c r="D36" s="96"/>
      <c r="E36" s="34">
        <f>0.5*190</f>
        <v>95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147</v>
      </c>
      <c r="C39" s="96"/>
      <c r="D39" s="96"/>
      <c r="E39" s="34">
        <f>2.25*190</f>
        <v>427.5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148</v>
      </c>
      <c r="C42" s="96"/>
      <c r="D42" s="96"/>
      <c r="E42" s="34">
        <f>0.5*190</f>
        <v>95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59"/>
      <c r="C53" s="59"/>
      <c r="D53" s="59"/>
      <c r="E53" s="34"/>
      <c r="F53" s="27"/>
    </row>
    <row r="54" spans="1:6" ht="14.25" x14ac:dyDescent="0.2">
      <c r="A54" s="27"/>
      <c r="B54" s="96"/>
      <c r="C54" s="96"/>
      <c r="D54" s="96"/>
      <c r="E54" s="34"/>
      <c r="F54" s="27"/>
    </row>
    <row r="55" spans="1:6" ht="14.25" x14ac:dyDescent="0.2">
      <c r="A55" s="27"/>
      <c r="B55" s="59"/>
      <c r="C55" s="59"/>
      <c r="D55" s="59"/>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4.25" x14ac:dyDescent="0.2">
      <c r="A74" s="27"/>
      <c r="B74" s="96"/>
      <c r="C74" s="96"/>
      <c r="D74" s="96"/>
      <c r="E74" s="34"/>
      <c r="F74" s="27"/>
    </row>
    <row r="75" spans="1:6" ht="13.5" customHeight="1" x14ac:dyDescent="0.2">
      <c r="A75" s="27"/>
      <c r="B75" s="96"/>
      <c r="C75" s="96"/>
      <c r="D75" s="96"/>
      <c r="E75" s="34"/>
      <c r="F75" s="27"/>
    </row>
    <row r="76" spans="1:6" ht="13.5" customHeight="1" x14ac:dyDescent="0.2">
      <c r="A76" s="27"/>
      <c r="B76" s="31" t="s">
        <v>20</v>
      </c>
      <c r="C76" s="32"/>
      <c r="D76" s="32"/>
      <c r="E76" s="35">
        <f>SUM(E36:E75)</f>
        <v>617.5</v>
      </c>
      <c r="F76" s="27"/>
    </row>
    <row r="77" spans="1:6" ht="13.5" customHeight="1" x14ac:dyDescent="0.2">
      <c r="A77" s="27"/>
      <c r="B77" s="40" t="s">
        <v>17</v>
      </c>
      <c r="C77" s="32"/>
      <c r="D77" s="32"/>
      <c r="E77" s="36">
        <v>0</v>
      </c>
      <c r="F77" s="27"/>
    </row>
    <row r="78" spans="1:6" ht="13.5" customHeight="1" x14ac:dyDescent="0.2">
      <c r="A78" s="27"/>
      <c r="B78" s="40" t="s">
        <v>76</v>
      </c>
      <c r="C78" s="32"/>
      <c r="D78" s="32"/>
      <c r="E78" s="36">
        <v>0</v>
      </c>
      <c r="F78" s="27"/>
    </row>
    <row r="79" spans="1:6" ht="13.5" customHeight="1" x14ac:dyDescent="0.2">
      <c r="A79" s="27"/>
      <c r="B79" s="31" t="s">
        <v>19</v>
      </c>
      <c r="C79" s="32"/>
      <c r="D79" s="32"/>
      <c r="E79" s="35">
        <f>SUM(E76:E78)</f>
        <v>617.5</v>
      </c>
      <c r="F79" s="27"/>
    </row>
    <row r="80" spans="1:6" ht="13.5" customHeight="1" x14ac:dyDescent="0.2">
      <c r="A80" s="27"/>
      <c r="B80" s="32" t="s">
        <v>5</v>
      </c>
      <c r="C80" s="37">
        <v>0.05</v>
      </c>
      <c r="D80" s="32"/>
      <c r="E80" s="41">
        <f>ROUND(E79*C80,2)</f>
        <v>30.88</v>
      </c>
      <c r="F80" s="27"/>
    </row>
    <row r="81" spans="1:6" ht="13.5" customHeight="1" x14ac:dyDescent="0.2">
      <c r="A81" s="27"/>
      <c r="B81" s="32" t="s">
        <v>4</v>
      </c>
      <c r="C81" s="37">
        <v>9.5000000000000001E-2</v>
      </c>
      <c r="D81" s="32"/>
      <c r="E81" s="42">
        <f>ROUND((E79+E80)*C81,2)</f>
        <v>61.6</v>
      </c>
      <c r="F81" s="27"/>
    </row>
    <row r="82" spans="1:6" ht="13.5" customHeight="1" x14ac:dyDescent="0.2">
      <c r="A82" s="27"/>
      <c r="B82" s="32"/>
      <c r="C82" s="32"/>
      <c r="D82" s="32"/>
      <c r="E82" s="38"/>
      <c r="F82" s="27"/>
    </row>
    <row r="83" spans="1:6" ht="16.5" customHeight="1" thickBot="1" x14ac:dyDescent="0.25">
      <c r="A83" s="27"/>
      <c r="B83" s="31" t="s">
        <v>21</v>
      </c>
      <c r="C83" s="32"/>
      <c r="D83" s="32"/>
      <c r="E83" s="39">
        <f>SUM(E79:E81)</f>
        <v>709.98</v>
      </c>
      <c r="F83" s="27"/>
    </row>
    <row r="84" spans="1:6" ht="15.75" thickTop="1" x14ac:dyDescent="0.2">
      <c r="A84" s="27"/>
      <c r="B84" s="98"/>
      <c r="C84" s="98"/>
      <c r="D84" s="98"/>
      <c r="E84" s="43"/>
      <c r="F84" s="27"/>
    </row>
    <row r="85" spans="1:6" ht="15" x14ac:dyDescent="0.2">
      <c r="A85" s="27"/>
      <c r="B85" s="97" t="s">
        <v>23</v>
      </c>
      <c r="C85" s="97"/>
      <c r="D85" s="97"/>
      <c r="E85" s="43">
        <v>0</v>
      </c>
      <c r="F85" s="27"/>
    </row>
    <row r="86" spans="1:6" ht="15" x14ac:dyDescent="0.2">
      <c r="A86" s="27"/>
      <c r="B86" s="98"/>
      <c r="C86" s="98"/>
      <c r="D86" s="98"/>
      <c r="E86" s="43"/>
      <c r="F86" s="27"/>
    </row>
    <row r="87" spans="1:6" ht="19.5" customHeight="1" x14ac:dyDescent="0.2">
      <c r="A87" s="27"/>
      <c r="B87" s="44" t="s">
        <v>22</v>
      </c>
      <c r="C87" s="45"/>
      <c r="D87" s="45"/>
      <c r="E87" s="46">
        <f>E83-E85</f>
        <v>709.98</v>
      </c>
      <c r="F87" s="27"/>
    </row>
    <row r="88" spans="1:6" ht="13.5" customHeight="1" x14ac:dyDescent="0.2">
      <c r="A88" s="27"/>
      <c r="B88" s="27"/>
      <c r="C88" s="27"/>
      <c r="D88" s="27"/>
      <c r="E88" s="27"/>
      <c r="F88" s="27"/>
    </row>
    <row r="89" spans="1:6" x14ac:dyDescent="0.2">
      <c r="A89" s="27"/>
      <c r="B89" s="27"/>
      <c r="C89" s="27"/>
      <c r="D89" s="27"/>
      <c r="E89" s="27"/>
      <c r="F89" s="27"/>
    </row>
    <row r="90" spans="1:6" x14ac:dyDescent="0.2">
      <c r="A90" s="27"/>
      <c r="B90" s="102"/>
      <c r="C90" s="102"/>
      <c r="D90" s="102"/>
      <c r="E90" s="102"/>
      <c r="F90" s="27"/>
    </row>
    <row r="91" spans="1:6" ht="14.25" x14ac:dyDescent="0.2">
      <c r="A91" s="95" t="s">
        <v>24</v>
      </c>
      <c r="B91" s="95"/>
      <c r="C91" s="95"/>
      <c r="D91" s="95"/>
      <c r="E91" s="95"/>
      <c r="F91" s="95"/>
    </row>
    <row r="92" spans="1:6" ht="14.25" x14ac:dyDescent="0.2">
      <c r="A92" s="93" t="s">
        <v>7</v>
      </c>
      <c r="B92" s="93"/>
      <c r="C92" s="93"/>
      <c r="D92" s="93"/>
      <c r="E92" s="93"/>
      <c r="F92" s="93"/>
    </row>
    <row r="93" spans="1:6" x14ac:dyDescent="0.2">
      <c r="A93" s="27"/>
      <c r="B93" s="27"/>
      <c r="C93" s="27"/>
      <c r="D93" s="27"/>
      <c r="E93" s="27"/>
      <c r="F93" s="27"/>
    </row>
    <row r="94" spans="1:6" x14ac:dyDescent="0.2">
      <c r="A94" s="27"/>
      <c r="B94" s="103"/>
      <c r="C94" s="103"/>
      <c r="D94" s="103"/>
      <c r="E94" s="103"/>
      <c r="F94" s="27"/>
    </row>
    <row r="95" spans="1:6" ht="15" x14ac:dyDescent="0.2">
      <c r="A95" s="94" t="s">
        <v>8</v>
      </c>
      <c r="B95" s="94"/>
      <c r="C95" s="94"/>
      <c r="D95" s="94"/>
      <c r="E95" s="94"/>
      <c r="F95" s="94"/>
    </row>
    <row r="97" spans="2:4" ht="39.75" customHeight="1" x14ac:dyDescent="0.2">
      <c r="B97" s="100"/>
      <c r="C97" s="101"/>
      <c r="D97" s="101"/>
    </row>
    <row r="98" spans="2:4" ht="13.5" customHeight="1" x14ac:dyDescent="0.2"/>
    <row r="99" spans="2:4" x14ac:dyDescent="0.2">
      <c r="B99" s="19"/>
      <c r="C99" s="19"/>
      <c r="D99" s="19"/>
    </row>
  </sheetData>
  <mergeCells count="50">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4:D64"/>
    <mergeCell ref="B51:D51"/>
    <mergeCell ref="B52:D52"/>
    <mergeCell ref="B54:D54"/>
    <mergeCell ref="B56:D56"/>
    <mergeCell ref="B57:D57"/>
    <mergeCell ref="B58:D58"/>
    <mergeCell ref="B59:D59"/>
    <mergeCell ref="B60:D60"/>
    <mergeCell ref="B61:D61"/>
    <mergeCell ref="B62:D62"/>
    <mergeCell ref="B63:D63"/>
    <mergeCell ref="B84:D84"/>
    <mergeCell ref="B65:D65"/>
    <mergeCell ref="B66:D66"/>
    <mergeCell ref="B67:D67"/>
    <mergeCell ref="B68:D68"/>
    <mergeCell ref="B69:D69"/>
    <mergeCell ref="B70:D70"/>
    <mergeCell ref="B71:D71"/>
    <mergeCell ref="B72:D72"/>
    <mergeCell ref="B73:D73"/>
    <mergeCell ref="B74:D74"/>
    <mergeCell ref="B75:D75"/>
    <mergeCell ref="A95:F95"/>
    <mergeCell ref="B97:D97"/>
    <mergeCell ref="B85:D85"/>
    <mergeCell ref="B86:D86"/>
    <mergeCell ref="B90:E90"/>
    <mergeCell ref="A91:F91"/>
    <mergeCell ref="A92:F92"/>
    <mergeCell ref="B94:E94"/>
  </mergeCells>
  <dataValidations count="1">
    <dataValidation type="list" allowBlank="1" showInputMessage="1" showErrorMessage="1" sqref="B84:B86 B12:B20 B34:B75" xr:uid="{00000000-0002-0000-1800-000000000000}">
      <formula1>Liste_Activités</formula1>
    </dataValidation>
  </dataValidations>
  <pageMargins left="0" right="0" top="0" bottom="0" header="0" footer="0"/>
  <pageSetup paperSize="119" scale="60"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6">
    <pageSetUpPr fitToPage="1"/>
  </sheetPr>
  <dimension ref="A12:F96"/>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150</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149</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151</v>
      </c>
      <c r="C36" s="96"/>
      <c r="D36" s="96"/>
      <c r="E36" s="34">
        <v>190</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60"/>
      <c r="C50" s="60"/>
      <c r="D50" s="60"/>
      <c r="E50" s="34"/>
      <c r="F50" s="27"/>
    </row>
    <row r="51" spans="1:6" ht="14.25" x14ac:dyDescent="0.2">
      <c r="A51" s="27"/>
      <c r="B51" s="96"/>
      <c r="C51" s="96"/>
      <c r="D51" s="96"/>
      <c r="E51" s="34"/>
      <c r="F51" s="27"/>
    </row>
    <row r="52" spans="1:6" ht="14.25" x14ac:dyDescent="0.2">
      <c r="A52" s="27"/>
      <c r="B52" s="60"/>
      <c r="C52" s="60"/>
      <c r="D52" s="60"/>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3.5" customHeight="1" x14ac:dyDescent="0.2">
      <c r="A72" s="27"/>
      <c r="B72" s="96"/>
      <c r="C72" s="96"/>
      <c r="D72" s="96"/>
      <c r="E72" s="34"/>
      <c r="F72" s="27"/>
    </row>
    <row r="73" spans="1:6" ht="13.5" customHeight="1" x14ac:dyDescent="0.2">
      <c r="A73" s="27"/>
      <c r="B73" s="31" t="s">
        <v>20</v>
      </c>
      <c r="C73" s="32"/>
      <c r="D73" s="32"/>
      <c r="E73" s="35">
        <f>SUM(E36:E72)</f>
        <v>190</v>
      </c>
      <c r="F73" s="27"/>
    </row>
    <row r="74" spans="1:6" ht="13.5" customHeight="1" x14ac:dyDescent="0.2">
      <c r="A74" s="27"/>
      <c r="B74" s="40" t="s">
        <v>17</v>
      </c>
      <c r="C74" s="32"/>
      <c r="D74" s="32"/>
      <c r="E74" s="36">
        <v>0</v>
      </c>
      <c r="F74" s="27"/>
    </row>
    <row r="75" spans="1:6" ht="13.5" customHeight="1" x14ac:dyDescent="0.2">
      <c r="A75" s="27"/>
      <c r="B75" s="40" t="s">
        <v>76</v>
      </c>
      <c r="C75" s="32"/>
      <c r="D75" s="32"/>
      <c r="E75" s="36">
        <v>0</v>
      </c>
      <c r="F75" s="27"/>
    </row>
    <row r="76" spans="1:6" ht="13.5" customHeight="1" x14ac:dyDescent="0.2">
      <c r="A76" s="27"/>
      <c r="B76" s="31" t="s">
        <v>19</v>
      </c>
      <c r="C76" s="32"/>
      <c r="D76" s="32"/>
      <c r="E76" s="35">
        <f>SUM(E73:E75)</f>
        <v>190</v>
      </c>
      <c r="F76" s="27"/>
    </row>
    <row r="77" spans="1:6" ht="13.5" customHeight="1" x14ac:dyDescent="0.2">
      <c r="A77" s="27"/>
      <c r="B77" s="32" t="s">
        <v>5</v>
      </c>
      <c r="C77" s="37">
        <v>0.05</v>
      </c>
      <c r="D77" s="32"/>
      <c r="E77" s="41">
        <f>ROUND(E76*C77,2)</f>
        <v>9.5</v>
      </c>
      <c r="F77" s="27"/>
    </row>
    <row r="78" spans="1:6" ht="13.5" customHeight="1" x14ac:dyDescent="0.2">
      <c r="A78" s="27"/>
      <c r="B78" s="32" t="s">
        <v>4</v>
      </c>
      <c r="C78" s="37">
        <v>9.5000000000000001E-2</v>
      </c>
      <c r="D78" s="32"/>
      <c r="E78" s="42">
        <f>ROUND((E76+E77)*C78,2)</f>
        <v>18.95</v>
      </c>
      <c r="F78" s="27"/>
    </row>
    <row r="79" spans="1:6" ht="13.5" customHeight="1" x14ac:dyDescent="0.2">
      <c r="A79" s="27"/>
      <c r="B79" s="32"/>
      <c r="C79" s="32"/>
      <c r="D79" s="32"/>
      <c r="E79" s="38"/>
      <c r="F79" s="27"/>
    </row>
    <row r="80" spans="1:6" ht="16.5" customHeight="1" thickBot="1" x14ac:dyDescent="0.25">
      <c r="A80" s="27"/>
      <c r="B80" s="31" t="s">
        <v>21</v>
      </c>
      <c r="C80" s="32"/>
      <c r="D80" s="32"/>
      <c r="E80" s="39">
        <f>SUM(E76:E78)</f>
        <v>218.45</v>
      </c>
      <c r="F80" s="27"/>
    </row>
    <row r="81" spans="1:6" ht="15.75" thickTop="1" x14ac:dyDescent="0.2">
      <c r="A81" s="27"/>
      <c r="B81" s="98"/>
      <c r="C81" s="98"/>
      <c r="D81" s="98"/>
      <c r="E81" s="43"/>
      <c r="F81" s="27"/>
    </row>
    <row r="82" spans="1:6" ht="15" x14ac:dyDescent="0.2">
      <c r="A82" s="27"/>
      <c r="B82" s="97" t="s">
        <v>23</v>
      </c>
      <c r="C82" s="97"/>
      <c r="D82" s="97"/>
      <c r="E82" s="43">
        <v>0</v>
      </c>
      <c r="F82" s="27"/>
    </row>
    <row r="83" spans="1:6" ht="15" x14ac:dyDescent="0.2">
      <c r="A83" s="27"/>
      <c r="B83" s="98"/>
      <c r="C83" s="98"/>
      <c r="D83" s="98"/>
      <c r="E83" s="43"/>
      <c r="F83" s="27"/>
    </row>
    <row r="84" spans="1:6" ht="19.5" customHeight="1" x14ac:dyDescent="0.2">
      <c r="A84" s="27"/>
      <c r="B84" s="44" t="s">
        <v>22</v>
      </c>
      <c r="C84" s="45"/>
      <c r="D84" s="45"/>
      <c r="E84" s="46">
        <f>E80-E82</f>
        <v>218.45</v>
      </c>
      <c r="F84" s="27"/>
    </row>
    <row r="85" spans="1:6" ht="13.5" customHeight="1" x14ac:dyDescent="0.2">
      <c r="A85" s="27"/>
      <c r="B85" s="27"/>
      <c r="C85" s="27"/>
      <c r="D85" s="27"/>
      <c r="E85" s="27"/>
      <c r="F85" s="27"/>
    </row>
    <row r="86" spans="1:6" x14ac:dyDescent="0.2">
      <c r="A86" s="27"/>
      <c r="B86" s="27"/>
      <c r="C86" s="27"/>
      <c r="D86" s="27"/>
      <c r="E86" s="27"/>
      <c r="F86" s="27"/>
    </row>
    <row r="87" spans="1:6" x14ac:dyDescent="0.2">
      <c r="A87" s="27"/>
      <c r="B87" s="102"/>
      <c r="C87" s="102"/>
      <c r="D87" s="102"/>
      <c r="E87" s="102"/>
      <c r="F87" s="27"/>
    </row>
    <row r="88" spans="1:6" ht="14.25" x14ac:dyDescent="0.2">
      <c r="A88" s="95" t="s">
        <v>24</v>
      </c>
      <c r="B88" s="95"/>
      <c r="C88" s="95"/>
      <c r="D88" s="95"/>
      <c r="E88" s="95"/>
      <c r="F88" s="95"/>
    </row>
    <row r="89" spans="1:6" ht="14.25" x14ac:dyDescent="0.2">
      <c r="A89" s="93" t="s">
        <v>7</v>
      </c>
      <c r="B89" s="93"/>
      <c r="C89" s="93"/>
      <c r="D89" s="93"/>
      <c r="E89" s="93"/>
      <c r="F89" s="93"/>
    </row>
    <row r="90" spans="1:6" x14ac:dyDescent="0.2">
      <c r="A90" s="27"/>
      <c r="B90" s="27"/>
      <c r="C90" s="27"/>
      <c r="D90" s="27"/>
      <c r="E90" s="27"/>
      <c r="F90" s="27"/>
    </row>
    <row r="91" spans="1:6" x14ac:dyDescent="0.2">
      <c r="A91" s="27"/>
      <c r="B91" s="103"/>
      <c r="C91" s="103"/>
      <c r="D91" s="103"/>
      <c r="E91" s="103"/>
      <c r="F91" s="27"/>
    </row>
    <row r="92" spans="1:6" ht="15" x14ac:dyDescent="0.2">
      <c r="A92" s="94" t="s">
        <v>8</v>
      </c>
      <c r="B92" s="94"/>
      <c r="C92" s="94"/>
      <c r="D92" s="94"/>
      <c r="E92" s="94"/>
      <c r="F92" s="94"/>
    </row>
    <row r="94" spans="1:6" ht="39.75" customHeight="1" x14ac:dyDescent="0.2">
      <c r="B94" s="100"/>
      <c r="C94" s="101"/>
      <c r="D94" s="101"/>
    </row>
    <row r="95" spans="1:6" ht="13.5" customHeight="1" x14ac:dyDescent="0.2"/>
    <row r="96" spans="1:6" x14ac:dyDescent="0.2">
      <c r="B96" s="19"/>
      <c r="C96" s="19"/>
      <c r="D96" s="19"/>
    </row>
  </sheetData>
  <mergeCells count="47">
    <mergeCell ref="A92:F92"/>
    <mergeCell ref="B94:D94"/>
    <mergeCell ref="B82:D82"/>
    <mergeCell ref="B83:D83"/>
    <mergeCell ref="B87:E87"/>
    <mergeCell ref="A88:F88"/>
    <mergeCell ref="A89:F89"/>
    <mergeCell ref="B91:E91"/>
    <mergeCell ref="B81:D81"/>
    <mergeCell ref="B62:D62"/>
    <mergeCell ref="B63:D63"/>
    <mergeCell ref="B64:D64"/>
    <mergeCell ref="B65:D65"/>
    <mergeCell ref="B66:D66"/>
    <mergeCell ref="B67:D67"/>
    <mergeCell ref="B68:D68"/>
    <mergeCell ref="B69:D69"/>
    <mergeCell ref="B70:D70"/>
    <mergeCell ref="B71:D71"/>
    <mergeCell ref="B72:D72"/>
    <mergeCell ref="B61:D61"/>
    <mergeCell ref="B48:D48"/>
    <mergeCell ref="B49:D49"/>
    <mergeCell ref="B51:D51"/>
    <mergeCell ref="B53:D53"/>
    <mergeCell ref="B54:D54"/>
    <mergeCell ref="B55:D55"/>
    <mergeCell ref="B56:D56"/>
    <mergeCell ref="B57:D57"/>
    <mergeCell ref="B58:D58"/>
    <mergeCell ref="B59:D59"/>
    <mergeCell ref="B60:D60"/>
    <mergeCell ref="B47:D47"/>
    <mergeCell ref="B39:D39"/>
    <mergeCell ref="B40:D40"/>
    <mergeCell ref="B41:D41"/>
    <mergeCell ref="A31:F31"/>
    <mergeCell ref="B34:D34"/>
    <mergeCell ref="B35:D35"/>
    <mergeCell ref="B36:D36"/>
    <mergeCell ref="B37:D37"/>
    <mergeCell ref="B38:D38"/>
    <mergeCell ref="B42:D42"/>
    <mergeCell ref="B43:D43"/>
    <mergeCell ref="B44:D44"/>
    <mergeCell ref="B45:D45"/>
    <mergeCell ref="B46:D46"/>
  </mergeCells>
  <dataValidations count="1">
    <dataValidation type="list" allowBlank="1" showInputMessage="1" showErrorMessage="1" sqref="B81:B83 B34:B72 B12:B20" xr:uid="{00000000-0002-0000-19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7">
    <pageSetUpPr fitToPage="1"/>
  </sheetPr>
  <dimension ref="A12:F96"/>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152</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153</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154</v>
      </c>
      <c r="C36" s="96"/>
      <c r="D36" s="96"/>
      <c r="E36" s="34">
        <f>0.25*190</f>
        <v>47.5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155</v>
      </c>
      <c r="C39" s="96"/>
      <c r="D39" s="96"/>
      <c r="E39" s="34">
        <f>0.25*190</f>
        <v>47.5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156</v>
      </c>
      <c r="C42" s="96"/>
      <c r="D42" s="96"/>
      <c r="E42" s="34">
        <f>0.5*190</f>
        <v>95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157</v>
      </c>
      <c r="C45" s="96"/>
      <c r="D45" s="96"/>
      <c r="E45" s="34">
        <f>0.25*190</f>
        <v>47.5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61"/>
      <c r="C50" s="61"/>
      <c r="D50" s="61"/>
      <c r="E50" s="34"/>
      <c r="F50" s="27"/>
    </row>
    <row r="51" spans="1:6" ht="14.25" x14ac:dyDescent="0.2">
      <c r="A51" s="27"/>
      <c r="B51" s="96"/>
      <c r="C51" s="96"/>
      <c r="D51" s="96"/>
      <c r="E51" s="34"/>
      <c r="F51" s="27"/>
    </row>
    <row r="52" spans="1:6" ht="14.25" x14ac:dyDescent="0.2">
      <c r="A52" s="27"/>
      <c r="B52" s="61"/>
      <c r="C52" s="61"/>
      <c r="D52" s="61"/>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3.5" customHeight="1" x14ac:dyDescent="0.2">
      <c r="A72" s="27"/>
      <c r="B72" s="96"/>
      <c r="C72" s="96"/>
      <c r="D72" s="96"/>
      <c r="E72" s="34"/>
      <c r="F72" s="27"/>
    </row>
    <row r="73" spans="1:6" ht="13.5" customHeight="1" x14ac:dyDescent="0.2">
      <c r="A73" s="27"/>
      <c r="B73" s="31" t="s">
        <v>20</v>
      </c>
      <c r="C73" s="32"/>
      <c r="D73" s="32"/>
      <c r="E73" s="35">
        <f>SUM(E36:E72)</f>
        <v>237.5</v>
      </c>
      <c r="F73" s="27"/>
    </row>
    <row r="74" spans="1:6" ht="13.5" customHeight="1" x14ac:dyDescent="0.2">
      <c r="A74" s="27"/>
      <c r="B74" s="40" t="s">
        <v>17</v>
      </c>
      <c r="C74" s="32"/>
      <c r="D74" s="32"/>
      <c r="E74" s="36">
        <v>0</v>
      </c>
      <c r="F74" s="27"/>
    </row>
    <row r="75" spans="1:6" ht="13.5" customHeight="1" x14ac:dyDescent="0.2">
      <c r="A75" s="27"/>
      <c r="B75" s="40" t="s">
        <v>76</v>
      </c>
      <c r="C75" s="32"/>
      <c r="D75" s="32"/>
      <c r="E75" s="36">
        <v>0</v>
      </c>
      <c r="F75" s="27"/>
    </row>
    <row r="76" spans="1:6" ht="13.5" customHeight="1" x14ac:dyDescent="0.2">
      <c r="A76" s="27"/>
      <c r="B76" s="31" t="s">
        <v>19</v>
      </c>
      <c r="C76" s="32"/>
      <c r="D76" s="32"/>
      <c r="E76" s="35">
        <f>SUM(E73:E75)</f>
        <v>237.5</v>
      </c>
      <c r="F76" s="27"/>
    </row>
    <row r="77" spans="1:6" ht="13.5" customHeight="1" x14ac:dyDescent="0.2">
      <c r="A77" s="27"/>
      <c r="B77" s="32" t="s">
        <v>5</v>
      </c>
      <c r="C77" s="37">
        <v>0.05</v>
      </c>
      <c r="D77" s="32"/>
      <c r="E77" s="41">
        <f>ROUND(E76*C77,2)</f>
        <v>11.88</v>
      </c>
      <c r="F77" s="27"/>
    </row>
    <row r="78" spans="1:6" ht="13.5" customHeight="1" x14ac:dyDescent="0.2">
      <c r="A78" s="27"/>
      <c r="B78" s="32" t="s">
        <v>4</v>
      </c>
      <c r="C78" s="37">
        <v>9.5000000000000001E-2</v>
      </c>
      <c r="D78" s="32"/>
      <c r="E78" s="42">
        <f>ROUND((E76+E77)*C78,2)</f>
        <v>23.69</v>
      </c>
      <c r="F78" s="27"/>
    </row>
    <row r="79" spans="1:6" ht="13.5" customHeight="1" x14ac:dyDescent="0.2">
      <c r="A79" s="27"/>
      <c r="B79" s="32"/>
      <c r="C79" s="32"/>
      <c r="D79" s="32"/>
      <c r="E79" s="38"/>
      <c r="F79" s="27"/>
    </row>
    <row r="80" spans="1:6" ht="16.5" customHeight="1" thickBot="1" x14ac:dyDescent="0.25">
      <c r="A80" s="27"/>
      <c r="B80" s="31" t="s">
        <v>21</v>
      </c>
      <c r="C80" s="32"/>
      <c r="D80" s="32"/>
      <c r="E80" s="39">
        <f>SUM(E76:E78)</f>
        <v>273.07</v>
      </c>
      <c r="F80" s="27"/>
    </row>
    <row r="81" spans="1:6" ht="15.75" thickTop="1" x14ac:dyDescent="0.2">
      <c r="A81" s="27"/>
      <c r="B81" s="98"/>
      <c r="C81" s="98"/>
      <c r="D81" s="98"/>
      <c r="E81" s="43"/>
      <c r="F81" s="27"/>
    </row>
    <row r="82" spans="1:6" ht="15" x14ac:dyDescent="0.2">
      <c r="A82" s="27"/>
      <c r="B82" s="97" t="s">
        <v>23</v>
      </c>
      <c r="C82" s="97"/>
      <c r="D82" s="97"/>
      <c r="E82" s="43">
        <v>0</v>
      </c>
      <c r="F82" s="27"/>
    </row>
    <row r="83" spans="1:6" ht="15" x14ac:dyDescent="0.2">
      <c r="A83" s="27"/>
      <c r="B83" s="98"/>
      <c r="C83" s="98"/>
      <c r="D83" s="98"/>
      <c r="E83" s="43"/>
      <c r="F83" s="27"/>
    </row>
    <row r="84" spans="1:6" ht="19.5" customHeight="1" x14ac:dyDescent="0.2">
      <c r="A84" s="27"/>
      <c r="B84" s="44" t="s">
        <v>22</v>
      </c>
      <c r="C84" s="45"/>
      <c r="D84" s="45"/>
      <c r="E84" s="46">
        <f>E80-E82</f>
        <v>273.07</v>
      </c>
      <c r="F84" s="27"/>
    </row>
    <row r="85" spans="1:6" ht="13.5" customHeight="1" x14ac:dyDescent="0.2">
      <c r="A85" s="27"/>
      <c r="B85" s="27"/>
      <c r="C85" s="27"/>
      <c r="D85" s="27"/>
      <c r="E85" s="27"/>
      <c r="F85" s="27"/>
    </row>
    <row r="86" spans="1:6" x14ac:dyDescent="0.2">
      <c r="A86" s="27"/>
      <c r="B86" s="27"/>
      <c r="C86" s="27"/>
      <c r="D86" s="27"/>
      <c r="E86" s="27"/>
      <c r="F86" s="27"/>
    </row>
    <row r="87" spans="1:6" x14ac:dyDescent="0.2">
      <c r="A87" s="27"/>
      <c r="B87" s="102"/>
      <c r="C87" s="102"/>
      <c r="D87" s="102"/>
      <c r="E87" s="102"/>
      <c r="F87" s="27"/>
    </row>
    <row r="88" spans="1:6" ht="14.25" x14ac:dyDescent="0.2">
      <c r="A88" s="95" t="s">
        <v>24</v>
      </c>
      <c r="B88" s="95"/>
      <c r="C88" s="95"/>
      <c r="D88" s="95"/>
      <c r="E88" s="95"/>
      <c r="F88" s="95"/>
    </row>
    <row r="89" spans="1:6" ht="14.25" x14ac:dyDescent="0.2">
      <c r="A89" s="93" t="s">
        <v>7</v>
      </c>
      <c r="B89" s="93"/>
      <c r="C89" s="93"/>
      <c r="D89" s="93"/>
      <c r="E89" s="93"/>
      <c r="F89" s="93"/>
    </row>
    <row r="90" spans="1:6" x14ac:dyDescent="0.2">
      <c r="A90" s="27"/>
      <c r="B90" s="27"/>
      <c r="C90" s="27"/>
      <c r="D90" s="27"/>
      <c r="E90" s="27"/>
      <c r="F90" s="27"/>
    </row>
    <row r="91" spans="1:6" x14ac:dyDescent="0.2">
      <c r="A91" s="27"/>
      <c r="B91" s="103"/>
      <c r="C91" s="103"/>
      <c r="D91" s="103"/>
      <c r="E91" s="103"/>
      <c r="F91" s="27"/>
    </row>
    <row r="92" spans="1:6" ht="15" x14ac:dyDescent="0.2">
      <c r="A92" s="94" t="s">
        <v>8</v>
      </c>
      <c r="B92" s="94"/>
      <c r="C92" s="94"/>
      <c r="D92" s="94"/>
      <c r="E92" s="94"/>
      <c r="F92" s="94"/>
    </row>
    <row r="94" spans="1:6" ht="39.75" customHeight="1" x14ac:dyDescent="0.2">
      <c r="B94" s="100"/>
      <c r="C94" s="101"/>
      <c r="D94" s="101"/>
    </row>
    <row r="95" spans="1:6" ht="13.5" customHeight="1" x14ac:dyDescent="0.2"/>
    <row r="96" spans="1:6" x14ac:dyDescent="0.2">
      <c r="B96" s="19"/>
      <c r="C96" s="19"/>
      <c r="D96" s="19"/>
    </row>
  </sheetData>
  <mergeCells count="47">
    <mergeCell ref="B38:D38"/>
    <mergeCell ref="A31:F31"/>
    <mergeCell ref="B34:D34"/>
    <mergeCell ref="B35:D35"/>
    <mergeCell ref="B36:D36"/>
    <mergeCell ref="B37:D37"/>
    <mergeCell ref="B51:D51"/>
    <mergeCell ref="B39:D39"/>
    <mergeCell ref="B40:D40"/>
    <mergeCell ref="B41:D41"/>
    <mergeCell ref="B42:D42"/>
    <mergeCell ref="B43:D43"/>
    <mergeCell ref="B44:D44"/>
    <mergeCell ref="B45:D45"/>
    <mergeCell ref="B46:D46"/>
    <mergeCell ref="B47:D47"/>
    <mergeCell ref="B48:D48"/>
    <mergeCell ref="B49:D49"/>
    <mergeCell ref="B64:D64"/>
    <mergeCell ref="B53:D53"/>
    <mergeCell ref="B54:D54"/>
    <mergeCell ref="B55:D55"/>
    <mergeCell ref="B56:D56"/>
    <mergeCell ref="B57:D57"/>
    <mergeCell ref="B58:D58"/>
    <mergeCell ref="B59:D59"/>
    <mergeCell ref="B60:D60"/>
    <mergeCell ref="B61:D61"/>
    <mergeCell ref="B62:D62"/>
    <mergeCell ref="B63:D63"/>
    <mergeCell ref="B87:E87"/>
    <mergeCell ref="B65:D65"/>
    <mergeCell ref="B66:D66"/>
    <mergeCell ref="B67:D67"/>
    <mergeCell ref="B68:D68"/>
    <mergeCell ref="B69:D69"/>
    <mergeCell ref="B70:D70"/>
    <mergeCell ref="B71:D71"/>
    <mergeCell ref="B72:D72"/>
    <mergeCell ref="B81:D81"/>
    <mergeCell ref="B82:D82"/>
    <mergeCell ref="B83:D83"/>
    <mergeCell ref="A88:F88"/>
    <mergeCell ref="A89:F89"/>
    <mergeCell ref="B91:E91"/>
    <mergeCell ref="A92:F92"/>
    <mergeCell ref="B94:D94"/>
  </mergeCells>
  <dataValidations count="1">
    <dataValidation type="list" allowBlank="1" showInputMessage="1" showErrorMessage="1" sqref="B81:B83 B34:B72 B12:B20" xr:uid="{00000000-0002-0000-1A00-000000000000}">
      <formula1>Liste_Activités</formula1>
    </dataValidation>
  </dataValidations>
  <pageMargins left="0" right="0" top="0" bottom="0" header="0" footer="0"/>
  <pageSetup paperSize="119" scale="62"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9">
    <pageSetUpPr fitToPage="1"/>
  </sheetPr>
  <dimension ref="A12:F96"/>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158</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160</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159</v>
      </c>
      <c r="C36" s="96"/>
      <c r="D36" s="96"/>
      <c r="E36" s="34">
        <f>0.75*190</f>
        <v>142.5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62"/>
      <c r="C50" s="62"/>
      <c r="D50" s="62"/>
      <c r="E50" s="34"/>
      <c r="F50" s="27"/>
    </row>
    <row r="51" spans="1:6" ht="14.25" x14ac:dyDescent="0.2">
      <c r="A51" s="27"/>
      <c r="B51" s="96"/>
      <c r="C51" s="96"/>
      <c r="D51" s="96"/>
      <c r="E51" s="34"/>
      <c r="F51" s="27"/>
    </row>
    <row r="52" spans="1:6" ht="14.25" x14ac:dyDescent="0.2">
      <c r="A52" s="27"/>
      <c r="B52" s="62"/>
      <c r="C52" s="62"/>
      <c r="D52" s="62"/>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3.5" customHeight="1" x14ac:dyDescent="0.2">
      <c r="A72" s="27"/>
      <c r="B72" s="96"/>
      <c r="C72" s="96"/>
      <c r="D72" s="96"/>
      <c r="E72" s="34"/>
      <c r="F72" s="27"/>
    </row>
    <row r="73" spans="1:6" ht="13.5" customHeight="1" x14ac:dyDescent="0.2">
      <c r="A73" s="27"/>
      <c r="B73" s="31" t="s">
        <v>20</v>
      </c>
      <c r="C73" s="32"/>
      <c r="D73" s="32"/>
      <c r="E73" s="35">
        <f>SUM(E36:E72)</f>
        <v>142.5</v>
      </c>
      <c r="F73" s="27"/>
    </row>
    <row r="74" spans="1:6" ht="13.5" customHeight="1" x14ac:dyDescent="0.2">
      <c r="A74" s="27"/>
      <c r="B74" s="40" t="s">
        <v>17</v>
      </c>
      <c r="C74" s="32"/>
      <c r="D74" s="32"/>
      <c r="E74" s="36">
        <v>0</v>
      </c>
      <c r="F74" s="27"/>
    </row>
    <row r="75" spans="1:6" ht="13.5" customHeight="1" x14ac:dyDescent="0.2">
      <c r="A75" s="27"/>
      <c r="B75" s="40" t="s">
        <v>76</v>
      </c>
      <c r="C75" s="32"/>
      <c r="D75" s="32"/>
      <c r="E75" s="36">
        <v>0</v>
      </c>
      <c r="F75" s="27"/>
    </row>
    <row r="76" spans="1:6" ht="13.5" customHeight="1" x14ac:dyDescent="0.2">
      <c r="A76" s="27"/>
      <c r="B76" s="31" t="s">
        <v>19</v>
      </c>
      <c r="C76" s="32"/>
      <c r="D76" s="32"/>
      <c r="E76" s="35">
        <f>SUM(E73:E75)</f>
        <v>142.5</v>
      </c>
      <c r="F76" s="27"/>
    </row>
    <row r="77" spans="1:6" ht="13.5" customHeight="1" x14ac:dyDescent="0.2">
      <c r="A77" s="27"/>
      <c r="B77" s="32" t="s">
        <v>5</v>
      </c>
      <c r="C77" s="37">
        <v>0.05</v>
      </c>
      <c r="D77" s="32"/>
      <c r="E77" s="41">
        <f>ROUND(E76*C77,2)</f>
        <v>7.13</v>
      </c>
      <c r="F77" s="27"/>
    </row>
    <row r="78" spans="1:6" ht="13.5" customHeight="1" x14ac:dyDescent="0.2">
      <c r="A78" s="27"/>
      <c r="B78" s="32" t="s">
        <v>4</v>
      </c>
      <c r="C78" s="64">
        <v>9.9750000000000005E-2</v>
      </c>
      <c r="D78" s="32"/>
      <c r="E78" s="42">
        <f>ROUND(E76*C78,2)</f>
        <v>14.21</v>
      </c>
      <c r="F78" s="27"/>
    </row>
    <row r="79" spans="1:6" ht="13.5" customHeight="1" x14ac:dyDescent="0.2">
      <c r="A79" s="27"/>
      <c r="B79" s="32"/>
      <c r="C79" s="32"/>
      <c r="D79" s="32"/>
      <c r="E79" s="38"/>
      <c r="F79" s="27"/>
    </row>
    <row r="80" spans="1:6" ht="16.5" customHeight="1" thickBot="1" x14ac:dyDescent="0.25">
      <c r="A80" s="27"/>
      <c r="B80" s="31" t="s">
        <v>21</v>
      </c>
      <c r="C80" s="32"/>
      <c r="D80" s="32"/>
      <c r="E80" s="39">
        <f>SUM(E76:E78)</f>
        <v>163.84</v>
      </c>
      <c r="F80" s="27"/>
    </row>
    <row r="81" spans="1:6" ht="15.75" thickTop="1" x14ac:dyDescent="0.2">
      <c r="A81" s="27"/>
      <c r="B81" s="98"/>
      <c r="C81" s="98"/>
      <c r="D81" s="98"/>
      <c r="E81" s="43"/>
      <c r="F81" s="27"/>
    </row>
    <row r="82" spans="1:6" ht="15" x14ac:dyDescent="0.2">
      <c r="A82" s="27"/>
      <c r="B82" s="97" t="s">
        <v>23</v>
      </c>
      <c r="C82" s="97"/>
      <c r="D82" s="97"/>
      <c r="E82" s="43">
        <v>0</v>
      </c>
      <c r="F82" s="27"/>
    </row>
    <row r="83" spans="1:6" ht="15" x14ac:dyDescent="0.2">
      <c r="A83" s="27"/>
      <c r="B83" s="98"/>
      <c r="C83" s="98"/>
      <c r="D83" s="98"/>
      <c r="E83" s="43"/>
      <c r="F83" s="27"/>
    </row>
    <row r="84" spans="1:6" ht="19.5" customHeight="1" x14ac:dyDescent="0.2">
      <c r="A84" s="27"/>
      <c r="B84" s="44" t="s">
        <v>22</v>
      </c>
      <c r="C84" s="45"/>
      <c r="D84" s="45"/>
      <c r="E84" s="46">
        <f>E80-E82</f>
        <v>163.84</v>
      </c>
      <c r="F84" s="27"/>
    </row>
    <row r="85" spans="1:6" ht="13.5" customHeight="1" x14ac:dyDescent="0.2">
      <c r="A85" s="27"/>
      <c r="B85" s="27"/>
      <c r="C85" s="27"/>
      <c r="D85" s="27"/>
      <c r="E85" s="27"/>
      <c r="F85" s="27"/>
    </row>
    <row r="86" spans="1:6" x14ac:dyDescent="0.2">
      <c r="A86" s="27"/>
      <c r="B86" s="27"/>
      <c r="C86" s="27"/>
      <c r="D86" s="27"/>
      <c r="E86" s="27"/>
      <c r="F86" s="27"/>
    </row>
    <row r="87" spans="1:6" x14ac:dyDescent="0.2">
      <c r="A87" s="27"/>
      <c r="B87" s="102"/>
      <c r="C87" s="102"/>
      <c r="D87" s="102"/>
      <c r="E87" s="102"/>
      <c r="F87" s="27"/>
    </row>
    <row r="88" spans="1:6" ht="14.25" x14ac:dyDescent="0.2">
      <c r="A88" s="95" t="s">
        <v>24</v>
      </c>
      <c r="B88" s="95"/>
      <c r="C88" s="95"/>
      <c r="D88" s="95"/>
      <c r="E88" s="95"/>
      <c r="F88" s="95"/>
    </row>
    <row r="89" spans="1:6" ht="14.25" x14ac:dyDescent="0.2">
      <c r="A89" s="93" t="s">
        <v>7</v>
      </c>
      <c r="B89" s="93"/>
      <c r="C89" s="93"/>
      <c r="D89" s="93"/>
      <c r="E89" s="93"/>
      <c r="F89" s="93"/>
    </row>
    <row r="90" spans="1:6" x14ac:dyDescent="0.2">
      <c r="A90" s="27"/>
      <c r="B90" s="27"/>
      <c r="C90" s="27"/>
      <c r="D90" s="27"/>
      <c r="E90" s="27"/>
      <c r="F90" s="27"/>
    </row>
    <row r="91" spans="1:6" x14ac:dyDescent="0.2">
      <c r="A91" s="27"/>
      <c r="B91" s="103"/>
      <c r="C91" s="103"/>
      <c r="D91" s="103"/>
      <c r="E91" s="103"/>
      <c r="F91" s="27"/>
    </row>
    <row r="92" spans="1:6" ht="15" x14ac:dyDescent="0.2">
      <c r="A92" s="94" t="s">
        <v>8</v>
      </c>
      <c r="B92" s="94"/>
      <c r="C92" s="94"/>
      <c r="D92" s="94"/>
      <c r="E92" s="94"/>
      <c r="F92" s="94"/>
    </row>
    <row r="94" spans="1:6" ht="39.75" customHeight="1" x14ac:dyDescent="0.2">
      <c r="B94" s="100"/>
      <c r="C94" s="101"/>
      <c r="D94" s="101"/>
    </row>
    <row r="95" spans="1:6" ht="13.5" customHeight="1" x14ac:dyDescent="0.2"/>
    <row r="96" spans="1:6" x14ac:dyDescent="0.2">
      <c r="B96" s="19"/>
      <c r="C96" s="19"/>
      <c r="D96" s="19"/>
    </row>
  </sheetData>
  <mergeCells count="47">
    <mergeCell ref="A88:F88"/>
    <mergeCell ref="A89:F89"/>
    <mergeCell ref="B91:E91"/>
    <mergeCell ref="A92:F92"/>
    <mergeCell ref="B94:D94"/>
    <mergeCell ref="B87:E87"/>
    <mergeCell ref="B65:D65"/>
    <mergeCell ref="B66:D66"/>
    <mergeCell ref="B67:D67"/>
    <mergeCell ref="B68:D68"/>
    <mergeCell ref="B69:D69"/>
    <mergeCell ref="B70:D70"/>
    <mergeCell ref="B71:D71"/>
    <mergeCell ref="B72:D72"/>
    <mergeCell ref="B81:D81"/>
    <mergeCell ref="B82:D82"/>
    <mergeCell ref="B83:D83"/>
    <mergeCell ref="B64:D64"/>
    <mergeCell ref="B53:D53"/>
    <mergeCell ref="B54:D54"/>
    <mergeCell ref="B55:D55"/>
    <mergeCell ref="B56:D56"/>
    <mergeCell ref="B57:D57"/>
    <mergeCell ref="B58:D58"/>
    <mergeCell ref="B59:D59"/>
    <mergeCell ref="B60:D60"/>
    <mergeCell ref="B61:D61"/>
    <mergeCell ref="B62:D62"/>
    <mergeCell ref="B63:D63"/>
    <mergeCell ref="B51:D51"/>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1B00-000000000000}">
      <formula1>Liste_Activités</formula1>
    </dataValidation>
  </dataValidations>
  <pageMargins left="0" right="0" top="0" bottom="0" header="0" footer="0"/>
  <pageSetup paperSize="122" scale="48"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2:F97"/>
  <sheetViews>
    <sheetView view="pageBreakPreview" topLeftCell="A25"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161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162</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163</v>
      </c>
      <c r="C36" s="96"/>
      <c r="D36" s="96"/>
      <c r="E36" s="34">
        <f>0.25*225</f>
        <v>56.25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164</v>
      </c>
      <c r="C39" s="96"/>
      <c r="D39" s="96"/>
      <c r="E39" s="34">
        <f>0.25*225</f>
        <v>56.25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165</v>
      </c>
      <c r="C42" s="96"/>
      <c r="D42" s="96"/>
      <c r="E42" s="34">
        <f>0.25*225</f>
        <v>56.25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166</v>
      </c>
      <c r="C45" s="96"/>
      <c r="D45" s="96"/>
      <c r="E45" s="34">
        <f>0.75*225</f>
        <v>168.75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63"/>
      <c r="C50" s="63"/>
      <c r="D50" s="63"/>
      <c r="E50" s="34"/>
      <c r="F50" s="27"/>
    </row>
    <row r="51" spans="1:6" ht="14.25" x14ac:dyDescent="0.2">
      <c r="A51" s="27"/>
      <c r="B51" s="63"/>
      <c r="C51" s="63"/>
      <c r="D51" s="63"/>
      <c r="E51" s="34"/>
      <c r="F51" s="27"/>
    </row>
    <row r="52" spans="1:6" ht="14.25" x14ac:dyDescent="0.2">
      <c r="A52" s="27"/>
      <c r="B52" s="96"/>
      <c r="C52" s="96"/>
      <c r="D52" s="96"/>
      <c r="E52" s="34"/>
      <c r="F52" s="27"/>
    </row>
    <row r="53" spans="1:6" ht="14.25" x14ac:dyDescent="0.2">
      <c r="A53" s="27"/>
      <c r="B53" s="63"/>
      <c r="C53" s="63"/>
      <c r="D53" s="63"/>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337.5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337.5</v>
      </c>
      <c r="F77" s="27"/>
    </row>
    <row r="78" spans="1:6" ht="13.5" customHeight="1" x14ac:dyDescent="0.2">
      <c r="A78" s="27"/>
      <c r="B78" s="32" t="s">
        <v>5</v>
      </c>
      <c r="C78" s="37">
        <v>0.05</v>
      </c>
      <c r="D78" s="32"/>
      <c r="E78" s="41">
        <f>ROUND(E77*C78,2)</f>
        <v>16.88</v>
      </c>
      <c r="F78" s="27"/>
    </row>
    <row r="79" spans="1:6" ht="13.5" customHeight="1" x14ac:dyDescent="0.2">
      <c r="A79" s="27"/>
      <c r="B79" s="32" t="s">
        <v>4</v>
      </c>
      <c r="C79" s="64">
        <v>9.9750000000000005E-2</v>
      </c>
      <c r="D79" s="32"/>
      <c r="E79" s="42">
        <f>ROUND(E77*C79,2)</f>
        <v>33.67</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388.05</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388.05</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7">
    <mergeCell ref="B38:D38"/>
    <mergeCell ref="A31:F31"/>
    <mergeCell ref="B34:D34"/>
    <mergeCell ref="B35:D35"/>
    <mergeCell ref="B36:D36"/>
    <mergeCell ref="B37:D37"/>
    <mergeCell ref="B52:D52"/>
    <mergeCell ref="B39:D39"/>
    <mergeCell ref="B40:D40"/>
    <mergeCell ref="B41:D41"/>
    <mergeCell ref="B42:D42"/>
    <mergeCell ref="B43:D43"/>
    <mergeCell ref="B44:D44"/>
    <mergeCell ref="B45:D45"/>
    <mergeCell ref="B46:D46"/>
    <mergeCell ref="B47:D47"/>
    <mergeCell ref="B48:D48"/>
    <mergeCell ref="B49:D49"/>
    <mergeCell ref="B65:D65"/>
    <mergeCell ref="B54:D54"/>
    <mergeCell ref="B55:D55"/>
    <mergeCell ref="B56:D56"/>
    <mergeCell ref="B57:D57"/>
    <mergeCell ref="B58:D58"/>
    <mergeCell ref="B59:D59"/>
    <mergeCell ref="B60:D60"/>
    <mergeCell ref="B61:D61"/>
    <mergeCell ref="B62:D62"/>
    <mergeCell ref="B63:D63"/>
    <mergeCell ref="B64:D64"/>
    <mergeCell ref="B88:E88"/>
    <mergeCell ref="B66:D66"/>
    <mergeCell ref="B67:D67"/>
    <mergeCell ref="B68:D68"/>
    <mergeCell ref="B69:D69"/>
    <mergeCell ref="B70:D70"/>
    <mergeCell ref="B71:D71"/>
    <mergeCell ref="B72:D72"/>
    <mergeCell ref="B73:D73"/>
    <mergeCell ref="B82:D82"/>
    <mergeCell ref="B83:D83"/>
    <mergeCell ref="B84:D84"/>
    <mergeCell ref="A89:F89"/>
    <mergeCell ref="A90:F90"/>
    <mergeCell ref="B92:E92"/>
    <mergeCell ref="A93:F93"/>
    <mergeCell ref="B95:D95"/>
  </mergeCells>
  <dataValidations count="1">
    <dataValidation type="list" allowBlank="1" showInputMessage="1" showErrorMessage="1" sqref="B82:B84 B12:B20 B34:B73" xr:uid="{00000000-0002-0000-1C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36</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37</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38</v>
      </c>
      <c r="C36" s="96"/>
      <c r="D36" s="96"/>
      <c r="E36" s="34">
        <f>2.75*175</f>
        <v>481.25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481.25</v>
      </c>
      <c r="F75" s="27"/>
    </row>
    <row r="76" spans="1:6" ht="13.5" customHeight="1" x14ac:dyDescent="0.2">
      <c r="A76" s="27"/>
      <c r="B76" s="40" t="s">
        <v>17</v>
      </c>
      <c r="C76" s="32"/>
      <c r="D76" s="32"/>
      <c r="E76" s="36">
        <v>0</v>
      </c>
      <c r="F76" s="27"/>
    </row>
    <row r="77" spans="1:6" ht="13.5" customHeight="1" x14ac:dyDescent="0.2">
      <c r="A77" s="27"/>
      <c r="B77" s="40" t="s">
        <v>18</v>
      </c>
      <c r="C77" s="32"/>
      <c r="D77" s="32"/>
      <c r="E77" s="36">
        <v>0</v>
      </c>
      <c r="F77" s="27"/>
    </row>
    <row r="78" spans="1:6" ht="13.5" customHeight="1" x14ac:dyDescent="0.2">
      <c r="A78" s="27"/>
      <c r="B78" s="31" t="s">
        <v>19</v>
      </c>
      <c r="C78" s="32"/>
      <c r="D78" s="32"/>
      <c r="E78" s="35">
        <f>SUM(E75:E77)</f>
        <v>481.25</v>
      </c>
      <c r="F78" s="27"/>
    </row>
    <row r="79" spans="1:6" ht="13.5" customHeight="1" x14ac:dyDescent="0.2">
      <c r="A79" s="27"/>
      <c r="B79" s="32" t="s">
        <v>5</v>
      </c>
      <c r="C79" s="37">
        <v>0.05</v>
      </c>
      <c r="D79" s="32"/>
      <c r="E79" s="41">
        <f>ROUND(E78*C79,2)</f>
        <v>24.06</v>
      </c>
      <c r="F79" s="27"/>
    </row>
    <row r="80" spans="1:6" ht="13.5" customHeight="1" x14ac:dyDescent="0.2">
      <c r="A80" s="27"/>
      <c r="B80" s="32" t="s">
        <v>4</v>
      </c>
      <c r="C80" s="37">
        <v>7.4999999999999997E-2</v>
      </c>
      <c r="D80" s="32"/>
      <c r="E80" s="42">
        <f>ROUND((E78+E79)*C80,2)</f>
        <v>37.9</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543.21</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543.21</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2:F97"/>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167</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168</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169</v>
      </c>
      <c r="C36" s="96"/>
      <c r="D36" s="96"/>
      <c r="E36" s="34">
        <f>0.25*225</f>
        <v>56.25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170</v>
      </c>
      <c r="C39" s="96"/>
      <c r="D39" s="96"/>
      <c r="E39" s="34">
        <f>0.75*225</f>
        <v>168.75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171</v>
      </c>
      <c r="C42" s="96"/>
      <c r="D42" s="96"/>
      <c r="E42" s="34">
        <f>0.2*225</f>
        <v>45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65"/>
      <c r="C50" s="65"/>
      <c r="D50" s="65"/>
      <c r="E50" s="34"/>
      <c r="F50" s="27"/>
    </row>
    <row r="51" spans="1:6" ht="14.25" x14ac:dyDescent="0.2">
      <c r="A51" s="27"/>
      <c r="B51" s="65"/>
      <c r="C51" s="65"/>
      <c r="D51" s="65"/>
      <c r="E51" s="34"/>
      <c r="F51" s="27"/>
    </row>
    <row r="52" spans="1:6" ht="14.25" x14ac:dyDescent="0.2">
      <c r="A52" s="27"/>
      <c r="B52" s="96"/>
      <c r="C52" s="96"/>
      <c r="D52" s="96"/>
      <c r="E52" s="34"/>
      <c r="F52" s="27"/>
    </row>
    <row r="53" spans="1:6" ht="14.25" x14ac:dyDescent="0.2">
      <c r="A53" s="27"/>
      <c r="B53" s="65"/>
      <c r="C53" s="65"/>
      <c r="D53" s="65"/>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270</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270</v>
      </c>
      <c r="F77" s="27"/>
    </row>
    <row r="78" spans="1:6" ht="13.5" customHeight="1" x14ac:dyDescent="0.2">
      <c r="A78" s="27"/>
      <c r="B78" s="32" t="s">
        <v>5</v>
      </c>
      <c r="C78" s="37">
        <v>0.05</v>
      </c>
      <c r="D78" s="32"/>
      <c r="E78" s="41">
        <f>ROUND(E77*C78,2)</f>
        <v>13.5</v>
      </c>
      <c r="F78" s="27"/>
    </row>
    <row r="79" spans="1:6" ht="13.5" customHeight="1" x14ac:dyDescent="0.2">
      <c r="A79" s="27"/>
      <c r="B79" s="32" t="s">
        <v>4</v>
      </c>
      <c r="C79" s="64">
        <v>9.9750000000000005E-2</v>
      </c>
      <c r="D79" s="32"/>
      <c r="E79" s="42">
        <f>ROUND(E77*C79,2)</f>
        <v>26.93</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310.43</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310.43</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7">
    <mergeCell ref="B38:D38"/>
    <mergeCell ref="A31:F31"/>
    <mergeCell ref="B34:D34"/>
    <mergeCell ref="B35:D35"/>
    <mergeCell ref="B36:D36"/>
    <mergeCell ref="B37:D37"/>
    <mergeCell ref="B52:D52"/>
    <mergeCell ref="B39:D39"/>
    <mergeCell ref="B40:D40"/>
    <mergeCell ref="B41:D41"/>
    <mergeCell ref="B42:D42"/>
    <mergeCell ref="B43:D43"/>
    <mergeCell ref="B44:D44"/>
    <mergeCell ref="B45:D45"/>
    <mergeCell ref="B46:D46"/>
    <mergeCell ref="B47:D47"/>
    <mergeCell ref="B48:D48"/>
    <mergeCell ref="B49:D49"/>
    <mergeCell ref="B65:D65"/>
    <mergeCell ref="B54:D54"/>
    <mergeCell ref="B55:D55"/>
    <mergeCell ref="B56:D56"/>
    <mergeCell ref="B57:D57"/>
    <mergeCell ref="B58:D58"/>
    <mergeCell ref="B59:D59"/>
    <mergeCell ref="B60:D60"/>
    <mergeCell ref="B61:D61"/>
    <mergeCell ref="B62:D62"/>
    <mergeCell ref="B63:D63"/>
    <mergeCell ref="B64:D64"/>
    <mergeCell ref="B88:E88"/>
    <mergeCell ref="B66:D66"/>
    <mergeCell ref="B67:D67"/>
    <mergeCell ref="B68:D68"/>
    <mergeCell ref="B69:D69"/>
    <mergeCell ref="B70:D70"/>
    <mergeCell ref="B71:D71"/>
    <mergeCell ref="B72:D72"/>
    <mergeCell ref="B73:D73"/>
    <mergeCell ref="B82:D82"/>
    <mergeCell ref="B83:D83"/>
    <mergeCell ref="B84:D84"/>
    <mergeCell ref="A89:F89"/>
    <mergeCell ref="A90:F90"/>
    <mergeCell ref="B92:E92"/>
    <mergeCell ref="A93:F93"/>
    <mergeCell ref="B95:D95"/>
  </mergeCells>
  <dataValidations count="1">
    <dataValidation type="list" allowBlank="1" showInputMessage="1" showErrorMessage="1" sqref="B82:B84 B12:B20 B34:B73" xr:uid="{00000000-0002-0000-1D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2:F97"/>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172</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173</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174</v>
      </c>
      <c r="C36" s="96"/>
      <c r="D36" s="96"/>
      <c r="E36" s="34">
        <f>1*225</f>
        <v>225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176</v>
      </c>
      <c r="C39" s="96"/>
      <c r="D39" s="96"/>
      <c r="E39" s="34">
        <f>2.75*225</f>
        <v>618.75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175</v>
      </c>
      <c r="C42" s="96"/>
      <c r="D42" s="96"/>
      <c r="E42" s="34">
        <v>225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66"/>
      <c r="C50" s="66"/>
      <c r="D50" s="66"/>
      <c r="E50" s="34"/>
      <c r="F50" s="27"/>
    </row>
    <row r="51" spans="1:6" ht="14.25" x14ac:dyDescent="0.2">
      <c r="A51" s="27"/>
      <c r="B51" s="66"/>
      <c r="C51" s="66"/>
      <c r="D51" s="66"/>
      <c r="E51" s="34"/>
      <c r="F51" s="27"/>
    </row>
    <row r="52" spans="1:6" ht="14.25" x14ac:dyDescent="0.2">
      <c r="A52" s="27"/>
      <c r="B52" s="96"/>
      <c r="C52" s="96"/>
      <c r="D52" s="96"/>
      <c r="E52" s="34"/>
      <c r="F52" s="27"/>
    </row>
    <row r="53" spans="1:6" ht="14.25" x14ac:dyDescent="0.2">
      <c r="A53" s="27"/>
      <c r="B53" s="66"/>
      <c r="C53" s="66"/>
      <c r="D53" s="6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1068.75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1068.75</v>
      </c>
      <c r="F77" s="27"/>
    </row>
    <row r="78" spans="1:6" ht="13.5" customHeight="1" x14ac:dyDescent="0.2">
      <c r="A78" s="27"/>
      <c r="B78" s="32" t="s">
        <v>5</v>
      </c>
      <c r="C78" s="37">
        <v>0.05</v>
      </c>
      <c r="D78" s="32"/>
      <c r="E78" s="41">
        <f>ROUND(E77*C78,2)</f>
        <v>53.44</v>
      </c>
      <c r="F78" s="27"/>
    </row>
    <row r="79" spans="1:6" ht="13.5" customHeight="1" x14ac:dyDescent="0.2">
      <c r="A79" s="27"/>
      <c r="B79" s="32" t="s">
        <v>4</v>
      </c>
      <c r="C79" s="64">
        <v>9.9750000000000005E-2</v>
      </c>
      <c r="D79" s="32"/>
      <c r="E79" s="42">
        <f>ROUND(E77*C79,2)</f>
        <v>106.61</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1228.8</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1228.8</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7">
    <mergeCell ref="A89:F89"/>
    <mergeCell ref="A90:F90"/>
    <mergeCell ref="B92:E92"/>
    <mergeCell ref="A93:F93"/>
    <mergeCell ref="B95:D95"/>
    <mergeCell ref="B88:E88"/>
    <mergeCell ref="B66:D66"/>
    <mergeCell ref="B67:D67"/>
    <mergeCell ref="B68:D68"/>
    <mergeCell ref="B69:D69"/>
    <mergeCell ref="B70:D70"/>
    <mergeCell ref="B71:D71"/>
    <mergeCell ref="B72:D72"/>
    <mergeCell ref="B73:D73"/>
    <mergeCell ref="B82:D82"/>
    <mergeCell ref="B83:D83"/>
    <mergeCell ref="B84:D84"/>
    <mergeCell ref="B65:D65"/>
    <mergeCell ref="B54:D54"/>
    <mergeCell ref="B55:D55"/>
    <mergeCell ref="B56:D56"/>
    <mergeCell ref="B57:D57"/>
    <mergeCell ref="B58:D58"/>
    <mergeCell ref="B59:D59"/>
    <mergeCell ref="B60:D60"/>
    <mergeCell ref="B61:D61"/>
    <mergeCell ref="B62:D62"/>
    <mergeCell ref="B63:D63"/>
    <mergeCell ref="B64:D64"/>
    <mergeCell ref="B52:D52"/>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2:B84 B12:B20 B34:B73" xr:uid="{00000000-0002-0000-1E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2:F97"/>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177</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178</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179</v>
      </c>
      <c r="C36" s="96"/>
      <c r="D36" s="96"/>
      <c r="E36" s="34">
        <f>0.75*225</f>
        <v>168.75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180</v>
      </c>
      <c r="C39" s="96"/>
      <c r="D39" s="96"/>
      <c r="E39" s="34">
        <f>1.25*225</f>
        <v>281.25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181</v>
      </c>
      <c r="C42" s="96"/>
      <c r="D42" s="96"/>
      <c r="E42" s="34">
        <f>225*0.6</f>
        <v>135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182</v>
      </c>
      <c r="C45" s="96"/>
      <c r="D45" s="96"/>
      <c r="E45" s="34">
        <f>0.25*225</f>
        <v>56.25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t="s">
        <v>183</v>
      </c>
      <c r="C48" s="96"/>
      <c r="D48" s="96"/>
      <c r="E48" s="34">
        <f>0.75*225</f>
        <v>168.75</v>
      </c>
      <c r="F48" s="27"/>
    </row>
    <row r="49" spans="1:6" ht="14.25" x14ac:dyDescent="0.2">
      <c r="A49" s="27"/>
      <c r="B49" s="96"/>
      <c r="C49" s="96"/>
      <c r="D49" s="96"/>
      <c r="E49" s="34"/>
      <c r="F49" s="27"/>
    </row>
    <row r="50" spans="1:6" ht="14.25" x14ac:dyDescent="0.2">
      <c r="A50" s="27"/>
      <c r="B50" s="67"/>
      <c r="C50" s="67"/>
      <c r="D50" s="67"/>
      <c r="E50" s="34"/>
      <c r="F50" s="27"/>
    </row>
    <row r="51" spans="1:6" ht="14.25" x14ac:dyDescent="0.2">
      <c r="A51" s="27"/>
      <c r="B51" s="67" t="s">
        <v>184</v>
      </c>
      <c r="C51" s="67"/>
      <c r="D51" s="67"/>
      <c r="E51" s="34">
        <f>0.5*225</f>
        <v>112.5</v>
      </c>
      <c r="F51" s="27"/>
    </row>
    <row r="52" spans="1:6" ht="14.25" x14ac:dyDescent="0.2">
      <c r="A52" s="27"/>
      <c r="B52" s="96"/>
      <c r="C52" s="96"/>
      <c r="D52" s="96"/>
      <c r="E52" s="34"/>
      <c r="F52" s="27"/>
    </row>
    <row r="53" spans="1:6" ht="14.25" x14ac:dyDescent="0.2">
      <c r="A53" s="27"/>
      <c r="B53" s="67"/>
      <c r="C53" s="67"/>
      <c r="D53" s="67"/>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922.5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922.5</v>
      </c>
      <c r="F77" s="27"/>
    </row>
    <row r="78" spans="1:6" ht="13.5" customHeight="1" x14ac:dyDescent="0.2">
      <c r="A78" s="27"/>
      <c r="B78" s="32" t="s">
        <v>5</v>
      </c>
      <c r="C78" s="37">
        <v>0.05</v>
      </c>
      <c r="D78" s="32"/>
      <c r="E78" s="41">
        <f>ROUND(E77*C78,2)</f>
        <v>46.13</v>
      </c>
      <c r="F78" s="27"/>
    </row>
    <row r="79" spans="1:6" ht="13.5" customHeight="1" x14ac:dyDescent="0.2">
      <c r="A79" s="27"/>
      <c r="B79" s="32" t="s">
        <v>4</v>
      </c>
      <c r="C79" s="64">
        <v>9.9750000000000005E-2</v>
      </c>
      <c r="D79" s="32"/>
      <c r="E79" s="42">
        <f>ROUND(E77*C79,2)</f>
        <v>92.02</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1060.6500000000001</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1060.6500000000001</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7">
    <mergeCell ref="B38:D38"/>
    <mergeCell ref="A31:F31"/>
    <mergeCell ref="B34:D34"/>
    <mergeCell ref="B35:D35"/>
    <mergeCell ref="B36:D36"/>
    <mergeCell ref="B37:D37"/>
    <mergeCell ref="B52:D52"/>
    <mergeCell ref="B39:D39"/>
    <mergeCell ref="B40:D40"/>
    <mergeCell ref="B41:D41"/>
    <mergeCell ref="B42:D42"/>
    <mergeCell ref="B43:D43"/>
    <mergeCell ref="B44:D44"/>
    <mergeCell ref="B45:D45"/>
    <mergeCell ref="B46:D46"/>
    <mergeCell ref="B47:D47"/>
    <mergeCell ref="B48:D48"/>
    <mergeCell ref="B49:D49"/>
    <mergeCell ref="B65:D65"/>
    <mergeCell ref="B54:D54"/>
    <mergeCell ref="B55:D55"/>
    <mergeCell ref="B56:D56"/>
    <mergeCell ref="B57:D57"/>
    <mergeCell ref="B58:D58"/>
    <mergeCell ref="B59:D59"/>
    <mergeCell ref="B60:D60"/>
    <mergeCell ref="B61:D61"/>
    <mergeCell ref="B62:D62"/>
    <mergeCell ref="B63:D63"/>
    <mergeCell ref="B64:D64"/>
    <mergeCell ref="B88:E88"/>
    <mergeCell ref="B66:D66"/>
    <mergeCell ref="B67:D67"/>
    <mergeCell ref="B68:D68"/>
    <mergeCell ref="B69:D69"/>
    <mergeCell ref="B70:D70"/>
    <mergeCell ref="B71:D71"/>
    <mergeCell ref="B72:D72"/>
    <mergeCell ref="B73:D73"/>
    <mergeCell ref="B82:D82"/>
    <mergeCell ref="B83:D83"/>
    <mergeCell ref="B84:D84"/>
    <mergeCell ref="A89:F89"/>
    <mergeCell ref="A90:F90"/>
    <mergeCell ref="B92:E92"/>
    <mergeCell ref="A93:F93"/>
    <mergeCell ref="B95:D95"/>
  </mergeCells>
  <dataValidations count="1">
    <dataValidation type="list" allowBlank="1" showInputMessage="1" showErrorMessage="1" sqref="B82:B84 B12:B20 B34:B73" xr:uid="{00000000-0002-0000-1F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2:F97"/>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189</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185</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186</v>
      </c>
      <c r="C36" s="96"/>
      <c r="D36" s="96"/>
      <c r="E36" s="34">
        <f>1.25*225</f>
        <v>281.25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187</v>
      </c>
      <c r="C39" s="96"/>
      <c r="D39" s="96"/>
      <c r="E39" s="34">
        <f>1.75*225</f>
        <v>393.75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188</v>
      </c>
      <c r="C42" s="96"/>
      <c r="D42" s="96"/>
      <c r="E42" s="34">
        <f>1.5*225</f>
        <v>337.5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68"/>
      <c r="C50" s="68"/>
      <c r="D50" s="68"/>
      <c r="E50" s="34"/>
      <c r="F50" s="27"/>
    </row>
    <row r="51" spans="1:6" ht="14.25" x14ac:dyDescent="0.2">
      <c r="A51" s="27"/>
      <c r="B51" s="68"/>
      <c r="C51" s="68"/>
      <c r="D51" s="68"/>
      <c r="E51" s="34"/>
      <c r="F51" s="27"/>
    </row>
    <row r="52" spans="1:6" ht="14.25" x14ac:dyDescent="0.2">
      <c r="A52" s="27"/>
      <c r="B52" s="96"/>
      <c r="C52" s="96"/>
      <c r="D52" s="96"/>
      <c r="E52" s="34"/>
      <c r="F52" s="27"/>
    </row>
    <row r="53" spans="1:6" ht="14.25" x14ac:dyDescent="0.2">
      <c r="A53" s="27"/>
      <c r="B53" s="68"/>
      <c r="C53" s="68"/>
      <c r="D53" s="68"/>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1012.5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1012.5</v>
      </c>
      <c r="F77" s="27"/>
    </row>
    <row r="78" spans="1:6" ht="13.5" customHeight="1" x14ac:dyDescent="0.2">
      <c r="A78" s="27"/>
      <c r="B78" s="32" t="s">
        <v>5</v>
      </c>
      <c r="C78" s="37">
        <v>0.05</v>
      </c>
      <c r="D78" s="32"/>
      <c r="E78" s="41">
        <f>ROUND(E77*C78,2)</f>
        <v>50.63</v>
      </c>
      <c r="F78" s="27"/>
    </row>
    <row r="79" spans="1:6" ht="13.5" customHeight="1" x14ac:dyDescent="0.2">
      <c r="A79" s="27"/>
      <c r="B79" s="32" t="s">
        <v>4</v>
      </c>
      <c r="C79" s="64">
        <v>9.9750000000000005E-2</v>
      </c>
      <c r="D79" s="32"/>
      <c r="E79" s="42">
        <f>ROUND(E77*C79,2)</f>
        <v>101</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1164.1300000000001</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1164.1300000000001</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7">
    <mergeCell ref="A89:F89"/>
    <mergeCell ref="A90:F90"/>
    <mergeCell ref="B92:E92"/>
    <mergeCell ref="A93:F93"/>
    <mergeCell ref="B95:D95"/>
    <mergeCell ref="B88:E88"/>
    <mergeCell ref="B66:D66"/>
    <mergeCell ref="B67:D67"/>
    <mergeCell ref="B68:D68"/>
    <mergeCell ref="B69:D69"/>
    <mergeCell ref="B70:D70"/>
    <mergeCell ref="B71:D71"/>
    <mergeCell ref="B72:D72"/>
    <mergeCell ref="B73:D73"/>
    <mergeCell ref="B82:D82"/>
    <mergeCell ref="B83:D83"/>
    <mergeCell ref="B84:D84"/>
    <mergeCell ref="B65:D65"/>
    <mergeCell ref="B54:D54"/>
    <mergeCell ref="B55:D55"/>
    <mergeCell ref="B56:D56"/>
    <mergeCell ref="B57:D57"/>
    <mergeCell ref="B58:D58"/>
    <mergeCell ref="B59:D59"/>
    <mergeCell ref="B60:D60"/>
    <mergeCell ref="B61:D61"/>
    <mergeCell ref="B62:D62"/>
    <mergeCell ref="B63:D63"/>
    <mergeCell ref="B64:D64"/>
    <mergeCell ref="B52:D52"/>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2:B84 B12:B20 B34:B73" xr:uid="{00000000-0002-0000-20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2:F97"/>
  <sheetViews>
    <sheetView view="pageBreakPreview" topLeftCell="A22"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190</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191</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192</v>
      </c>
      <c r="C36" s="96"/>
      <c r="D36" s="96"/>
      <c r="E36" s="34">
        <f>0.25*225</f>
        <v>56.25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193</v>
      </c>
      <c r="C39" s="96"/>
      <c r="D39" s="96"/>
      <c r="E39" s="34">
        <f>4*225</f>
        <v>900</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194</v>
      </c>
      <c r="C42" s="96"/>
      <c r="D42" s="96"/>
      <c r="E42" s="34">
        <f>1.5*225</f>
        <v>337.5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195</v>
      </c>
      <c r="C45" s="96"/>
      <c r="D45" s="96"/>
      <c r="E45" s="34">
        <f>0.5*225</f>
        <v>112.5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t="s">
        <v>196</v>
      </c>
      <c r="C48" s="96"/>
      <c r="D48" s="96"/>
      <c r="E48" s="34">
        <f>0.25*225</f>
        <v>56.25</v>
      </c>
      <c r="F48" s="27"/>
    </row>
    <row r="49" spans="1:6" ht="14.25" x14ac:dyDescent="0.2">
      <c r="A49" s="27"/>
      <c r="B49" s="96"/>
      <c r="C49" s="96"/>
      <c r="D49" s="96"/>
      <c r="E49" s="34"/>
      <c r="F49" s="27"/>
    </row>
    <row r="50" spans="1:6" ht="14.25" x14ac:dyDescent="0.2">
      <c r="A50" s="27"/>
      <c r="B50" s="69"/>
      <c r="C50" s="69"/>
      <c r="D50" s="69"/>
      <c r="E50" s="34"/>
      <c r="F50" s="27"/>
    </row>
    <row r="51" spans="1:6" ht="14.25" x14ac:dyDescent="0.2">
      <c r="A51" s="27"/>
      <c r="B51" s="96" t="s">
        <v>197</v>
      </c>
      <c r="C51" s="96"/>
      <c r="D51" s="96"/>
      <c r="E51" s="34">
        <f>0.25*225</f>
        <v>56.25</v>
      </c>
      <c r="F51" s="27"/>
    </row>
    <row r="52" spans="1:6" ht="14.25" x14ac:dyDescent="0.2">
      <c r="A52" s="27"/>
      <c r="B52" s="96"/>
      <c r="C52" s="96"/>
      <c r="D52" s="96"/>
      <c r="E52" s="34"/>
      <c r="F52" s="27"/>
    </row>
    <row r="53" spans="1:6" ht="14.25" x14ac:dyDescent="0.2">
      <c r="A53" s="27"/>
      <c r="B53" s="69"/>
      <c r="C53" s="69"/>
      <c r="D53" s="69"/>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1518.75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1518.75</v>
      </c>
      <c r="F77" s="27"/>
    </row>
    <row r="78" spans="1:6" ht="13.5" customHeight="1" x14ac:dyDescent="0.2">
      <c r="A78" s="27"/>
      <c r="B78" s="32" t="s">
        <v>5</v>
      </c>
      <c r="C78" s="37">
        <v>0.05</v>
      </c>
      <c r="D78" s="32"/>
      <c r="E78" s="41">
        <f>ROUND(E77*C78,2)</f>
        <v>75.94</v>
      </c>
      <c r="F78" s="27"/>
    </row>
    <row r="79" spans="1:6" ht="13.5" customHeight="1" x14ac:dyDescent="0.2">
      <c r="A79" s="27"/>
      <c r="B79" s="32" t="s">
        <v>4</v>
      </c>
      <c r="C79" s="64">
        <v>9.9750000000000005E-2</v>
      </c>
      <c r="D79" s="32"/>
      <c r="E79" s="42">
        <f>ROUND(E77*C79,2)</f>
        <v>151.5</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1746.19</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1746.19</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8">
    <mergeCell ref="B52:D52"/>
    <mergeCell ref="B51:D51"/>
    <mergeCell ref="B44:D44"/>
    <mergeCell ref="A31:F31"/>
    <mergeCell ref="B34:D34"/>
    <mergeCell ref="B35:D35"/>
    <mergeCell ref="B36:D36"/>
    <mergeCell ref="B37:D37"/>
    <mergeCell ref="B38:D38"/>
    <mergeCell ref="B39:D39"/>
    <mergeCell ref="B40:D40"/>
    <mergeCell ref="B41:D41"/>
    <mergeCell ref="B42:D42"/>
    <mergeCell ref="B43:D43"/>
    <mergeCell ref="B45:D45"/>
    <mergeCell ref="B46:D46"/>
    <mergeCell ref="B47:D47"/>
    <mergeCell ref="B48:D48"/>
    <mergeCell ref="B49:D49"/>
    <mergeCell ref="B84:D84"/>
    <mergeCell ref="B88:E88"/>
    <mergeCell ref="B66:D66"/>
    <mergeCell ref="B67:D67"/>
    <mergeCell ref="B68:D68"/>
    <mergeCell ref="B69:D69"/>
    <mergeCell ref="B70:D70"/>
    <mergeCell ref="B71:D71"/>
    <mergeCell ref="B72:D72"/>
    <mergeCell ref="B73:D73"/>
    <mergeCell ref="B82:D82"/>
    <mergeCell ref="B83:D83"/>
    <mergeCell ref="B65:D65"/>
    <mergeCell ref="B54:D54"/>
    <mergeCell ref="B55:D55"/>
    <mergeCell ref="B56:D56"/>
    <mergeCell ref="B57:D57"/>
    <mergeCell ref="B58:D58"/>
    <mergeCell ref="B95:D95"/>
    <mergeCell ref="B59:D59"/>
    <mergeCell ref="A89:F89"/>
    <mergeCell ref="A90:F90"/>
    <mergeCell ref="B92:E92"/>
    <mergeCell ref="A93:F93"/>
    <mergeCell ref="B60:D60"/>
    <mergeCell ref="B61:D61"/>
    <mergeCell ref="B62:D62"/>
    <mergeCell ref="B63:D63"/>
    <mergeCell ref="B64:D64"/>
  </mergeCells>
  <dataValidations count="1">
    <dataValidation type="list" allowBlank="1" showInputMessage="1" showErrorMessage="1" sqref="B82:B84 B12:B20 B34:B73" xr:uid="{00000000-0002-0000-21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2:F97"/>
  <sheetViews>
    <sheetView view="pageBreakPreview" topLeftCell="A37"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198</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199</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200</v>
      </c>
      <c r="C36" s="96"/>
      <c r="D36" s="96"/>
      <c r="E36" s="34">
        <f>1.25*225</f>
        <v>281.25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201</v>
      </c>
      <c r="C39" s="96"/>
      <c r="D39" s="96"/>
      <c r="E39" s="34">
        <f>0.7*225</f>
        <v>157.5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202</v>
      </c>
      <c r="C42" s="96"/>
      <c r="D42" s="96"/>
      <c r="E42" s="34">
        <f>0.3*225</f>
        <v>67.5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70"/>
      <c r="C50" s="70"/>
      <c r="D50" s="70"/>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70"/>
      <c r="C53" s="70"/>
      <c r="D53" s="70"/>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506.25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506.25</v>
      </c>
      <c r="F77" s="27"/>
    </row>
    <row r="78" spans="1:6" ht="13.5" customHeight="1" x14ac:dyDescent="0.2">
      <c r="A78" s="27"/>
      <c r="B78" s="32" t="s">
        <v>5</v>
      </c>
      <c r="C78" s="37">
        <v>0.05</v>
      </c>
      <c r="D78" s="32"/>
      <c r="E78" s="41">
        <f>ROUND(E77*C78,2)</f>
        <v>25.31</v>
      </c>
      <c r="F78" s="27"/>
    </row>
    <row r="79" spans="1:6" ht="13.5" customHeight="1" x14ac:dyDescent="0.2">
      <c r="A79" s="27"/>
      <c r="B79" s="32" t="s">
        <v>4</v>
      </c>
      <c r="C79" s="64">
        <v>9.9750000000000005E-2</v>
      </c>
      <c r="D79" s="32"/>
      <c r="E79" s="42">
        <f>ROUND(E77*C79,2)</f>
        <v>50.5</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582.05999999999995</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582.05999999999995</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8">
    <mergeCell ref="B95:D95"/>
    <mergeCell ref="B71:D71"/>
    <mergeCell ref="B72:D72"/>
    <mergeCell ref="B73:D73"/>
    <mergeCell ref="B82:D82"/>
    <mergeCell ref="B83:D83"/>
    <mergeCell ref="B84:D84"/>
    <mergeCell ref="B88:E88"/>
    <mergeCell ref="A89:F89"/>
    <mergeCell ref="A90:F90"/>
    <mergeCell ref="B92:E92"/>
    <mergeCell ref="A93:F93"/>
    <mergeCell ref="B70:D70"/>
    <mergeCell ref="B59:D59"/>
    <mergeCell ref="B60:D60"/>
    <mergeCell ref="B61:D61"/>
    <mergeCell ref="B62:D62"/>
    <mergeCell ref="B63:D63"/>
    <mergeCell ref="B64:D64"/>
    <mergeCell ref="B65:D65"/>
    <mergeCell ref="B66:D66"/>
    <mergeCell ref="B67:D67"/>
    <mergeCell ref="B68:D68"/>
    <mergeCell ref="B69:D69"/>
    <mergeCell ref="B58:D58"/>
    <mergeCell ref="B45:D45"/>
    <mergeCell ref="B46:D46"/>
    <mergeCell ref="B47:D47"/>
    <mergeCell ref="B48:D48"/>
    <mergeCell ref="B49:D49"/>
    <mergeCell ref="B51:D51"/>
    <mergeCell ref="B52:D52"/>
    <mergeCell ref="B54:D54"/>
    <mergeCell ref="B55:D55"/>
    <mergeCell ref="B56:D56"/>
    <mergeCell ref="B57:D57"/>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2:B84 B12:B20 B34:B73" xr:uid="{00000000-0002-0000-22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2:F97"/>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203</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204</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205</v>
      </c>
      <c r="C36" s="96"/>
      <c r="D36" s="96"/>
      <c r="E36" s="34">
        <f>0.3*225</f>
        <v>67.5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206</v>
      </c>
      <c r="C39" s="96"/>
      <c r="D39" s="96"/>
      <c r="E39" s="34">
        <f>0.3*225</f>
        <v>67.5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207</v>
      </c>
      <c r="C42" s="96"/>
      <c r="D42" s="96"/>
      <c r="E42" s="34">
        <f>5*225</f>
        <v>1125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208</v>
      </c>
      <c r="C45" s="96"/>
      <c r="D45" s="96"/>
      <c r="E45" s="34">
        <f>1.15*225</f>
        <v>258.75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t="s">
        <v>209</v>
      </c>
      <c r="C48" s="96"/>
      <c r="D48" s="96"/>
      <c r="E48" s="34">
        <f>0.5*225</f>
        <v>112.5</v>
      </c>
      <c r="F48" s="27"/>
    </row>
    <row r="49" spans="1:6" ht="14.25" x14ac:dyDescent="0.2">
      <c r="A49" s="27"/>
      <c r="B49" s="96"/>
      <c r="C49" s="96"/>
      <c r="D49" s="96"/>
      <c r="E49" s="34"/>
      <c r="F49" s="27"/>
    </row>
    <row r="50" spans="1:6" ht="14.25" x14ac:dyDescent="0.2">
      <c r="A50" s="27"/>
      <c r="B50" s="71"/>
      <c r="C50" s="71"/>
      <c r="D50" s="71"/>
      <c r="E50" s="34"/>
      <c r="F50" s="27"/>
    </row>
    <row r="51" spans="1:6" ht="14.25" x14ac:dyDescent="0.2">
      <c r="A51" s="27"/>
      <c r="B51" s="96" t="s">
        <v>210</v>
      </c>
      <c r="C51" s="96"/>
      <c r="D51" s="96"/>
      <c r="E51" s="34">
        <f>0.4*225</f>
        <v>90</v>
      </c>
      <c r="F51" s="27"/>
    </row>
    <row r="52" spans="1:6" ht="14.25" x14ac:dyDescent="0.2">
      <c r="A52" s="27"/>
      <c r="B52" s="96"/>
      <c r="C52" s="96"/>
      <c r="D52" s="96"/>
      <c r="E52" s="34"/>
      <c r="F52" s="27"/>
    </row>
    <row r="53" spans="1:6" ht="14.25" x14ac:dyDescent="0.2">
      <c r="A53" s="27"/>
      <c r="B53" s="71"/>
      <c r="C53" s="71"/>
      <c r="D53" s="71"/>
      <c r="E53" s="34"/>
      <c r="F53" s="27"/>
    </row>
    <row r="54" spans="1:6" ht="14.25" x14ac:dyDescent="0.2">
      <c r="A54" s="27"/>
      <c r="B54" s="96" t="s">
        <v>211</v>
      </c>
      <c r="C54" s="96"/>
      <c r="D54" s="96"/>
      <c r="E54" s="34">
        <f>0.5*225</f>
        <v>112.5</v>
      </c>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t="s">
        <v>212</v>
      </c>
      <c r="C57" s="96"/>
      <c r="D57" s="96"/>
      <c r="E57" s="34">
        <v>350</v>
      </c>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t="s">
        <v>213</v>
      </c>
      <c r="C60" s="96"/>
      <c r="D60" s="96"/>
      <c r="E60" s="34">
        <v>225</v>
      </c>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t="s">
        <v>214</v>
      </c>
      <c r="C63" s="96"/>
      <c r="D63" s="96"/>
      <c r="E63" s="34">
        <f>0.25*225</f>
        <v>56.25</v>
      </c>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2465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2465</v>
      </c>
      <c r="F77" s="27"/>
    </row>
    <row r="78" spans="1:6" ht="13.5" customHeight="1" x14ac:dyDescent="0.2">
      <c r="A78" s="27"/>
      <c r="B78" s="32" t="s">
        <v>5</v>
      </c>
      <c r="C78" s="37">
        <v>0.05</v>
      </c>
      <c r="D78" s="32"/>
      <c r="E78" s="41">
        <f>ROUND(E77*C78,2)</f>
        <v>123.25</v>
      </c>
      <c r="F78" s="27"/>
    </row>
    <row r="79" spans="1:6" ht="13.5" customHeight="1" x14ac:dyDescent="0.2">
      <c r="A79" s="27"/>
      <c r="B79" s="32" t="s">
        <v>4</v>
      </c>
      <c r="C79" s="64">
        <v>9.9750000000000005E-2</v>
      </c>
      <c r="D79" s="32"/>
      <c r="E79" s="42">
        <f>ROUND(E77*C79,2)</f>
        <v>245.88</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2834.13</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2834.13</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8">
    <mergeCell ref="B44:D44"/>
    <mergeCell ref="A31:F31"/>
    <mergeCell ref="B34:D34"/>
    <mergeCell ref="B35:D35"/>
    <mergeCell ref="B36:D36"/>
    <mergeCell ref="B37:D37"/>
    <mergeCell ref="B38:D38"/>
    <mergeCell ref="B39:D39"/>
    <mergeCell ref="B40:D40"/>
    <mergeCell ref="B41:D41"/>
    <mergeCell ref="B42:D42"/>
    <mergeCell ref="B43:D43"/>
    <mergeCell ref="B58:D58"/>
    <mergeCell ref="B45:D45"/>
    <mergeCell ref="B46:D46"/>
    <mergeCell ref="B47:D47"/>
    <mergeCell ref="B48:D48"/>
    <mergeCell ref="B49:D49"/>
    <mergeCell ref="B51:D51"/>
    <mergeCell ref="B52:D52"/>
    <mergeCell ref="B54:D54"/>
    <mergeCell ref="B55:D55"/>
    <mergeCell ref="B56:D56"/>
    <mergeCell ref="B57:D57"/>
    <mergeCell ref="B70:D70"/>
    <mergeCell ref="B59:D59"/>
    <mergeCell ref="B60:D60"/>
    <mergeCell ref="B61:D61"/>
    <mergeCell ref="B62:D62"/>
    <mergeCell ref="B63:D63"/>
    <mergeCell ref="B64:D64"/>
    <mergeCell ref="B65:D65"/>
    <mergeCell ref="B66:D66"/>
    <mergeCell ref="B67:D67"/>
    <mergeCell ref="B68:D68"/>
    <mergeCell ref="B69:D69"/>
    <mergeCell ref="B95:D95"/>
    <mergeCell ref="B71:D71"/>
    <mergeCell ref="B72:D72"/>
    <mergeCell ref="B73:D73"/>
    <mergeCell ref="B82:D82"/>
    <mergeCell ref="B83:D83"/>
    <mergeCell ref="B84:D84"/>
    <mergeCell ref="B88:E88"/>
    <mergeCell ref="A89:F89"/>
    <mergeCell ref="A90:F90"/>
    <mergeCell ref="B92:E92"/>
    <mergeCell ref="A93:F93"/>
  </mergeCells>
  <dataValidations count="1">
    <dataValidation type="list" allowBlank="1" showInputMessage="1" showErrorMessage="1" sqref="B82:B84 B12:B20 B34:B73" xr:uid="{00000000-0002-0000-23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2:F97"/>
  <sheetViews>
    <sheetView view="pageBreakPreview" topLeftCell="A13"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215</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216</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217</v>
      </c>
      <c r="C36" s="96"/>
      <c r="D36" s="96"/>
      <c r="E36" s="34">
        <f>0.3*225</f>
        <v>67.5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218</v>
      </c>
      <c r="C39" s="96"/>
      <c r="D39" s="96"/>
      <c r="E39" s="34">
        <f>1.25*225</f>
        <v>281.25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219</v>
      </c>
      <c r="C42" s="96"/>
      <c r="D42" s="96"/>
      <c r="E42" s="34">
        <f>1.5*225</f>
        <v>337.5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220</v>
      </c>
      <c r="C45" s="96"/>
      <c r="D45" s="96"/>
      <c r="E45" s="34">
        <f>0.4*225</f>
        <v>90</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72"/>
      <c r="C50" s="72"/>
      <c r="D50" s="72"/>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72"/>
      <c r="C53" s="72"/>
      <c r="D53" s="72"/>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776.25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776.25</v>
      </c>
      <c r="F77" s="27"/>
    </row>
    <row r="78" spans="1:6" ht="13.5" customHeight="1" x14ac:dyDescent="0.2">
      <c r="A78" s="27"/>
      <c r="B78" s="32" t="s">
        <v>5</v>
      </c>
      <c r="C78" s="37">
        <v>0.05</v>
      </c>
      <c r="D78" s="32"/>
      <c r="E78" s="41">
        <f>ROUND(E77*C78,2)</f>
        <v>38.81</v>
      </c>
      <c r="F78" s="27"/>
    </row>
    <row r="79" spans="1:6" ht="13.5" customHeight="1" x14ac:dyDescent="0.2">
      <c r="A79" s="27"/>
      <c r="B79" s="32" t="s">
        <v>4</v>
      </c>
      <c r="C79" s="64">
        <v>9.9750000000000005E-2</v>
      </c>
      <c r="D79" s="32"/>
      <c r="E79" s="42">
        <f>ROUND(E77*C79,2)</f>
        <v>77.430000000000007</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892.49</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892.49</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8">
    <mergeCell ref="B95:D95"/>
    <mergeCell ref="B71:D71"/>
    <mergeCell ref="B72:D72"/>
    <mergeCell ref="B73:D73"/>
    <mergeCell ref="B82:D82"/>
    <mergeCell ref="B83:D83"/>
    <mergeCell ref="B84:D84"/>
    <mergeCell ref="B88:E88"/>
    <mergeCell ref="A89:F89"/>
    <mergeCell ref="A90:F90"/>
    <mergeCell ref="B92:E92"/>
    <mergeCell ref="A93:F93"/>
    <mergeCell ref="B70:D70"/>
    <mergeCell ref="B59:D59"/>
    <mergeCell ref="B60:D60"/>
    <mergeCell ref="B61:D61"/>
    <mergeCell ref="B62:D62"/>
    <mergeCell ref="B63:D63"/>
    <mergeCell ref="B64:D64"/>
    <mergeCell ref="B65:D65"/>
    <mergeCell ref="B66:D66"/>
    <mergeCell ref="B67:D67"/>
    <mergeCell ref="B68:D68"/>
    <mergeCell ref="B69:D69"/>
    <mergeCell ref="B58:D58"/>
    <mergeCell ref="B45:D45"/>
    <mergeCell ref="B46:D46"/>
    <mergeCell ref="B47:D47"/>
    <mergeCell ref="B48:D48"/>
    <mergeCell ref="B49:D49"/>
    <mergeCell ref="B51:D51"/>
    <mergeCell ref="B52:D52"/>
    <mergeCell ref="B54:D54"/>
    <mergeCell ref="B55:D55"/>
    <mergeCell ref="B56:D56"/>
    <mergeCell ref="B57:D57"/>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2:B84 B12:B20 B34:B73" xr:uid="{00000000-0002-0000-24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2:F97"/>
  <sheetViews>
    <sheetView view="pageBreakPreview" topLeftCell="A28"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221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236</v>
      </c>
      <c r="C27" s="27"/>
      <c r="D27" s="27"/>
      <c r="E27" s="27"/>
      <c r="F27" s="27"/>
    </row>
    <row r="28" spans="1:6" x14ac:dyDescent="0.2">
      <c r="A28" s="21"/>
      <c r="B28" s="27"/>
      <c r="C28" s="29"/>
      <c r="D28" s="29"/>
      <c r="E28" s="30"/>
      <c r="F28" s="27"/>
    </row>
    <row r="29" spans="1:6" ht="15" x14ac:dyDescent="0.2">
      <c r="A29" s="20"/>
      <c r="B29" s="29"/>
      <c r="C29" s="29"/>
      <c r="D29" s="33" t="s">
        <v>16</v>
      </c>
      <c r="E29" s="33" t="s">
        <v>222</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223</v>
      </c>
      <c r="C36" s="96"/>
      <c r="D36" s="96"/>
      <c r="E36" s="34">
        <f>0.5*225</f>
        <v>112.5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224</v>
      </c>
      <c r="C39" s="96"/>
      <c r="D39" s="96"/>
      <c r="E39" s="34">
        <f>0.25*225</f>
        <v>56.25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225</v>
      </c>
      <c r="C42" s="96"/>
      <c r="D42" s="96"/>
      <c r="E42" s="34">
        <f>0.25*225</f>
        <v>56.25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226</v>
      </c>
      <c r="C45" s="96"/>
      <c r="D45" s="96"/>
      <c r="E45" s="34">
        <f>0.25*225</f>
        <v>56.25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t="s">
        <v>227</v>
      </c>
      <c r="C48" s="96"/>
      <c r="D48" s="96"/>
      <c r="E48" s="34">
        <f>0.25*225</f>
        <v>56.25</v>
      </c>
      <c r="F48" s="27"/>
    </row>
    <row r="49" spans="1:6" ht="14.25" x14ac:dyDescent="0.2">
      <c r="A49" s="27"/>
      <c r="B49" s="96"/>
      <c r="C49" s="96"/>
      <c r="D49" s="96"/>
      <c r="E49" s="34"/>
      <c r="F49" s="27"/>
    </row>
    <row r="50" spans="1:6" ht="14.25" x14ac:dyDescent="0.2">
      <c r="A50" s="27"/>
      <c r="B50" s="73"/>
      <c r="C50" s="73"/>
      <c r="D50" s="73"/>
      <c r="E50" s="34"/>
      <c r="F50" s="27"/>
    </row>
    <row r="51" spans="1:6" ht="14.25" x14ac:dyDescent="0.2">
      <c r="A51" s="27"/>
      <c r="B51" s="96" t="s">
        <v>228</v>
      </c>
      <c r="C51" s="96"/>
      <c r="D51" s="96"/>
      <c r="E51" s="34">
        <f>0.25*225</f>
        <v>56.25</v>
      </c>
      <c r="F51" s="27"/>
    </row>
    <row r="52" spans="1:6" ht="14.25" x14ac:dyDescent="0.2">
      <c r="A52" s="27"/>
      <c r="B52" s="96"/>
      <c r="C52" s="96"/>
      <c r="D52" s="96"/>
      <c r="E52" s="34"/>
      <c r="F52" s="27"/>
    </row>
    <row r="53" spans="1:6" ht="14.25" x14ac:dyDescent="0.2">
      <c r="A53" s="27"/>
      <c r="B53" s="73"/>
      <c r="C53" s="73"/>
      <c r="D53" s="73"/>
      <c r="E53" s="34"/>
      <c r="F53" s="27"/>
    </row>
    <row r="54" spans="1:6" ht="14.25" x14ac:dyDescent="0.2">
      <c r="A54" s="27"/>
      <c r="B54" s="96" t="s">
        <v>229</v>
      </c>
      <c r="C54" s="96"/>
      <c r="D54" s="96"/>
      <c r="E54" s="34">
        <f>0.75*225</f>
        <v>168.75</v>
      </c>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t="s">
        <v>230</v>
      </c>
      <c r="C57" s="96"/>
      <c r="D57" s="96"/>
      <c r="E57" s="34">
        <f>2*225</f>
        <v>450</v>
      </c>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t="s">
        <v>231</v>
      </c>
      <c r="C60" s="96"/>
      <c r="D60" s="96"/>
      <c r="E60" s="34">
        <f>1*225</f>
        <v>225</v>
      </c>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t="s">
        <v>232</v>
      </c>
      <c r="C63" s="96"/>
      <c r="D63" s="96"/>
      <c r="E63" s="34">
        <f>1.5*225</f>
        <v>337.5</v>
      </c>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t="s">
        <v>233</v>
      </c>
      <c r="C66" s="96"/>
      <c r="D66" s="96"/>
      <c r="E66" s="34">
        <f>0.25*225</f>
        <v>56.25</v>
      </c>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t="s">
        <v>234</v>
      </c>
      <c r="C69" s="96"/>
      <c r="D69" s="96"/>
      <c r="E69" s="34">
        <f>0.75*225</f>
        <v>168.75</v>
      </c>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t="s">
        <v>235</v>
      </c>
      <c r="C72" s="96"/>
      <c r="D72" s="96"/>
      <c r="E72" s="34">
        <f>0.4*225</f>
        <v>90</v>
      </c>
      <c r="F72" s="27"/>
    </row>
    <row r="73" spans="1:6" ht="13.5" customHeight="1" x14ac:dyDescent="0.2">
      <c r="A73" s="27"/>
      <c r="B73" s="96"/>
      <c r="C73" s="96"/>
      <c r="D73" s="96"/>
      <c r="E73" s="34"/>
      <c r="F73" s="27"/>
    </row>
    <row r="74" spans="1:6" ht="13.5" customHeight="1" x14ac:dyDescent="0.2">
      <c r="A74" s="27"/>
      <c r="B74" s="31" t="s">
        <v>20</v>
      </c>
      <c r="C74" s="32"/>
      <c r="D74" s="32"/>
      <c r="E74" s="35">
        <f>SUM(E36:E73)</f>
        <v>1890</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1890</v>
      </c>
      <c r="F77" s="27"/>
    </row>
    <row r="78" spans="1:6" ht="13.5" customHeight="1" x14ac:dyDescent="0.2">
      <c r="A78" s="27"/>
      <c r="B78" s="32" t="s">
        <v>5</v>
      </c>
      <c r="C78" s="37">
        <v>0.05</v>
      </c>
      <c r="D78" s="32"/>
      <c r="E78" s="41">
        <f>ROUND(E77*C78,2)</f>
        <v>94.5</v>
      </c>
      <c r="F78" s="27"/>
    </row>
    <row r="79" spans="1:6" ht="13.5" customHeight="1" x14ac:dyDescent="0.2">
      <c r="A79" s="27"/>
      <c r="B79" s="32" t="s">
        <v>4</v>
      </c>
      <c r="C79" s="64">
        <v>9.9750000000000005E-2</v>
      </c>
      <c r="D79" s="32"/>
      <c r="E79" s="42">
        <f>ROUND(E77*C79,2)</f>
        <v>188.53</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2173.0300000000002</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2173.0300000000002</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8">
    <mergeCell ref="B44:D44"/>
    <mergeCell ref="A31:F31"/>
    <mergeCell ref="B34:D34"/>
    <mergeCell ref="B35:D35"/>
    <mergeCell ref="B36:D36"/>
    <mergeCell ref="B37:D37"/>
    <mergeCell ref="B38:D38"/>
    <mergeCell ref="B39:D39"/>
    <mergeCell ref="B40:D40"/>
    <mergeCell ref="B41:D41"/>
    <mergeCell ref="B42:D42"/>
    <mergeCell ref="B43:D43"/>
    <mergeCell ref="B58:D58"/>
    <mergeCell ref="B45:D45"/>
    <mergeCell ref="B46:D46"/>
    <mergeCell ref="B47:D47"/>
    <mergeCell ref="B48:D48"/>
    <mergeCell ref="B49:D49"/>
    <mergeCell ref="B51:D51"/>
    <mergeCell ref="B52:D52"/>
    <mergeCell ref="B54:D54"/>
    <mergeCell ref="B55:D55"/>
    <mergeCell ref="B56:D56"/>
    <mergeCell ref="B57:D57"/>
    <mergeCell ref="B70:D70"/>
    <mergeCell ref="B59:D59"/>
    <mergeCell ref="B60:D60"/>
    <mergeCell ref="B61:D61"/>
    <mergeCell ref="B62:D62"/>
    <mergeCell ref="B63:D63"/>
    <mergeCell ref="B64:D64"/>
    <mergeCell ref="B65:D65"/>
    <mergeCell ref="B66:D66"/>
    <mergeCell ref="B67:D67"/>
    <mergeCell ref="B68:D68"/>
    <mergeCell ref="B69:D69"/>
    <mergeCell ref="B95:D95"/>
    <mergeCell ref="B71:D71"/>
    <mergeCell ref="B72:D72"/>
    <mergeCell ref="B73:D73"/>
    <mergeCell ref="B82:D82"/>
    <mergeCell ref="B83:D83"/>
    <mergeCell ref="B84:D84"/>
    <mergeCell ref="B88:E88"/>
    <mergeCell ref="A89:F89"/>
    <mergeCell ref="A90:F90"/>
    <mergeCell ref="B92:E92"/>
    <mergeCell ref="A93:F93"/>
  </mergeCells>
  <dataValidations count="1">
    <dataValidation type="list" allowBlank="1" showInputMessage="1" showErrorMessage="1" sqref="B82:B84 B12:B20 B34:B73" xr:uid="{00000000-0002-0000-25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2:F97"/>
  <sheetViews>
    <sheetView view="pageBreakPreview" topLeftCell="A31"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237</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236</v>
      </c>
      <c r="C27" s="27"/>
      <c r="D27" s="27"/>
      <c r="E27" s="27"/>
      <c r="F27" s="27"/>
    </row>
    <row r="28" spans="1:6" x14ac:dyDescent="0.2">
      <c r="A28" s="21"/>
      <c r="B28" s="27"/>
      <c r="C28" s="29"/>
      <c r="D28" s="29"/>
      <c r="E28" s="30"/>
      <c r="F28" s="27"/>
    </row>
    <row r="29" spans="1:6" ht="15" x14ac:dyDescent="0.2">
      <c r="A29" s="20"/>
      <c r="B29" s="29"/>
      <c r="C29" s="29"/>
      <c r="D29" s="33" t="s">
        <v>16</v>
      </c>
      <c r="E29" s="33" t="s">
        <v>238</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239</v>
      </c>
      <c r="C36" s="96"/>
      <c r="D36" s="96"/>
      <c r="E36" s="34">
        <f>4*225</f>
        <v>900</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241</v>
      </c>
      <c r="C39" s="96"/>
      <c r="D39" s="96"/>
      <c r="E39" s="34">
        <f>0.3*225</f>
        <v>67.5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240</v>
      </c>
      <c r="C42" s="96"/>
      <c r="D42" s="96"/>
      <c r="E42" s="34">
        <f>0.5*225</f>
        <v>112.5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242</v>
      </c>
      <c r="C45" s="96"/>
      <c r="D45" s="96"/>
      <c r="E45" s="34">
        <f>0.5*225</f>
        <v>112.5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t="s">
        <v>243</v>
      </c>
      <c r="C48" s="96"/>
      <c r="D48" s="96"/>
      <c r="E48" s="34">
        <f>0.25*225</f>
        <v>56.25</v>
      </c>
      <c r="F48" s="27"/>
    </row>
    <row r="49" spans="1:6" ht="14.25" x14ac:dyDescent="0.2">
      <c r="A49" s="27"/>
      <c r="B49" s="96"/>
      <c r="C49" s="96"/>
      <c r="D49" s="96"/>
      <c r="E49" s="34"/>
      <c r="F49" s="27"/>
    </row>
    <row r="50" spans="1:6" ht="14.25" x14ac:dyDescent="0.2">
      <c r="A50" s="27"/>
      <c r="B50" s="74"/>
      <c r="C50" s="74"/>
      <c r="D50" s="74"/>
      <c r="E50" s="34"/>
      <c r="F50" s="27"/>
    </row>
    <row r="51" spans="1:6" ht="14.25" x14ac:dyDescent="0.2">
      <c r="A51" s="27"/>
      <c r="B51" s="96" t="s">
        <v>244</v>
      </c>
      <c r="C51" s="96"/>
      <c r="D51" s="96"/>
      <c r="E51" s="34">
        <f>0.25*225</f>
        <v>56.25</v>
      </c>
      <c r="F51" s="27"/>
    </row>
    <row r="52" spans="1:6" ht="14.25" x14ac:dyDescent="0.2">
      <c r="A52" s="27"/>
      <c r="B52" s="96"/>
      <c r="C52" s="96"/>
      <c r="D52" s="96"/>
      <c r="E52" s="34"/>
      <c r="F52" s="27"/>
    </row>
    <row r="53" spans="1:6" ht="14.25" x14ac:dyDescent="0.2">
      <c r="A53" s="27"/>
      <c r="B53" s="74"/>
      <c r="C53" s="74"/>
      <c r="D53" s="74"/>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1305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1305</v>
      </c>
      <c r="F77" s="27"/>
    </row>
    <row r="78" spans="1:6" ht="13.5" customHeight="1" x14ac:dyDescent="0.2">
      <c r="A78" s="27"/>
      <c r="B78" s="32" t="s">
        <v>5</v>
      </c>
      <c r="C78" s="37">
        <v>0.05</v>
      </c>
      <c r="D78" s="32"/>
      <c r="E78" s="41">
        <f>ROUND(E77*C78,2)</f>
        <v>65.25</v>
      </c>
      <c r="F78" s="27"/>
    </row>
    <row r="79" spans="1:6" ht="13.5" customHeight="1" x14ac:dyDescent="0.2">
      <c r="A79" s="27"/>
      <c r="B79" s="32" t="s">
        <v>4</v>
      </c>
      <c r="C79" s="64">
        <v>9.9750000000000005E-2</v>
      </c>
      <c r="D79" s="32"/>
      <c r="E79" s="42">
        <f>ROUND(E77*C79,2)</f>
        <v>130.16999999999999</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1500.42</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1500.42</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8">
    <mergeCell ref="B44:D44"/>
    <mergeCell ref="A31:F31"/>
    <mergeCell ref="B34:D34"/>
    <mergeCell ref="B35:D35"/>
    <mergeCell ref="B36:D36"/>
    <mergeCell ref="B37:D37"/>
    <mergeCell ref="B38:D38"/>
    <mergeCell ref="B39:D39"/>
    <mergeCell ref="B40:D40"/>
    <mergeCell ref="B41:D41"/>
    <mergeCell ref="B42:D42"/>
    <mergeCell ref="B43:D43"/>
    <mergeCell ref="B58:D58"/>
    <mergeCell ref="B45:D45"/>
    <mergeCell ref="B46:D46"/>
    <mergeCell ref="B47:D47"/>
    <mergeCell ref="B48:D48"/>
    <mergeCell ref="B49:D49"/>
    <mergeCell ref="B51:D51"/>
    <mergeCell ref="B52:D52"/>
    <mergeCell ref="B54:D54"/>
    <mergeCell ref="B55:D55"/>
    <mergeCell ref="B56:D56"/>
    <mergeCell ref="B57:D57"/>
    <mergeCell ref="B70:D70"/>
    <mergeCell ref="B59:D59"/>
    <mergeCell ref="B60:D60"/>
    <mergeCell ref="B61:D61"/>
    <mergeCell ref="B62:D62"/>
    <mergeCell ref="B63:D63"/>
    <mergeCell ref="B64:D64"/>
    <mergeCell ref="B65:D65"/>
    <mergeCell ref="B66:D66"/>
    <mergeCell ref="B67:D67"/>
    <mergeCell ref="B68:D68"/>
    <mergeCell ref="B69:D69"/>
    <mergeCell ref="B95:D95"/>
    <mergeCell ref="B71:D71"/>
    <mergeCell ref="B72:D72"/>
    <mergeCell ref="B73:D73"/>
    <mergeCell ref="B82:D82"/>
    <mergeCell ref="B83:D83"/>
    <mergeCell ref="B84:D84"/>
    <mergeCell ref="B88:E88"/>
    <mergeCell ref="A89:F89"/>
    <mergeCell ref="A90:F90"/>
    <mergeCell ref="B92:E92"/>
    <mergeCell ref="A93:F93"/>
  </mergeCells>
  <dataValidations count="1">
    <dataValidation type="list" allowBlank="1" showInputMessage="1" showErrorMessage="1" sqref="B82:B84 B12:B20 B34:B73" xr:uid="{00000000-0002-0000-2600-000000000000}">
      <formula1>Liste_Activités</formula1>
    </dataValidation>
  </dataValidations>
  <printOptions horizontalCentered="1" verticalCentered="1"/>
  <pageMargins left="0" right="0" top="0" bottom="0" header="0" footer="0"/>
  <pageSetup scale="60"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39</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40</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41</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42</v>
      </c>
      <c r="C36" s="96"/>
      <c r="D36" s="96"/>
      <c r="E36" s="34">
        <f>0.4*175</f>
        <v>70</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43</v>
      </c>
      <c r="C39" s="96"/>
      <c r="D39" s="96"/>
      <c r="E39" s="34">
        <f>0.4*175</f>
        <v>70</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44</v>
      </c>
      <c r="C42" s="96"/>
      <c r="D42" s="96"/>
      <c r="E42" s="34">
        <f>0.75*175</f>
        <v>131.25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45</v>
      </c>
      <c r="C45" s="96"/>
      <c r="D45" s="96"/>
      <c r="E45" s="34">
        <f>0.25*175</f>
        <v>43.75</v>
      </c>
      <c r="F45" s="27"/>
    </row>
    <row r="46" spans="1:6" ht="14.25" x14ac:dyDescent="0.2">
      <c r="A46" s="27"/>
      <c r="B46" s="96"/>
      <c r="C46" s="96"/>
      <c r="D46" s="96"/>
      <c r="E46" s="34"/>
      <c r="F46" s="27"/>
    </row>
    <row r="47" spans="1:6" ht="14.25" x14ac:dyDescent="0.2">
      <c r="A47" s="27"/>
      <c r="B47" s="96"/>
      <c r="C47" s="96"/>
      <c r="D47" s="96"/>
      <c r="E47" s="34"/>
      <c r="F47" s="27"/>
    </row>
    <row r="48" spans="1:6" ht="43.5" customHeight="1" x14ac:dyDescent="0.2">
      <c r="A48" s="27"/>
      <c r="B48" s="96" t="s">
        <v>46</v>
      </c>
      <c r="C48" s="96"/>
      <c r="D48" s="96"/>
      <c r="E48" s="34">
        <f>6*175</f>
        <v>1050</v>
      </c>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t="s">
        <v>47</v>
      </c>
      <c r="C51" s="96"/>
      <c r="D51" s="96"/>
      <c r="E51" s="34">
        <f>0.4*175</f>
        <v>70</v>
      </c>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t="s">
        <v>48</v>
      </c>
      <c r="C54" s="96"/>
      <c r="D54" s="96"/>
      <c r="E54" s="34">
        <f>2.5*175</f>
        <v>437.5</v>
      </c>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1872.5</v>
      </c>
      <c r="F75" s="27"/>
    </row>
    <row r="76" spans="1:6" ht="13.5" customHeight="1" x14ac:dyDescent="0.2">
      <c r="A76" s="27"/>
      <c r="B76" s="40" t="s">
        <v>17</v>
      </c>
      <c r="C76" s="32"/>
      <c r="D76" s="32"/>
      <c r="E76" s="36">
        <v>0</v>
      </c>
      <c r="F76" s="27"/>
    </row>
    <row r="77" spans="1:6" ht="13.5" customHeight="1" x14ac:dyDescent="0.2">
      <c r="A77" s="27"/>
      <c r="B77" s="40" t="s">
        <v>18</v>
      </c>
      <c r="C77" s="32"/>
      <c r="D77" s="32"/>
      <c r="E77" s="36">
        <v>0</v>
      </c>
      <c r="F77" s="27"/>
    </row>
    <row r="78" spans="1:6" ht="13.5" customHeight="1" x14ac:dyDescent="0.2">
      <c r="A78" s="27"/>
      <c r="B78" s="31" t="s">
        <v>19</v>
      </c>
      <c r="C78" s="32"/>
      <c r="D78" s="32"/>
      <c r="E78" s="35">
        <f>SUM(E75:E77)</f>
        <v>1872.5</v>
      </c>
      <c r="F78" s="27"/>
    </row>
    <row r="79" spans="1:6" ht="13.5" customHeight="1" x14ac:dyDescent="0.2">
      <c r="A79" s="27"/>
      <c r="B79" s="32" t="s">
        <v>5</v>
      </c>
      <c r="C79" s="37">
        <v>0.05</v>
      </c>
      <c r="D79" s="32"/>
      <c r="E79" s="41">
        <f>ROUND(E78*C79,2)</f>
        <v>93.63</v>
      </c>
      <c r="F79" s="27"/>
    </row>
    <row r="80" spans="1:6" ht="13.5" customHeight="1" x14ac:dyDescent="0.2">
      <c r="A80" s="27"/>
      <c r="B80" s="32" t="s">
        <v>4</v>
      </c>
      <c r="C80" s="37">
        <v>7.4999999999999997E-2</v>
      </c>
      <c r="D80" s="32"/>
      <c r="E80" s="42">
        <f>ROUND((E78+E79)*C80,2)</f>
        <v>147.46</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2113.59</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2113.59</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2:F97"/>
  <sheetViews>
    <sheetView view="pageBreakPreview" topLeftCell="A37"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245</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236</v>
      </c>
      <c r="C27" s="27"/>
      <c r="D27" s="27"/>
      <c r="E27" s="27"/>
      <c r="F27" s="27"/>
    </row>
    <row r="28" spans="1:6" x14ac:dyDescent="0.2">
      <c r="A28" s="21"/>
      <c r="B28" s="27"/>
      <c r="C28" s="29"/>
      <c r="D28" s="29"/>
      <c r="E28" s="30"/>
      <c r="F28" s="27"/>
    </row>
    <row r="29" spans="1:6" ht="15" x14ac:dyDescent="0.2">
      <c r="A29" s="20"/>
      <c r="B29" s="29"/>
      <c r="C29" s="29"/>
      <c r="D29" s="33" t="s">
        <v>16</v>
      </c>
      <c r="E29" s="33" t="s">
        <v>246</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247</v>
      </c>
      <c r="C36" s="96"/>
      <c r="D36" s="96"/>
      <c r="E36" s="34">
        <f>0.3*225</f>
        <v>67.5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248</v>
      </c>
      <c r="C39" s="96"/>
      <c r="D39" s="96"/>
      <c r="E39" s="34">
        <f>1.25*225</f>
        <v>281.25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249</v>
      </c>
      <c r="C42" s="96"/>
      <c r="D42" s="96"/>
      <c r="E42" s="34">
        <f>0.25*225</f>
        <v>56.25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t="s">
        <v>250</v>
      </c>
      <c r="C45" s="96"/>
      <c r="D45" s="96"/>
      <c r="E45" s="34">
        <f>0.4*225</f>
        <v>90</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t="s">
        <v>251</v>
      </c>
      <c r="C48" s="96"/>
      <c r="D48" s="96"/>
      <c r="E48" s="34">
        <f>0.5*225</f>
        <v>112.5</v>
      </c>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SUM(E36:E73)</f>
        <v>607.5</v>
      </c>
      <c r="F74" s="27"/>
    </row>
    <row r="75" spans="1:6" ht="13.5" customHeight="1" x14ac:dyDescent="0.2">
      <c r="A75" s="27"/>
      <c r="B75" s="40" t="s">
        <v>17</v>
      </c>
      <c r="C75" s="32"/>
      <c r="D75" s="32"/>
      <c r="E75" s="36">
        <v>0</v>
      </c>
      <c r="F75" s="27"/>
    </row>
    <row r="76" spans="1:6" ht="13.5" customHeight="1" x14ac:dyDescent="0.2">
      <c r="A76" s="27"/>
      <c r="B76" s="40" t="s">
        <v>76</v>
      </c>
      <c r="C76" s="32"/>
      <c r="D76" s="32"/>
      <c r="E76" s="36">
        <v>0</v>
      </c>
      <c r="F76" s="27"/>
    </row>
    <row r="77" spans="1:6" ht="13.5" customHeight="1" x14ac:dyDescent="0.2">
      <c r="A77" s="27"/>
      <c r="B77" s="31" t="s">
        <v>19</v>
      </c>
      <c r="C77" s="32"/>
      <c r="D77" s="32"/>
      <c r="E77" s="35">
        <f>SUM(E74:E76)</f>
        <v>607.5</v>
      </c>
      <c r="F77" s="27"/>
    </row>
    <row r="78" spans="1:6" ht="13.5" customHeight="1" x14ac:dyDescent="0.2">
      <c r="A78" s="27"/>
      <c r="B78" s="32" t="s">
        <v>5</v>
      </c>
      <c r="C78" s="37">
        <v>0.05</v>
      </c>
      <c r="D78" s="32"/>
      <c r="E78" s="41">
        <f>ROUND(E77*C78,2)</f>
        <v>30.38</v>
      </c>
      <c r="F78" s="27"/>
    </row>
    <row r="79" spans="1:6" ht="13.5" customHeight="1" x14ac:dyDescent="0.2">
      <c r="A79" s="27"/>
      <c r="B79" s="32" t="s">
        <v>4</v>
      </c>
      <c r="C79" s="64">
        <v>9.9750000000000005E-2</v>
      </c>
      <c r="D79" s="32"/>
      <c r="E79" s="42">
        <f>ROUND(E77*C79,2)</f>
        <v>60.6</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698.48</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698.48</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50">
    <mergeCell ref="B44:D44"/>
    <mergeCell ref="A31:F31"/>
    <mergeCell ref="B34:D34"/>
    <mergeCell ref="B35:D35"/>
    <mergeCell ref="B36:D36"/>
    <mergeCell ref="B37:D37"/>
    <mergeCell ref="B38:D38"/>
    <mergeCell ref="B39:D39"/>
    <mergeCell ref="B40:D40"/>
    <mergeCell ref="B41:D41"/>
    <mergeCell ref="B42:D42"/>
    <mergeCell ref="B43:D43"/>
    <mergeCell ref="B58:D58"/>
    <mergeCell ref="B53:D53"/>
    <mergeCell ref="B45:D45"/>
    <mergeCell ref="B46:D46"/>
    <mergeCell ref="B47:D47"/>
    <mergeCell ref="B48:D48"/>
    <mergeCell ref="B49:D49"/>
    <mergeCell ref="B51:D51"/>
    <mergeCell ref="B50:D50"/>
    <mergeCell ref="B52:D52"/>
    <mergeCell ref="B54:D54"/>
    <mergeCell ref="B55:D55"/>
    <mergeCell ref="B56:D56"/>
    <mergeCell ref="B57:D57"/>
    <mergeCell ref="B70:D70"/>
    <mergeCell ref="B59:D59"/>
    <mergeCell ref="B60:D60"/>
    <mergeCell ref="B61:D61"/>
    <mergeCell ref="B62:D62"/>
    <mergeCell ref="B63:D63"/>
    <mergeCell ref="B64:D64"/>
    <mergeCell ref="B65:D65"/>
    <mergeCell ref="B66:D66"/>
    <mergeCell ref="B67:D67"/>
    <mergeCell ref="B68:D68"/>
    <mergeCell ref="B69:D69"/>
    <mergeCell ref="B95:D95"/>
    <mergeCell ref="B71:D71"/>
    <mergeCell ref="B72:D72"/>
    <mergeCell ref="B73:D73"/>
    <mergeCell ref="B82:D82"/>
    <mergeCell ref="B83:D83"/>
    <mergeCell ref="B84:D84"/>
    <mergeCell ref="B88:E88"/>
    <mergeCell ref="A89:F89"/>
    <mergeCell ref="A90:F90"/>
    <mergeCell ref="B92:E92"/>
    <mergeCell ref="A93:F93"/>
  </mergeCells>
  <dataValidations count="1">
    <dataValidation type="list" allowBlank="1" showInputMessage="1" showErrorMessage="1" sqref="B82:B84 B12:B20 B34:B73" xr:uid="{00000000-0002-0000-2700-000000000000}">
      <formula1>Liste_Activités</formula1>
    </dataValidation>
  </dataValidations>
  <printOptions horizontalCentered="1"/>
  <pageMargins left="0" right="0" top="0" bottom="0" header="0" footer="0"/>
  <pageSetup paperSize="122" scale="47"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2:F96"/>
  <sheetViews>
    <sheetView view="pageBreakPreview" topLeftCell="A4"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252</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263</v>
      </c>
      <c r="C26" s="27"/>
      <c r="D26" s="27"/>
      <c r="E26" s="27"/>
      <c r="F26" s="27"/>
    </row>
    <row r="27" spans="1:6" ht="15" x14ac:dyDescent="0.2">
      <c r="A27" s="20"/>
      <c r="B27" s="32" t="s">
        <v>264</v>
      </c>
      <c r="C27" s="27"/>
      <c r="D27" s="27"/>
      <c r="E27" s="27"/>
      <c r="F27" s="27"/>
    </row>
    <row r="28" spans="1:6" x14ac:dyDescent="0.2">
      <c r="A28" s="21"/>
      <c r="B28" s="27"/>
      <c r="C28" s="29"/>
      <c r="D28" s="29"/>
      <c r="E28" s="30"/>
      <c r="F28" s="27"/>
    </row>
    <row r="29" spans="1:6" ht="15" x14ac:dyDescent="0.2">
      <c r="A29" s="20"/>
      <c r="B29" s="29"/>
      <c r="C29" s="29"/>
      <c r="D29" s="33" t="s">
        <v>16</v>
      </c>
      <c r="E29" s="33" t="s">
        <v>253</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254</v>
      </c>
      <c r="C36" s="96"/>
      <c r="D36" s="96"/>
      <c r="E36" s="34">
        <f>0.5*225</f>
        <v>112.5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255</v>
      </c>
      <c r="C39" s="96"/>
      <c r="D39" s="96"/>
      <c r="E39" s="34">
        <f>0.5*225</f>
        <v>112.5</v>
      </c>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t="s">
        <v>256</v>
      </c>
      <c r="C42" s="96"/>
      <c r="D42" s="96"/>
      <c r="E42" s="34">
        <f>0.25*225</f>
        <v>56.25</v>
      </c>
      <c r="F42" s="27"/>
    </row>
    <row r="43" spans="1:6" ht="14.25" x14ac:dyDescent="0.2">
      <c r="A43" s="27"/>
      <c r="B43" s="96"/>
      <c r="C43" s="96"/>
      <c r="D43" s="96"/>
      <c r="E43" s="34"/>
      <c r="F43" s="27"/>
    </row>
    <row r="44" spans="1:6" ht="14.25" x14ac:dyDescent="0.2">
      <c r="A44" s="27"/>
      <c r="B44" s="96"/>
      <c r="C44" s="96"/>
      <c r="D44" s="96"/>
      <c r="E44" s="34"/>
      <c r="F44" s="27"/>
    </row>
    <row r="45" spans="1:6" ht="30" customHeight="1" x14ac:dyDescent="0.2">
      <c r="A45" s="27"/>
      <c r="B45" s="96" t="s">
        <v>257</v>
      </c>
      <c r="C45" s="96"/>
      <c r="D45" s="96"/>
      <c r="E45" s="34">
        <f>1.5*225</f>
        <v>337.5</v>
      </c>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t="s">
        <v>259</v>
      </c>
      <c r="C48" s="96"/>
      <c r="D48" s="96"/>
      <c r="E48" s="34">
        <f>2*225</f>
        <v>450</v>
      </c>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t="s">
        <v>260</v>
      </c>
      <c r="C51" s="96"/>
      <c r="D51" s="96"/>
      <c r="E51" s="34">
        <f>0.5*225</f>
        <v>112.5</v>
      </c>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t="s">
        <v>261</v>
      </c>
      <c r="C54" s="96"/>
      <c r="D54" s="96"/>
      <c r="E54" s="34">
        <f>0.25*225</f>
        <v>56.25</v>
      </c>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t="s">
        <v>262</v>
      </c>
      <c r="C57" s="96"/>
      <c r="D57" s="96"/>
      <c r="E57" s="34">
        <f>0.25*225</f>
        <v>56.25</v>
      </c>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3.5" customHeight="1" x14ac:dyDescent="0.2">
      <c r="A72" s="27"/>
      <c r="B72" s="96"/>
      <c r="C72" s="96"/>
      <c r="D72" s="96"/>
      <c r="E72" s="34"/>
      <c r="F72" s="27"/>
    </row>
    <row r="73" spans="1:6" ht="13.5" customHeight="1" x14ac:dyDescent="0.2">
      <c r="A73" s="27"/>
      <c r="B73" s="31" t="s">
        <v>20</v>
      </c>
      <c r="C73" s="32"/>
      <c r="D73" s="32"/>
      <c r="E73" s="35">
        <f>SUM(E36:E72)</f>
        <v>1293.75</v>
      </c>
      <c r="F73" s="27"/>
    </row>
    <row r="74" spans="1:6" ht="13.5" customHeight="1" x14ac:dyDescent="0.2">
      <c r="A74" s="27"/>
      <c r="B74" s="40" t="s">
        <v>17</v>
      </c>
      <c r="C74" s="32"/>
      <c r="D74" s="32"/>
      <c r="E74" s="36">
        <v>0</v>
      </c>
      <c r="F74" s="27"/>
    </row>
    <row r="75" spans="1:6" ht="13.5" customHeight="1" x14ac:dyDescent="0.2">
      <c r="A75" s="27"/>
      <c r="B75" s="40" t="s">
        <v>258</v>
      </c>
      <c r="C75" s="32"/>
      <c r="D75" s="32"/>
      <c r="E75" s="36">
        <v>250</v>
      </c>
      <c r="F75" s="27"/>
    </row>
    <row r="76" spans="1:6" ht="13.5" customHeight="1" x14ac:dyDescent="0.2">
      <c r="A76" s="27"/>
      <c r="B76" s="31" t="s">
        <v>19</v>
      </c>
      <c r="C76" s="32"/>
      <c r="D76" s="32"/>
      <c r="E76" s="35">
        <f>SUM(E73:E75)</f>
        <v>1543.75</v>
      </c>
      <c r="F76" s="27"/>
    </row>
    <row r="77" spans="1:6" ht="13.5" customHeight="1" x14ac:dyDescent="0.2">
      <c r="A77" s="27"/>
      <c r="B77" s="32" t="s">
        <v>5</v>
      </c>
      <c r="C77" s="37">
        <v>0.05</v>
      </c>
      <c r="D77" s="32"/>
      <c r="E77" s="41">
        <f>ROUND(E76*C77,2)</f>
        <v>77.19</v>
      </c>
      <c r="F77" s="27"/>
    </row>
    <row r="78" spans="1:6" ht="13.5" customHeight="1" x14ac:dyDescent="0.2">
      <c r="A78" s="27"/>
      <c r="B78" s="32" t="s">
        <v>4</v>
      </c>
      <c r="C78" s="64">
        <v>9.9750000000000005E-2</v>
      </c>
      <c r="D78" s="32"/>
      <c r="E78" s="42">
        <f>ROUND(E76*C78,2)</f>
        <v>153.99</v>
      </c>
      <c r="F78" s="27"/>
    </row>
    <row r="79" spans="1:6" ht="13.5" customHeight="1" x14ac:dyDescent="0.2">
      <c r="A79" s="27"/>
      <c r="B79" s="32"/>
      <c r="C79" s="32"/>
      <c r="D79" s="32"/>
      <c r="E79" s="38"/>
      <c r="F79" s="27"/>
    </row>
    <row r="80" spans="1:6" ht="16.5" customHeight="1" thickBot="1" x14ac:dyDescent="0.25">
      <c r="A80" s="27"/>
      <c r="B80" s="31" t="s">
        <v>21</v>
      </c>
      <c r="C80" s="32"/>
      <c r="D80" s="32"/>
      <c r="E80" s="39">
        <f>SUM(E76:E78)</f>
        <v>1774.93</v>
      </c>
      <c r="F80" s="27"/>
    </row>
    <row r="81" spans="1:6" ht="15.75" thickTop="1" x14ac:dyDescent="0.2">
      <c r="A81" s="27"/>
      <c r="B81" s="98"/>
      <c r="C81" s="98"/>
      <c r="D81" s="98"/>
      <c r="E81" s="43"/>
      <c r="F81" s="27"/>
    </row>
    <row r="82" spans="1:6" ht="15" x14ac:dyDescent="0.2">
      <c r="A82" s="27"/>
      <c r="B82" s="97" t="s">
        <v>23</v>
      </c>
      <c r="C82" s="97"/>
      <c r="D82" s="97"/>
      <c r="E82" s="43">
        <v>0</v>
      </c>
      <c r="F82" s="27"/>
    </row>
    <row r="83" spans="1:6" ht="15" x14ac:dyDescent="0.2">
      <c r="A83" s="27"/>
      <c r="B83" s="98"/>
      <c r="C83" s="98"/>
      <c r="D83" s="98"/>
      <c r="E83" s="43"/>
      <c r="F83" s="27"/>
    </row>
    <row r="84" spans="1:6" ht="19.5" customHeight="1" x14ac:dyDescent="0.2">
      <c r="A84" s="27"/>
      <c r="B84" s="44" t="s">
        <v>22</v>
      </c>
      <c r="C84" s="45"/>
      <c r="D84" s="45"/>
      <c r="E84" s="46">
        <f>E80-E82</f>
        <v>1774.93</v>
      </c>
      <c r="F84" s="27"/>
    </row>
    <row r="85" spans="1:6" ht="13.5" customHeight="1" x14ac:dyDescent="0.2">
      <c r="A85" s="27"/>
      <c r="B85" s="27"/>
      <c r="C85" s="27"/>
      <c r="D85" s="27"/>
      <c r="E85" s="27"/>
      <c r="F85" s="27"/>
    </row>
    <row r="86" spans="1:6" x14ac:dyDescent="0.2">
      <c r="A86" s="27"/>
      <c r="B86" s="27"/>
      <c r="C86" s="27"/>
      <c r="D86" s="27"/>
      <c r="E86" s="27"/>
      <c r="F86" s="27"/>
    </row>
    <row r="87" spans="1:6" x14ac:dyDescent="0.2">
      <c r="A87" s="27"/>
      <c r="B87" s="102"/>
      <c r="C87" s="102"/>
      <c r="D87" s="102"/>
      <c r="E87" s="102"/>
      <c r="F87" s="27"/>
    </row>
    <row r="88" spans="1:6" ht="14.25" x14ac:dyDescent="0.2">
      <c r="A88" s="95" t="s">
        <v>24</v>
      </c>
      <c r="B88" s="95"/>
      <c r="C88" s="95"/>
      <c r="D88" s="95"/>
      <c r="E88" s="95"/>
      <c r="F88" s="95"/>
    </row>
    <row r="89" spans="1:6" ht="14.25" x14ac:dyDescent="0.2">
      <c r="A89" s="93" t="s">
        <v>7</v>
      </c>
      <c r="B89" s="93"/>
      <c r="C89" s="93"/>
      <c r="D89" s="93"/>
      <c r="E89" s="93"/>
      <c r="F89" s="93"/>
    </row>
    <row r="90" spans="1:6" x14ac:dyDescent="0.2">
      <c r="A90" s="27"/>
      <c r="B90" s="27"/>
      <c r="C90" s="27"/>
      <c r="D90" s="27"/>
      <c r="E90" s="27"/>
      <c r="F90" s="27"/>
    </row>
    <row r="91" spans="1:6" x14ac:dyDescent="0.2">
      <c r="A91" s="27"/>
      <c r="B91" s="103"/>
      <c r="C91" s="103"/>
      <c r="D91" s="103"/>
      <c r="E91" s="103"/>
      <c r="F91" s="27"/>
    </row>
    <row r="92" spans="1:6" ht="15" x14ac:dyDescent="0.2">
      <c r="A92" s="94" t="s">
        <v>8</v>
      </c>
      <c r="B92" s="94"/>
      <c r="C92" s="94"/>
      <c r="D92" s="94"/>
      <c r="E92" s="94"/>
      <c r="F92" s="94"/>
    </row>
    <row r="94" spans="1:6" ht="39.75" customHeight="1" x14ac:dyDescent="0.2">
      <c r="B94" s="100"/>
      <c r="C94" s="101"/>
      <c r="D94" s="101"/>
    </row>
    <row r="95" spans="1:6" ht="13.5" customHeight="1" x14ac:dyDescent="0.2"/>
    <row r="96" spans="1:6" x14ac:dyDescent="0.2">
      <c r="B96" s="19"/>
      <c r="C96" s="19"/>
      <c r="D96" s="19"/>
    </row>
  </sheetData>
  <mergeCells count="49">
    <mergeCell ref="A92:F92"/>
    <mergeCell ref="B94:D94"/>
    <mergeCell ref="B82:D82"/>
    <mergeCell ref="B83:D83"/>
    <mergeCell ref="B87:E87"/>
    <mergeCell ref="A88:F88"/>
    <mergeCell ref="A89:F89"/>
    <mergeCell ref="B91:E91"/>
    <mergeCell ref="B81:D81"/>
    <mergeCell ref="B62:D62"/>
    <mergeCell ref="B63:D63"/>
    <mergeCell ref="B64:D64"/>
    <mergeCell ref="B65:D65"/>
    <mergeCell ref="B66:D66"/>
    <mergeCell ref="B67:D67"/>
    <mergeCell ref="B68:D68"/>
    <mergeCell ref="B69:D69"/>
    <mergeCell ref="B70:D70"/>
    <mergeCell ref="B71:D71"/>
    <mergeCell ref="B72:D72"/>
    <mergeCell ref="B61:D61"/>
    <mergeCell ref="B50:D50"/>
    <mergeCell ref="B51:D51"/>
    <mergeCell ref="B52:D52"/>
    <mergeCell ref="B53:D53"/>
    <mergeCell ref="B54:D54"/>
    <mergeCell ref="B55:D55"/>
    <mergeCell ref="B56:D56"/>
    <mergeCell ref="B57:D57"/>
    <mergeCell ref="B58:D58"/>
    <mergeCell ref="B59:D59"/>
    <mergeCell ref="B60:D60"/>
    <mergeCell ref="B45:D45"/>
    <mergeCell ref="B46:D46"/>
    <mergeCell ref="B47:D47"/>
    <mergeCell ref="B48:D48"/>
    <mergeCell ref="B49:D49"/>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1:B83 B12:B20 B34:B72" xr:uid="{00000000-0002-0000-28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2:F97"/>
  <sheetViews>
    <sheetView view="pageBreakPreview" topLeftCell="A34"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265</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263</v>
      </c>
      <c r="C26" s="27"/>
      <c r="D26" s="27"/>
      <c r="E26" s="27"/>
      <c r="F26" s="27"/>
    </row>
    <row r="27" spans="1:6" ht="15" x14ac:dyDescent="0.2">
      <c r="A27" s="20"/>
      <c r="B27" s="32" t="s">
        <v>264</v>
      </c>
      <c r="C27" s="27"/>
      <c r="D27" s="27"/>
      <c r="E27" s="27"/>
      <c r="F27" s="27"/>
    </row>
    <row r="28" spans="1:6" x14ac:dyDescent="0.2">
      <c r="A28" s="21"/>
      <c r="B28" s="27"/>
      <c r="C28" s="29"/>
      <c r="D28" s="29"/>
      <c r="E28" s="30"/>
      <c r="F28" s="27"/>
    </row>
    <row r="29" spans="1:6" ht="15" x14ac:dyDescent="0.2">
      <c r="A29" s="20"/>
      <c r="B29" s="29"/>
      <c r="C29" s="29"/>
      <c r="D29" s="33" t="s">
        <v>16</v>
      </c>
      <c r="E29" s="33" t="s">
        <v>266</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t="s">
        <v>267</v>
      </c>
      <c r="C35" s="96"/>
      <c r="D35" s="96"/>
      <c r="E35" s="34">
        <f>0.5*225</f>
        <v>112.5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273</v>
      </c>
      <c r="C38" s="96"/>
      <c r="D38" s="96"/>
      <c r="E38" s="34">
        <f>1.25*225</f>
        <v>281.25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268</v>
      </c>
      <c r="C41" s="96"/>
      <c r="D41" s="96"/>
      <c r="E41" s="34">
        <f>1.5*225</f>
        <v>337.5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269</v>
      </c>
      <c r="C44" s="96"/>
      <c r="D44" s="96"/>
      <c r="E44" s="34">
        <f>0.4*225</f>
        <v>90</v>
      </c>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270</v>
      </c>
      <c r="C47" s="96"/>
      <c r="D47" s="96"/>
      <c r="E47" s="34">
        <f>0.4*225</f>
        <v>90</v>
      </c>
      <c r="F47" s="27"/>
    </row>
    <row r="48" spans="1:6" ht="14.25" x14ac:dyDescent="0.2">
      <c r="A48" s="27"/>
      <c r="B48" s="96"/>
      <c r="C48" s="96"/>
      <c r="D48" s="96"/>
      <c r="E48" s="34"/>
      <c r="F48" s="27"/>
    </row>
    <row r="49" spans="1:6" ht="14.25" x14ac:dyDescent="0.2">
      <c r="A49" s="27"/>
      <c r="B49" s="75"/>
      <c r="C49" s="75"/>
      <c r="D49" s="75"/>
      <c r="E49" s="34"/>
      <c r="F49" s="27"/>
    </row>
    <row r="50" spans="1:6" ht="14.25" x14ac:dyDescent="0.2">
      <c r="A50" s="27"/>
      <c r="B50" s="96" t="s">
        <v>271</v>
      </c>
      <c r="C50" s="96"/>
      <c r="D50" s="96"/>
      <c r="E50" s="34">
        <f>0.4*225</f>
        <v>90</v>
      </c>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t="s">
        <v>272</v>
      </c>
      <c r="C53" s="96"/>
      <c r="D53" s="96"/>
      <c r="E53" s="34">
        <f>0.25*225</f>
        <v>56.25</v>
      </c>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t="s">
        <v>274</v>
      </c>
      <c r="C56" s="96"/>
      <c r="D56" s="96"/>
      <c r="E56" s="34">
        <f>0.75*225</f>
        <v>168.75</v>
      </c>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t="s">
        <v>275</v>
      </c>
      <c r="C59" s="96"/>
      <c r="D59" s="96"/>
      <c r="E59" s="34">
        <f>0.75*225</f>
        <v>168.75</v>
      </c>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t="s">
        <v>276</v>
      </c>
      <c r="C62" s="96"/>
      <c r="D62" s="96"/>
      <c r="E62" s="34">
        <f>0.25*225</f>
        <v>56.25</v>
      </c>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3.5" customHeight="1" x14ac:dyDescent="0.2">
      <c r="A73" s="27"/>
      <c r="B73" s="96"/>
      <c r="C73" s="96"/>
      <c r="D73" s="96"/>
      <c r="E73" s="34"/>
      <c r="F73" s="27"/>
    </row>
    <row r="74" spans="1:6" ht="13.5" customHeight="1" x14ac:dyDescent="0.2">
      <c r="A74" s="27"/>
      <c r="B74" s="31" t="s">
        <v>20</v>
      </c>
      <c r="C74" s="32"/>
      <c r="D74" s="32"/>
      <c r="E74" s="35">
        <f>SUM(E33:E73)</f>
        <v>1451.25</v>
      </c>
      <c r="F74" s="27"/>
    </row>
    <row r="75" spans="1:6" ht="13.5" customHeight="1" x14ac:dyDescent="0.2">
      <c r="A75" s="27"/>
      <c r="B75" s="40" t="s">
        <v>17</v>
      </c>
      <c r="C75" s="32"/>
      <c r="D75" s="32"/>
      <c r="E75" s="36">
        <v>0</v>
      </c>
      <c r="F75" s="27"/>
    </row>
    <row r="76" spans="1:6" ht="13.5" customHeight="1" x14ac:dyDescent="0.2">
      <c r="A76" s="27"/>
      <c r="B76" s="40" t="s">
        <v>277</v>
      </c>
      <c r="C76" s="32"/>
      <c r="D76" s="32"/>
      <c r="E76" s="36">
        <v>0</v>
      </c>
      <c r="F76" s="27"/>
    </row>
    <row r="77" spans="1:6" ht="13.5" customHeight="1" x14ac:dyDescent="0.2">
      <c r="A77" s="27"/>
      <c r="B77" s="31" t="s">
        <v>19</v>
      </c>
      <c r="C77" s="32"/>
      <c r="D77" s="32"/>
      <c r="E77" s="35">
        <f>SUM(E74:E76)</f>
        <v>1451.25</v>
      </c>
      <c r="F77" s="27"/>
    </row>
    <row r="78" spans="1:6" ht="13.5" customHeight="1" x14ac:dyDescent="0.2">
      <c r="A78" s="27"/>
      <c r="B78" s="32" t="s">
        <v>5</v>
      </c>
      <c r="C78" s="37">
        <v>0.05</v>
      </c>
      <c r="D78" s="32"/>
      <c r="E78" s="41">
        <f>ROUND(E77*C78,2)</f>
        <v>72.56</v>
      </c>
      <c r="F78" s="27"/>
    </row>
    <row r="79" spans="1:6" ht="13.5" customHeight="1" x14ac:dyDescent="0.2">
      <c r="A79" s="27"/>
      <c r="B79" s="32" t="s">
        <v>4</v>
      </c>
      <c r="C79" s="64">
        <v>9.9750000000000005E-2</v>
      </c>
      <c r="D79" s="32"/>
      <c r="E79" s="42">
        <f>ROUND(E77*C79,2)</f>
        <v>144.76</v>
      </c>
      <c r="F79" s="27"/>
    </row>
    <row r="80" spans="1:6" ht="13.5" customHeight="1" x14ac:dyDescent="0.2">
      <c r="A80" s="27"/>
      <c r="B80" s="32"/>
      <c r="C80" s="32"/>
      <c r="D80" s="32"/>
      <c r="E80" s="38"/>
      <c r="F80" s="27"/>
    </row>
    <row r="81" spans="1:6" ht="16.5" customHeight="1" thickBot="1" x14ac:dyDescent="0.25">
      <c r="A81" s="27"/>
      <c r="B81" s="31" t="s">
        <v>21</v>
      </c>
      <c r="C81" s="32"/>
      <c r="D81" s="32"/>
      <c r="E81" s="39">
        <f>SUM(E77:E79)</f>
        <v>1668.57</v>
      </c>
      <c r="F81" s="27"/>
    </row>
    <row r="82" spans="1:6" ht="15.75" thickTop="1" x14ac:dyDescent="0.2">
      <c r="A82" s="27"/>
      <c r="B82" s="98"/>
      <c r="C82" s="98"/>
      <c r="D82" s="98"/>
      <c r="E82" s="43"/>
      <c r="F82" s="27"/>
    </row>
    <row r="83" spans="1:6" ht="15" x14ac:dyDescent="0.2">
      <c r="A83" s="27"/>
      <c r="B83" s="97" t="s">
        <v>23</v>
      </c>
      <c r="C83" s="97"/>
      <c r="D83" s="97"/>
      <c r="E83" s="43">
        <v>0</v>
      </c>
      <c r="F83" s="27"/>
    </row>
    <row r="84" spans="1:6" ht="15" x14ac:dyDescent="0.2">
      <c r="A84" s="27"/>
      <c r="B84" s="98"/>
      <c r="C84" s="98"/>
      <c r="D84" s="98"/>
      <c r="E84" s="43"/>
      <c r="F84" s="27"/>
    </row>
    <row r="85" spans="1:6" ht="19.5" customHeight="1" x14ac:dyDescent="0.2">
      <c r="A85" s="27"/>
      <c r="B85" s="44" t="s">
        <v>22</v>
      </c>
      <c r="C85" s="45"/>
      <c r="D85" s="45"/>
      <c r="E85" s="46">
        <f>E81-E83</f>
        <v>1668.57</v>
      </c>
      <c r="F85" s="27"/>
    </row>
    <row r="86" spans="1:6" ht="13.5" customHeight="1" x14ac:dyDescent="0.2">
      <c r="A86" s="27"/>
      <c r="B86" s="27"/>
      <c r="C86" s="27"/>
      <c r="D86" s="27"/>
      <c r="E86" s="27"/>
      <c r="F86" s="27"/>
    </row>
    <row r="87" spans="1:6" x14ac:dyDescent="0.2">
      <c r="A87" s="27"/>
      <c r="B87" s="27"/>
      <c r="C87" s="27"/>
      <c r="D87" s="27"/>
      <c r="E87" s="27"/>
      <c r="F87" s="27"/>
    </row>
    <row r="88" spans="1:6" x14ac:dyDescent="0.2">
      <c r="A88" s="27"/>
      <c r="B88" s="102"/>
      <c r="C88" s="102"/>
      <c r="D88" s="102"/>
      <c r="E88" s="102"/>
      <c r="F88" s="27"/>
    </row>
    <row r="89" spans="1:6" ht="14.25" x14ac:dyDescent="0.2">
      <c r="A89" s="95" t="s">
        <v>24</v>
      </c>
      <c r="B89" s="95"/>
      <c r="C89" s="95"/>
      <c r="D89" s="95"/>
      <c r="E89" s="95"/>
      <c r="F89" s="95"/>
    </row>
    <row r="90" spans="1:6" ht="14.25" x14ac:dyDescent="0.2">
      <c r="A90" s="93" t="s">
        <v>7</v>
      </c>
      <c r="B90" s="93"/>
      <c r="C90" s="93"/>
      <c r="D90" s="93"/>
      <c r="E90" s="93"/>
      <c r="F90" s="93"/>
    </row>
    <row r="91" spans="1:6" x14ac:dyDescent="0.2">
      <c r="A91" s="27"/>
      <c r="B91" s="27"/>
      <c r="C91" s="27"/>
      <c r="D91" s="27"/>
      <c r="E91" s="27"/>
      <c r="F91" s="27"/>
    </row>
    <row r="92" spans="1:6" x14ac:dyDescent="0.2">
      <c r="A92" s="27"/>
      <c r="B92" s="103"/>
      <c r="C92" s="103"/>
      <c r="D92" s="103"/>
      <c r="E92" s="103"/>
      <c r="F92" s="27"/>
    </row>
    <row r="93" spans="1:6" ht="15" x14ac:dyDescent="0.2">
      <c r="A93" s="94" t="s">
        <v>8</v>
      </c>
      <c r="B93" s="94"/>
      <c r="C93" s="94"/>
      <c r="D93" s="94"/>
      <c r="E93" s="94"/>
      <c r="F93" s="94"/>
    </row>
    <row r="95" spans="1:6" ht="39.75" customHeight="1" x14ac:dyDescent="0.2">
      <c r="B95" s="100"/>
      <c r="C95" s="101"/>
      <c r="D95" s="101"/>
    </row>
    <row r="96" spans="1:6" ht="13.5" customHeight="1" x14ac:dyDescent="0.2"/>
    <row r="97" spans="2:4" x14ac:dyDescent="0.2">
      <c r="B97" s="19"/>
      <c r="C97" s="19"/>
      <c r="D97" s="19"/>
    </row>
  </sheetData>
  <mergeCells count="49">
    <mergeCell ref="B95:D95"/>
    <mergeCell ref="B84:D84"/>
    <mergeCell ref="B88:E88"/>
    <mergeCell ref="A89:F89"/>
    <mergeCell ref="A90:F90"/>
    <mergeCell ref="B92:E92"/>
    <mergeCell ref="A93:F93"/>
    <mergeCell ref="B83:D83"/>
    <mergeCell ref="B64:D64"/>
    <mergeCell ref="B65:D65"/>
    <mergeCell ref="B66:D66"/>
    <mergeCell ref="B67:D67"/>
    <mergeCell ref="B68:D68"/>
    <mergeCell ref="B69:D69"/>
    <mergeCell ref="B70:D70"/>
    <mergeCell ref="B71:D71"/>
    <mergeCell ref="B72:D72"/>
    <mergeCell ref="B73:D73"/>
    <mergeCell ref="B82:D82"/>
    <mergeCell ref="B63:D63"/>
    <mergeCell ref="B52:D52"/>
    <mergeCell ref="B53:D53"/>
    <mergeCell ref="B54:D54"/>
    <mergeCell ref="B55:D55"/>
    <mergeCell ref="B56:D56"/>
    <mergeCell ref="B57:D57"/>
    <mergeCell ref="B58:D58"/>
    <mergeCell ref="B59:D59"/>
    <mergeCell ref="B60:D60"/>
    <mergeCell ref="B61:D61"/>
    <mergeCell ref="B62:D62"/>
    <mergeCell ref="B51:D51"/>
    <mergeCell ref="B39:D39"/>
    <mergeCell ref="B40:D40"/>
    <mergeCell ref="B41:D41"/>
    <mergeCell ref="B42:D42"/>
    <mergeCell ref="B43:D43"/>
    <mergeCell ref="B44:D44"/>
    <mergeCell ref="B45:D45"/>
    <mergeCell ref="B46:D46"/>
    <mergeCell ref="B47:D47"/>
    <mergeCell ref="B48:D48"/>
    <mergeCell ref="B50:D50"/>
    <mergeCell ref="B38:D38"/>
    <mergeCell ref="A31:F31"/>
    <mergeCell ref="B34:D34"/>
    <mergeCell ref="B35:D35"/>
    <mergeCell ref="B36:D36"/>
    <mergeCell ref="B37:D37"/>
  </mergeCells>
  <dataValidations count="1">
    <dataValidation type="list" allowBlank="1" showInputMessage="1" showErrorMessage="1" sqref="B82:B84 B12:B20 B34:B73" xr:uid="{00000000-0002-0000-29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2:F96"/>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278</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263</v>
      </c>
      <c r="C26" s="27"/>
      <c r="D26" s="27"/>
      <c r="E26" s="27"/>
      <c r="F26" s="27"/>
    </row>
    <row r="27" spans="1:6" ht="15" x14ac:dyDescent="0.2">
      <c r="A27" s="20"/>
      <c r="B27" s="32" t="s">
        <v>264</v>
      </c>
      <c r="C27" s="27"/>
      <c r="D27" s="27"/>
      <c r="E27" s="27"/>
      <c r="F27" s="27"/>
    </row>
    <row r="28" spans="1:6" x14ac:dyDescent="0.2">
      <c r="A28" s="21"/>
      <c r="B28" s="27"/>
      <c r="C28" s="29"/>
      <c r="D28" s="29"/>
      <c r="E28" s="30"/>
      <c r="F28" s="27"/>
    </row>
    <row r="29" spans="1:6" ht="15" x14ac:dyDescent="0.2">
      <c r="A29" s="20"/>
      <c r="B29" s="29"/>
      <c r="C29" s="29"/>
      <c r="D29" s="33" t="s">
        <v>16</v>
      </c>
      <c r="E29" s="33" t="s">
        <v>279</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t="s">
        <v>280</v>
      </c>
      <c r="C35" s="96"/>
      <c r="D35" s="96"/>
      <c r="E35" s="34">
        <f>0.25*225</f>
        <v>56.25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281</v>
      </c>
      <c r="C38" s="96"/>
      <c r="D38" s="96"/>
      <c r="E38" s="34">
        <f>0.25*225</f>
        <v>56.25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282</v>
      </c>
      <c r="C41" s="96"/>
      <c r="D41" s="96"/>
      <c r="E41" s="34">
        <f>1.75*225</f>
        <v>393.75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283</v>
      </c>
      <c r="C44" s="96"/>
      <c r="D44" s="96"/>
      <c r="E44" s="34">
        <f>0.5*225</f>
        <v>112.5</v>
      </c>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284</v>
      </c>
      <c r="C47" s="96"/>
      <c r="D47" s="96"/>
      <c r="E47" s="34">
        <f>0.75*225</f>
        <v>168.75</v>
      </c>
      <c r="F47" s="27"/>
    </row>
    <row r="48" spans="1:6" ht="14.25" x14ac:dyDescent="0.2">
      <c r="A48" s="27"/>
      <c r="B48" s="96"/>
      <c r="C48" s="96"/>
      <c r="D48" s="96"/>
      <c r="E48" s="34"/>
      <c r="F48" s="27"/>
    </row>
    <row r="49" spans="1:6" ht="14.25" x14ac:dyDescent="0.2">
      <c r="A49" s="27"/>
      <c r="B49" s="76"/>
      <c r="C49" s="76"/>
      <c r="D49" s="7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3.5" customHeight="1" x14ac:dyDescent="0.2">
      <c r="A72" s="27"/>
      <c r="B72" s="96"/>
      <c r="C72" s="96"/>
      <c r="D72" s="96"/>
      <c r="E72" s="34"/>
      <c r="F72" s="27"/>
    </row>
    <row r="73" spans="1:6" ht="13.5" customHeight="1" x14ac:dyDescent="0.2">
      <c r="A73" s="27"/>
      <c r="B73" s="31" t="s">
        <v>20</v>
      </c>
      <c r="C73" s="32"/>
      <c r="D73" s="32"/>
      <c r="E73" s="35">
        <f>SUM(E33:E72)</f>
        <v>787.5</v>
      </c>
      <c r="F73" s="27"/>
    </row>
    <row r="74" spans="1:6" ht="13.5" customHeight="1" x14ac:dyDescent="0.2">
      <c r="A74" s="27"/>
      <c r="B74" s="40" t="s">
        <v>17</v>
      </c>
      <c r="C74" s="32"/>
      <c r="D74" s="32"/>
      <c r="E74" s="36">
        <v>0</v>
      </c>
      <c r="F74" s="27"/>
    </row>
    <row r="75" spans="1:6" ht="13.5" customHeight="1" x14ac:dyDescent="0.2">
      <c r="A75" s="27"/>
      <c r="B75" s="40" t="s">
        <v>277</v>
      </c>
      <c r="C75" s="32"/>
      <c r="D75" s="32"/>
      <c r="E75" s="36">
        <v>200</v>
      </c>
      <c r="F75" s="27"/>
    </row>
    <row r="76" spans="1:6" ht="13.5" customHeight="1" x14ac:dyDescent="0.2">
      <c r="A76" s="27"/>
      <c r="B76" s="31" t="s">
        <v>19</v>
      </c>
      <c r="C76" s="32"/>
      <c r="D76" s="32"/>
      <c r="E76" s="35">
        <f>SUM(E73:E75)</f>
        <v>987.5</v>
      </c>
      <c r="F76" s="27"/>
    </row>
    <row r="77" spans="1:6" ht="13.5" customHeight="1" x14ac:dyDescent="0.2">
      <c r="A77" s="27"/>
      <c r="B77" s="32" t="s">
        <v>5</v>
      </c>
      <c r="C77" s="37">
        <v>0.05</v>
      </c>
      <c r="D77" s="32"/>
      <c r="E77" s="41">
        <f>ROUND(E76*C77,2)</f>
        <v>49.38</v>
      </c>
      <c r="F77" s="27"/>
    </row>
    <row r="78" spans="1:6" ht="13.5" customHeight="1" x14ac:dyDescent="0.2">
      <c r="A78" s="27"/>
      <c r="B78" s="32" t="s">
        <v>4</v>
      </c>
      <c r="C78" s="64">
        <v>9.9750000000000005E-2</v>
      </c>
      <c r="D78" s="32"/>
      <c r="E78" s="42">
        <f>ROUND(E76*C78,2)</f>
        <v>98.5</v>
      </c>
      <c r="F78" s="27"/>
    </row>
    <row r="79" spans="1:6" ht="13.5" customHeight="1" x14ac:dyDescent="0.2">
      <c r="A79" s="27"/>
      <c r="B79" s="32"/>
      <c r="C79" s="32"/>
      <c r="D79" s="32"/>
      <c r="E79" s="38"/>
      <c r="F79" s="27"/>
    </row>
    <row r="80" spans="1:6" ht="16.5" customHeight="1" thickBot="1" x14ac:dyDescent="0.25">
      <c r="A80" s="27"/>
      <c r="B80" s="31" t="s">
        <v>21</v>
      </c>
      <c r="C80" s="32"/>
      <c r="D80" s="32"/>
      <c r="E80" s="39">
        <f>SUM(E76:E78)</f>
        <v>1135.3800000000001</v>
      </c>
      <c r="F80" s="27"/>
    </row>
    <row r="81" spans="1:6" ht="15.75" thickTop="1" x14ac:dyDescent="0.2">
      <c r="A81" s="27"/>
      <c r="B81" s="98"/>
      <c r="C81" s="98"/>
      <c r="D81" s="98"/>
      <c r="E81" s="43"/>
      <c r="F81" s="27"/>
    </row>
    <row r="82" spans="1:6" ht="15" x14ac:dyDescent="0.2">
      <c r="A82" s="27"/>
      <c r="B82" s="97" t="s">
        <v>23</v>
      </c>
      <c r="C82" s="97"/>
      <c r="D82" s="97"/>
      <c r="E82" s="43">
        <v>0</v>
      </c>
      <c r="F82" s="27"/>
    </row>
    <row r="83" spans="1:6" ht="15" x14ac:dyDescent="0.2">
      <c r="A83" s="27"/>
      <c r="B83" s="98"/>
      <c r="C83" s="98"/>
      <c r="D83" s="98"/>
      <c r="E83" s="43"/>
      <c r="F83" s="27"/>
    </row>
    <row r="84" spans="1:6" ht="19.5" customHeight="1" x14ac:dyDescent="0.2">
      <c r="A84" s="27"/>
      <c r="B84" s="44" t="s">
        <v>22</v>
      </c>
      <c r="C84" s="45"/>
      <c r="D84" s="45"/>
      <c r="E84" s="46">
        <f>E80-E82</f>
        <v>1135.3800000000001</v>
      </c>
      <c r="F84" s="27"/>
    </row>
    <row r="85" spans="1:6" ht="13.5" customHeight="1" x14ac:dyDescent="0.2">
      <c r="A85" s="27"/>
      <c r="B85" s="27"/>
      <c r="C85" s="27"/>
      <c r="D85" s="27"/>
      <c r="E85" s="27"/>
      <c r="F85" s="27"/>
    </row>
    <row r="86" spans="1:6" x14ac:dyDescent="0.2">
      <c r="A86" s="27"/>
      <c r="B86" s="27"/>
      <c r="C86" s="27"/>
      <c r="D86" s="27"/>
      <c r="E86" s="27"/>
      <c r="F86" s="27"/>
    </row>
    <row r="87" spans="1:6" x14ac:dyDescent="0.2">
      <c r="A87" s="27"/>
      <c r="B87" s="102"/>
      <c r="C87" s="102"/>
      <c r="D87" s="102"/>
      <c r="E87" s="102"/>
      <c r="F87" s="27"/>
    </row>
    <row r="88" spans="1:6" ht="14.25" x14ac:dyDescent="0.2">
      <c r="A88" s="95" t="s">
        <v>24</v>
      </c>
      <c r="B88" s="95"/>
      <c r="C88" s="95"/>
      <c r="D88" s="95"/>
      <c r="E88" s="95"/>
      <c r="F88" s="95"/>
    </row>
    <row r="89" spans="1:6" ht="14.25" x14ac:dyDescent="0.2">
      <c r="A89" s="93" t="s">
        <v>7</v>
      </c>
      <c r="B89" s="93"/>
      <c r="C89" s="93"/>
      <c r="D89" s="93"/>
      <c r="E89" s="93"/>
      <c r="F89" s="93"/>
    </row>
    <row r="90" spans="1:6" x14ac:dyDescent="0.2">
      <c r="A90" s="27"/>
      <c r="B90" s="27"/>
      <c r="C90" s="27"/>
      <c r="D90" s="27"/>
      <c r="E90" s="27"/>
      <c r="F90" s="27"/>
    </row>
    <row r="91" spans="1:6" x14ac:dyDescent="0.2">
      <c r="A91" s="27"/>
      <c r="B91" s="103"/>
      <c r="C91" s="103"/>
      <c r="D91" s="103"/>
      <c r="E91" s="103"/>
      <c r="F91" s="27"/>
    </row>
    <row r="92" spans="1:6" ht="15" x14ac:dyDescent="0.2">
      <c r="A92" s="94" t="s">
        <v>8</v>
      </c>
      <c r="B92" s="94"/>
      <c r="C92" s="94"/>
      <c r="D92" s="94"/>
      <c r="E92" s="94"/>
      <c r="F92" s="94"/>
    </row>
    <row r="94" spans="1:6" ht="39.75" customHeight="1" x14ac:dyDescent="0.2">
      <c r="B94" s="100"/>
      <c r="C94" s="101"/>
      <c r="D94" s="101"/>
    </row>
    <row r="95" spans="1:6" ht="13.5" customHeight="1" x14ac:dyDescent="0.2"/>
    <row r="96" spans="1:6" x14ac:dyDescent="0.2">
      <c r="B96" s="19"/>
      <c r="C96" s="19"/>
      <c r="D96" s="19"/>
    </row>
  </sheetData>
  <mergeCells count="48">
    <mergeCell ref="B38:D38"/>
    <mergeCell ref="A31:F31"/>
    <mergeCell ref="B34:D34"/>
    <mergeCell ref="B35:D35"/>
    <mergeCell ref="B36:D36"/>
    <mergeCell ref="B37:D37"/>
    <mergeCell ref="B51:D51"/>
    <mergeCell ref="B39:D39"/>
    <mergeCell ref="B40:D40"/>
    <mergeCell ref="B41:D41"/>
    <mergeCell ref="B42:D42"/>
    <mergeCell ref="B43:D43"/>
    <mergeCell ref="B44:D44"/>
    <mergeCell ref="B45:D45"/>
    <mergeCell ref="B46:D46"/>
    <mergeCell ref="B47:D47"/>
    <mergeCell ref="B48:D48"/>
    <mergeCell ref="B50:D50"/>
    <mergeCell ref="B62:D62"/>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12:B20 B34:B72" xr:uid="{00000000-0002-0000-2A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2:F96"/>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285</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263</v>
      </c>
      <c r="C26" s="27"/>
      <c r="D26" s="27"/>
      <c r="E26" s="27"/>
      <c r="F26" s="27"/>
    </row>
    <row r="27" spans="1:6" ht="15" x14ac:dyDescent="0.2">
      <c r="A27" s="20"/>
      <c r="B27" s="32" t="s">
        <v>264</v>
      </c>
      <c r="C27" s="27"/>
      <c r="D27" s="27"/>
      <c r="E27" s="27"/>
      <c r="F27" s="27"/>
    </row>
    <row r="28" spans="1:6" x14ac:dyDescent="0.2">
      <c r="A28" s="21"/>
      <c r="B28" s="27"/>
      <c r="C28" s="29"/>
      <c r="D28" s="29"/>
      <c r="E28" s="30"/>
      <c r="F28" s="27"/>
    </row>
    <row r="29" spans="1:6" ht="15" x14ac:dyDescent="0.2">
      <c r="A29" s="20"/>
      <c r="B29" s="29"/>
      <c r="C29" s="29"/>
      <c r="D29" s="33" t="s">
        <v>16</v>
      </c>
      <c r="E29" s="33" t="s">
        <v>286</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t="s">
        <v>287</v>
      </c>
      <c r="C35" s="96"/>
      <c r="D35" s="96"/>
      <c r="E35" s="34">
        <f>0.25*225</f>
        <v>56.25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288</v>
      </c>
      <c r="C38" s="96"/>
      <c r="D38" s="96"/>
      <c r="E38" s="34">
        <f>0.4*225</f>
        <v>90</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77"/>
      <c r="C49" s="77"/>
      <c r="D49" s="77"/>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3.5" customHeight="1" x14ac:dyDescent="0.2">
      <c r="A72" s="27"/>
      <c r="B72" s="96"/>
      <c r="C72" s="96"/>
      <c r="D72" s="96"/>
      <c r="E72" s="34"/>
      <c r="F72" s="27"/>
    </row>
    <row r="73" spans="1:6" ht="13.5" customHeight="1" x14ac:dyDescent="0.2">
      <c r="A73" s="27"/>
      <c r="B73" s="31" t="s">
        <v>20</v>
      </c>
      <c r="C73" s="32"/>
      <c r="D73" s="32"/>
      <c r="E73" s="35">
        <f>SUM(E33:E72)</f>
        <v>146.25</v>
      </c>
      <c r="F73" s="27"/>
    </row>
    <row r="74" spans="1:6" ht="13.5" customHeight="1" x14ac:dyDescent="0.2">
      <c r="A74" s="27"/>
      <c r="B74" s="40" t="s">
        <v>17</v>
      </c>
      <c r="C74" s="32"/>
      <c r="D74" s="32"/>
      <c r="E74" s="36">
        <v>0</v>
      </c>
      <c r="F74" s="27"/>
    </row>
    <row r="75" spans="1:6" ht="13.5" customHeight="1" x14ac:dyDescent="0.2">
      <c r="A75" s="27"/>
      <c r="B75" s="40" t="s">
        <v>277</v>
      </c>
      <c r="C75" s="32"/>
      <c r="D75" s="32"/>
      <c r="E75" s="36">
        <v>0</v>
      </c>
      <c r="F75" s="27"/>
    </row>
    <row r="76" spans="1:6" ht="13.5" customHeight="1" x14ac:dyDescent="0.2">
      <c r="A76" s="27"/>
      <c r="B76" s="31" t="s">
        <v>19</v>
      </c>
      <c r="C76" s="32"/>
      <c r="D76" s="32"/>
      <c r="E76" s="35">
        <f>SUM(E73:E75)</f>
        <v>146.25</v>
      </c>
      <c r="F76" s="27"/>
    </row>
    <row r="77" spans="1:6" ht="13.5" customHeight="1" x14ac:dyDescent="0.2">
      <c r="A77" s="27"/>
      <c r="B77" s="32" t="s">
        <v>5</v>
      </c>
      <c r="C77" s="37">
        <v>0.05</v>
      </c>
      <c r="D77" s="32"/>
      <c r="E77" s="41">
        <f>ROUND(E76*C77,2)</f>
        <v>7.31</v>
      </c>
      <c r="F77" s="27"/>
    </row>
    <row r="78" spans="1:6" ht="13.5" customHeight="1" x14ac:dyDescent="0.2">
      <c r="A78" s="27"/>
      <c r="B78" s="32" t="s">
        <v>4</v>
      </c>
      <c r="C78" s="64">
        <v>9.9750000000000005E-2</v>
      </c>
      <c r="D78" s="32"/>
      <c r="E78" s="42">
        <f>ROUND(E76*C78,2)</f>
        <v>14.59</v>
      </c>
      <c r="F78" s="27"/>
    </row>
    <row r="79" spans="1:6" ht="13.5" customHeight="1" x14ac:dyDescent="0.2">
      <c r="A79" s="27"/>
      <c r="B79" s="32"/>
      <c r="C79" s="32"/>
      <c r="D79" s="32"/>
      <c r="E79" s="38"/>
      <c r="F79" s="27"/>
    </row>
    <row r="80" spans="1:6" ht="16.5" customHeight="1" thickBot="1" x14ac:dyDescent="0.25">
      <c r="A80" s="27"/>
      <c r="B80" s="31" t="s">
        <v>21</v>
      </c>
      <c r="C80" s="32"/>
      <c r="D80" s="32"/>
      <c r="E80" s="39">
        <f>SUM(E76:E78)</f>
        <v>168.15</v>
      </c>
      <c r="F80" s="27"/>
    </row>
    <row r="81" spans="1:6" ht="15.75" thickTop="1" x14ac:dyDescent="0.2">
      <c r="A81" s="27"/>
      <c r="B81" s="98"/>
      <c r="C81" s="98"/>
      <c r="D81" s="98"/>
      <c r="E81" s="43"/>
      <c r="F81" s="27"/>
    </row>
    <row r="82" spans="1:6" ht="15" x14ac:dyDescent="0.2">
      <c r="A82" s="27"/>
      <c r="B82" s="97" t="s">
        <v>23</v>
      </c>
      <c r="C82" s="97"/>
      <c r="D82" s="97"/>
      <c r="E82" s="43">
        <v>0</v>
      </c>
      <c r="F82" s="27"/>
    </row>
    <row r="83" spans="1:6" ht="15" x14ac:dyDescent="0.2">
      <c r="A83" s="27"/>
      <c r="B83" s="98"/>
      <c r="C83" s="98"/>
      <c r="D83" s="98"/>
      <c r="E83" s="43"/>
      <c r="F83" s="27"/>
    </row>
    <row r="84" spans="1:6" ht="19.5" customHeight="1" x14ac:dyDescent="0.2">
      <c r="A84" s="27"/>
      <c r="B84" s="44" t="s">
        <v>22</v>
      </c>
      <c r="C84" s="45"/>
      <c r="D84" s="45"/>
      <c r="E84" s="46">
        <f>E80-E82</f>
        <v>168.15</v>
      </c>
      <c r="F84" s="27"/>
    </row>
    <row r="85" spans="1:6" ht="13.5" customHeight="1" x14ac:dyDescent="0.2">
      <c r="A85" s="27"/>
      <c r="B85" s="27"/>
      <c r="C85" s="27"/>
      <c r="D85" s="27"/>
      <c r="E85" s="27"/>
      <c r="F85" s="27"/>
    </row>
    <row r="86" spans="1:6" x14ac:dyDescent="0.2">
      <c r="A86" s="27"/>
      <c r="B86" s="27"/>
      <c r="C86" s="27"/>
      <c r="D86" s="27"/>
      <c r="E86" s="27"/>
      <c r="F86" s="27"/>
    </row>
    <row r="87" spans="1:6" x14ac:dyDescent="0.2">
      <c r="A87" s="27"/>
      <c r="B87" s="102"/>
      <c r="C87" s="102"/>
      <c r="D87" s="102"/>
      <c r="E87" s="102"/>
      <c r="F87" s="27"/>
    </row>
    <row r="88" spans="1:6" ht="14.25" x14ac:dyDescent="0.2">
      <c r="A88" s="95" t="s">
        <v>24</v>
      </c>
      <c r="B88" s="95"/>
      <c r="C88" s="95"/>
      <c r="D88" s="95"/>
      <c r="E88" s="95"/>
      <c r="F88" s="95"/>
    </row>
    <row r="89" spans="1:6" ht="14.25" x14ac:dyDescent="0.2">
      <c r="A89" s="93" t="s">
        <v>7</v>
      </c>
      <c r="B89" s="93"/>
      <c r="C89" s="93"/>
      <c r="D89" s="93"/>
      <c r="E89" s="93"/>
      <c r="F89" s="93"/>
    </row>
    <row r="90" spans="1:6" x14ac:dyDescent="0.2">
      <c r="A90" s="27"/>
      <c r="B90" s="27"/>
      <c r="C90" s="27"/>
      <c r="D90" s="27"/>
      <c r="E90" s="27"/>
      <c r="F90" s="27"/>
    </row>
    <row r="91" spans="1:6" x14ac:dyDescent="0.2">
      <c r="A91" s="27"/>
      <c r="B91" s="103"/>
      <c r="C91" s="103"/>
      <c r="D91" s="103"/>
      <c r="E91" s="103"/>
      <c r="F91" s="27"/>
    </row>
    <row r="92" spans="1:6" ht="15" x14ac:dyDescent="0.2">
      <c r="A92" s="94" t="s">
        <v>8</v>
      </c>
      <c r="B92" s="94"/>
      <c r="C92" s="94"/>
      <c r="D92" s="94"/>
      <c r="E92" s="94"/>
      <c r="F92" s="94"/>
    </row>
    <row r="94" spans="1:6" ht="39.75" customHeight="1" x14ac:dyDescent="0.2">
      <c r="B94" s="100"/>
      <c r="C94" s="101"/>
      <c r="D94" s="101"/>
    </row>
    <row r="95" spans="1:6" ht="13.5" customHeight="1" x14ac:dyDescent="0.2"/>
    <row r="96" spans="1:6" x14ac:dyDescent="0.2">
      <c r="B96" s="19"/>
      <c r="C96" s="19"/>
      <c r="D96" s="19"/>
    </row>
  </sheetData>
  <mergeCells count="48">
    <mergeCell ref="B94:D94"/>
    <mergeCell ref="B70:D70"/>
    <mergeCell ref="B71:D71"/>
    <mergeCell ref="B72:D72"/>
    <mergeCell ref="B81:D81"/>
    <mergeCell ref="B82:D82"/>
    <mergeCell ref="B83:D83"/>
    <mergeCell ref="B87:E87"/>
    <mergeCell ref="A88:F88"/>
    <mergeCell ref="A89:F89"/>
    <mergeCell ref="B91:E91"/>
    <mergeCell ref="A92:F92"/>
    <mergeCell ref="B69:D69"/>
    <mergeCell ref="B58:D58"/>
    <mergeCell ref="B59:D59"/>
    <mergeCell ref="B60:D60"/>
    <mergeCell ref="B61:D61"/>
    <mergeCell ref="B62:D62"/>
    <mergeCell ref="B63:D63"/>
    <mergeCell ref="B64:D64"/>
    <mergeCell ref="B65:D65"/>
    <mergeCell ref="B66:D66"/>
    <mergeCell ref="B67:D67"/>
    <mergeCell ref="B68:D68"/>
    <mergeCell ref="B57:D57"/>
    <mergeCell ref="B45:D45"/>
    <mergeCell ref="B46:D46"/>
    <mergeCell ref="B47:D47"/>
    <mergeCell ref="B48:D48"/>
    <mergeCell ref="B50:D50"/>
    <mergeCell ref="B51:D51"/>
    <mergeCell ref="B52:D52"/>
    <mergeCell ref="B53:D53"/>
    <mergeCell ref="B54:D54"/>
    <mergeCell ref="B55:D55"/>
    <mergeCell ref="B56:D56"/>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1:B83 B12:B20 B34:B72" xr:uid="{00000000-0002-0000-2B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2:F96"/>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289</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263</v>
      </c>
      <c r="C26" s="27"/>
      <c r="D26" s="27"/>
      <c r="E26" s="27"/>
      <c r="F26" s="27"/>
    </row>
    <row r="27" spans="1:6" ht="15" x14ac:dyDescent="0.2">
      <c r="A27" s="20"/>
      <c r="B27" s="32" t="s">
        <v>264</v>
      </c>
      <c r="C27" s="27"/>
      <c r="D27" s="27"/>
      <c r="E27" s="27"/>
      <c r="F27" s="27"/>
    </row>
    <row r="28" spans="1:6" x14ac:dyDescent="0.2">
      <c r="A28" s="21"/>
      <c r="B28" s="27"/>
      <c r="C28" s="29"/>
      <c r="D28" s="29"/>
      <c r="E28" s="30"/>
      <c r="F28" s="27"/>
    </row>
    <row r="29" spans="1:6" ht="15" x14ac:dyDescent="0.2">
      <c r="A29" s="20"/>
      <c r="B29" s="29"/>
      <c r="C29" s="29"/>
      <c r="D29" s="33" t="s">
        <v>16</v>
      </c>
      <c r="E29" s="33" t="s">
        <v>290</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t="s">
        <v>291</v>
      </c>
      <c r="C35" s="96"/>
      <c r="D35" s="96"/>
      <c r="E35" s="34">
        <f>0.25*225</f>
        <v>56.25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292</v>
      </c>
      <c r="C38" s="96"/>
      <c r="D38" s="96"/>
      <c r="E38" s="34">
        <f>1.5*225</f>
        <v>337.5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78"/>
      <c r="C49" s="78"/>
      <c r="D49" s="78"/>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3.5" customHeight="1" x14ac:dyDescent="0.2">
      <c r="A72" s="27"/>
      <c r="B72" s="96"/>
      <c r="C72" s="96"/>
      <c r="D72" s="96"/>
      <c r="E72" s="34"/>
      <c r="F72" s="27"/>
    </row>
    <row r="73" spans="1:6" ht="13.5" customHeight="1" x14ac:dyDescent="0.2">
      <c r="A73" s="27"/>
      <c r="B73" s="31" t="s">
        <v>20</v>
      </c>
      <c r="C73" s="32"/>
      <c r="D73" s="32"/>
      <c r="E73" s="35">
        <f>SUM(E33:E72)</f>
        <v>393.75</v>
      </c>
      <c r="F73" s="27"/>
    </row>
    <row r="74" spans="1:6" ht="13.5" customHeight="1" x14ac:dyDescent="0.2">
      <c r="A74" s="27"/>
      <c r="B74" s="40" t="s">
        <v>17</v>
      </c>
      <c r="C74" s="32"/>
      <c r="D74" s="32"/>
      <c r="E74" s="36">
        <v>0</v>
      </c>
      <c r="F74" s="27"/>
    </row>
    <row r="75" spans="1:6" ht="13.5" customHeight="1" x14ac:dyDescent="0.2">
      <c r="A75" s="27"/>
      <c r="B75" s="40" t="s">
        <v>277</v>
      </c>
      <c r="C75" s="32"/>
      <c r="D75" s="32"/>
      <c r="E75" s="36">
        <v>0</v>
      </c>
      <c r="F75" s="27"/>
    </row>
    <row r="76" spans="1:6" ht="13.5" customHeight="1" x14ac:dyDescent="0.2">
      <c r="A76" s="27"/>
      <c r="B76" s="31" t="s">
        <v>19</v>
      </c>
      <c r="C76" s="32"/>
      <c r="D76" s="32"/>
      <c r="E76" s="35">
        <f>SUM(E73:E75)</f>
        <v>393.75</v>
      </c>
      <c r="F76" s="27"/>
    </row>
    <row r="77" spans="1:6" ht="13.5" customHeight="1" x14ac:dyDescent="0.2">
      <c r="A77" s="27"/>
      <c r="B77" s="32" t="s">
        <v>5</v>
      </c>
      <c r="C77" s="37">
        <v>0.05</v>
      </c>
      <c r="D77" s="32"/>
      <c r="E77" s="41">
        <f>ROUND(E76*C77,2)</f>
        <v>19.690000000000001</v>
      </c>
      <c r="F77" s="27"/>
    </row>
    <row r="78" spans="1:6" ht="13.5" customHeight="1" x14ac:dyDescent="0.2">
      <c r="A78" s="27"/>
      <c r="B78" s="32" t="s">
        <v>4</v>
      </c>
      <c r="C78" s="64">
        <v>9.9750000000000005E-2</v>
      </c>
      <c r="D78" s="32"/>
      <c r="E78" s="42">
        <f>ROUND(E76*C78,2)</f>
        <v>39.28</v>
      </c>
      <c r="F78" s="27"/>
    </row>
    <row r="79" spans="1:6" ht="13.5" customHeight="1" x14ac:dyDescent="0.2">
      <c r="A79" s="27"/>
      <c r="B79" s="32"/>
      <c r="C79" s="32"/>
      <c r="D79" s="32"/>
      <c r="E79" s="38"/>
      <c r="F79" s="27"/>
    </row>
    <row r="80" spans="1:6" ht="16.5" customHeight="1" thickBot="1" x14ac:dyDescent="0.25">
      <c r="A80" s="27"/>
      <c r="B80" s="31" t="s">
        <v>21</v>
      </c>
      <c r="C80" s="32"/>
      <c r="D80" s="32"/>
      <c r="E80" s="39">
        <f>SUM(E76:E78)</f>
        <v>452.72</v>
      </c>
      <c r="F80" s="27"/>
    </row>
    <row r="81" spans="1:6" ht="15.75" thickTop="1" x14ac:dyDescent="0.2">
      <c r="A81" s="27"/>
      <c r="B81" s="98"/>
      <c r="C81" s="98"/>
      <c r="D81" s="98"/>
      <c r="E81" s="43"/>
      <c r="F81" s="27"/>
    </row>
    <row r="82" spans="1:6" ht="15" x14ac:dyDescent="0.2">
      <c r="A82" s="27"/>
      <c r="B82" s="97" t="s">
        <v>23</v>
      </c>
      <c r="C82" s="97"/>
      <c r="D82" s="97"/>
      <c r="E82" s="43">
        <v>0</v>
      </c>
      <c r="F82" s="27"/>
    </row>
    <row r="83" spans="1:6" ht="15" x14ac:dyDescent="0.2">
      <c r="A83" s="27"/>
      <c r="B83" s="98"/>
      <c r="C83" s="98"/>
      <c r="D83" s="98"/>
      <c r="E83" s="43"/>
      <c r="F83" s="27"/>
    </row>
    <row r="84" spans="1:6" ht="19.5" customHeight="1" x14ac:dyDescent="0.2">
      <c r="A84" s="27"/>
      <c r="B84" s="44" t="s">
        <v>22</v>
      </c>
      <c r="C84" s="45"/>
      <c r="D84" s="45"/>
      <c r="E84" s="46">
        <f>E80-E82</f>
        <v>452.72</v>
      </c>
      <c r="F84" s="27"/>
    </row>
    <row r="85" spans="1:6" ht="13.5" customHeight="1" x14ac:dyDescent="0.2">
      <c r="A85" s="27"/>
      <c r="B85" s="27"/>
      <c r="C85" s="27"/>
      <c r="D85" s="27"/>
      <c r="E85" s="27"/>
      <c r="F85" s="27"/>
    </row>
    <row r="86" spans="1:6" x14ac:dyDescent="0.2">
      <c r="A86" s="27"/>
      <c r="B86" s="27"/>
      <c r="C86" s="27"/>
      <c r="D86" s="27"/>
      <c r="E86" s="27"/>
      <c r="F86" s="27"/>
    </row>
    <row r="87" spans="1:6" x14ac:dyDescent="0.2">
      <c r="A87" s="27"/>
      <c r="B87" s="102"/>
      <c r="C87" s="102"/>
      <c r="D87" s="102"/>
      <c r="E87" s="102"/>
      <c r="F87" s="27"/>
    </row>
    <row r="88" spans="1:6" ht="14.25" x14ac:dyDescent="0.2">
      <c r="A88" s="95" t="s">
        <v>24</v>
      </c>
      <c r="B88" s="95"/>
      <c r="C88" s="95"/>
      <c r="D88" s="95"/>
      <c r="E88" s="95"/>
      <c r="F88" s="95"/>
    </row>
    <row r="89" spans="1:6" ht="14.25" x14ac:dyDescent="0.2">
      <c r="A89" s="93" t="s">
        <v>7</v>
      </c>
      <c r="B89" s="93"/>
      <c r="C89" s="93"/>
      <c r="D89" s="93"/>
      <c r="E89" s="93"/>
      <c r="F89" s="93"/>
    </row>
    <row r="90" spans="1:6" x14ac:dyDescent="0.2">
      <c r="A90" s="27"/>
      <c r="B90" s="27"/>
      <c r="C90" s="27"/>
      <c r="D90" s="27"/>
      <c r="E90" s="27"/>
      <c r="F90" s="27"/>
    </row>
    <row r="91" spans="1:6" x14ac:dyDescent="0.2">
      <c r="A91" s="27"/>
      <c r="B91" s="103"/>
      <c r="C91" s="103"/>
      <c r="D91" s="103"/>
      <c r="E91" s="103"/>
      <c r="F91" s="27"/>
    </row>
    <row r="92" spans="1:6" ht="15" x14ac:dyDescent="0.2">
      <c r="A92" s="94" t="s">
        <v>8</v>
      </c>
      <c r="B92" s="94"/>
      <c r="C92" s="94"/>
      <c r="D92" s="94"/>
      <c r="E92" s="94"/>
      <c r="F92" s="94"/>
    </row>
    <row r="94" spans="1:6" ht="39.75" customHeight="1" x14ac:dyDescent="0.2">
      <c r="B94" s="100"/>
      <c r="C94" s="101"/>
      <c r="D94" s="101"/>
    </row>
    <row r="95" spans="1:6" ht="13.5" customHeight="1" x14ac:dyDescent="0.2"/>
    <row r="96" spans="1:6" x14ac:dyDescent="0.2">
      <c r="B96" s="19"/>
      <c r="C96" s="19"/>
      <c r="D96" s="19"/>
    </row>
  </sheetData>
  <mergeCells count="48">
    <mergeCell ref="B44:D44"/>
    <mergeCell ref="A31:F31"/>
    <mergeCell ref="B34:D34"/>
    <mergeCell ref="B35:D35"/>
    <mergeCell ref="B36:D36"/>
    <mergeCell ref="B37:D37"/>
    <mergeCell ref="B38:D38"/>
    <mergeCell ref="B39:D39"/>
    <mergeCell ref="B40:D40"/>
    <mergeCell ref="B41:D41"/>
    <mergeCell ref="B42:D42"/>
    <mergeCell ref="B43:D43"/>
    <mergeCell ref="B57:D57"/>
    <mergeCell ref="B45:D45"/>
    <mergeCell ref="B46:D46"/>
    <mergeCell ref="B47:D47"/>
    <mergeCell ref="B48:D48"/>
    <mergeCell ref="B50:D50"/>
    <mergeCell ref="B51:D51"/>
    <mergeCell ref="B52:D52"/>
    <mergeCell ref="B53:D53"/>
    <mergeCell ref="B54:D54"/>
    <mergeCell ref="B55:D55"/>
    <mergeCell ref="B56:D56"/>
    <mergeCell ref="B69:D69"/>
    <mergeCell ref="B58:D58"/>
    <mergeCell ref="B59:D59"/>
    <mergeCell ref="B60:D60"/>
    <mergeCell ref="B61:D61"/>
    <mergeCell ref="B62:D62"/>
    <mergeCell ref="B63:D63"/>
    <mergeCell ref="B64:D64"/>
    <mergeCell ref="B65:D65"/>
    <mergeCell ref="B66:D66"/>
    <mergeCell ref="B67:D67"/>
    <mergeCell ref="B68:D68"/>
    <mergeCell ref="B94:D94"/>
    <mergeCell ref="B70:D70"/>
    <mergeCell ref="B71:D71"/>
    <mergeCell ref="B72:D72"/>
    <mergeCell ref="B81:D81"/>
    <mergeCell ref="B82:D82"/>
    <mergeCell ref="B83:D83"/>
    <mergeCell ref="B87:E87"/>
    <mergeCell ref="A88:F88"/>
    <mergeCell ref="A89:F89"/>
    <mergeCell ref="B91:E91"/>
    <mergeCell ref="A92:F92"/>
  </mergeCells>
  <dataValidations count="1">
    <dataValidation type="list" allowBlank="1" showInputMessage="1" showErrorMessage="1" sqref="B81:B83 B12:B20 B34:B72" xr:uid="{00000000-0002-0000-2C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2:F96"/>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293</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26</v>
      </c>
      <c r="C25" s="27"/>
      <c r="D25" s="27"/>
      <c r="E25" s="27"/>
      <c r="F25" s="27"/>
    </row>
    <row r="26" spans="1:6" ht="15" x14ac:dyDescent="0.2">
      <c r="A26" s="20"/>
      <c r="B26" s="32" t="s">
        <v>263</v>
      </c>
      <c r="C26" s="27"/>
      <c r="D26" s="27"/>
      <c r="E26" s="27"/>
      <c r="F26" s="27"/>
    </row>
    <row r="27" spans="1:6" ht="15" x14ac:dyDescent="0.2">
      <c r="A27" s="20"/>
      <c r="B27" s="32" t="s">
        <v>264</v>
      </c>
      <c r="C27" s="27"/>
      <c r="D27" s="27"/>
      <c r="E27" s="27"/>
      <c r="F27" s="27"/>
    </row>
    <row r="28" spans="1:6" x14ac:dyDescent="0.2">
      <c r="A28" s="21"/>
      <c r="B28" s="27"/>
      <c r="C28" s="29"/>
      <c r="D28" s="29"/>
      <c r="E28" s="30"/>
      <c r="F28" s="27"/>
    </row>
    <row r="29" spans="1:6" ht="15" x14ac:dyDescent="0.2">
      <c r="A29" s="20"/>
      <c r="B29" s="29"/>
      <c r="C29" s="29"/>
      <c r="D29" s="33" t="s">
        <v>16</v>
      </c>
      <c r="E29" s="33" t="s">
        <v>294</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t="s">
        <v>295</v>
      </c>
      <c r="C35" s="96"/>
      <c r="D35" s="96"/>
      <c r="E35" s="34">
        <f>0.2*225</f>
        <v>45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296</v>
      </c>
      <c r="C38" s="96"/>
      <c r="D38" s="96"/>
      <c r="E38" s="34">
        <f>0.5*225</f>
        <v>112.5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79"/>
      <c r="C49" s="79"/>
      <c r="D49" s="79"/>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3.5" customHeight="1" x14ac:dyDescent="0.2">
      <c r="A72" s="27"/>
      <c r="B72" s="96"/>
      <c r="C72" s="96"/>
      <c r="D72" s="96"/>
      <c r="E72" s="34"/>
      <c r="F72" s="27"/>
    </row>
    <row r="73" spans="1:6" ht="13.5" customHeight="1" x14ac:dyDescent="0.2">
      <c r="A73" s="27"/>
      <c r="B73" s="31" t="s">
        <v>20</v>
      </c>
      <c r="C73" s="32"/>
      <c r="D73" s="32"/>
      <c r="E73" s="35">
        <f>SUM(E33:E72)</f>
        <v>157.5</v>
      </c>
      <c r="F73" s="27"/>
    </row>
    <row r="74" spans="1:6" ht="13.5" customHeight="1" x14ac:dyDescent="0.2">
      <c r="A74" s="27"/>
      <c r="B74" s="40" t="s">
        <v>17</v>
      </c>
      <c r="C74" s="32"/>
      <c r="D74" s="32"/>
      <c r="E74" s="36">
        <v>0</v>
      </c>
      <c r="F74" s="27"/>
    </row>
    <row r="75" spans="1:6" ht="13.5" customHeight="1" x14ac:dyDescent="0.2">
      <c r="A75" s="27"/>
      <c r="B75" s="40" t="s">
        <v>277</v>
      </c>
      <c r="C75" s="32"/>
      <c r="D75" s="32"/>
      <c r="E75" s="36">
        <v>0</v>
      </c>
      <c r="F75" s="27"/>
    </row>
    <row r="76" spans="1:6" ht="13.5" customHeight="1" x14ac:dyDescent="0.2">
      <c r="A76" s="27"/>
      <c r="B76" s="31" t="s">
        <v>19</v>
      </c>
      <c r="C76" s="32"/>
      <c r="D76" s="32"/>
      <c r="E76" s="35">
        <f>SUM(E73:E75)</f>
        <v>157.5</v>
      </c>
      <c r="F76" s="27"/>
    </row>
    <row r="77" spans="1:6" ht="13.5" customHeight="1" x14ac:dyDescent="0.2">
      <c r="A77" s="27"/>
      <c r="B77" s="32" t="s">
        <v>5</v>
      </c>
      <c r="C77" s="37">
        <v>0.05</v>
      </c>
      <c r="D77" s="32"/>
      <c r="E77" s="41">
        <f>ROUND(E76*C77,2)</f>
        <v>7.88</v>
      </c>
      <c r="F77" s="27"/>
    </row>
    <row r="78" spans="1:6" ht="13.5" customHeight="1" x14ac:dyDescent="0.2">
      <c r="A78" s="27"/>
      <c r="B78" s="32" t="s">
        <v>4</v>
      </c>
      <c r="C78" s="64">
        <v>9.9750000000000005E-2</v>
      </c>
      <c r="D78" s="32"/>
      <c r="E78" s="42">
        <f>ROUND(E76*C78,2)</f>
        <v>15.71</v>
      </c>
      <c r="F78" s="27"/>
    </row>
    <row r="79" spans="1:6" ht="13.5" customHeight="1" x14ac:dyDescent="0.2">
      <c r="A79" s="27"/>
      <c r="B79" s="32"/>
      <c r="C79" s="32"/>
      <c r="D79" s="32"/>
      <c r="E79" s="38"/>
      <c r="F79" s="27"/>
    </row>
    <row r="80" spans="1:6" ht="16.5" customHeight="1" thickBot="1" x14ac:dyDescent="0.25">
      <c r="A80" s="27"/>
      <c r="B80" s="31" t="s">
        <v>21</v>
      </c>
      <c r="C80" s="32"/>
      <c r="D80" s="32"/>
      <c r="E80" s="39">
        <f>SUM(E76:E78)</f>
        <v>181.09</v>
      </c>
      <c r="F80" s="27"/>
    </row>
    <row r="81" spans="1:6" ht="15.75" thickTop="1" x14ac:dyDescent="0.2">
      <c r="A81" s="27"/>
      <c r="B81" s="98"/>
      <c r="C81" s="98"/>
      <c r="D81" s="98"/>
      <c r="E81" s="43"/>
      <c r="F81" s="27"/>
    </row>
    <row r="82" spans="1:6" ht="15" x14ac:dyDescent="0.2">
      <c r="A82" s="27"/>
      <c r="B82" s="97" t="s">
        <v>23</v>
      </c>
      <c r="C82" s="97"/>
      <c r="D82" s="97"/>
      <c r="E82" s="43">
        <v>0</v>
      </c>
      <c r="F82" s="27"/>
    </row>
    <row r="83" spans="1:6" ht="15" x14ac:dyDescent="0.2">
      <c r="A83" s="27"/>
      <c r="B83" s="98"/>
      <c r="C83" s="98"/>
      <c r="D83" s="98"/>
      <c r="E83" s="43"/>
      <c r="F83" s="27"/>
    </row>
    <row r="84" spans="1:6" ht="19.5" customHeight="1" x14ac:dyDescent="0.2">
      <c r="A84" s="27"/>
      <c r="B84" s="44" t="s">
        <v>22</v>
      </c>
      <c r="C84" s="45"/>
      <c r="D84" s="45"/>
      <c r="E84" s="46">
        <f>E80-E82</f>
        <v>181.09</v>
      </c>
      <c r="F84" s="27"/>
    </row>
    <row r="85" spans="1:6" ht="13.5" customHeight="1" x14ac:dyDescent="0.2">
      <c r="A85" s="27"/>
      <c r="B85" s="27"/>
      <c r="C85" s="27"/>
      <c r="D85" s="27"/>
      <c r="E85" s="27"/>
      <c r="F85" s="27"/>
    </row>
    <row r="86" spans="1:6" x14ac:dyDescent="0.2">
      <c r="A86" s="27"/>
      <c r="B86" s="27"/>
      <c r="C86" s="27"/>
      <c r="D86" s="27"/>
      <c r="E86" s="27"/>
      <c r="F86" s="27"/>
    </row>
    <row r="87" spans="1:6" x14ac:dyDescent="0.2">
      <c r="A87" s="27"/>
      <c r="B87" s="102"/>
      <c r="C87" s="102"/>
      <c r="D87" s="102"/>
      <c r="E87" s="102"/>
      <c r="F87" s="27"/>
    </row>
    <row r="88" spans="1:6" ht="14.25" x14ac:dyDescent="0.2">
      <c r="A88" s="95" t="s">
        <v>24</v>
      </c>
      <c r="B88" s="95"/>
      <c r="C88" s="95"/>
      <c r="D88" s="95"/>
      <c r="E88" s="95"/>
      <c r="F88" s="95"/>
    </row>
    <row r="89" spans="1:6" ht="14.25" x14ac:dyDescent="0.2">
      <c r="A89" s="93" t="s">
        <v>7</v>
      </c>
      <c r="B89" s="93"/>
      <c r="C89" s="93"/>
      <c r="D89" s="93"/>
      <c r="E89" s="93"/>
      <c r="F89" s="93"/>
    </row>
    <row r="90" spans="1:6" x14ac:dyDescent="0.2">
      <c r="A90" s="27"/>
      <c r="B90" s="27"/>
      <c r="C90" s="27"/>
      <c r="D90" s="27"/>
      <c r="E90" s="27"/>
      <c r="F90" s="27"/>
    </row>
    <row r="91" spans="1:6" x14ac:dyDescent="0.2">
      <c r="A91" s="27"/>
      <c r="B91" s="103"/>
      <c r="C91" s="103"/>
      <c r="D91" s="103"/>
      <c r="E91" s="103"/>
      <c r="F91" s="27"/>
    </row>
    <row r="92" spans="1:6" ht="15" x14ac:dyDescent="0.2">
      <c r="A92" s="94" t="s">
        <v>8</v>
      </c>
      <c r="B92" s="94"/>
      <c r="C92" s="94"/>
      <c r="D92" s="94"/>
      <c r="E92" s="94"/>
      <c r="F92" s="94"/>
    </row>
    <row r="94" spans="1:6" ht="39.75" customHeight="1" x14ac:dyDescent="0.2">
      <c r="B94" s="100"/>
      <c r="C94" s="101"/>
      <c r="D94" s="101"/>
    </row>
    <row r="95" spans="1:6" ht="13.5" customHeight="1" x14ac:dyDescent="0.2"/>
    <row r="96" spans="1:6" x14ac:dyDescent="0.2">
      <c r="B96" s="19"/>
      <c r="C96" s="19"/>
      <c r="D96" s="19"/>
    </row>
  </sheetData>
  <mergeCells count="48">
    <mergeCell ref="B94:D94"/>
    <mergeCell ref="B70:D70"/>
    <mergeCell ref="B71:D71"/>
    <mergeCell ref="B72:D72"/>
    <mergeCell ref="B81:D81"/>
    <mergeCell ref="B82:D82"/>
    <mergeCell ref="B83:D83"/>
    <mergeCell ref="B87:E87"/>
    <mergeCell ref="A88:F88"/>
    <mergeCell ref="A89:F89"/>
    <mergeCell ref="B91:E91"/>
    <mergeCell ref="A92:F92"/>
    <mergeCell ref="B69:D69"/>
    <mergeCell ref="B58:D58"/>
    <mergeCell ref="B59:D59"/>
    <mergeCell ref="B60:D60"/>
    <mergeCell ref="B61:D61"/>
    <mergeCell ref="B62:D62"/>
    <mergeCell ref="B63:D63"/>
    <mergeCell ref="B64:D64"/>
    <mergeCell ref="B65:D65"/>
    <mergeCell ref="B66:D66"/>
    <mergeCell ref="B67:D67"/>
    <mergeCell ref="B68:D68"/>
    <mergeCell ref="B57:D57"/>
    <mergeCell ref="B45:D45"/>
    <mergeCell ref="B46:D46"/>
    <mergeCell ref="B47:D47"/>
    <mergeCell ref="B48:D48"/>
    <mergeCell ref="B50:D50"/>
    <mergeCell ref="B51:D51"/>
    <mergeCell ref="B52:D52"/>
    <mergeCell ref="B53:D53"/>
    <mergeCell ref="B54:D54"/>
    <mergeCell ref="B55:D55"/>
    <mergeCell ref="B56:D56"/>
    <mergeCell ref="B44:D44"/>
    <mergeCell ref="A31:F31"/>
    <mergeCell ref="B34:D34"/>
    <mergeCell ref="B35:D35"/>
    <mergeCell ref="B36:D36"/>
    <mergeCell ref="B37:D37"/>
    <mergeCell ref="B38:D38"/>
    <mergeCell ref="B39:D39"/>
    <mergeCell ref="B40:D40"/>
    <mergeCell ref="B41:D41"/>
    <mergeCell ref="B42:D42"/>
    <mergeCell ref="B43:D43"/>
  </mergeCells>
  <dataValidations count="1">
    <dataValidation type="list" allowBlank="1" showInputMessage="1" showErrorMessage="1" sqref="B81:B83 B12:B20 B34:B72" xr:uid="{00000000-0002-0000-2D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2:F92"/>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299</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302</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303</v>
      </c>
      <c r="C35" s="96"/>
      <c r="D35" s="96"/>
      <c r="E35" s="34">
        <f>0.25*230</f>
        <v>57.5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304</v>
      </c>
      <c r="C38" s="96"/>
      <c r="D38" s="96"/>
      <c r="E38" s="34">
        <f>0.25*230</f>
        <v>57.5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305</v>
      </c>
      <c r="C41" s="96"/>
      <c r="D41" s="96"/>
      <c r="E41" s="34">
        <f>0.3*230</f>
        <v>69</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306</v>
      </c>
      <c r="C44" s="96"/>
      <c r="D44" s="96"/>
      <c r="E44" s="34">
        <v>230</v>
      </c>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307</v>
      </c>
      <c r="C47" s="96"/>
      <c r="D47" s="96"/>
      <c r="E47" s="34">
        <f>1.5*230</f>
        <v>345</v>
      </c>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t="s">
        <v>308</v>
      </c>
      <c r="C50" s="96"/>
      <c r="D50" s="96"/>
      <c r="E50" s="34">
        <f>1.5*230</f>
        <v>345</v>
      </c>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t="s">
        <v>309</v>
      </c>
      <c r="C53" s="96"/>
      <c r="D53" s="96"/>
      <c r="E53" s="34">
        <f>0.3*230</f>
        <v>69</v>
      </c>
      <c r="F53" s="27"/>
    </row>
    <row r="54" spans="1:6" ht="14.25" x14ac:dyDescent="0.2">
      <c r="A54" s="27"/>
      <c r="B54" s="96"/>
      <c r="C54" s="96"/>
      <c r="D54" s="96"/>
      <c r="E54" s="34"/>
      <c r="F54" s="27"/>
    </row>
    <row r="55" spans="1:6" ht="14.25" x14ac:dyDescent="0.2">
      <c r="A55" s="27"/>
      <c r="B55" s="80"/>
      <c r="C55" s="80"/>
      <c r="D55" s="80"/>
      <c r="E55" s="34"/>
      <c r="F55" s="27"/>
    </row>
    <row r="56" spans="1:6" ht="14.25" x14ac:dyDescent="0.2">
      <c r="A56" s="27"/>
      <c r="B56" s="96" t="s">
        <v>310</v>
      </c>
      <c r="C56" s="96"/>
      <c r="D56" s="96"/>
      <c r="E56" s="34">
        <v>230</v>
      </c>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1403</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1403</v>
      </c>
      <c r="F72" s="27"/>
    </row>
    <row r="73" spans="1:6" ht="13.5" customHeight="1" x14ac:dyDescent="0.2">
      <c r="A73" s="27"/>
      <c r="B73" s="32" t="s">
        <v>5</v>
      </c>
      <c r="C73" s="37">
        <v>0.05</v>
      </c>
      <c r="D73" s="32"/>
      <c r="E73" s="41">
        <f>ROUND(E72*C73,2)</f>
        <v>70.150000000000006</v>
      </c>
      <c r="F73" s="27"/>
    </row>
    <row r="74" spans="1:6" ht="13.5" customHeight="1" x14ac:dyDescent="0.2">
      <c r="A74" s="27"/>
      <c r="B74" s="32" t="s">
        <v>4</v>
      </c>
      <c r="C74" s="64">
        <v>9.9750000000000005E-2</v>
      </c>
      <c r="D74" s="32"/>
      <c r="E74" s="42">
        <f>ROUND(E72*C74,2)</f>
        <v>139.94999999999999</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1613.1000000000001</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1613.1000000000001</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2E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2:F92"/>
  <sheetViews>
    <sheetView view="pageBreakPreview" topLeftCell="A31"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319</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311</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312</v>
      </c>
      <c r="C35" s="96"/>
      <c r="D35" s="96"/>
      <c r="E35" s="34">
        <f>0.75*230</f>
        <v>172.5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313</v>
      </c>
      <c r="C38" s="96"/>
      <c r="D38" s="96"/>
      <c r="E38" s="34">
        <f>0.25*230</f>
        <v>57.5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314</v>
      </c>
      <c r="C41" s="96"/>
      <c r="D41" s="96"/>
      <c r="E41" s="34">
        <f>0.75*230</f>
        <v>172.5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315</v>
      </c>
      <c r="C44" s="96"/>
      <c r="D44" s="96"/>
      <c r="E44" s="34">
        <f>0.25*230</f>
        <v>57.5</v>
      </c>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316</v>
      </c>
      <c r="C47" s="96"/>
      <c r="D47" s="96"/>
      <c r="E47" s="34">
        <f>0.25*230</f>
        <v>57.5</v>
      </c>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t="s">
        <v>317</v>
      </c>
      <c r="C50" s="96"/>
      <c r="D50" s="96"/>
      <c r="E50" s="34">
        <f>0.25*230</f>
        <v>57.5</v>
      </c>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t="s">
        <v>318</v>
      </c>
      <c r="C53" s="96"/>
      <c r="D53" s="96"/>
      <c r="E53" s="34">
        <f>0.25*230</f>
        <v>57.5</v>
      </c>
      <c r="F53" s="27"/>
    </row>
    <row r="54" spans="1:6" ht="14.25" x14ac:dyDescent="0.2">
      <c r="A54" s="27"/>
      <c r="B54" s="96"/>
      <c r="C54" s="96"/>
      <c r="D54" s="96"/>
      <c r="E54" s="34"/>
      <c r="F54" s="27"/>
    </row>
    <row r="55" spans="1:6" ht="14.25" x14ac:dyDescent="0.2">
      <c r="A55" s="27"/>
      <c r="B55" s="81"/>
      <c r="C55" s="81"/>
      <c r="D55" s="81"/>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632.5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632.5</v>
      </c>
      <c r="F72" s="27"/>
    </row>
    <row r="73" spans="1:6" ht="13.5" customHeight="1" x14ac:dyDescent="0.2">
      <c r="A73" s="27"/>
      <c r="B73" s="32" t="s">
        <v>5</v>
      </c>
      <c r="C73" s="37">
        <v>0.05</v>
      </c>
      <c r="D73" s="32"/>
      <c r="E73" s="41">
        <f>ROUND(E72*C73,2)</f>
        <v>31.63</v>
      </c>
      <c r="F73" s="27"/>
    </row>
    <row r="74" spans="1:6" ht="13.5" customHeight="1" x14ac:dyDescent="0.2">
      <c r="A74" s="27"/>
      <c r="B74" s="32" t="s">
        <v>4</v>
      </c>
      <c r="C74" s="64">
        <v>9.9750000000000005E-2</v>
      </c>
      <c r="D74" s="32"/>
      <c r="E74" s="42">
        <f>ROUND(E72*C74,2)</f>
        <v>63.09</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727.22</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727.22</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F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2:F92"/>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320</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321</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322</v>
      </c>
      <c r="C35" s="96"/>
      <c r="D35" s="96"/>
      <c r="E35" s="34">
        <f>0.5*230</f>
        <v>115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323</v>
      </c>
      <c r="C38" s="96"/>
      <c r="D38" s="96"/>
      <c r="E38" s="34">
        <v>230</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324</v>
      </c>
      <c r="C41" s="96"/>
      <c r="D41" s="96"/>
      <c r="E41" s="34">
        <f>0.5*230</f>
        <v>115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325</v>
      </c>
      <c r="C44" s="96"/>
      <c r="D44" s="96"/>
      <c r="E44" s="34">
        <f>0.25*230</f>
        <v>57.5</v>
      </c>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326</v>
      </c>
      <c r="C47" s="96"/>
      <c r="D47" s="96"/>
      <c r="E47" s="34">
        <f>0.25*230</f>
        <v>57.5</v>
      </c>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t="s">
        <v>327</v>
      </c>
      <c r="C50" s="96"/>
      <c r="D50" s="96"/>
      <c r="E50" s="34">
        <v>230</v>
      </c>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83"/>
      <c r="C55" s="83"/>
      <c r="D55" s="83"/>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805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805</v>
      </c>
      <c r="F72" s="27"/>
    </row>
    <row r="73" spans="1:6" ht="13.5" customHeight="1" x14ac:dyDescent="0.2">
      <c r="A73" s="27"/>
      <c r="B73" s="32" t="s">
        <v>5</v>
      </c>
      <c r="C73" s="37">
        <v>0.05</v>
      </c>
      <c r="D73" s="32"/>
      <c r="E73" s="41">
        <f>ROUND(E72*C73,2)</f>
        <v>40.25</v>
      </c>
      <c r="F73" s="27"/>
    </row>
    <row r="74" spans="1:6" ht="13.5" customHeight="1" x14ac:dyDescent="0.2">
      <c r="A74" s="27"/>
      <c r="B74" s="32" t="s">
        <v>4</v>
      </c>
      <c r="C74" s="64">
        <v>9.9750000000000005E-2</v>
      </c>
      <c r="D74" s="32"/>
      <c r="E74" s="42">
        <f>ROUND(E72*C74,2)</f>
        <v>80.3</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925.55</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925.55</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3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pageSetUpPr fitToPage="1"/>
  </sheetPr>
  <dimension ref="A12:F98"/>
  <sheetViews>
    <sheetView view="pageBreakPreview" topLeftCell="A34"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49</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40</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50</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51</v>
      </c>
      <c r="C36" s="96"/>
      <c r="D36" s="96"/>
      <c r="E36" s="34">
        <f>0.75*190</f>
        <v>142.5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52</v>
      </c>
      <c r="C39" s="96"/>
      <c r="D39" s="96"/>
      <c r="E39" s="34">
        <f>0.25*190</f>
        <v>47.5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53</v>
      </c>
      <c r="C42" s="96"/>
      <c r="D42" s="96"/>
      <c r="E42" s="34">
        <f>0.75*190</f>
        <v>142.5</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43.5" customHeight="1"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332.5</v>
      </c>
      <c r="F75" s="27"/>
    </row>
    <row r="76" spans="1:6" ht="13.5" customHeight="1" x14ac:dyDescent="0.2">
      <c r="A76" s="27"/>
      <c r="B76" s="40" t="s">
        <v>17</v>
      </c>
      <c r="C76" s="32"/>
      <c r="D76" s="32"/>
      <c r="E76" s="36">
        <v>0</v>
      </c>
      <c r="F76" s="27"/>
    </row>
    <row r="77" spans="1:6" ht="13.5" customHeight="1" x14ac:dyDescent="0.2">
      <c r="A77" s="27"/>
      <c r="B77" s="40" t="s">
        <v>18</v>
      </c>
      <c r="C77" s="32"/>
      <c r="D77" s="32"/>
      <c r="E77" s="36">
        <v>0</v>
      </c>
      <c r="F77" s="27"/>
    </row>
    <row r="78" spans="1:6" ht="13.5" customHeight="1" x14ac:dyDescent="0.2">
      <c r="A78" s="27"/>
      <c r="B78" s="31" t="s">
        <v>19</v>
      </c>
      <c r="C78" s="32"/>
      <c r="D78" s="32"/>
      <c r="E78" s="35">
        <f>SUM(E75:E77)</f>
        <v>332.5</v>
      </c>
      <c r="F78" s="27"/>
    </row>
    <row r="79" spans="1:6" ht="13.5" customHeight="1" x14ac:dyDescent="0.2">
      <c r="A79" s="27"/>
      <c r="B79" s="32" t="s">
        <v>5</v>
      </c>
      <c r="C79" s="37">
        <v>0.05</v>
      </c>
      <c r="D79" s="32"/>
      <c r="E79" s="41">
        <f>ROUND(E78*C79,2)</f>
        <v>16.63</v>
      </c>
      <c r="F79" s="27"/>
    </row>
    <row r="80" spans="1:6" ht="13.5" customHeight="1" x14ac:dyDescent="0.2">
      <c r="A80" s="27"/>
      <c r="B80" s="32" t="s">
        <v>4</v>
      </c>
      <c r="C80" s="37">
        <v>8.5000000000000006E-2</v>
      </c>
      <c r="D80" s="32"/>
      <c r="E80" s="42">
        <f>ROUND((E78+E79)*C80,2)</f>
        <v>29.68</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378.81</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378.81</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4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2:F92"/>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328</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329</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332</v>
      </c>
      <c r="C35" s="96"/>
      <c r="D35" s="96"/>
      <c r="E35" s="34">
        <f>0.75*230</f>
        <v>172.5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330</v>
      </c>
      <c r="C38" s="96"/>
      <c r="D38" s="96"/>
      <c r="E38" s="34">
        <v>230</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331</v>
      </c>
      <c r="C41" s="96"/>
      <c r="D41" s="96"/>
      <c r="E41" s="34">
        <f>0.25*230</f>
        <v>57.5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84"/>
      <c r="C55" s="84"/>
      <c r="D55" s="84"/>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460</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460</v>
      </c>
      <c r="F72" s="27"/>
    </row>
    <row r="73" spans="1:6" ht="13.5" customHeight="1" x14ac:dyDescent="0.2">
      <c r="A73" s="27"/>
      <c r="B73" s="32" t="s">
        <v>5</v>
      </c>
      <c r="C73" s="37">
        <v>0.05</v>
      </c>
      <c r="D73" s="32"/>
      <c r="E73" s="41">
        <f>ROUND(E72*C73,2)</f>
        <v>23</v>
      </c>
      <c r="F73" s="27"/>
    </row>
    <row r="74" spans="1:6" ht="13.5" customHeight="1" x14ac:dyDescent="0.2">
      <c r="A74" s="27"/>
      <c r="B74" s="32" t="s">
        <v>4</v>
      </c>
      <c r="C74" s="64">
        <v>9.9750000000000005E-2</v>
      </c>
      <c r="D74" s="32"/>
      <c r="E74" s="42">
        <f>ROUND(E72*C74,2)</f>
        <v>45.89</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528.89</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528.89</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31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2:F92"/>
  <sheetViews>
    <sheetView view="pageBreakPreview" zoomScale="80" zoomScaleNormal="100" zoomScaleSheetLayoutView="80" workbookViewId="0">
      <selection activeCell="E54" sqref="E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333</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334</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335</v>
      </c>
      <c r="C35" s="96"/>
      <c r="D35" s="96"/>
      <c r="E35" s="34">
        <f>0.5*230</f>
        <v>115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336</v>
      </c>
      <c r="C38" s="96"/>
      <c r="D38" s="96"/>
      <c r="E38" s="34">
        <f>1.5*230</f>
        <v>345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337</v>
      </c>
      <c r="C41" s="96"/>
      <c r="D41" s="96"/>
      <c r="E41" s="34">
        <f>1.5*230</f>
        <v>345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338</v>
      </c>
      <c r="C44" s="96"/>
      <c r="D44" s="96"/>
      <c r="E44" s="34">
        <f>0.25*230</f>
        <v>57.5</v>
      </c>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339</v>
      </c>
      <c r="C47" s="96"/>
      <c r="D47" s="96"/>
      <c r="E47" s="34">
        <f>0.4*230</f>
        <v>92</v>
      </c>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t="s">
        <v>340</v>
      </c>
      <c r="C50" s="96"/>
      <c r="D50" s="96"/>
      <c r="E50" s="34">
        <f>0.3*230</f>
        <v>69</v>
      </c>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t="s">
        <v>341</v>
      </c>
      <c r="C53" s="96"/>
      <c r="D53" s="96"/>
      <c r="E53" s="34">
        <f>0.5*230</f>
        <v>115</v>
      </c>
      <c r="F53" s="27"/>
    </row>
    <row r="54" spans="1:6" ht="14.25" x14ac:dyDescent="0.2">
      <c r="A54" s="27"/>
      <c r="B54" s="96"/>
      <c r="C54" s="96"/>
      <c r="D54" s="96"/>
      <c r="E54" s="34"/>
      <c r="F54" s="27"/>
    </row>
    <row r="55" spans="1:6" ht="14.25" x14ac:dyDescent="0.2">
      <c r="A55" s="27"/>
      <c r="B55" s="85"/>
      <c r="C55" s="85"/>
      <c r="D55" s="85"/>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1138.5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1138.5</v>
      </c>
      <c r="F72" s="27"/>
    </row>
    <row r="73" spans="1:6" ht="13.5" customHeight="1" x14ac:dyDescent="0.2">
      <c r="A73" s="27"/>
      <c r="B73" s="32" t="s">
        <v>5</v>
      </c>
      <c r="C73" s="37">
        <v>0.05</v>
      </c>
      <c r="D73" s="32"/>
      <c r="E73" s="41">
        <f>ROUND(E72*C73,2)</f>
        <v>56.93</v>
      </c>
      <c r="F73" s="27"/>
    </row>
    <row r="74" spans="1:6" ht="13.5" customHeight="1" x14ac:dyDescent="0.2">
      <c r="A74" s="27"/>
      <c r="B74" s="32" t="s">
        <v>4</v>
      </c>
      <c r="C74" s="64">
        <v>9.9750000000000005E-2</v>
      </c>
      <c r="D74" s="32"/>
      <c r="E74" s="42">
        <f>ROUND(E72*C74,2)</f>
        <v>113.57</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1309</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1309</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32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2:F92"/>
  <sheetViews>
    <sheetView view="pageBreakPreview" topLeftCell="A34" zoomScale="80" zoomScaleNormal="100" zoomScaleSheetLayoutView="80" workbookViewId="0">
      <selection activeCell="B40" sqref="B40:D4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342</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343</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344</v>
      </c>
      <c r="C35" s="96"/>
      <c r="D35" s="96"/>
      <c r="E35" s="34">
        <f>0.4*230</f>
        <v>92</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345</v>
      </c>
      <c r="C38" s="96"/>
      <c r="D38" s="96"/>
      <c r="E38" s="34">
        <f>0.25*230</f>
        <v>57.5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346</v>
      </c>
      <c r="C41" s="96"/>
      <c r="D41" s="96"/>
      <c r="E41" s="34">
        <f>0.35*230</f>
        <v>80.5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347</v>
      </c>
      <c r="C44" s="96"/>
      <c r="D44" s="96"/>
      <c r="E44" s="34">
        <f>0.4*230</f>
        <v>92</v>
      </c>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348</v>
      </c>
      <c r="C47" s="96"/>
      <c r="D47" s="96"/>
      <c r="E47" s="34">
        <f>0.25*230</f>
        <v>57.5</v>
      </c>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t="s">
        <v>349</v>
      </c>
      <c r="C50" s="96"/>
      <c r="D50" s="96"/>
      <c r="E50" s="34">
        <f>0.4*230</f>
        <v>92</v>
      </c>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t="s">
        <v>350</v>
      </c>
      <c r="C53" s="96"/>
      <c r="D53" s="96"/>
      <c r="E53" s="34">
        <f>0.25*230</f>
        <v>57.5</v>
      </c>
      <c r="F53" s="27"/>
    </row>
    <row r="54" spans="1:6" ht="14.25" x14ac:dyDescent="0.2">
      <c r="A54" s="27"/>
      <c r="B54" s="96"/>
      <c r="C54" s="96"/>
      <c r="D54" s="96"/>
      <c r="E54" s="34"/>
      <c r="F54" s="27"/>
    </row>
    <row r="55" spans="1:6" ht="14.25" x14ac:dyDescent="0.2">
      <c r="A55" s="27"/>
      <c r="B55" s="86"/>
      <c r="C55" s="86"/>
      <c r="D55" s="8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529</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529</v>
      </c>
      <c r="F72" s="27"/>
    </row>
    <row r="73" spans="1:6" ht="13.5" customHeight="1" x14ac:dyDescent="0.2">
      <c r="A73" s="27"/>
      <c r="B73" s="32" t="s">
        <v>5</v>
      </c>
      <c r="C73" s="37">
        <v>0.05</v>
      </c>
      <c r="D73" s="32"/>
      <c r="E73" s="41">
        <f>ROUND(E72*C73,2)</f>
        <v>26.45</v>
      </c>
      <c r="F73" s="27"/>
    </row>
    <row r="74" spans="1:6" ht="13.5" customHeight="1" x14ac:dyDescent="0.2">
      <c r="A74" s="27"/>
      <c r="B74" s="32" t="s">
        <v>4</v>
      </c>
      <c r="C74" s="64">
        <v>9.9750000000000005E-2</v>
      </c>
      <c r="D74" s="32"/>
      <c r="E74" s="42">
        <f>ROUND(E72*C74,2)</f>
        <v>52.77</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608.22</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608.22</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33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2:F92"/>
  <sheetViews>
    <sheetView view="pageBreakPreview" topLeftCell="A28" zoomScale="80" zoomScaleNormal="100" zoomScaleSheetLayoutView="80" workbookViewId="0">
      <selection activeCell="F50" sqref="F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351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352</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353</v>
      </c>
      <c r="C35" s="96"/>
      <c r="D35" s="96"/>
      <c r="E35" s="34">
        <f>0.4*230</f>
        <v>92</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354</v>
      </c>
      <c r="C38" s="96"/>
      <c r="D38" s="96"/>
      <c r="E38" s="34">
        <f>0.75*230</f>
        <v>172.5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355</v>
      </c>
      <c r="C41" s="96"/>
      <c r="D41" s="96"/>
      <c r="E41" s="34">
        <f>0.3*230</f>
        <v>69</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356</v>
      </c>
      <c r="C44" s="96"/>
      <c r="D44" s="96"/>
      <c r="E44" s="34">
        <f>0.75*230</f>
        <v>172.5</v>
      </c>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357</v>
      </c>
      <c r="C47" s="96"/>
      <c r="D47" s="96"/>
      <c r="E47" s="34">
        <f>1*230</f>
        <v>230</v>
      </c>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t="s">
        <v>358</v>
      </c>
      <c r="C50" s="96"/>
      <c r="D50" s="96"/>
      <c r="E50" s="34">
        <f>0.2*230</f>
        <v>46</v>
      </c>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t="s">
        <v>359</v>
      </c>
      <c r="C53" s="96"/>
      <c r="D53" s="96"/>
      <c r="E53" s="34">
        <v>230</v>
      </c>
      <c r="F53" s="27"/>
    </row>
    <row r="54" spans="1:6" ht="14.25" x14ac:dyDescent="0.2">
      <c r="A54" s="27"/>
      <c r="B54" s="96"/>
      <c r="C54" s="96"/>
      <c r="D54" s="96"/>
      <c r="E54" s="34"/>
      <c r="F54" s="27"/>
    </row>
    <row r="55" spans="1:6" ht="14.25" x14ac:dyDescent="0.2">
      <c r="A55" s="27"/>
      <c r="B55" s="87"/>
      <c r="C55" s="87"/>
      <c r="D55" s="87"/>
      <c r="E55" s="34"/>
      <c r="F55" s="27"/>
    </row>
    <row r="56" spans="1:6" ht="14.25" x14ac:dyDescent="0.2">
      <c r="A56" s="27"/>
      <c r="B56" s="96" t="s">
        <v>360</v>
      </c>
      <c r="C56" s="96"/>
      <c r="D56" s="96"/>
      <c r="E56" s="34">
        <f>0.4*230</f>
        <v>92</v>
      </c>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1104</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1104</v>
      </c>
      <c r="F72" s="27"/>
    </row>
    <row r="73" spans="1:6" ht="13.5" customHeight="1" x14ac:dyDescent="0.2">
      <c r="A73" s="27"/>
      <c r="B73" s="32" t="s">
        <v>5</v>
      </c>
      <c r="C73" s="37">
        <v>0.05</v>
      </c>
      <c r="D73" s="32"/>
      <c r="E73" s="41">
        <f>ROUND(E72*C73,2)</f>
        <v>55.2</v>
      </c>
      <c r="F73" s="27"/>
    </row>
    <row r="74" spans="1:6" ht="13.5" customHeight="1" x14ac:dyDescent="0.2">
      <c r="A74" s="27"/>
      <c r="B74" s="32" t="s">
        <v>4</v>
      </c>
      <c r="C74" s="64">
        <v>9.9750000000000005E-2</v>
      </c>
      <c r="D74" s="32"/>
      <c r="E74" s="42">
        <f>ROUND(E72*C74,2)</f>
        <v>110.12</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1269.3200000000002</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1269.3200000000002</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34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2:F92"/>
  <sheetViews>
    <sheetView view="pageBreakPreview" topLeftCell="A25"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361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362</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363</v>
      </c>
      <c r="C35" s="96"/>
      <c r="D35" s="96"/>
      <c r="E35" s="34">
        <f>0.4*230</f>
        <v>92</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364</v>
      </c>
      <c r="C38" s="96"/>
      <c r="D38" s="96"/>
      <c r="E38" s="34">
        <f>0.25*230</f>
        <v>57.5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365</v>
      </c>
      <c r="C41" s="96"/>
      <c r="D41" s="96"/>
      <c r="E41" s="34">
        <f>0.5*230</f>
        <v>115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88"/>
      <c r="C55" s="88"/>
      <c r="D55" s="88"/>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264.5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264.5</v>
      </c>
      <c r="F72" s="27"/>
    </row>
    <row r="73" spans="1:6" ht="13.5" customHeight="1" x14ac:dyDescent="0.2">
      <c r="A73" s="27"/>
      <c r="B73" s="32" t="s">
        <v>5</v>
      </c>
      <c r="C73" s="37">
        <v>0.05</v>
      </c>
      <c r="D73" s="32"/>
      <c r="E73" s="41">
        <f>ROUND(E72*C73,2)</f>
        <v>13.23</v>
      </c>
      <c r="F73" s="27"/>
    </row>
    <row r="74" spans="1:6" ht="13.5" customHeight="1" x14ac:dyDescent="0.2">
      <c r="A74" s="27"/>
      <c r="B74" s="32" t="s">
        <v>4</v>
      </c>
      <c r="C74" s="64">
        <v>9.9750000000000005E-2</v>
      </c>
      <c r="D74" s="32"/>
      <c r="E74" s="42">
        <f>ROUND(E72*C74,2)</f>
        <v>26.38</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304.11</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304.11</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35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2:F92"/>
  <sheetViews>
    <sheetView view="pageBreakPreview" topLeftCell="A19" zoomScale="80" zoomScaleNormal="100" zoomScaleSheetLayoutView="80" workbookViewId="0">
      <selection activeCell="E62" sqref="E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366</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367</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368</v>
      </c>
      <c r="C35" s="96"/>
      <c r="D35" s="96"/>
      <c r="E35" s="34">
        <f>0.25*235</f>
        <v>58.75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369</v>
      </c>
      <c r="C38" s="96"/>
      <c r="D38" s="96"/>
      <c r="E38" s="34">
        <f>0.75*235</f>
        <v>176.25</v>
      </c>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370</v>
      </c>
      <c r="C41" s="96"/>
      <c r="D41" s="96"/>
      <c r="E41" s="34">
        <f>0.4*235</f>
        <v>94</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371</v>
      </c>
      <c r="C44" s="96"/>
      <c r="D44" s="96"/>
      <c r="E44" s="34">
        <f>0.2*235</f>
        <v>47</v>
      </c>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372</v>
      </c>
      <c r="C47" s="96"/>
      <c r="D47" s="96"/>
      <c r="E47" s="34">
        <f>1*235</f>
        <v>235</v>
      </c>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t="s">
        <v>373</v>
      </c>
      <c r="C50" s="96"/>
      <c r="D50" s="96"/>
      <c r="E50" s="34">
        <f>0.4*235</f>
        <v>94</v>
      </c>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t="s">
        <v>374</v>
      </c>
      <c r="C53" s="96"/>
      <c r="D53" s="96"/>
      <c r="E53" s="34">
        <f>0.5*235</f>
        <v>117.5</v>
      </c>
      <c r="F53" s="27"/>
    </row>
    <row r="54" spans="1:6" ht="14.25" x14ac:dyDescent="0.2">
      <c r="A54" s="27"/>
      <c r="B54" s="96"/>
      <c r="C54" s="96"/>
      <c r="D54" s="96"/>
      <c r="E54" s="34"/>
      <c r="F54" s="27"/>
    </row>
    <row r="55" spans="1:6" ht="14.25" x14ac:dyDescent="0.2">
      <c r="A55" s="27"/>
      <c r="B55" s="89"/>
      <c r="C55" s="89"/>
      <c r="D55" s="89"/>
      <c r="E55" s="34"/>
      <c r="F55" s="27"/>
    </row>
    <row r="56" spans="1:6" ht="14.25" x14ac:dyDescent="0.2">
      <c r="A56" s="27"/>
      <c r="B56" s="96" t="s">
        <v>375</v>
      </c>
      <c r="C56" s="96"/>
      <c r="D56" s="96"/>
      <c r="E56" s="34">
        <f>0.5*235</f>
        <v>117.5</v>
      </c>
      <c r="F56" s="27"/>
    </row>
    <row r="57" spans="1:6" ht="14.25" x14ac:dyDescent="0.2">
      <c r="A57" s="27"/>
      <c r="B57" s="96"/>
      <c r="C57" s="96"/>
      <c r="D57" s="96"/>
      <c r="E57" s="34"/>
      <c r="F57" s="27"/>
    </row>
    <row r="58" spans="1:6" ht="14.25" x14ac:dyDescent="0.2">
      <c r="A58" s="27"/>
      <c r="B58" s="96" t="s">
        <v>376</v>
      </c>
      <c r="C58" s="96"/>
      <c r="D58" s="96"/>
      <c r="E58" s="34">
        <f>0.2*235</f>
        <v>47</v>
      </c>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t="s">
        <v>377</v>
      </c>
      <c r="C61" s="96"/>
      <c r="D61" s="96"/>
      <c r="E61" s="34">
        <f>0.75*235</f>
        <v>176.25</v>
      </c>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1163.25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1163.25</v>
      </c>
      <c r="F72" s="27"/>
    </row>
    <row r="73" spans="1:6" ht="13.5" customHeight="1" x14ac:dyDescent="0.2">
      <c r="A73" s="27"/>
      <c r="B73" s="32" t="s">
        <v>5</v>
      </c>
      <c r="C73" s="37">
        <v>0.05</v>
      </c>
      <c r="D73" s="32"/>
      <c r="E73" s="41">
        <f>ROUND(E72*C73,2)</f>
        <v>58.16</v>
      </c>
      <c r="F73" s="27"/>
    </row>
    <row r="74" spans="1:6" ht="13.5" customHeight="1" x14ac:dyDescent="0.2">
      <c r="A74" s="27"/>
      <c r="B74" s="32" t="s">
        <v>4</v>
      </c>
      <c r="C74" s="64">
        <v>9.9750000000000005E-2</v>
      </c>
      <c r="D74" s="32"/>
      <c r="E74" s="42">
        <f>ROUND(E72*C74,2)</f>
        <v>116.03</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1337.44</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1337.44</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36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2:F92"/>
  <sheetViews>
    <sheetView view="pageBreakPreview"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378</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379</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380</v>
      </c>
      <c r="C35" s="96"/>
      <c r="D35" s="96"/>
      <c r="E35" s="34">
        <f>0.5*235</f>
        <v>117.5</v>
      </c>
      <c r="F35" s="27"/>
    </row>
    <row r="36" spans="1:6" ht="14.25" x14ac:dyDescent="0.2">
      <c r="A36" s="27"/>
      <c r="B36" s="96"/>
      <c r="C36" s="96"/>
      <c r="D36" s="96"/>
      <c r="E36" s="34"/>
      <c r="F36" s="27"/>
    </row>
    <row r="37" spans="1:6" ht="14.25" x14ac:dyDescent="0.2">
      <c r="A37" s="27"/>
      <c r="B37" s="96" t="s">
        <v>389</v>
      </c>
      <c r="C37" s="96"/>
      <c r="D37" s="96"/>
      <c r="E37" s="34">
        <f>1.4*235</f>
        <v>329</v>
      </c>
      <c r="F37" s="27"/>
    </row>
    <row r="38" spans="1:6" ht="14.25" x14ac:dyDescent="0.2">
      <c r="A38" s="27"/>
      <c r="B38" s="96"/>
      <c r="C38" s="96"/>
      <c r="D38" s="96"/>
      <c r="E38" s="34"/>
      <c r="F38" s="27"/>
    </row>
    <row r="39" spans="1:6" ht="14.25" x14ac:dyDescent="0.2">
      <c r="A39" s="27"/>
      <c r="B39" s="96" t="s">
        <v>381</v>
      </c>
      <c r="C39" s="96"/>
      <c r="D39" s="96"/>
      <c r="E39" s="34">
        <f>0.5*235</f>
        <v>117.5</v>
      </c>
      <c r="F39" s="27"/>
    </row>
    <row r="40" spans="1:6" ht="14.25" x14ac:dyDescent="0.2">
      <c r="A40" s="27"/>
      <c r="B40" s="96"/>
      <c r="C40" s="96"/>
      <c r="D40" s="96"/>
      <c r="E40" s="34"/>
      <c r="F40" s="27"/>
    </row>
    <row r="41" spans="1:6" ht="14.25" x14ac:dyDescent="0.2">
      <c r="A41" s="27"/>
      <c r="B41" s="96" t="s">
        <v>382</v>
      </c>
      <c r="C41" s="96"/>
      <c r="D41" s="96"/>
      <c r="E41" s="34">
        <f>1.75*235</f>
        <v>411.25</v>
      </c>
      <c r="F41" s="27"/>
    </row>
    <row r="42" spans="1:6" ht="14.25" x14ac:dyDescent="0.2">
      <c r="A42" s="27"/>
      <c r="B42" s="96"/>
      <c r="C42" s="96"/>
      <c r="D42" s="96"/>
      <c r="E42" s="34"/>
      <c r="F42" s="27"/>
    </row>
    <row r="43" spans="1:6" ht="14.25" x14ac:dyDescent="0.2">
      <c r="A43" s="27"/>
      <c r="B43" s="96" t="s">
        <v>383</v>
      </c>
      <c r="C43" s="96"/>
      <c r="D43" s="96"/>
      <c r="E43" s="34">
        <f>0.5*235</f>
        <v>117.5</v>
      </c>
      <c r="F43" s="27"/>
    </row>
    <row r="44" spans="1:6" ht="14.25" x14ac:dyDescent="0.2">
      <c r="A44" s="27"/>
      <c r="B44" s="96"/>
      <c r="C44" s="96"/>
      <c r="D44" s="96"/>
      <c r="E44" s="34"/>
      <c r="F44" s="27"/>
    </row>
    <row r="45" spans="1:6" ht="14.25" x14ac:dyDescent="0.2">
      <c r="A45" s="27"/>
      <c r="B45" s="96" t="s">
        <v>384</v>
      </c>
      <c r="C45" s="96"/>
      <c r="D45" s="96"/>
      <c r="E45" s="34">
        <f>1*235</f>
        <v>235</v>
      </c>
      <c r="F45" s="27"/>
    </row>
    <row r="46" spans="1:6" ht="14.25" x14ac:dyDescent="0.2">
      <c r="A46" s="27"/>
      <c r="B46" s="96"/>
      <c r="C46" s="96"/>
      <c r="D46" s="96"/>
      <c r="E46" s="34"/>
      <c r="F46" s="27"/>
    </row>
    <row r="47" spans="1:6" ht="14.25" x14ac:dyDescent="0.2">
      <c r="A47" s="27"/>
      <c r="B47" s="96" t="s">
        <v>385</v>
      </c>
      <c r="C47" s="96"/>
      <c r="D47" s="96"/>
      <c r="E47" s="34">
        <f>0.25*235</f>
        <v>58.75</v>
      </c>
      <c r="F47" s="27"/>
    </row>
    <row r="48" spans="1:6" ht="14.25" x14ac:dyDescent="0.2">
      <c r="A48" s="27"/>
      <c r="B48" s="96"/>
      <c r="C48" s="96"/>
      <c r="D48" s="96"/>
      <c r="E48" s="34"/>
      <c r="F48" s="27"/>
    </row>
    <row r="49" spans="1:6" ht="14.25" x14ac:dyDescent="0.2">
      <c r="A49" s="27"/>
      <c r="B49" s="96" t="s">
        <v>386</v>
      </c>
      <c r="C49" s="96"/>
      <c r="D49" s="96"/>
      <c r="E49" s="34">
        <f>0.5*235</f>
        <v>117.5</v>
      </c>
      <c r="F49" s="27"/>
    </row>
    <row r="50" spans="1:6" ht="14.25" x14ac:dyDescent="0.2">
      <c r="A50" s="27"/>
      <c r="B50" s="96"/>
      <c r="C50" s="96"/>
      <c r="D50" s="96"/>
      <c r="E50" s="34"/>
      <c r="F50" s="27"/>
    </row>
    <row r="51" spans="1:6" ht="14.25" x14ac:dyDescent="0.2">
      <c r="A51" s="27"/>
      <c r="B51" s="96" t="s">
        <v>387</v>
      </c>
      <c r="C51" s="96"/>
      <c r="D51" s="96"/>
      <c r="E51" s="34">
        <f>0.5*235</f>
        <v>117.5</v>
      </c>
      <c r="F51" s="27"/>
    </row>
    <row r="52" spans="1:6" ht="14.25" x14ac:dyDescent="0.2">
      <c r="A52" s="27"/>
      <c r="B52" s="96"/>
      <c r="C52" s="96"/>
      <c r="D52" s="96"/>
      <c r="E52" s="34"/>
      <c r="F52" s="27"/>
    </row>
    <row r="53" spans="1:6" ht="14.25" x14ac:dyDescent="0.2">
      <c r="A53" s="27"/>
      <c r="B53" s="96" t="s">
        <v>388</v>
      </c>
      <c r="C53" s="96"/>
      <c r="D53" s="96"/>
      <c r="E53" s="34">
        <f>0.25*235</f>
        <v>58.75</v>
      </c>
      <c r="F53" s="27"/>
    </row>
    <row r="54" spans="1:6" ht="14.25" x14ac:dyDescent="0.2">
      <c r="A54" s="27"/>
      <c r="B54" s="96"/>
      <c r="C54" s="96"/>
      <c r="D54" s="96"/>
      <c r="E54" s="34"/>
      <c r="F54" s="27"/>
    </row>
    <row r="55" spans="1:6" ht="14.25" x14ac:dyDescent="0.2">
      <c r="A55" s="27"/>
      <c r="B55" s="96" t="s">
        <v>390</v>
      </c>
      <c r="C55" s="96"/>
      <c r="D55" s="96"/>
      <c r="E55" s="34">
        <f>0.75*235</f>
        <v>176.25</v>
      </c>
      <c r="F55" s="27"/>
    </row>
    <row r="56" spans="1:6" ht="14.25" x14ac:dyDescent="0.2">
      <c r="A56" s="27"/>
      <c r="B56" s="96"/>
      <c r="C56" s="96"/>
      <c r="D56" s="96"/>
      <c r="E56" s="34"/>
      <c r="F56" s="27"/>
    </row>
    <row r="57" spans="1:6" ht="14.25" x14ac:dyDescent="0.2">
      <c r="A57" s="27"/>
      <c r="B57" s="96" t="s">
        <v>391</v>
      </c>
      <c r="C57" s="96"/>
      <c r="D57" s="96"/>
      <c r="E57" s="34">
        <f>0.4*235</f>
        <v>94</v>
      </c>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1950.5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1950.5</v>
      </c>
      <c r="F72" s="27"/>
    </row>
    <row r="73" spans="1:6" ht="13.5" customHeight="1" x14ac:dyDescent="0.2">
      <c r="A73" s="27"/>
      <c r="B73" s="32" t="s">
        <v>5</v>
      </c>
      <c r="C73" s="37">
        <v>0.05</v>
      </c>
      <c r="D73" s="32"/>
      <c r="E73" s="41">
        <f>ROUND(E72*C73,2)</f>
        <v>97.53</v>
      </c>
      <c r="F73" s="27"/>
    </row>
    <row r="74" spans="1:6" ht="13.5" customHeight="1" x14ac:dyDescent="0.2">
      <c r="A74" s="27"/>
      <c r="B74" s="32" t="s">
        <v>4</v>
      </c>
      <c r="C74" s="64">
        <v>9.9750000000000005E-2</v>
      </c>
      <c r="D74" s="32"/>
      <c r="E74" s="42">
        <f>ROUND(E72*C74,2)</f>
        <v>194.56</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2242.59</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2242.59</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1:D51"/>
    <mergeCell ref="B52:D52"/>
    <mergeCell ref="B53:D53"/>
    <mergeCell ref="B54:D54"/>
    <mergeCell ref="B56:D56"/>
    <mergeCell ref="B57:D57"/>
    <mergeCell ref="B58:D58"/>
    <mergeCell ref="B59:D59"/>
    <mergeCell ref="B60:D60"/>
    <mergeCell ref="B61:D61"/>
    <mergeCell ref="B87:E87"/>
    <mergeCell ref="A88:F88"/>
    <mergeCell ref="B90:D90"/>
    <mergeCell ref="B55:D55"/>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3:B68" xr:uid="{00000000-0002-0000-37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2:F92"/>
  <sheetViews>
    <sheetView view="pageBreakPreview"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392</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393</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397</v>
      </c>
      <c r="C35" s="96"/>
      <c r="D35" s="96"/>
      <c r="E35" s="34">
        <v>235</v>
      </c>
      <c r="F35" s="27"/>
    </row>
    <row r="36" spans="1:6" ht="14.25" x14ac:dyDescent="0.2">
      <c r="A36" s="27"/>
      <c r="B36" s="96"/>
      <c r="C36" s="96"/>
      <c r="D36" s="96"/>
      <c r="E36" s="34"/>
      <c r="F36" s="27"/>
    </row>
    <row r="37" spans="1:6" ht="14.25" x14ac:dyDescent="0.2">
      <c r="A37" s="27"/>
      <c r="B37" s="96" t="s">
        <v>394</v>
      </c>
      <c r="C37" s="96"/>
      <c r="D37" s="96"/>
      <c r="E37" s="34">
        <f>0.75*235</f>
        <v>176.25</v>
      </c>
      <c r="F37" s="27"/>
    </row>
    <row r="38" spans="1:6" ht="14.25" x14ac:dyDescent="0.2">
      <c r="A38" s="27"/>
      <c r="B38" s="96"/>
      <c r="C38" s="96"/>
      <c r="D38" s="96"/>
      <c r="E38" s="34"/>
      <c r="F38" s="27"/>
    </row>
    <row r="39" spans="1:6" ht="14.25" x14ac:dyDescent="0.2">
      <c r="A39" s="27"/>
      <c r="B39" s="96" t="s">
        <v>395</v>
      </c>
      <c r="C39" s="96"/>
      <c r="D39" s="96"/>
      <c r="E39" s="34">
        <f>0.3*235</f>
        <v>70.5</v>
      </c>
      <c r="F39" s="27"/>
    </row>
    <row r="40" spans="1:6" ht="14.25" x14ac:dyDescent="0.2">
      <c r="A40" s="27"/>
      <c r="B40" s="96"/>
      <c r="C40" s="96"/>
      <c r="D40" s="96"/>
      <c r="E40" s="34"/>
      <c r="F40" s="27"/>
    </row>
    <row r="41" spans="1:6" ht="14.25" x14ac:dyDescent="0.2">
      <c r="A41" s="27"/>
      <c r="B41" s="96" t="s">
        <v>396</v>
      </c>
      <c r="C41" s="96"/>
      <c r="D41" s="96"/>
      <c r="E41" s="34">
        <f>0.75*235</f>
        <v>176.25</v>
      </c>
      <c r="F41" s="27"/>
    </row>
    <row r="42" spans="1:6" ht="14.25" x14ac:dyDescent="0.2">
      <c r="A42" s="27"/>
      <c r="B42" s="96"/>
      <c r="C42" s="96"/>
      <c r="D42" s="96"/>
      <c r="E42" s="34"/>
      <c r="F42" s="27"/>
    </row>
    <row r="43" spans="1:6" ht="14.25" x14ac:dyDescent="0.2">
      <c r="A43" s="27"/>
      <c r="B43" s="96" t="s">
        <v>398</v>
      </c>
      <c r="C43" s="96"/>
      <c r="D43" s="96"/>
      <c r="E43" s="34">
        <f>0.35*235</f>
        <v>82.25</v>
      </c>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740.25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740.25</v>
      </c>
      <c r="F72" s="27"/>
    </row>
    <row r="73" spans="1:6" ht="13.5" customHeight="1" x14ac:dyDescent="0.2">
      <c r="A73" s="27"/>
      <c r="B73" s="32" t="s">
        <v>5</v>
      </c>
      <c r="C73" s="37">
        <v>0.05</v>
      </c>
      <c r="D73" s="32"/>
      <c r="E73" s="41">
        <f>ROUND(E72*C73,2)</f>
        <v>37.01</v>
      </c>
      <c r="F73" s="27"/>
    </row>
    <row r="74" spans="1:6" ht="13.5" customHeight="1" x14ac:dyDescent="0.2">
      <c r="A74" s="27"/>
      <c r="B74" s="32" t="s">
        <v>4</v>
      </c>
      <c r="C74" s="64">
        <v>9.9750000000000005E-2</v>
      </c>
      <c r="D74" s="32"/>
      <c r="E74" s="42">
        <f>ROUND(E72*C74,2)</f>
        <v>73.84</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851.1</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851.1</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38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2:F92"/>
  <sheetViews>
    <sheetView view="pageBreakPreview" topLeftCell="A10"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399</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405</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403</v>
      </c>
      <c r="C35" s="96"/>
      <c r="D35" s="96"/>
      <c r="E35" s="34">
        <f>24*235</f>
        <v>5640</v>
      </c>
      <c r="F35" s="27"/>
    </row>
    <row r="36" spans="1:6" ht="14.25" x14ac:dyDescent="0.2">
      <c r="A36" s="27"/>
      <c r="B36" s="96"/>
      <c r="C36" s="96"/>
      <c r="D36" s="96"/>
      <c r="E36" s="34"/>
      <c r="F36" s="27"/>
    </row>
    <row r="37" spans="1:6" ht="14.25" x14ac:dyDescent="0.2">
      <c r="A37" s="27"/>
      <c r="B37" s="96" t="s">
        <v>404</v>
      </c>
      <c r="C37" s="96"/>
      <c r="D37" s="96"/>
      <c r="E37" s="34">
        <v>-1000</v>
      </c>
      <c r="F37" s="27"/>
    </row>
    <row r="38" spans="1:6" ht="14.25" x14ac:dyDescent="0.2">
      <c r="A38" s="27"/>
      <c r="B38" s="96"/>
      <c r="C38" s="96"/>
      <c r="D38" s="96"/>
      <c r="E38" s="34"/>
      <c r="F38" s="27"/>
    </row>
    <row r="39" spans="1:6" ht="14.25" x14ac:dyDescent="0.2">
      <c r="A39" s="27"/>
      <c r="B39" s="96" t="s">
        <v>400</v>
      </c>
      <c r="C39" s="96"/>
      <c r="D39" s="96"/>
      <c r="E39" s="34">
        <f>0.25*235</f>
        <v>58.75</v>
      </c>
      <c r="F39" s="27"/>
    </row>
    <row r="40" spans="1:6" ht="14.25" x14ac:dyDescent="0.2">
      <c r="A40" s="27"/>
      <c r="B40" s="96"/>
      <c r="C40" s="96"/>
      <c r="D40" s="96"/>
      <c r="E40" s="34"/>
      <c r="F40" s="27"/>
    </row>
    <row r="41" spans="1:6" ht="14.25" x14ac:dyDescent="0.2">
      <c r="A41" s="27"/>
      <c r="B41" s="96" t="s">
        <v>401</v>
      </c>
      <c r="C41" s="96"/>
      <c r="D41" s="96"/>
      <c r="E41" s="34">
        <f>1.3*235</f>
        <v>305.5</v>
      </c>
      <c r="F41" s="27"/>
    </row>
    <row r="42" spans="1:6" ht="14.25" x14ac:dyDescent="0.2">
      <c r="A42" s="27"/>
      <c r="B42" s="96"/>
      <c r="C42" s="96"/>
      <c r="D42" s="96"/>
      <c r="E42" s="34"/>
      <c r="F42" s="27"/>
    </row>
    <row r="43" spans="1:6" ht="14.25" x14ac:dyDescent="0.2">
      <c r="A43" s="27"/>
      <c r="B43" s="96" t="s">
        <v>402</v>
      </c>
      <c r="C43" s="96"/>
      <c r="D43" s="96"/>
      <c r="E43" s="34">
        <f>0.25*235</f>
        <v>58.75</v>
      </c>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5063</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5063</v>
      </c>
      <c r="F72" s="27"/>
    </row>
    <row r="73" spans="1:6" ht="13.5" customHeight="1" x14ac:dyDescent="0.2">
      <c r="A73" s="27"/>
      <c r="B73" s="32" t="s">
        <v>5</v>
      </c>
      <c r="C73" s="37">
        <v>0.05</v>
      </c>
      <c r="D73" s="32"/>
      <c r="E73" s="41">
        <f>ROUND(E72*C73,2)</f>
        <v>253.15</v>
      </c>
      <c r="F73" s="27"/>
    </row>
    <row r="74" spans="1:6" ht="13.5" customHeight="1" x14ac:dyDescent="0.2">
      <c r="A74" s="27"/>
      <c r="B74" s="32" t="s">
        <v>4</v>
      </c>
      <c r="C74" s="64">
        <v>9.9750000000000005E-2</v>
      </c>
      <c r="D74" s="32"/>
      <c r="E74" s="42">
        <f>ROUND(E72*C74,2)</f>
        <v>505.03</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5821.1799999999994</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5821.1799999999994</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A30:F30"/>
    <mergeCell ref="B33:D33"/>
    <mergeCell ref="B34:D34"/>
    <mergeCell ref="B35:D35"/>
    <mergeCell ref="B38:D38"/>
    <mergeCell ref="B36:D36"/>
    <mergeCell ref="B37:D37"/>
    <mergeCell ref="B47:D47"/>
    <mergeCell ref="B48:D48"/>
    <mergeCell ref="B39:D39"/>
    <mergeCell ref="B52:D52"/>
    <mergeCell ref="B50:D50"/>
    <mergeCell ref="B51:D51"/>
    <mergeCell ref="B49:D49"/>
    <mergeCell ref="B40:D40"/>
    <mergeCell ref="B41:D41"/>
    <mergeCell ref="B42:D42"/>
    <mergeCell ref="B43:D43"/>
    <mergeCell ref="B44:D44"/>
    <mergeCell ref="B45:D45"/>
    <mergeCell ref="B46:D46"/>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55:D55"/>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46 B47:B68" xr:uid="{00000000-0002-0000-39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2:F92"/>
  <sheetViews>
    <sheetView view="pageBreakPreview" topLeftCell="A31"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406</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407</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408</v>
      </c>
      <c r="C35" s="96"/>
      <c r="D35" s="96"/>
      <c r="E35" s="34">
        <f>0.25*235</f>
        <v>58.75</v>
      </c>
      <c r="F35" s="27"/>
    </row>
    <row r="36" spans="1:6" ht="14.25" x14ac:dyDescent="0.2">
      <c r="A36" s="27"/>
      <c r="B36" s="96"/>
      <c r="C36" s="96"/>
      <c r="D36" s="96"/>
      <c r="E36" s="34"/>
      <c r="F36" s="27"/>
    </row>
    <row r="37" spans="1:6" ht="14.25" x14ac:dyDescent="0.2">
      <c r="A37" s="27"/>
      <c r="B37" s="96" t="s">
        <v>409</v>
      </c>
      <c r="C37" s="96"/>
      <c r="D37" s="96"/>
      <c r="E37" s="34">
        <f>0.3*235</f>
        <v>70.5</v>
      </c>
      <c r="F37" s="27"/>
    </row>
    <row r="38" spans="1:6" ht="14.25" x14ac:dyDescent="0.2">
      <c r="A38" s="27"/>
      <c r="B38" s="96"/>
      <c r="C38" s="96"/>
      <c r="D38" s="96"/>
      <c r="E38" s="34"/>
      <c r="F38" s="27"/>
    </row>
    <row r="39" spans="1:6" ht="14.25" x14ac:dyDescent="0.2">
      <c r="A39" s="27"/>
      <c r="B39" s="96" t="s">
        <v>410</v>
      </c>
      <c r="C39" s="96"/>
      <c r="D39" s="96"/>
      <c r="E39" s="34">
        <f>0.25*235</f>
        <v>58.75</v>
      </c>
      <c r="F39" s="27"/>
    </row>
    <row r="40" spans="1:6" ht="14.25" x14ac:dyDescent="0.2">
      <c r="A40" s="27"/>
      <c r="B40" s="96"/>
      <c r="C40" s="96"/>
      <c r="D40" s="96"/>
      <c r="E40" s="34"/>
      <c r="F40" s="27"/>
    </row>
    <row r="41" spans="1:6" ht="14.25" x14ac:dyDescent="0.2">
      <c r="A41" s="27"/>
      <c r="B41" s="96" t="s">
        <v>411</v>
      </c>
      <c r="C41" s="96"/>
      <c r="D41" s="96"/>
      <c r="E41" s="34">
        <f>0.75*235</f>
        <v>176.25</v>
      </c>
      <c r="F41" s="27"/>
    </row>
    <row r="42" spans="1:6" ht="14.25" x14ac:dyDescent="0.2">
      <c r="A42" s="27"/>
      <c r="B42" s="96"/>
      <c r="C42" s="96"/>
      <c r="D42" s="96"/>
      <c r="E42" s="34"/>
      <c r="F42" s="27"/>
    </row>
    <row r="43" spans="1:6" ht="14.25" x14ac:dyDescent="0.2">
      <c r="A43" s="27"/>
      <c r="B43" s="96" t="s">
        <v>412</v>
      </c>
      <c r="C43" s="96"/>
      <c r="D43" s="96"/>
      <c r="E43" s="34">
        <v>235</v>
      </c>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599.25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599.25</v>
      </c>
      <c r="F72" s="27"/>
    </row>
    <row r="73" spans="1:6" ht="13.5" customHeight="1" x14ac:dyDescent="0.2">
      <c r="A73" s="27"/>
      <c r="B73" s="32" t="s">
        <v>5</v>
      </c>
      <c r="C73" s="37">
        <v>0.05</v>
      </c>
      <c r="D73" s="32"/>
      <c r="E73" s="41">
        <f>ROUND(E72*C73,2)</f>
        <v>29.96</v>
      </c>
      <c r="F73" s="27"/>
    </row>
    <row r="74" spans="1:6" ht="13.5" customHeight="1" x14ac:dyDescent="0.2">
      <c r="A74" s="27"/>
      <c r="B74" s="32" t="s">
        <v>4</v>
      </c>
      <c r="C74" s="64">
        <v>9.9750000000000005E-2</v>
      </c>
      <c r="D74" s="32"/>
      <c r="E74" s="42">
        <f>ROUND(E72*C74,2)</f>
        <v>59.78</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688.99</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688.99</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5:D45"/>
    <mergeCell ref="B43:D43"/>
    <mergeCell ref="B46:D46"/>
    <mergeCell ref="B47:D47"/>
    <mergeCell ref="B48:D48"/>
    <mergeCell ref="B49:D49"/>
    <mergeCell ref="B44:D44"/>
    <mergeCell ref="B50:D50"/>
    <mergeCell ref="B51:D51"/>
    <mergeCell ref="B52:D52"/>
    <mergeCell ref="B53:D53"/>
    <mergeCell ref="B54:D54"/>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7:B79 B12:B20 B33:B45 B46:B68" xr:uid="{00000000-0002-0000-3A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54</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40</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55</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56</v>
      </c>
      <c r="C36" s="96"/>
      <c r="D36" s="96"/>
      <c r="E36" s="34">
        <f>0.75*190</f>
        <v>142.5</v>
      </c>
      <c r="F36" s="27"/>
    </row>
    <row r="37" spans="1:6" ht="14.25" x14ac:dyDescent="0.2">
      <c r="A37" s="27"/>
      <c r="B37" s="96"/>
      <c r="C37" s="96"/>
      <c r="D37" s="96"/>
      <c r="E37" s="34"/>
      <c r="F37" s="27"/>
    </row>
    <row r="38" spans="1:6" ht="14.25" x14ac:dyDescent="0.2">
      <c r="A38" s="27"/>
      <c r="B38" s="96"/>
      <c r="C38" s="96"/>
      <c r="D38" s="96"/>
      <c r="E38" s="34"/>
      <c r="F38" s="27"/>
    </row>
    <row r="39" spans="1:6" ht="30" customHeight="1" x14ac:dyDescent="0.2">
      <c r="A39" s="27"/>
      <c r="B39" s="96" t="s">
        <v>57</v>
      </c>
      <c r="C39" s="96"/>
      <c r="D39" s="96"/>
      <c r="E39" s="34">
        <f>2.5*190</f>
        <v>475</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617.5</v>
      </c>
      <c r="F75" s="27"/>
    </row>
    <row r="76" spans="1:6" ht="13.5" customHeight="1" x14ac:dyDescent="0.2">
      <c r="A76" s="27"/>
      <c r="B76" s="40" t="s">
        <v>17</v>
      </c>
      <c r="C76" s="32"/>
      <c r="D76" s="32"/>
      <c r="E76" s="36">
        <v>0</v>
      </c>
      <c r="F76" s="27"/>
    </row>
    <row r="77" spans="1:6" ht="13.5" customHeight="1" x14ac:dyDescent="0.2">
      <c r="A77" s="27"/>
      <c r="B77" s="40" t="s">
        <v>18</v>
      </c>
      <c r="C77" s="32"/>
      <c r="D77" s="32"/>
      <c r="E77" s="36">
        <v>0</v>
      </c>
      <c r="F77" s="27"/>
    </row>
    <row r="78" spans="1:6" ht="13.5" customHeight="1" x14ac:dyDescent="0.2">
      <c r="A78" s="27"/>
      <c r="B78" s="31" t="s">
        <v>19</v>
      </c>
      <c r="C78" s="32"/>
      <c r="D78" s="32"/>
      <c r="E78" s="35">
        <f>SUM(E75:E77)</f>
        <v>617.5</v>
      </c>
      <c r="F78" s="27"/>
    </row>
    <row r="79" spans="1:6" ht="13.5" customHeight="1" x14ac:dyDescent="0.2">
      <c r="A79" s="27"/>
      <c r="B79" s="32" t="s">
        <v>5</v>
      </c>
      <c r="C79" s="37">
        <v>0.05</v>
      </c>
      <c r="D79" s="32"/>
      <c r="E79" s="41">
        <f>ROUND(E78*C79,2)</f>
        <v>30.88</v>
      </c>
      <c r="F79" s="27"/>
    </row>
    <row r="80" spans="1:6" ht="13.5" customHeight="1" x14ac:dyDescent="0.2">
      <c r="A80" s="27"/>
      <c r="B80" s="32" t="s">
        <v>4</v>
      </c>
      <c r="C80" s="37">
        <v>8.5000000000000006E-2</v>
      </c>
      <c r="D80" s="32"/>
      <c r="E80" s="42">
        <f>ROUND((E78+E79)*C80,2)</f>
        <v>55.11</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703.49</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703.49</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5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2:F92"/>
  <sheetViews>
    <sheetView view="pageBreakPreview" topLeftCell="A13" zoomScale="80" zoomScaleNormal="100" zoomScaleSheetLayoutView="80" workbookViewId="0">
      <selection activeCell="E43" sqref="E4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413</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414</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415</v>
      </c>
      <c r="C35" s="96"/>
      <c r="D35" s="96"/>
      <c r="E35" s="34">
        <f>2.75*235</f>
        <v>646.25</v>
      </c>
      <c r="F35" s="27"/>
    </row>
    <row r="36" spans="1:6" ht="14.25" x14ac:dyDescent="0.2">
      <c r="A36" s="27"/>
      <c r="B36" s="96"/>
      <c r="C36" s="96"/>
      <c r="D36" s="96"/>
      <c r="E36" s="34"/>
      <c r="F36" s="27"/>
    </row>
    <row r="37" spans="1:6" ht="14.25" x14ac:dyDescent="0.2">
      <c r="A37" s="27"/>
      <c r="B37" s="96" t="s">
        <v>416</v>
      </c>
      <c r="C37" s="96"/>
      <c r="D37" s="96"/>
      <c r="E37" s="34">
        <f>1.5*235</f>
        <v>352.5</v>
      </c>
      <c r="F37" s="27"/>
    </row>
    <row r="38" spans="1:6" ht="14.25" x14ac:dyDescent="0.2">
      <c r="A38" s="27"/>
      <c r="B38" s="96"/>
      <c r="C38" s="96"/>
      <c r="D38" s="96"/>
      <c r="E38" s="34"/>
      <c r="F38" s="27"/>
    </row>
    <row r="39" spans="1:6" ht="14.25" x14ac:dyDescent="0.2">
      <c r="A39" s="27"/>
      <c r="B39" s="96" t="s">
        <v>417</v>
      </c>
      <c r="C39" s="96"/>
      <c r="D39" s="96"/>
      <c r="E39" s="34">
        <f>0.75*235</f>
        <v>176.25</v>
      </c>
      <c r="F39" s="27"/>
    </row>
    <row r="40" spans="1:6" ht="14.25" x14ac:dyDescent="0.2">
      <c r="A40" s="27"/>
      <c r="B40" s="96"/>
      <c r="C40" s="96"/>
      <c r="D40" s="96"/>
      <c r="E40" s="34"/>
      <c r="F40" s="27"/>
    </row>
    <row r="41" spans="1:6" ht="14.25" x14ac:dyDescent="0.2">
      <c r="A41" s="27"/>
      <c r="B41" s="96" t="s">
        <v>418</v>
      </c>
      <c r="C41" s="96"/>
      <c r="D41" s="96"/>
      <c r="E41" s="34">
        <f>0.75*235</f>
        <v>176.25</v>
      </c>
      <c r="F41" s="27"/>
    </row>
    <row r="42" spans="1:6" ht="14.25" x14ac:dyDescent="0.2">
      <c r="A42" s="27"/>
      <c r="B42" s="96"/>
      <c r="C42" s="96"/>
      <c r="D42" s="96"/>
      <c r="E42" s="34"/>
      <c r="F42" s="27"/>
    </row>
    <row r="43" spans="1:6" ht="14.25" x14ac:dyDescent="0.2">
      <c r="A43" s="27"/>
      <c r="B43" s="96" t="s">
        <v>419</v>
      </c>
      <c r="C43" s="96"/>
      <c r="D43" s="96"/>
      <c r="E43" s="34">
        <f>0.25*235</f>
        <v>58.75</v>
      </c>
      <c r="F43" s="27"/>
    </row>
    <row r="44" spans="1:6" ht="14.25" x14ac:dyDescent="0.2">
      <c r="A44" s="27"/>
      <c r="B44" s="96"/>
      <c r="C44" s="96"/>
      <c r="D44" s="96"/>
      <c r="E44" s="34"/>
      <c r="F44" s="27"/>
    </row>
    <row r="45" spans="1:6" ht="14.25" x14ac:dyDescent="0.2">
      <c r="A45" s="27"/>
      <c r="B45" s="96" t="s">
        <v>420</v>
      </c>
      <c r="C45" s="96"/>
      <c r="D45" s="96"/>
      <c r="E45" s="34">
        <f>0.4*235</f>
        <v>94</v>
      </c>
      <c r="F45" s="27"/>
    </row>
    <row r="46" spans="1:6" ht="14.25" x14ac:dyDescent="0.2">
      <c r="A46" s="27"/>
      <c r="B46" s="96"/>
      <c r="C46" s="96"/>
      <c r="D46" s="96"/>
      <c r="E46" s="34"/>
      <c r="F46" s="27"/>
    </row>
    <row r="47" spans="1:6" ht="14.25" x14ac:dyDescent="0.2">
      <c r="A47" s="27"/>
      <c r="B47" s="96" t="s">
        <v>421</v>
      </c>
      <c r="C47" s="96"/>
      <c r="D47" s="96"/>
      <c r="E47" s="34">
        <f>0.25*235</f>
        <v>58.75</v>
      </c>
      <c r="F47" s="27"/>
    </row>
    <row r="48" spans="1:6" ht="14.25" x14ac:dyDescent="0.2">
      <c r="A48" s="27"/>
      <c r="B48" s="96"/>
      <c r="C48" s="96"/>
      <c r="D48" s="96"/>
      <c r="E48" s="34"/>
      <c r="F48" s="27"/>
    </row>
    <row r="49" spans="1:6" ht="14.25" x14ac:dyDescent="0.2">
      <c r="A49" s="27"/>
      <c r="B49" s="96" t="s">
        <v>422</v>
      </c>
      <c r="C49" s="96"/>
      <c r="D49" s="96"/>
      <c r="E49" s="34">
        <f>0.25*235</f>
        <v>58.75</v>
      </c>
      <c r="F49" s="27"/>
    </row>
    <row r="50" spans="1:6" ht="14.25" x14ac:dyDescent="0.2">
      <c r="A50" s="27"/>
      <c r="B50" s="96"/>
      <c r="C50" s="96"/>
      <c r="D50" s="96"/>
      <c r="E50" s="34"/>
      <c r="F50" s="27"/>
    </row>
    <row r="51" spans="1:6" ht="14.25" x14ac:dyDescent="0.2">
      <c r="A51" s="27"/>
      <c r="B51" s="96" t="s">
        <v>423</v>
      </c>
      <c r="C51" s="96"/>
      <c r="D51" s="96"/>
      <c r="E51" s="34">
        <f>0.6*235</f>
        <v>141</v>
      </c>
      <c r="F51" s="27"/>
    </row>
    <row r="52" spans="1:6" ht="14.25" x14ac:dyDescent="0.2">
      <c r="A52" s="27"/>
      <c r="B52" s="96"/>
      <c r="C52" s="96"/>
      <c r="D52" s="96"/>
      <c r="E52" s="34"/>
      <c r="F52" s="27"/>
    </row>
    <row r="53" spans="1:6" ht="14.25" x14ac:dyDescent="0.2">
      <c r="A53" s="27"/>
      <c r="B53" s="96" t="s">
        <v>424</v>
      </c>
      <c r="C53" s="96"/>
      <c r="D53" s="96"/>
      <c r="E53" s="34">
        <f>1.2*235</f>
        <v>282</v>
      </c>
      <c r="F53" s="27"/>
    </row>
    <row r="54" spans="1:6" ht="14.25" x14ac:dyDescent="0.2">
      <c r="A54" s="27"/>
      <c r="B54" s="96"/>
      <c r="C54" s="96"/>
      <c r="D54" s="96"/>
      <c r="E54" s="34"/>
      <c r="F54" s="27"/>
    </row>
    <row r="55" spans="1:6" ht="14.25" x14ac:dyDescent="0.2">
      <c r="A55" s="27"/>
      <c r="B55" s="96" t="s">
        <v>425</v>
      </c>
      <c r="C55" s="96"/>
      <c r="D55" s="96"/>
      <c r="E55" s="34">
        <f>0.2*235</f>
        <v>47</v>
      </c>
      <c r="F55" s="27"/>
    </row>
    <row r="56" spans="1:6" ht="14.25" x14ac:dyDescent="0.2">
      <c r="A56" s="27"/>
      <c r="B56" s="96"/>
      <c r="C56" s="96"/>
      <c r="D56" s="96"/>
      <c r="E56" s="34"/>
      <c r="F56" s="27"/>
    </row>
    <row r="57" spans="1:6" ht="14.25" x14ac:dyDescent="0.2">
      <c r="A57" s="27"/>
      <c r="B57" s="96" t="s">
        <v>426</v>
      </c>
      <c r="C57" s="96"/>
      <c r="D57" s="96"/>
      <c r="E57" s="34">
        <f>0.4*235</f>
        <v>94</v>
      </c>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2185.5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2185.5</v>
      </c>
      <c r="F72" s="27"/>
    </row>
    <row r="73" spans="1:6" ht="13.5" customHeight="1" x14ac:dyDescent="0.2">
      <c r="A73" s="27"/>
      <c r="B73" s="32" t="s">
        <v>5</v>
      </c>
      <c r="C73" s="37">
        <v>0.05</v>
      </c>
      <c r="D73" s="32"/>
      <c r="E73" s="41">
        <f>ROUND(E72*C73,2)</f>
        <v>109.28</v>
      </c>
      <c r="F73" s="27"/>
    </row>
    <row r="74" spans="1:6" ht="13.5" customHeight="1" x14ac:dyDescent="0.2">
      <c r="A74" s="27"/>
      <c r="B74" s="32" t="s">
        <v>4</v>
      </c>
      <c r="C74" s="64">
        <v>9.9750000000000005E-2</v>
      </c>
      <c r="D74" s="32"/>
      <c r="E74" s="42">
        <f>ROUND(E72*C74,2)</f>
        <v>218</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2512.7800000000002</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2512.7800000000002</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3B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2:F92"/>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475</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474</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473</v>
      </c>
      <c r="C35" s="96"/>
      <c r="D35" s="96"/>
      <c r="E35" s="34">
        <f>-0.25*235</f>
        <v>-58.75</v>
      </c>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-58.75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-58.75</v>
      </c>
      <c r="F72" s="27"/>
    </row>
    <row r="73" spans="1:6" ht="13.5" customHeight="1" x14ac:dyDescent="0.2">
      <c r="A73" s="27"/>
      <c r="B73" s="32" t="s">
        <v>5</v>
      </c>
      <c r="C73" s="37">
        <v>0.05</v>
      </c>
      <c r="D73" s="32"/>
      <c r="E73" s="41">
        <f>ROUND(E72*C73,2)</f>
        <v>-2.94</v>
      </c>
      <c r="F73" s="27"/>
    </row>
    <row r="74" spans="1:6" ht="13.5" customHeight="1" x14ac:dyDescent="0.2">
      <c r="A74" s="27"/>
      <c r="B74" s="32" t="s">
        <v>4</v>
      </c>
      <c r="C74" s="64">
        <v>9.9750000000000005E-2</v>
      </c>
      <c r="D74" s="32"/>
      <c r="E74" s="42">
        <f>ROUND(E72*C74,2)</f>
        <v>-5.86</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-67.55</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-67.55</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3C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2:F90"/>
  <sheetViews>
    <sheetView view="pageBreakPreview" topLeftCell="A22"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427</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428</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106" t="s">
        <v>461</v>
      </c>
      <c r="C32" s="106"/>
      <c r="D32" s="106"/>
      <c r="E32" s="34"/>
      <c r="F32" s="27"/>
    </row>
    <row r="33" spans="1:6" ht="14.25" x14ac:dyDescent="0.2">
      <c r="A33" s="27"/>
      <c r="B33" s="96" t="s">
        <v>2</v>
      </c>
      <c r="C33" s="96"/>
      <c r="D33" s="96"/>
      <c r="E33" s="34"/>
      <c r="F33" s="27"/>
    </row>
    <row r="34" spans="1:6" ht="14.25" x14ac:dyDescent="0.2">
      <c r="A34" s="27"/>
      <c r="B34" s="96"/>
      <c r="C34" s="96"/>
      <c r="D34" s="96"/>
      <c r="E34" s="34"/>
      <c r="F34" s="27"/>
    </row>
    <row r="35" spans="1:6" ht="14.25" x14ac:dyDescent="0.2">
      <c r="A35" s="27"/>
      <c r="B35" s="96" t="s">
        <v>434</v>
      </c>
      <c r="C35" s="96"/>
      <c r="D35" s="96"/>
      <c r="E35" s="34"/>
      <c r="F35" s="27"/>
    </row>
    <row r="36" spans="1:6" ht="14.25" x14ac:dyDescent="0.2">
      <c r="A36" s="27"/>
      <c r="B36" s="96"/>
      <c r="C36" s="96"/>
      <c r="D36" s="96"/>
      <c r="E36" s="34"/>
      <c r="F36" s="27"/>
    </row>
    <row r="37" spans="1:6" ht="14.25" x14ac:dyDescent="0.2">
      <c r="A37" s="27"/>
      <c r="B37" s="96" t="s">
        <v>9</v>
      </c>
      <c r="C37" s="96"/>
      <c r="D37" s="96"/>
      <c r="E37" s="34"/>
      <c r="F37" s="27"/>
    </row>
    <row r="38" spans="1:6" ht="14.25" x14ac:dyDescent="0.2">
      <c r="A38" s="27"/>
      <c r="B38" s="96"/>
      <c r="C38" s="96"/>
      <c r="D38" s="96"/>
      <c r="E38" s="34"/>
      <c r="F38" s="27"/>
    </row>
    <row r="39" spans="1:6" ht="14.25" x14ac:dyDescent="0.2">
      <c r="A39" s="27"/>
      <c r="B39" s="96" t="s">
        <v>459</v>
      </c>
      <c r="C39" s="96"/>
      <c r="D39" s="96"/>
      <c r="E39" s="34"/>
      <c r="F39" s="27"/>
    </row>
    <row r="40" spans="1:6" ht="14.25" x14ac:dyDescent="0.2">
      <c r="A40" s="27"/>
      <c r="B40" s="96"/>
      <c r="C40" s="96"/>
      <c r="D40" s="96"/>
      <c r="E40" s="34"/>
      <c r="F40" s="27"/>
    </row>
    <row r="41" spans="1:6" ht="14.25" x14ac:dyDescent="0.2">
      <c r="A41" s="27"/>
      <c r="B41" s="96" t="s">
        <v>435</v>
      </c>
      <c r="C41" s="96"/>
      <c r="D41" s="96"/>
      <c r="E41" s="34"/>
      <c r="F41" s="27"/>
    </row>
    <row r="42" spans="1:6" ht="14.25" x14ac:dyDescent="0.2">
      <c r="A42" s="27"/>
      <c r="B42" s="96"/>
      <c r="C42" s="96"/>
      <c r="D42" s="96"/>
      <c r="E42" s="34"/>
      <c r="F42" s="27"/>
    </row>
    <row r="43" spans="1:6" ht="14.25" x14ac:dyDescent="0.2">
      <c r="A43" s="27"/>
      <c r="B43" s="96" t="s">
        <v>436</v>
      </c>
      <c r="C43" s="96"/>
      <c r="D43" s="96"/>
      <c r="E43" s="34"/>
      <c r="F43" s="27"/>
    </row>
    <row r="44" spans="1:6" ht="14.25" x14ac:dyDescent="0.2">
      <c r="A44" s="27"/>
      <c r="B44" s="96"/>
      <c r="C44" s="96"/>
      <c r="D44" s="96"/>
      <c r="E44" s="34"/>
      <c r="F44" s="27"/>
    </row>
    <row r="45" spans="1:6" ht="14.25" x14ac:dyDescent="0.2">
      <c r="A45" s="27"/>
      <c r="B45" s="96" t="s">
        <v>437</v>
      </c>
      <c r="C45" s="96"/>
      <c r="D45" s="96"/>
      <c r="E45" s="34"/>
      <c r="F45" s="27"/>
    </row>
    <row r="46" spans="1:6" ht="14.25" x14ac:dyDescent="0.2">
      <c r="A46" s="27"/>
      <c r="B46" s="96"/>
      <c r="C46" s="96"/>
      <c r="D46" s="96"/>
      <c r="E46" s="34"/>
      <c r="F46" s="27"/>
    </row>
    <row r="47" spans="1:6" ht="14.25" x14ac:dyDescent="0.2">
      <c r="A47" s="27"/>
      <c r="B47" s="96" t="s">
        <v>11</v>
      </c>
      <c r="C47" s="96"/>
      <c r="D47" s="96"/>
      <c r="E47" s="34"/>
      <c r="F47" s="27"/>
    </row>
    <row r="48" spans="1:6" ht="14.25" x14ac:dyDescent="0.2">
      <c r="A48" s="27"/>
      <c r="B48" s="96"/>
      <c r="C48" s="96"/>
      <c r="D48" s="96"/>
      <c r="E48" s="34"/>
      <c r="F48" s="27"/>
    </row>
    <row r="49" spans="1:6" ht="14.25" x14ac:dyDescent="0.2">
      <c r="A49" s="27"/>
      <c r="B49" s="96" t="s">
        <v>10</v>
      </c>
      <c r="C49" s="96"/>
      <c r="D49" s="96"/>
      <c r="E49" s="34"/>
      <c r="F49" s="27"/>
    </row>
    <row r="50" spans="1:6" ht="14.25" x14ac:dyDescent="0.2">
      <c r="A50" s="27"/>
      <c r="B50" s="96"/>
      <c r="C50" s="96"/>
      <c r="D50" s="96"/>
      <c r="E50" s="34"/>
      <c r="F50" s="27"/>
    </row>
    <row r="51" spans="1:6" ht="14.25" x14ac:dyDescent="0.2">
      <c r="A51" s="27"/>
      <c r="B51" s="96" t="s">
        <v>441</v>
      </c>
      <c r="C51" s="96"/>
      <c r="D51" s="96"/>
      <c r="E51" s="34"/>
      <c r="F51" s="27"/>
    </row>
    <row r="52" spans="1:6" ht="14.25" x14ac:dyDescent="0.2">
      <c r="A52" s="27"/>
      <c r="B52" s="96"/>
      <c r="C52" s="96"/>
      <c r="D52" s="96"/>
      <c r="E52" s="34"/>
      <c r="F52" s="27"/>
    </row>
    <row r="53" spans="1:6" ht="14.25" x14ac:dyDescent="0.2">
      <c r="A53" s="27"/>
      <c r="B53" s="96" t="s">
        <v>448</v>
      </c>
      <c r="C53" s="96"/>
      <c r="D53" s="96"/>
      <c r="E53" s="34"/>
      <c r="F53" s="27"/>
    </row>
    <row r="54" spans="1:6" ht="14.25" x14ac:dyDescent="0.2">
      <c r="A54" s="27"/>
      <c r="B54" s="96"/>
      <c r="C54" s="96"/>
      <c r="D54" s="96"/>
      <c r="E54" s="34"/>
      <c r="F54" s="27"/>
    </row>
    <row r="55" spans="1:6" ht="14.25" x14ac:dyDescent="0.2">
      <c r="A55" s="27"/>
      <c r="B55" s="96" t="s">
        <v>460</v>
      </c>
      <c r="C55" s="96"/>
      <c r="D55" s="96"/>
      <c r="E55" s="34"/>
      <c r="F55" s="27"/>
    </row>
    <row r="56" spans="1:6" ht="14.25" x14ac:dyDescent="0.2">
      <c r="A56" s="27"/>
      <c r="B56" s="96"/>
      <c r="C56" s="96"/>
      <c r="D56" s="96"/>
      <c r="E56" s="34"/>
      <c r="F56" s="27"/>
    </row>
    <row r="57" spans="1:6" ht="14.25" x14ac:dyDescent="0.2">
      <c r="A57" s="27"/>
      <c r="B57" s="96" t="s">
        <v>453</v>
      </c>
      <c r="C57" s="96"/>
      <c r="D57" s="96"/>
      <c r="E57" s="34"/>
      <c r="F57" s="27"/>
    </row>
    <row r="58" spans="1:6" ht="14.25" x14ac:dyDescent="0.2">
      <c r="A58" s="27"/>
      <c r="B58" s="96"/>
      <c r="C58" s="96"/>
      <c r="D58" s="96"/>
      <c r="E58" s="34"/>
      <c r="F58" s="27"/>
    </row>
    <row r="59" spans="1:6" ht="14.25" x14ac:dyDescent="0.2">
      <c r="A59" s="27"/>
      <c r="B59" s="96" t="s">
        <v>14</v>
      </c>
      <c r="C59" s="96"/>
      <c r="D59" s="96"/>
      <c r="E59" s="34"/>
      <c r="F59" s="27"/>
    </row>
    <row r="60" spans="1:6" ht="14.25" x14ac:dyDescent="0.2">
      <c r="A60" s="27"/>
      <c r="B60" s="104" t="s">
        <v>466</v>
      </c>
      <c r="C60" s="104"/>
      <c r="D60" s="104"/>
      <c r="E60" s="34">
        <f>35*235*0.5</f>
        <v>4112.5</v>
      </c>
      <c r="F60" s="27"/>
    </row>
    <row r="61" spans="1:6" ht="14.25" x14ac:dyDescent="0.2">
      <c r="A61" s="27"/>
      <c r="B61" s="106" t="s">
        <v>462</v>
      </c>
      <c r="C61" s="106"/>
      <c r="D61" s="106"/>
      <c r="E61" s="34"/>
      <c r="F61" s="27"/>
    </row>
    <row r="62" spans="1:6" ht="28.5" customHeight="1" x14ac:dyDescent="0.2">
      <c r="A62" s="27"/>
      <c r="B62" s="96" t="s">
        <v>463</v>
      </c>
      <c r="C62" s="96"/>
      <c r="D62" s="96"/>
      <c r="E62" s="34"/>
      <c r="F62" s="27"/>
    </row>
    <row r="63" spans="1:6" ht="14.25" x14ac:dyDescent="0.2">
      <c r="A63" s="27"/>
      <c r="B63" s="96"/>
      <c r="C63" s="96"/>
      <c r="D63" s="96"/>
      <c r="E63" s="34"/>
      <c r="F63" s="27"/>
    </row>
    <row r="64" spans="1:6" ht="29.25" customHeight="1" x14ac:dyDescent="0.2">
      <c r="A64" s="27"/>
      <c r="B64" s="96" t="s">
        <v>464</v>
      </c>
      <c r="C64" s="96"/>
      <c r="D64" s="96"/>
      <c r="E64" s="34"/>
      <c r="F64" s="27"/>
    </row>
    <row r="65" spans="1:6" ht="14.25" x14ac:dyDescent="0.2">
      <c r="A65" s="27"/>
      <c r="B65" s="105"/>
      <c r="C65" s="105"/>
      <c r="D65" s="105"/>
      <c r="E65" s="34"/>
      <c r="F65" s="27"/>
    </row>
    <row r="66" spans="1:6" ht="13.5" customHeight="1" x14ac:dyDescent="0.2">
      <c r="A66" s="27"/>
      <c r="B66" s="96" t="s">
        <v>465</v>
      </c>
      <c r="C66" s="96"/>
      <c r="D66" s="96"/>
      <c r="E66" s="34"/>
      <c r="F66" s="27"/>
    </row>
    <row r="67" spans="1:6" ht="14.25" x14ac:dyDescent="0.2">
      <c r="A67" s="27"/>
      <c r="B67" s="104" t="s">
        <v>466</v>
      </c>
      <c r="C67" s="104"/>
      <c r="D67" s="104"/>
      <c r="E67" s="34">
        <f>14*235</f>
        <v>3290</v>
      </c>
      <c r="F67" s="27"/>
    </row>
    <row r="68" spans="1:6" x14ac:dyDescent="0.2">
      <c r="A68" s="27"/>
      <c r="B68" s="103"/>
      <c r="C68" s="103"/>
      <c r="D68" s="103"/>
      <c r="E68" s="103"/>
      <c r="F68" s="27"/>
    </row>
    <row r="69" spans="1:6" ht="13.5" customHeight="1" x14ac:dyDescent="0.2">
      <c r="A69" s="27"/>
      <c r="B69" s="31" t="s">
        <v>20</v>
      </c>
      <c r="C69" s="32"/>
      <c r="D69" s="32"/>
      <c r="E69" s="35">
        <f>SUM(E33:E68)</f>
        <v>7402.5</v>
      </c>
      <c r="F69" s="27"/>
    </row>
    <row r="70" spans="1:6" ht="13.5" customHeight="1" x14ac:dyDescent="0.2">
      <c r="A70" s="27"/>
      <c r="B70" s="40" t="s">
        <v>17</v>
      </c>
      <c r="C70" s="32"/>
      <c r="D70" s="32"/>
      <c r="E70" s="36">
        <v>85</v>
      </c>
      <c r="F70" s="27"/>
    </row>
    <row r="71" spans="1:6" ht="13.5" customHeight="1" x14ac:dyDescent="0.2">
      <c r="A71" s="27"/>
      <c r="B71" s="40" t="s">
        <v>467</v>
      </c>
      <c r="C71" s="32"/>
      <c r="D71" s="32"/>
      <c r="E71" s="36">
        <v>150</v>
      </c>
      <c r="F71" s="27"/>
    </row>
    <row r="72" spans="1:6" ht="13.5" customHeight="1" x14ac:dyDescent="0.2">
      <c r="A72" s="27"/>
      <c r="B72" s="31" t="s">
        <v>19</v>
      </c>
      <c r="C72" s="32"/>
      <c r="D72" s="32"/>
      <c r="E72" s="35">
        <f>SUM(E69:E71)</f>
        <v>7637.5</v>
      </c>
      <c r="F72" s="27"/>
    </row>
    <row r="73" spans="1:6" ht="13.5" customHeight="1" x14ac:dyDescent="0.2">
      <c r="A73" s="27"/>
      <c r="B73" s="32" t="s">
        <v>5</v>
      </c>
      <c r="C73" s="37">
        <v>0.05</v>
      </c>
      <c r="D73" s="32"/>
      <c r="E73" s="41">
        <f>ROUND(E72*C73,2)</f>
        <v>381.88</v>
      </c>
      <c r="F73" s="27"/>
    </row>
    <row r="74" spans="1:6" ht="13.5" customHeight="1" x14ac:dyDescent="0.2">
      <c r="A74" s="27"/>
      <c r="B74" s="32" t="s">
        <v>4</v>
      </c>
      <c r="C74" s="64">
        <v>9.9750000000000005E-2</v>
      </c>
      <c r="D74" s="32"/>
      <c r="E74" s="42">
        <f>ROUND(E72*C74,2)</f>
        <v>761.84</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8781.2199999999993</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8781.2199999999993</v>
      </c>
      <c r="F80" s="27"/>
    </row>
    <row r="81" spans="1:6" ht="13.5" customHeight="1" x14ac:dyDescent="0.2">
      <c r="A81" s="27"/>
      <c r="B81" s="27"/>
      <c r="C81" s="27"/>
      <c r="D81" s="27"/>
      <c r="E81" s="27"/>
      <c r="F81" s="27"/>
    </row>
    <row r="82" spans="1:6" x14ac:dyDescent="0.2">
      <c r="A82" s="27"/>
      <c r="B82" s="102"/>
      <c r="C82" s="102"/>
      <c r="D82" s="102"/>
      <c r="E82" s="102"/>
      <c r="F82" s="27"/>
    </row>
    <row r="83" spans="1:6" ht="14.25" x14ac:dyDescent="0.2">
      <c r="A83" s="95" t="s">
        <v>297</v>
      </c>
      <c r="B83" s="95"/>
      <c r="C83" s="95"/>
      <c r="D83" s="95"/>
      <c r="E83" s="95"/>
      <c r="F83" s="95"/>
    </row>
    <row r="84" spans="1:6" ht="14.25" x14ac:dyDescent="0.2">
      <c r="A84" s="93" t="s">
        <v>298</v>
      </c>
      <c r="B84" s="93"/>
      <c r="C84" s="93"/>
      <c r="D84" s="93"/>
      <c r="E84" s="93"/>
      <c r="F84" s="93"/>
    </row>
    <row r="85" spans="1:6" x14ac:dyDescent="0.2">
      <c r="A85" s="27"/>
      <c r="B85" s="27"/>
      <c r="C85" s="27"/>
      <c r="D85" s="27"/>
      <c r="E85" s="27"/>
      <c r="F85" s="27"/>
    </row>
    <row r="86" spans="1:6" ht="15" x14ac:dyDescent="0.2">
      <c r="A86" s="94" t="s">
        <v>8</v>
      </c>
      <c r="B86" s="94"/>
      <c r="C86" s="94"/>
      <c r="D86" s="94"/>
      <c r="E86" s="94"/>
      <c r="F86" s="94"/>
    </row>
    <row r="88" spans="1:6" ht="39.75" customHeight="1" x14ac:dyDescent="0.2">
      <c r="B88" s="100"/>
      <c r="C88" s="101"/>
      <c r="D88" s="101"/>
    </row>
    <row r="89" spans="1:6" ht="13.5" customHeight="1" x14ac:dyDescent="0.2"/>
    <row r="90" spans="1:6" x14ac:dyDescent="0.2">
      <c r="B90" s="19"/>
      <c r="C90" s="19"/>
      <c r="D90" s="19"/>
    </row>
  </sheetData>
  <mergeCells count="46">
    <mergeCell ref="A84:F84"/>
    <mergeCell ref="B68:E68"/>
    <mergeCell ref="A86:F86"/>
    <mergeCell ref="B88:D88"/>
    <mergeCell ref="B32:D32"/>
    <mergeCell ref="B67:D67"/>
    <mergeCell ref="B66:D66"/>
    <mergeCell ref="B77:D77"/>
    <mergeCell ref="B78:D78"/>
    <mergeCell ref="B79:D79"/>
    <mergeCell ref="B82:E82"/>
    <mergeCell ref="A83:F83"/>
    <mergeCell ref="B61:D61"/>
    <mergeCell ref="B62:D62"/>
    <mergeCell ref="B63:D63"/>
    <mergeCell ref="B64:D64"/>
    <mergeCell ref="B46:D46"/>
    <mergeCell ref="B47:D47"/>
    <mergeCell ref="B65:D65"/>
    <mergeCell ref="B49:D49"/>
    <mergeCell ref="B50:D50"/>
    <mergeCell ref="B51:D51"/>
    <mergeCell ref="B52:D52"/>
    <mergeCell ref="B53:D53"/>
    <mergeCell ref="B54:D54"/>
    <mergeCell ref="B55:D55"/>
    <mergeCell ref="B56:D56"/>
    <mergeCell ref="B57:D57"/>
    <mergeCell ref="B58:D58"/>
    <mergeCell ref="B59:D59"/>
    <mergeCell ref="A30:F30"/>
    <mergeCell ref="B60:D60"/>
    <mergeCell ref="B33:D33"/>
    <mergeCell ref="B34:D34"/>
    <mergeCell ref="B35:D35"/>
    <mergeCell ref="B36:D36"/>
    <mergeCell ref="B48:D48"/>
    <mergeCell ref="B37:D37"/>
    <mergeCell ref="B38:D38"/>
    <mergeCell ref="B39:D39"/>
    <mergeCell ref="B40:D40"/>
    <mergeCell ref="B41:D41"/>
    <mergeCell ref="B42:D42"/>
    <mergeCell ref="B43:D43"/>
    <mergeCell ref="B44:D44"/>
    <mergeCell ref="B45:D45"/>
  </mergeCells>
  <dataValidations count="1">
    <dataValidation type="list" allowBlank="1" showInputMessage="1" showErrorMessage="1" sqref="B77:B79 B12:B20 B32:B67" xr:uid="{00000000-0002-0000-3D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2:F92"/>
  <sheetViews>
    <sheetView view="pageBreakPreview" topLeftCell="A10" zoomScale="80" zoomScaleNormal="100" zoomScaleSheetLayoutView="80" workbookViewId="0">
      <selection activeCell="E28" sqref="E2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427</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472</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468</v>
      </c>
      <c r="C35" s="96"/>
      <c r="D35" s="96"/>
      <c r="E35" s="34">
        <f>0.4*235</f>
        <v>94</v>
      </c>
      <c r="F35" s="27"/>
    </row>
    <row r="36" spans="1:6" ht="14.25" x14ac:dyDescent="0.2">
      <c r="A36" s="27"/>
      <c r="B36" s="96"/>
      <c r="C36" s="96"/>
      <c r="D36" s="96"/>
      <c r="E36" s="34"/>
      <c r="F36" s="27"/>
    </row>
    <row r="37" spans="1:6" ht="14.25" x14ac:dyDescent="0.2">
      <c r="A37" s="27"/>
      <c r="B37" s="96" t="s">
        <v>469</v>
      </c>
      <c r="C37" s="96"/>
      <c r="D37" s="96"/>
      <c r="E37" s="34">
        <f>0.4*235</f>
        <v>94</v>
      </c>
      <c r="F37" s="27"/>
    </row>
    <row r="38" spans="1:6" ht="14.25" x14ac:dyDescent="0.2">
      <c r="A38" s="27"/>
      <c r="B38" s="96"/>
      <c r="C38" s="96"/>
      <c r="D38" s="96"/>
      <c r="E38" s="34"/>
      <c r="F38" s="27"/>
    </row>
    <row r="39" spans="1:6" ht="14.25" x14ac:dyDescent="0.2">
      <c r="A39" s="27"/>
      <c r="B39" s="96" t="s">
        <v>470</v>
      </c>
      <c r="C39" s="96"/>
      <c r="D39" s="96"/>
      <c r="E39" s="34">
        <f>0.2*235</f>
        <v>47</v>
      </c>
      <c r="F39" s="27"/>
    </row>
    <row r="40" spans="1:6" ht="14.25" x14ac:dyDescent="0.2">
      <c r="A40" s="27"/>
      <c r="B40" s="96"/>
      <c r="C40" s="96"/>
      <c r="D40" s="96"/>
      <c r="E40" s="34"/>
      <c r="F40" s="27"/>
    </row>
    <row r="41" spans="1:6" ht="14.25" x14ac:dyDescent="0.2">
      <c r="A41" s="27"/>
      <c r="B41" s="96" t="s">
        <v>471</v>
      </c>
      <c r="C41" s="96"/>
      <c r="D41" s="96"/>
      <c r="E41" s="34">
        <f>0.75*235</f>
        <v>176.25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411.25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411.25</v>
      </c>
      <c r="F72" s="27"/>
    </row>
    <row r="73" spans="1:6" ht="13.5" customHeight="1" x14ac:dyDescent="0.2">
      <c r="A73" s="27"/>
      <c r="B73" s="32" t="s">
        <v>5</v>
      </c>
      <c r="C73" s="37">
        <v>0.05</v>
      </c>
      <c r="D73" s="32"/>
      <c r="E73" s="41">
        <f>ROUND(E72*C73,2)</f>
        <v>20.56</v>
      </c>
      <c r="F73" s="27"/>
    </row>
    <row r="74" spans="1:6" ht="13.5" customHeight="1" x14ac:dyDescent="0.2">
      <c r="A74" s="27"/>
      <c r="B74" s="32" t="s">
        <v>4</v>
      </c>
      <c r="C74" s="64">
        <v>9.9750000000000005E-2</v>
      </c>
      <c r="D74" s="32"/>
      <c r="E74" s="42">
        <f>ROUND(E72*C74,2)</f>
        <v>41.02</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472.83</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472.83</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3E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2:F92"/>
  <sheetViews>
    <sheetView view="pageBreakPreview" topLeftCell="A16"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476</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477</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478</v>
      </c>
      <c r="C35" s="96"/>
      <c r="D35" s="96"/>
      <c r="E35" s="34">
        <f>0.25*235</f>
        <v>58.75</v>
      </c>
      <c r="F35" s="27"/>
    </row>
    <row r="36" spans="1:6" ht="14.25" x14ac:dyDescent="0.2">
      <c r="A36" s="27"/>
      <c r="B36" s="96"/>
      <c r="C36" s="96"/>
      <c r="D36" s="96"/>
      <c r="E36" s="34"/>
      <c r="F36" s="27"/>
    </row>
    <row r="37" spans="1:6" ht="14.25" x14ac:dyDescent="0.2">
      <c r="A37" s="27"/>
      <c r="B37" s="96" t="s">
        <v>479</v>
      </c>
      <c r="C37" s="96"/>
      <c r="D37" s="96"/>
      <c r="E37" s="34">
        <f>0.5*235</f>
        <v>117.5</v>
      </c>
      <c r="F37" s="27"/>
    </row>
    <row r="38" spans="1:6" ht="14.25" x14ac:dyDescent="0.2">
      <c r="A38" s="27"/>
      <c r="B38" s="96"/>
      <c r="C38" s="96"/>
      <c r="D38" s="96"/>
      <c r="E38" s="34"/>
      <c r="F38" s="27"/>
    </row>
    <row r="39" spans="1:6" ht="14.25" x14ac:dyDescent="0.2">
      <c r="A39" s="27"/>
      <c r="B39" s="96" t="s">
        <v>480</v>
      </c>
      <c r="C39" s="96"/>
      <c r="D39" s="96"/>
      <c r="E39" s="34">
        <f>0.75*235</f>
        <v>176.25</v>
      </c>
      <c r="F39" s="27"/>
    </row>
    <row r="40" spans="1:6" ht="14.25" x14ac:dyDescent="0.2">
      <c r="A40" s="27"/>
      <c r="B40" s="96"/>
      <c r="C40" s="96"/>
      <c r="D40" s="96"/>
      <c r="E40" s="34"/>
      <c r="F40" s="27"/>
    </row>
    <row r="41" spans="1:6" ht="14.25" x14ac:dyDescent="0.2">
      <c r="A41" s="27"/>
      <c r="B41" s="96" t="s">
        <v>481</v>
      </c>
      <c r="C41" s="96"/>
      <c r="D41" s="96"/>
      <c r="E41" s="34">
        <f>1*235</f>
        <v>235</v>
      </c>
      <c r="F41" s="27"/>
    </row>
    <row r="42" spans="1:6" ht="14.25" x14ac:dyDescent="0.2">
      <c r="A42" s="27"/>
      <c r="B42" s="96"/>
      <c r="C42" s="96"/>
      <c r="D42" s="96"/>
      <c r="E42" s="34"/>
      <c r="F42" s="27"/>
    </row>
    <row r="43" spans="1:6" ht="14.25" x14ac:dyDescent="0.2">
      <c r="A43" s="27"/>
      <c r="B43" s="96" t="s">
        <v>482</v>
      </c>
      <c r="C43" s="96"/>
      <c r="D43" s="96"/>
      <c r="E43" s="34">
        <f>1.5*235</f>
        <v>352.5</v>
      </c>
      <c r="F43" s="27"/>
    </row>
    <row r="44" spans="1:6" ht="14.25" x14ac:dyDescent="0.2">
      <c r="A44" s="27"/>
      <c r="B44" s="96"/>
      <c r="C44" s="96"/>
      <c r="D44" s="96"/>
      <c r="E44" s="34"/>
      <c r="F44" s="27"/>
    </row>
    <row r="45" spans="1:6" ht="14.25" x14ac:dyDescent="0.2">
      <c r="A45" s="27"/>
      <c r="B45" s="96" t="s">
        <v>483</v>
      </c>
      <c r="C45" s="96"/>
      <c r="D45" s="96"/>
      <c r="E45" s="34">
        <f>0.25*235</f>
        <v>58.75</v>
      </c>
      <c r="F45" s="27"/>
    </row>
    <row r="46" spans="1:6" ht="14.25" x14ac:dyDescent="0.2">
      <c r="A46" s="27"/>
      <c r="B46" s="96"/>
      <c r="C46" s="96"/>
      <c r="D46" s="96"/>
      <c r="E46" s="34"/>
      <c r="F46" s="27"/>
    </row>
    <row r="47" spans="1:6" ht="14.25" x14ac:dyDescent="0.2">
      <c r="A47" s="27"/>
      <c r="B47" s="96" t="s">
        <v>484</v>
      </c>
      <c r="C47" s="96"/>
      <c r="D47" s="96"/>
      <c r="E47" s="34">
        <f>0.25*235</f>
        <v>58.75</v>
      </c>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1057.5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1057.5</v>
      </c>
      <c r="F72" s="27"/>
    </row>
    <row r="73" spans="1:6" ht="13.5" customHeight="1" x14ac:dyDescent="0.2">
      <c r="A73" s="27"/>
      <c r="B73" s="32" t="s">
        <v>5</v>
      </c>
      <c r="C73" s="37">
        <v>0.05</v>
      </c>
      <c r="D73" s="32"/>
      <c r="E73" s="41">
        <f>ROUND(E72*C73,2)</f>
        <v>52.88</v>
      </c>
      <c r="F73" s="27"/>
    </row>
    <row r="74" spans="1:6" ht="13.5" customHeight="1" x14ac:dyDescent="0.2">
      <c r="A74" s="27"/>
      <c r="B74" s="32" t="s">
        <v>4</v>
      </c>
      <c r="C74" s="64">
        <v>9.9750000000000005E-2</v>
      </c>
      <c r="D74" s="32"/>
      <c r="E74" s="42">
        <f>ROUND(E72*C74,2)</f>
        <v>105.49</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1215.8700000000001</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1215.8700000000001</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3F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2:F92"/>
  <sheetViews>
    <sheetView view="pageBreakPreview" topLeftCell="A25" zoomScale="80" zoomScaleNormal="100" zoomScaleSheetLayoutView="80" workbookViewId="0">
      <selection activeCell="B56" sqref="B56:D5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485</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486</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487</v>
      </c>
      <c r="C35" s="96"/>
      <c r="D35" s="96"/>
      <c r="E35" s="34">
        <v>235</v>
      </c>
      <c r="F35" s="27"/>
    </row>
    <row r="36" spans="1:6" ht="14.25" x14ac:dyDescent="0.2">
      <c r="A36" s="27"/>
      <c r="B36" s="96"/>
      <c r="C36" s="96"/>
      <c r="D36" s="96"/>
      <c r="E36" s="34"/>
      <c r="F36" s="27"/>
    </row>
    <row r="37" spans="1:6" ht="14.25" x14ac:dyDescent="0.2">
      <c r="A37" s="27"/>
      <c r="B37" s="96" t="s">
        <v>488</v>
      </c>
      <c r="C37" s="96"/>
      <c r="D37" s="96"/>
      <c r="E37" s="34">
        <f>0.6*235</f>
        <v>141</v>
      </c>
      <c r="F37" s="27"/>
    </row>
    <row r="38" spans="1:6" ht="14.25" x14ac:dyDescent="0.2">
      <c r="A38" s="27"/>
      <c r="B38" s="96"/>
      <c r="C38" s="96"/>
      <c r="D38" s="96"/>
      <c r="E38" s="34"/>
      <c r="F38" s="27"/>
    </row>
    <row r="39" spans="1:6" ht="14.25" x14ac:dyDescent="0.2">
      <c r="A39" s="27"/>
      <c r="B39" s="96" t="s">
        <v>489</v>
      </c>
      <c r="C39" s="96"/>
      <c r="D39" s="96"/>
      <c r="E39" s="34">
        <f>0.8*235</f>
        <v>188</v>
      </c>
      <c r="F39" s="27"/>
    </row>
    <row r="40" spans="1:6" ht="14.25" x14ac:dyDescent="0.2">
      <c r="A40" s="27"/>
      <c r="B40" s="96"/>
      <c r="C40" s="96"/>
      <c r="D40" s="96"/>
      <c r="E40" s="34"/>
      <c r="F40" s="27"/>
    </row>
    <row r="41" spans="1:6" ht="14.25" x14ac:dyDescent="0.2">
      <c r="A41" s="27"/>
      <c r="B41" s="96" t="s">
        <v>490</v>
      </c>
      <c r="C41" s="96"/>
      <c r="D41" s="96"/>
      <c r="E41" s="34">
        <f>0.3*235</f>
        <v>70.5</v>
      </c>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SUM(E33:E68)</f>
        <v>634.5</v>
      </c>
      <c r="F69" s="27"/>
    </row>
    <row r="70" spans="1:6" ht="13.5" customHeight="1" x14ac:dyDescent="0.2">
      <c r="A70" s="27"/>
      <c r="B70" s="40" t="s">
        <v>17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634.5</v>
      </c>
      <c r="F72" s="27"/>
    </row>
    <row r="73" spans="1:6" ht="13.5" customHeight="1" x14ac:dyDescent="0.2">
      <c r="A73" s="27"/>
      <c r="B73" s="32" t="s">
        <v>5</v>
      </c>
      <c r="C73" s="37">
        <v>0.05</v>
      </c>
      <c r="D73" s="32"/>
      <c r="E73" s="41">
        <f>ROUND(E72*C73,2)</f>
        <v>31.73</v>
      </c>
      <c r="F73" s="27"/>
    </row>
    <row r="74" spans="1:6" ht="13.5" customHeight="1" x14ac:dyDescent="0.2">
      <c r="A74" s="27"/>
      <c r="B74" s="32" t="s">
        <v>4</v>
      </c>
      <c r="C74" s="64">
        <v>9.9750000000000005E-2</v>
      </c>
      <c r="D74" s="32"/>
      <c r="E74" s="42">
        <f>ROUND(E72*C74,2)</f>
        <v>63.29</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729.52</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729.52</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4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2:F90"/>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485</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491</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492</v>
      </c>
      <c r="C35" s="96"/>
      <c r="D35" s="96"/>
      <c r="E35" s="34"/>
      <c r="F35" s="27"/>
    </row>
    <row r="36" spans="1:6" ht="14.25" x14ac:dyDescent="0.2">
      <c r="A36" s="27"/>
      <c r="B36" s="96"/>
      <c r="C36" s="96"/>
      <c r="D36" s="96"/>
      <c r="E36" s="34"/>
      <c r="F36" s="27"/>
    </row>
    <row r="37" spans="1:6" ht="29.25" customHeight="1" x14ac:dyDescent="0.2">
      <c r="A37" s="27"/>
      <c r="B37" s="96" t="s">
        <v>494</v>
      </c>
      <c r="C37" s="96"/>
      <c r="D37" s="96"/>
      <c r="E37" s="34"/>
      <c r="F37" s="27"/>
    </row>
    <row r="38" spans="1:6" ht="14.25" x14ac:dyDescent="0.2">
      <c r="A38" s="27"/>
      <c r="B38" s="96"/>
      <c r="C38" s="96"/>
      <c r="D38" s="96"/>
      <c r="E38" s="34"/>
      <c r="F38" s="27"/>
    </row>
    <row r="39" spans="1:6" ht="14.25" x14ac:dyDescent="0.2">
      <c r="A39" s="27"/>
      <c r="B39" s="96" t="s">
        <v>495</v>
      </c>
      <c r="C39" s="96"/>
      <c r="D39" s="96"/>
      <c r="E39" s="34"/>
      <c r="F39" s="27"/>
    </row>
    <row r="40" spans="1:6" ht="14.25" x14ac:dyDescent="0.2">
      <c r="A40" s="27"/>
      <c r="B40" s="96"/>
      <c r="C40" s="96"/>
      <c r="D40" s="96"/>
      <c r="E40" s="34"/>
      <c r="F40" s="27"/>
    </row>
    <row r="41" spans="1:6" ht="14.25" x14ac:dyDescent="0.2">
      <c r="A41" s="27"/>
      <c r="B41" s="96" t="s">
        <v>10</v>
      </c>
      <c r="C41" s="96"/>
      <c r="D41" s="96"/>
      <c r="E41" s="34"/>
      <c r="F41" s="27"/>
    </row>
    <row r="42" spans="1:6" ht="14.25" x14ac:dyDescent="0.2">
      <c r="A42" s="27"/>
      <c r="B42" s="96"/>
      <c r="C42" s="96"/>
      <c r="D42" s="96"/>
      <c r="E42" s="34"/>
      <c r="F42" s="27"/>
    </row>
    <row r="43" spans="1:6" ht="14.25" x14ac:dyDescent="0.2">
      <c r="A43" s="27"/>
      <c r="B43" s="96" t="s">
        <v>441</v>
      </c>
      <c r="C43" s="96"/>
      <c r="D43" s="96"/>
      <c r="E43" s="34"/>
      <c r="F43" s="27"/>
    </row>
    <row r="44" spans="1:6" ht="14.25" x14ac:dyDescent="0.2">
      <c r="A44" s="27"/>
      <c r="B44" s="96"/>
      <c r="C44" s="96"/>
      <c r="D44" s="96"/>
      <c r="E44" s="34"/>
      <c r="F44" s="27"/>
    </row>
    <row r="45" spans="1:6" ht="14.25" x14ac:dyDescent="0.2">
      <c r="A45" s="27"/>
      <c r="B45" s="96" t="s">
        <v>496</v>
      </c>
      <c r="C45" s="96"/>
      <c r="D45" s="96"/>
      <c r="E45" s="34"/>
      <c r="F45" s="27"/>
    </row>
    <row r="46" spans="1:6" ht="14.25" x14ac:dyDescent="0.2">
      <c r="A46" s="27"/>
      <c r="B46" s="96"/>
      <c r="C46" s="96"/>
      <c r="D46" s="96"/>
      <c r="E46" s="34"/>
      <c r="F46" s="27"/>
    </row>
    <row r="47" spans="1:6" ht="14.25" x14ac:dyDescent="0.2">
      <c r="A47" s="27"/>
      <c r="B47" s="96" t="s">
        <v>497</v>
      </c>
      <c r="C47" s="96"/>
      <c r="D47" s="96"/>
      <c r="E47" s="34"/>
      <c r="F47" s="27"/>
    </row>
    <row r="48" spans="1:6" ht="14.25" x14ac:dyDescent="0.2">
      <c r="A48" s="27"/>
      <c r="B48" s="96"/>
      <c r="C48" s="96"/>
      <c r="D48" s="96"/>
      <c r="E48" s="34"/>
      <c r="F48" s="27"/>
    </row>
    <row r="49" spans="1:6" ht="14.25" x14ac:dyDescent="0.2">
      <c r="A49" s="27"/>
      <c r="B49" s="96" t="s">
        <v>448</v>
      </c>
      <c r="C49" s="96"/>
      <c r="D49" s="96"/>
      <c r="E49" s="34"/>
      <c r="F49" s="27"/>
    </row>
    <row r="50" spans="1:6" ht="14.25" x14ac:dyDescent="0.2">
      <c r="A50" s="27"/>
      <c r="B50" s="96"/>
      <c r="C50" s="96"/>
      <c r="D50" s="96"/>
      <c r="E50" s="34"/>
      <c r="F50" s="27"/>
    </row>
    <row r="51" spans="1:6" ht="14.25" x14ac:dyDescent="0.2">
      <c r="A51" s="27"/>
      <c r="B51" s="96" t="s">
        <v>498</v>
      </c>
      <c r="C51" s="96"/>
      <c r="D51" s="96"/>
      <c r="E51" s="34"/>
      <c r="F51" s="27"/>
    </row>
    <row r="52" spans="1:6" ht="14.25" x14ac:dyDescent="0.2">
      <c r="A52" s="27"/>
      <c r="B52" s="96"/>
      <c r="C52" s="96"/>
      <c r="D52" s="96"/>
      <c r="E52" s="34"/>
      <c r="F52" s="27"/>
    </row>
    <row r="53" spans="1:6" ht="30" customHeight="1" x14ac:dyDescent="0.2">
      <c r="A53" s="27"/>
      <c r="B53" s="96" t="s">
        <v>493</v>
      </c>
      <c r="C53" s="96"/>
      <c r="D53" s="96"/>
      <c r="E53" s="34"/>
      <c r="F53" s="27"/>
    </row>
    <row r="54" spans="1:6" ht="14.25" x14ac:dyDescent="0.2">
      <c r="A54" s="27"/>
      <c r="B54" s="96"/>
      <c r="C54" s="96"/>
      <c r="D54" s="96"/>
      <c r="E54" s="34"/>
      <c r="F54" s="27"/>
    </row>
    <row r="55" spans="1:6" ht="14.25" x14ac:dyDescent="0.2">
      <c r="A55" s="27"/>
      <c r="B55" s="96" t="s">
        <v>499</v>
      </c>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104" t="s">
        <v>466</v>
      </c>
      <c r="C62" s="104"/>
      <c r="D62" s="104"/>
      <c r="E62" s="34">
        <f>41.25*235</f>
        <v>9693.75</v>
      </c>
      <c r="F62" s="27"/>
    </row>
    <row r="63" spans="1:6" ht="14.25" x14ac:dyDescent="0.2">
      <c r="A63" s="27"/>
      <c r="B63" s="96"/>
      <c r="C63" s="96"/>
      <c r="D63" s="96"/>
      <c r="E63" s="34"/>
      <c r="F63" s="27"/>
    </row>
    <row r="64" spans="1:6" ht="14.25" x14ac:dyDescent="0.2">
      <c r="A64" s="27"/>
      <c r="B64" s="104" t="s">
        <v>500</v>
      </c>
      <c r="C64" s="104"/>
      <c r="D64" s="104"/>
      <c r="E64" s="34">
        <v>-1000</v>
      </c>
      <c r="F64" s="27"/>
    </row>
    <row r="65" spans="1:6" ht="14.25" x14ac:dyDescent="0.2">
      <c r="A65" s="27"/>
      <c r="B65" s="96"/>
      <c r="C65" s="96"/>
      <c r="D65" s="96"/>
      <c r="E65" s="34"/>
      <c r="F65" s="27"/>
    </row>
    <row r="66" spans="1:6" ht="13.5" customHeight="1" x14ac:dyDescent="0.2">
      <c r="A66" s="27"/>
      <c r="B66" s="96"/>
      <c r="C66" s="96"/>
      <c r="D66" s="96"/>
      <c r="E66" s="34"/>
      <c r="F66" s="27"/>
    </row>
    <row r="67" spans="1:6" ht="13.5" customHeight="1" x14ac:dyDescent="0.2">
      <c r="A67" s="27"/>
      <c r="B67" s="31" t="s">
        <v>20</v>
      </c>
      <c r="C67" s="32"/>
      <c r="D67" s="32"/>
      <c r="E67" s="35">
        <f>E62+E64</f>
        <v>8693.75</v>
      </c>
      <c r="F67" s="27"/>
    </row>
    <row r="68" spans="1:6" ht="13.5" customHeight="1" x14ac:dyDescent="0.2">
      <c r="A68" s="27"/>
      <c r="B68" s="40" t="s">
        <v>467</v>
      </c>
      <c r="C68" s="32"/>
      <c r="D68" s="32"/>
      <c r="E68" s="36">
        <v>150</v>
      </c>
      <c r="F68" s="27"/>
    </row>
    <row r="69" spans="1:6" ht="13.5" customHeight="1" x14ac:dyDescent="0.2">
      <c r="A69" s="27"/>
      <c r="B69" s="40" t="s">
        <v>18</v>
      </c>
      <c r="C69" s="32"/>
      <c r="D69" s="32"/>
      <c r="E69" s="36">
        <v>0</v>
      </c>
      <c r="F69" s="27"/>
    </row>
    <row r="70" spans="1:6" ht="13.5" customHeight="1" x14ac:dyDescent="0.2">
      <c r="A70" s="27"/>
      <c r="B70" s="31" t="s">
        <v>19</v>
      </c>
      <c r="C70" s="32"/>
      <c r="D70" s="32"/>
      <c r="E70" s="35">
        <f>SUM(E67:E69)</f>
        <v>8843.75</v>
      </c>
      <c r="F70" s="27"/>
    </row>
    <row r="71" spans="1:6" ht="13.5" customHeight="1" x14ac:dyDescent="0.2">
      <c r="A71" s="27"/>
      <c r="B71" s="32" t="s">
        <v>5</v>
      </c>
      <c r="C71" s="37">
        <v>0.05</v>
      </c>
      <c r="D71" s="32"/>
      <c r="E71" s="41">
        <f>ROUND(E70*C71,2)</f>
        <v>442.19</v>
      </c>
      <c r="F71" s="27"/>
    </row>
    <row r="72" spans="1:6" ht="13.5" customHeight="1" x14ac:dyDescent="0.2">
      <c r="A72" s="27"/>
      <c r="B72" s="32" t="s">
        <v>4</v>
      </c>
      <c r="C72" s="64">
        <v>9.9750000000000005E-2</v>
      </c>
      <c r="D72" s="32"/>
      <c r="E72" s="42">
        <f>ROUND(E70*C72,2)</f>
        <v>882.16</v>
      </c>
      <c r="F72" s="27"/>
    </row>
    <row r="73" spans="1:6" ht="13.5" customHeight="1" x14ac:dyDescent="0.2">
      <c r="A73" s="27"/>
      <c r="B73" s="32"/>
      <c r="C73" s="32"/>
      <c r="D73" s="32"/>
      <c r="E73" s="38"/>
      <c r="F73" s="27"/>
    </row>
    <row r="74" spans="1:6" ht="16.5" customHeight="1" thickBot="1" x14ac:dyDescent="0.25">
      <c r="A74" s="27"/>
      <c r="B74" s="31" t="s">
        <v>21</v>
      </c>
      <c r="C74" s="32"/>
      <c r="D74" s="32"/>
      <c r="E74" s="39">
        <f>SUM(E70:E72)</f>
        <v>10168.1</v>
      </c>
      <c r="F74" s="27"/>
    </row>
    <row r="75" spans="1:6" ht="15.75" thickTop="1" x14ac:dyDescent="0.2">
      <c r="A75" s="27"/>
      <c r="B75" s="98"/>
      <c r="C75" s="98"/>
      <c r="D75" s="98"/>
      <c r="E75" s="43"/>
      <c r="F75" s="27"/>
    </row>
    <row r="76" spans="1:6" ht="15" x14ac:dyDescent="0.2">
      <c r="A76" s="27"/>
      <c r="B76" s="97" t="s">
        <v>23</v>
      </c>
      <c r="C76" s="97"/>
      <c r="D76" s="97"/>
      <c r="E76" s="43">
        <v>0</v>
      </c>
      <c r="F76" s="27"/>
    </row>
    <row r="77" spans="1:6" ht="15" x14ac:dyDescent="0.2">
      <c r="A77" s="27"/>
      <c r="B77" s="98"/>
      <c r="C77" s="98"/>
      <c r="D77" s="98"/>
      <c r="E77" s="43"/>
      <c r="F77" s="27"/>
    </row>
    <row r="78" spans="1:6" ht="19.5" customHeight="1" x14ac:dyDescent="0.2">
      <c r="A78" s="27"/>
      <c r="B78" s="44" t="s">
        <v>22</v>
      </c>
      <c r="C78" s="45"/>
      <c r="D78" s="45"/>
      <c r="E78" s="46">
        <f>E74-E76</f>
        <v>10168.1</v>
      </c>
      <c r="F78" s="27"/>
    </row>
    <row r="79" spans="1:6" ht="13.5" customHeight="1" x14ac:dyDescent="0.2">
      <c r="A79" s="27"/>
      <c r="B79" s="27"/>
      <c r="C79" s="27"/>
      <c r="D79" s="27"/>
      <c r="E79" s="27"/>
      <c r="F79" s="27"/>
    </row>
    <row r="80" spans="1:6" x14ac:dyDescent="0.2">
      <c r="A80" s="27"/>
      <c r="B80" s="27"/>
      <c r="C80" s="27"/>
      <c r="D80" s="27"/>
      <c r="E80" s="27"/>
      <c r="F80" s="27"/>
    </row>
    <row r="81" spans="1:6" x14ac:dyDescent="0.2">
      <c r="A81" s="27"/>
      <c r="B81" s="102"/>
      <c r="C81" s="102"/>
      <c r="D81" s="102"/>
      <c r="E81" s="102"/>
      <c r="F81" s="27"/>
    </row>
    <row r="82" spans="1:6" ht="14.25" x14ac:dyDescent="0.2">
      <c r="A82" s="95" t="s">
        <v>297</v>
      </c>
      <c r="B82" s="95"/>
      <c r="C82" s="95"/>
      <c r="D82" s="95"/>
      <c r="E82" s="95"/>
      <c r="F82" s="95"/>
    </row>
    <row r="83" spans="1:6" ht="14.25" x14ac:dyDescent="0.2">
      <c r="A83" s="93" t="s">
        <v>298</v>
      </c>
      <c r="B83" s="93"/>
      <c r="C83" s="93"/>
      <c r="D83" s="93"/>
      <c r="E83" s="93"/>
      <c r="F83" s="93"/>
    </row>
    <row r="84" spans="1:6" x14ac:dyDescent="0.2">
      <c r="A84" s="27"/>
      <c r="B84" s="27"/>
      <c r="C84" s="27"/>
      <c r="D84" s="27"/>
      <c r="E84" s="27"/>
      <c r="F84" s="27"/>
    </row>
    <row r="85" spans="1:6" x14ac:dyDescent="0.2">
      <c r="A85" s="27"/>
      <c r="B85" s="103"/>
      <c r="C85" s="103"/>
      <c r="D85" s="103"/>
      <c r="E85" s="103"/>
      <c r="F85" s="27"/>
    </row>
    <row r="86" spans="1:6" ht="15" x14ac:dyDescent="0.2">
      <c r="A86" s="94" t="s">
        <v>8</v>
      </c>
      <c r="B86" s="94"/>
      <c r="C86" s="94"/>
      <c r="D86" s="94"/>
      <c r="E86" s="94"/>
      <c r="F86" s="94"/>
    </row>
    <row r="88" spans="1:6" ht="39.75" customHeight="1" x14ac:dyDescent="0.2">
      <c r="B88" s="100"/>
      <c r="C88" s="101"/>
      <c r="D88" s="101"/>
    </row>
    <row r="89" spans="1:6" ht="13.5" customHeight="1" x14ac:dyDescent="0.2"/>
    <row r="90" spans="1:6" x14ac:dyDescent="0.2">
      <c r="B90" s="19"/>
      <c r="C90" s="19"/>
      <c r="D90" s="19"/>
    </row>
  </sheetData>
  <mergeCells count="44">
    <mergeCell ref="A83:F83"/>
    <mergeCell ref="B85:E85"/>
    <mergeCell ref="A86:F86"/>
    <mergeCell ref="B88:D88"/>
    <mergeCell ref="B66:D66"/>
    <mergeCell ref="B75:D75"/>
    <mergeCell ref="B76:D76"/>
    <mergeCell ref="B77:D77"/>
    <mergeCell ref="B81:E81"/>
    <mergeCell ref="A82:F82"/>
    <mergeCell ref="B65:D65"/>
    <mergeCell ref="B55:D55"/>
    <mergeCell ref="B60:D60"/>
    <mergeCell ref="B61:D61"/>
    <mergeCell ref="B62:D62"/>
    <mergeCell ref="B64:D64"/>
    <mergeCell ref="B56:D56"/>
    <mergeCell ref="B57:D57"/>
    <mergeCell ref="B58:D58"/>
    <mergeCell ref="B59:D59"/>
    <mergeCell ref="B53:D53"/>
    <mergeCell ref="B63:D63"/>
    <mergeCell ref="B49:D49"/>
    <mergeCell ref="B50:D50"/>
    <mergeCell ref="B51:D51"/>
    <mergeCell ref="B52:D52"/>
    <mergeCell ref="B54:D54"/>
    <mergeCell ref="B48:D48"/>
    <mergeCell ref="B38:D38"/>
    <mergeCell ref="B39:D39"/>
    <mergeCell ref="B40:D40"/>
    <mergeCell ref="B41:D41"/>
    <mergeCell ref="B42:D42"/>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5:B77 B12:B20 B33:B64 B65:B66" xr:uid="{00000000-0002-0000-41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2:F92"/>
  <sheetViews>
    <sheetView view="pageBreakPreview"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503</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504</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502</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t="s">
        <v>501</v>
      </c>
      <c r="C34" s="96"/>
      <c r="D34" s="96"/>
      <c r="E34" s="34">
        <f>2*245</f>
        <v>490</v>
      </c>
      <c r="F34" s="27"/>
    </row>
    <row r="35" spans="1:6" ht="14.25" x14ac:dyDescent="0.2">
      <c r="A35" s="27"/>
      <c r="B35" s="96"/>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104"/>
      <c r="C64" s="104"/>
      <c r="D64" s="104"/>
      <c r="E64" s="34"/>
      <c r="F64" s="27"/>
    </row>
    <row r="65" spans="1:6" ht="14.25" x14ac:dyDescent="0.2">
      <c r="A65" s="27"/>
      <c r="B65" s="96"/>
      <c r="C65" s="96"/>
      <c r="D65" s="96"/>
      <c r="E65" s="34"/>
      <c r="F65" s="27"/>
    </row>
    <row r="66" spans="1:6" ht="14.25" x14ac:dyDescent="0.2">
      <c r="A66" s="27"/>
      <c r="B66" s="104"/>
      <c r="C66" s="104"/>
      <c r="D66" s="104"/>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SUM(E34:E68)</f>
        <v>490</v>
      </c>
      <c r="F69" s="27"/>
    </row>
    <row r="70" spans="1:6" ht="13.5" customHeight="1" x14ac:dyDescent="0.2">
      <c r="A70" s="27"/>
      <c r="B70" s="40" t="s">
        <v>467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490</v>
      </c>
      <c r="F72" s="27"/>
    </row>
    <row r="73" spans="1:6" ht="13.5" customHeight="1" x14ac:dyDescent="0.2">
      <c r="A73" s="27"/>
      <c r="B73" s="32" t="s">
        <v>5</v>
      </c>
      <c r="C73" s="37">
        <v>0.05</v>
      </c>
      <c r="D73" s="32"/>
      <c r="E73" s="41">
        <f>ROUND(E72*C73,2)</f>
        <v>24.5</v>
      </c>
      <c r="F73" s="27"/>
    </row>
    <row r="74" spans="1:6" ht="13.5" customHeight="1" x14ac:dyDescent="0.2">
      <c r="A74" s="27"/>
      <c r="B74" s="32" t="s">
        <v>4</v>
      </c>
      <c r="C74" s="64">
        <v>9.9750000000000005E-2</v>
      </c>
      <c r="D74" s="32"/>
      <c r="E74" s="42">
        <f>ROUND(E72*C74,2)</f>
        <v>48.88</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563.38</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563.38</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B37:D37"/>
    <mergeCell ref="A30:F30"/>
    <mergeCell ref="B33:D33"/>
    <mergeCell ref="B34:D34"/>
    <mergeCell ref="B35:D35"/>
    <mergeCell ref="B36:D36"/>
    <mergeCell ref="B50:D50"/>
    <mergeCell ref="B38:D38"/>
    <mergeCell ref="B39:D39"/>
    <mergeCell ref="B40:D40"/>
    <mergeCell ref="B41:D41"/>
    <mergeCell ref="B43:D43"/>
    <mergeCell ref="B44:D44"/>
    <mergeCell ref="B45:D45"/>
    <mergeCell ref="B46:D46"/>
    <mergeCell ref="B47:D47"/>
    <mergeCell ref="B48:D48"/>
    <mergeCell ref="B49:D49"/>
    <mergeCell ref="B63:D63"/>
    <mergeCell ref="B51:D51"/>
    <mergeCell ref="B52:D52"/>
    <mergeCell ref="B54:D54"/>
    <mergeCell ref="B55:D55"/>
    <mergeCell ref="B56:D56"/>
    <mergeCell ref="B57:D57"/>
    <mergeCell ref="B58:D58"/>
    <mergeCell ref="B59:D59"/>
    <mergeCell ref="B60:D60"/>
    <mergeCell ref="B61:D61"/>
    <mergeCell ref="B62:D62"/>
    <mergeCell ref="A88:F88"/>
    <mergeCell ref="B90:D90"/>
    <mergeCell ref="B42:D42"/>
    <mergeCell ref="B53:D53"/>
    <mergeCell ref="B78:D78"/>
    <mergeCell ref="B79:D79"/>
    <mergeCell ref="B83:E83"/>
    <mergeCell ref="A84:F84"/>
    <mergeCell ref="A85:F85"/>
    <mergeCell ref="B87:E87"/>
    <mergeCell ref="B64:D64"/>
    <mergeCell ref="B65:D65"/>
    <mergeCell ref="B66:D66"/>
    <mergeCell ref="B67:D67"/>
    <mergeCell ref="B68:D68"/>
    <mergeCell ref="B77:D77"/>
  </mergeCells>
  <dataValidations count="1">
    <dataValidation type="list" allowBlank="1" showInputMessage="1" showErrorMessage="1" sqref="B77:B79 B12:B20 B33:B68" xr:uid="{00000000-0002-0000-42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505</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506</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507</v>
      </c>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508</v>
      </c>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509</v>
      </c>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510</v>
      </c>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511</v>
      </c>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104"/>
      <c r="C64" s="104"/>
      <c r="D64" s="104"/>
      <c r="E64" s="34"/>
      <c r="F64" s="27"/>
    </row>
    <row r="65" spans="1:6" ht="14.25" x14ac:dyDescent="0.2">
      <c r="A65" s="27"/>
      <c r="B65" s="96"/>
      <c r="C65" s="96"/>
      <c r="D65" s="96"/>
      <c r="E65" s="34"/>
      <c r="F65" s="27"/>
    </row>
    <row r="66" spans="1:6" ht="14.25" x14ac:dyDescent="0.2">
      <c r="A66" s="27"/>
      <c r="B66" s="104"/>
      <c r="C66" s="104"/>
      <c r="D66" s="104"/>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11*245</f>
        <v>2695</v>
      </c>
      <c r="F69" s="27"/>
    </row>
    <row r="70" spans="1:6" ht="13.5" customHeight="1" x14ac:dyDescent="0.2">
      <c r="A70" s="27"/>
      <c r="B70" s="40" t="s">
        <v>467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2695</v>
      </c>
      <c r="F72" s="27"/>
    </row>
    <row r="73" spans="1:6" ht="13.5" customHeight="1" x14ac:dyDescent="0.2">
      <c r="A73" s="27"/>
      <c r="B73" s="32" t="s">
        <v>5</v>
      </c>
      <c r="C73" s="37">
        <v>0.05</v>
      </c>
      <c r="D73" s="32"/>
      <c r="E73" s="41">
        <f>ROUND(E72*C73,2)</f>
        <v>134.75</v>
      </c>
      <c r="F73" s="27"/>
    </row>
    <row r="74" spans="1:6" ht="13.5" customHeight="1" x14ac:dyDescent="0.2">
      <c r="A74" s="27"/>
      <c r="B74" s="32" t="s">
        <v>4</v>
      </c>
      <c r="C74" s="64">
        <v>9.9750000000000005E-2</v>
      </c>
      <c r="D74" s="32"/>
      <c r="E74" s="42">
        <f>ROUND(E72*C74,2)</f>
        <v>268.83</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3098.58</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3098.58</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B37:D37"/>
    <mergeCell ref="A30:F30"/>
    <mergeCell ref="B33:D33"/>
    <mergeCell ref="B34:D34"/>
    <mergeCell ref="B35:D35"/>
    <mergeCell ref="B36:D36"/>
    <mergeCell ref="B51:D51"/>
    <mergeCell ref="B38:D38"/>
    <mergeCell ref="B39:D39"/>
    <mergeCell ref="B40:D40"/>
    <mergeCell ref="B41:D41"/>
    <mergeCell ref="B44:D44"/>
    <mergeCell ref="B45:D45"/>
    <mergeCell ref="B46:D46"/>
    <mergeCell ref="B47:D47"/>
    <mergeCell ref="B48:D48"/>
    <mergeCell ref="B49:D49"/>
    <mergeCell ref="B50:D50"/>
    <mergeCell ref="B63:D63"/>
    <mergeCell ref="B52:D52"/>
    <mergeCell ref="B53:D53"/>
    <mergeCell ref="B54:D54"/>
    <mergeCell ref="B55:D55"/>
    <mergeCell ref="B56:D56"/>
    <mergeCell ref="B57:D57"/>
    <mergeCell ref="B58:D58"/>
    <mergeCell ref="B59:D59"/>
    <mergeCell ref="B60:D60"/>
    <mergeCell ref="B61:D61"/>
    <mergeCell ref="B62:D62"/>
    <mergeCell ref="A88:F88"/>
    <mergeCell ref="B90:D90"/>
    <mergeCell ref="B42:D42"/>
    <mergeCell ref="B43:D43"/>
    <mergeCell ref="B78:D78"/>
    <mergeCell ref="B79:D79"/>
    <mergeCell ref="B83:E83"/>
    <mergeCell ref="A84:F84"/>
    <mergeCell ref="A85:F85"/>
    <mergeCell ref="B87:E87"/>
    <mergeCell ref="B64:D64"/>
    <mergeCell ref="B65:D65"/>
    <mergeCell ref="B66:D66"/>
    <mergeCell ref="B67:D67"/>
    <mergeCell ref="B68:D68"/>
    <mergeCell ref="B77:D77"/>
  </mergeCells>
  <dataValidations count="1">
    <dataValidation type="list" allowBlank="1" showInputMessage="1" showErrorMessage="1" sqref="B77:B79 B12:B20 B33:B68" xr:uid="{00000000-0002-0000-43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2:F90"/>
  <sheetViews>
    <sheetView view="pageBreakPreview" topLeftCell="A28"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512</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513</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514</v>
      </c>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515</v>
      </c>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29.25" customHeight="1" x14ac:dyDescent="0.2">
      <c r="A41" s="27"/>
      <c r="B41" s="96" t="s">
        <v>516</v>
      </c>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30" customHeight="1" x14ac:dyDescent="0.2">
      <c r="A44" s="27"/>
      <c r="B44" s="96" t="s">
        <v>517</v>
      </c>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9</v>
      </c>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t="s">
        <v>441</v>
      </c>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t="s">
        <v>518</v>
      </c>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t="s">
        <v>453</v>
      </c>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104"/>
      <c r="C62" s="104"/>
      <c r="D62" s="104"/>
      <c r="E62" s="34"/>
      <c r="F62" s="27"/>
    </row>
    <row r="63" spans="1:6" ht="14.25" x14ac:dyDescent="0.2">
      <c r="A63" s="27"/>
      <c r="B63" s="96"/>
      <c r="C63" s="96"/>
      <c r="D63" s="96"/>
      <c r="E63" s="34"/>
      <c r="F63" s="27"/>
    </row>
    <row r="64" spans="1:6" ht="14.25" x14ac:dyDescent="0.2">
      <c r="A64" s="27"/>
      <c r="B64" s="104"/>
      <c r="C64" s="104"/>
      <c r="D64" s="104"/>
      <c r="E64" s="34"/>
      <c r="F64" s="27"/>
    </row>
    <row r="65" spans="1:6" ht="14.25" x14ac:dyDescent="0.2">
      <c r="A65" s="27"/>
      <c r="B65" s="96"/>
      <c r="C65" s="96"/>
      <c r="D65" s="96"/>
      <c r="E65" s="34"/>
      <c r="F65" s="27"/>
    </row>
    <row r="66" spans="1:6" ht="13.5" customHeight="1" x14ac:dyDescent="0.2">
      <c r="A66" s="27"/>
      <c r="B66" s="96"/>
      <c r="C66" s="96"/>
      <c r="D66" s="96"/>
      <c r="E66" s="34"/>
      <c r="F66" s="27"/>
    </row>
    <row r="67" spans="1:6" ht="13.5" customHeight="1" x14ac:dyDescent="0.2">
      <c r="A67" s="27"/>
      <c r="B67" s="31" t="s">
        <v>20</v>
      </c>
      <c r="C67" s="32"/>
      <c r="D67" s="32"/>
      <c r="E67" s="35">
        <f>19.5*245</f>
        <v>4777.5</v>
      </c>
      <c r="F67" s="27"/>
    </row>
    <row r="68" spans="1:6" ht="13.5" customHeight="1" x14ac:dyDescent="0.2">
      <c r="A68" s="27"/>
      <c r="B68" s="40" t="s">
        <v>467</v>
      </c>
      <c r="C68" s="32"/>
      <c r="D68" s="32"/>
      <c r="E68" s="36">
        <v>0</v>
      </c>
      <c r="F68" s="27"/>
    </row>
    <row r="69" spans="1:6" ht="13.5" customHeight="1" x14ac:dyDescent="0.2">
      <c r="A69" s="27"/>
      <c r="B69" s="40" t="s">
        <v>18</v>
      </c>
      <c r="C69" s="32"/>
      <c r="D69" s="32"/>
      <c r="E69" s="36">
        <v>0</v>
      </c>
      <c r="F69" s="27"/>
    </row>
    <row r="70" spans="1:6" ht="13.5" customHeight="1" x14ac:dyDescent="0.2">
      <c r="A70" s="27"/>
      <c r="B70" s="31" t="s">
        <v>19</v>
      </c>
      <c r="C70" s="32"/>
      <c r="D70" s="32"/>
      <c r="E70" s="35">
        <f>SUM(E67:E69)</f>
        <v>4777.5</v>
      </c>
      <c r="F70" s="27"/>
    </row>
    <row r="71" spans="1:6" ht="13.5" customHeight="1" x14ac:dyDescent="0.2">
      <c r="A71" s="27"/>
      <c r="B71" s="32" t="s">
        <v>5</v>
      </c>
      <c r="C71" s="37">
        <v>0.05</v>
      </c>
      <c r="D71" s="32"/>
      <c r="E71" s="41">
        <f>ROUND(E70*C71,2)</f>
        <v>238.88</v>
      </c>
      <c r="F71" s="27"/>
    </row>
    <row r="72" spans="1:6" ht="13.5" customHeight="1" x14ac:dyDescent="0.2">
      <c r="A72" s="27"/>
      <c r="B72" s="32" t="s">
        <v>4</v>
      </c>
      <c r="C72" s="64">
        <v>9.9750000000000005E-2</v>
      </c>
      <c r="D72" s="32"/>
      <c r="E72" s="42">
        <f>ROUND(E70*C72,2)</f>
        <v>476.56</v>
      </c>
      <c r="F72" s="27"/>
    </row>
    <row r="73" spans="1:6" ht="13.5" customHeight="1" x14ac:dyDescent="0.2">
      <c r="A73" s="27"/>
      <c r="B73" s="32"/>
      <c r="C73" s="32"/>
      <c r="D73" s="32"/>
      <c r="E73" s="38"/>
      <c r="F73" s="27"/>
    </row>
    <row r="74" spans="1:6" ht="16.5" customHeight="1" thickBot="1" x14ac:dyDescent="0.25">
      <c r="A74" s="27"/>
      <c r="B74" s="31" t="s">
        <v>21</v>
      </c>
      <c r="C74" s="32"/>
      <c r="D74" s="32"/>
      <c r="E74" s="39">
        <f>SUM(E70:E72)</f>
        <v>5492.9400000000005</v>
      </c>
      <c r="F74" s="27"/>
    </row>
    <row r="75" spans="1:6" ht="15.75" thickTop="1" x14ac:dyDescent="0.2">
      <c r="A75" s="27"/>
      <c r="B75" s="98"/>
      <c r="C75" s="98"/>
      <c r="D75" s="98"/>
      <c r="E75" s="43"/>
      <c r="F75" s="27"/>
    </row>
    <row r="76" spans="1:6" ht="15" x14ac:dyDescent="0.2">
      <c r="A76" s="27"/>
      <c r="B76" s="97" t="s">
        <v>23</v>
      </c>
      <c r="C76" s="97"/>
      <c r="D76" s="97"/>
      <c r="E76" s="43">
        <v>0</v>
      </c>
      <c r="F76" s="27"/>
    </row>
    <row r="77" spans="1:6" ht="15" x14ac:dyDescent="0.2">
      <c r="A77" s="27"/>
      <c r="B77" s="98"/>
      <c r="C77" s="98"/>
      <c r="D77" s="98"/>
      <c r="E77" s="43"/>
      <c r="F77" s="27"/>
    </row>
    <row r="78" spans="1:6" ht="19.5" customHeight="1" x14ac:dyDescent="0.2">
      <c r="A78" s="27"/>
      <c r="B78" s="44" t="s">
        <v>22</v>
      </c>
      <c r="C78" s="45"/>
      <c r="D78" s="45"/>
      <c r="E78" s="46">
        <f>E74-E76</f>
        <v>5492.9400000000005</v>
      </c>
      <c r="F78" s="27"/>
    </row>
    <row r="79" spans="1:6" ht="13.5" customHeight="1" x14ac:dyDescent="0.2">
      <c r="A79" s="27"/>
      <c r="B79" s="27"/>
      <c r="C79" s="27"/>
      <c r="D79" s="27"/>
      <c r="E79" s="27"/>
      <c r="F79" s="27"/>
    </row>
    <row r="80" spans="1:6" x14ac:dyDescent="0.2">
      <c r="A80" s="27"/>
      <c r="B80" s="27"/>
      <c r="C80" s="27"/>
      <c r="D80" s="27"/>
      <c r="E80" s="27"/>
      <c r="F80" s="27"/>
    </row>
    <row r="81" spans="1:6" x14ac:dyDescent="0.2">
      <c r="A81" s="27"/>
      <c r="B81" s="102"/>
      <c r="C81" s="102"/>
      <c r="D81" s="102"/>
      <c r="E81" s="102"/>
      <c r="F81" s="27"/>
    </row>
    <row r="82" spans="1:6" ht="14.25" x14ac:dyDescent="0.2">
      <c r="A82" s="95" t="s">
        <v>297</v>
      </c>
      <c r="B82" s="95"/>
      <c r="C82" s="95"/>
      <c r="D82" s="95"/>
      <c r="E82" s="95"/>
      <c r="F82" s="95"/>
    </row>
    <row r="83" spans="1:6" ht="14.25" x14ac:dyDescent="0.2">
      <c r="A83" s="93" t="s">
        <v>298</v>
      </c>
      <c r="B83" s="93"/>
      <c r="C83" s="93"/>
      <c r="D83" s="93"/>
      <c r="E83" s="93"/>
      <c r="F83" s="93"/>
    </row>
    <row r="84" spans="1:6" x14ac:dyDescent="0.2">
      <c r="A84" s="27"/>
      <c r="B84" s="27"/>
      <c r="C84" s="27"/>
      <c r="D84" s="27"/>
      <c r="E84" s="27"/>
      <c r="F84" s="27"/>
    </row>
    <row r="85" spans="1:6" x14ac:dyDescent="0.2">
      <c r="A85" s="27"/>
      <c r="B85" s="103"/>
      <c r="C85" s="103"/>
      <c r="D85" s="103"/>
      <c r="E85" s="103"/>
      <c r="F85" s="27"/>
    </row>
    <row r="86" spans="1:6" ht="15" x14ac:dyDescent="0.2">
      <c r="A86" s="94" t="s">
        <v>8</v>
      </c>
      <c r="B86" s="94"/>
      <c r="C86" s="94"/>
      <c r="D86" s="94"/>
      <c r="E86" s="94"/>
      <c r="F86" s="94"/>
    </row>
    <row r="88" spans="1:6" ht="39.75" customHeight="1" x14ac:dyDescent="0.2">
      <c r="B88" s="100"/>
      <c r="C88" s="101"/>
      <c r="D88" s="101"/>
    </row>
    <row r="89" spans="1:6" ht="13.5" customHeight="1" x14ac:dyDescent="0.2"/>
    <row r="90" spans="1:6" x14ac:dyDescent="0.2">
      <c r="B90" s="19"/>
      <c r="C90" s="19"/>
      <c r="D90" s="19"/>
    </row>
  </sheetData>
  <mergeCells count="44">
    <mergeCell ref="A83:F83"/>
    <mergeCell ref="B85:E85"/>
    <mergeCell ref="A86:F86"/>
    <mergeCell ref="B88:D88"/>
    <mergeCell ref="B66:D66"/>
    <mergeCell ref="B75:D75"/>
    <mergeCell ref="B76:D76"/>
    <mergeCell ref="B77:D77"/>
    <mergeCell ref="B81:E81"/>
    <mergeCell ref="A82:F82"/>
    <mergeCell ref="B65:D65"/>
    <mergeCell ref="B54:D54"/>
    <mergeCell ref="B55:D55"/>
    <mergeCell ref="B56:D56"/>
    <mergeCell ref="B57:D57"/>
    <mergeCell ref="B58:D58"/>
    <mergeCell ref="B59:D59"/>
    <mergeCell ref="B60:D60"/>
    <mergeCell ref="B61:D61"/>
    <mergeCell ref="B62:D62"/>
    <mergeCell ref="B63:D63"/>
    <mergeCell ref="B64:D64"/>
    <mergeCell ref="B53:D53"/>
    <mergeCell ref="B43:D43"/>
    <mergeCell ref="B44:D44"/>
    <mergeCell ref="B45:D45"/>
    <mergeCell ref="B46:D46"/>
    <mergeCell ref="B47:D47"/>
    <mergeCell ref="B48:D48"/>
    <mergeCell ref="B49:D49"/>
    <mergeCell ref="B50:D50"/>
    <mergeCell ref="B51:D51"/>
    <mergeCell ref="B52:D52"/>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5:B77 B12:B20 B33:B66" xr:uid="{00000000-0002-0000-44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58</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40</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59</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60</v>
      </c>
      <c r="C36" s="96"/>
      <c r="D36" s="96"/>
      <c r="E36" s="34">
        <f>0.75*190</f>
        <v>142.5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142.5</v>
      </c>
      <c r="F75" s="27"/>
    </row>
    <row r="76" spans="1:6" ht="13.5" customHeight="1" x14ac:dyDescent="0.2">
      <c r="A76" s="27"/>
      <c r="B76" s="40" t="s">
        <v>17</v>
      </c>
      <c r="C76" s="32"/>
      <c r="D76" s="32"/>
      <c r="E76" s="36">
        <v>0</v>
      </c>
      <c r="F76" s="27"/>
    </row>
    <row r="77" spans="1:6" ht="13.5" customHeight="1" x14ac:dyDescent="0.2">
      <c r="A77" s="27"/>
      <c r="B77" s="40" t="s">
        <v>18</v>
      </c>
      <c r="C77" s="32"/>
      <c r="D77" s="32"/>
      <c r="E77" s="36">
        <v>0</v>
      </c>
      <c r="F77" s="27"/>
    </row>
    <row r="78" spans="1:6" ht="13.5" customHeight="1" x14ac:dyDescent="0.2">
      <c r="A78" s="27"/>
      <c r="B78" s="31" t="s">
        <v>19</v>
      </c>
      <c r="C78" s="32"/>
      <c r="D78" s="32"/>
      <c r="E78" s="35">
        <f>SUM(E75:E77)</f>
        <v>142.5</v>
      </c>
      <c r="F78" s="27"/>
    </row>
    <row r="79" spans="1:6" ht="13.5" customHeight="1" x14ac:dyDescent="0.2">
      <c r="A79" s="27"/>
      <c r="B79" s="32" t="s">
        <v>5</v>
      </c>
      <c r="C79" s="37">
        <v>0.05</v>
      </c>
      <c r="D79" s="32"/>
      <c r="E79" s="41">
        <f>ROUND(E78*C79,2)</f>
        <v>7.13</v>
      </c>
      <c r="F79" s="27"/>
    </row>
    <row r="80" spans="1:6" ht="13.5" customHeight="1" x14ac:dyDescent="0.2">
      <c r="A80" s="27"/>
      <c r="B80" s="32" t="s">
        <v>4</v>
      </c>
      <c r="C80" s="37">
        <v>8.5000000000000006E-2</v>
      </c>
      <c r="D80" s="32"/>
      <c r="E80" s="42">
        <f>ROUND((E78+E79)*C80,2)</f>
        <v>12.72</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162.35</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162.35</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6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2:F92"/>
  <sheetViews>
    <sheetView view="pageBreakPreview" topLeftCell="A10" zoomScale="80" zoomScaleNormal="100" zoomScaleSheetLayoutView="80" workbookViewId="0">
      <selection activeCell="B21" sqref="B2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519</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520</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521</v>
      </c>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11</v>
      </c>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t="s">
        <v>522</v>
      </c>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t="s">
        <v>443</v>
      </c>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t="s">
        <v>523</v>
      </c>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t="s">
        <v>524</v>
      </c>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104"/>
      <c r="C64" s="104"/>
      <c r="D64" s="104"/>
      <c r="E64" s="34"/>
      <c r="F64" s="27"/>
    </row>
    <row r="65" spans="1:6" ht="14.25" x14ac:dyDescent="0.2">
      <c r="A65" s="27"/>
      <c r="B65" s="96"/>
      <c r="C65" s="96"/>
      <c r="D65" s="96"/>
      <c r="E65" s="34"/>
      <c r="F65" s="27"/>
    </row>
    <row r="66" spans="1:6" ht="14.25" x14ac:dyDescent="0.2">
      <c r="A66" s="27"/>
      <c r="B66" s="104"/>
      <c r="C66" s="104"/>
      <c r="D66" s="104"/>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9.75*245</f>
        <v>2388.75</v>
      </c>
      <c r="F69" s="27"/>
    </row>
    <row r="70" spans="1:6" ht="13.5" customHeight="1" x14ac:dyDescent="0.2">
      <c r="A70" s="27"/>
      <c r="B70" s="40" t="s">
        <v>467</v>
      </c>
      <c r="C70" s="32"/>
      <c r="D70" s="32"/>
      <c r="E70" s="36">
        <v>50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2438.75</v>
      </c>
      <c r="F72" s="27"/>
    </row>
    <row r="73" spans="1:6" ht="13.5" customHeight="1" x14ac:dyDescent="0.2">
      <c r="A73" s="27"/>
      <c r="B73" s="32" t="s">
        <v>5</v>
      </c>
      <c r="C73" s="37">
        <v>0.05</v>
      </c>
      <c r="D73" s="32"/>
      <c r="E73" s="41">
        <f>ROUND(E72*C73,2)</f>
        <v>121.94</v>
      </c>
      <c r="F73" s="27"/>
    </row>
    <row r="74" spans="1:6" ht="13.5" customHeight="1" x14ac:dyDescent="0.2">
      <c r="A74" s="27"/>
      <c r="B74" s="32" t="s">
        <v>4</v>
      </c>
      <c r="C74" s="64">
        <v>9.9750000000000005E-2</v>
      </c>
      <c r="D74" s="32"/>
      <c r="E74" s="42">
        <f>ROUND(E72*C74,2)</f>
        <v>243.27</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2803.96</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2803.96</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B37:D37"/>
    <mergeCell ref="A30:F30"/>
    <mergeCell ref="B33:D33"/>
    <mergeCell ref="B34:D34"/>
    <mergeCell ref="B35:D35"/>
    <mergeCell ref="B36:D36"/>
    <mergeCell ref="B51:D51"/>
    <mergeCell ref="B38:D38"/>
    <mergeCell ref="B39:D39"/>
    <mergeCell ref="B40:D40"/>
    <mergeCell ref="B41:D41"/>
    <mergeCell ref="B44:D44"/>
    <mergeCell ref="B45:D45"/>
    <mergeCell ref="B46:D46"/>
    <mergeCell ref="B47:D47"/>
    <mergeCell ref="B48:D48"/>
    <mergeCell ref="B49:D49"/>
    <mergeCell ref="B50:D50"/>
    <mergeCell ref="B63:D63"/>
    <mergeCell ref="B52:D52"/>
    <mergeCell ref="B53:D53"/>
    <mergeCell ref="B54:D54"/>
    <mergeCell ref="B55:D55"/>
    <mergeCell ref="B56:D56"/>
    <mergeCell ref="B57:D57"/>
    <mergeCell ref="B58:D58"/>
    <mergeCell ref="B59:D59"/>
    <mergeCell ref="B60:D60"/>
    <mergeCell ref="B61:D61"/>
    <mergeCell ref="B62:D62"/>
    <mergeCell ref="A88:F88"/>
    <mergeCell ref="B90:D90"/>
    <mergeCell ref="B42:D42"/>
    <mergeCell ref="B43:D43"/>
    <mergeCell ref="B78:D78"/>
    <mergeCell ref="B79:D79"/>
    <mergeCell ref="B83:E83"/>
    <mergeCell ref="A84:F84"/>
    <mergeCell ref="A85:F85"/>
    <mergeCell ref="B87:E87"/>
    <mergeCell ref="B64:D64"/>
    <mergeCell ref="B65:D65"/>
    <mergeCell ref="B66:D66"/>
    <mergeCell ref="B67:D67"/>
    <mergeCell ref="B68:D68"/>
    <mergeCell ref="B77:D77"/>
  </mergeCells>
  <dataValidations count="1">
    <dataValidation type="list" allowBlank="1" showInputMessage="1" showErrorMessage="1" sqref="B77:B79 B12:B20 B33:B68" xr:uid="{00000000-0002-0000-4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525</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526</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527</v>
      </c>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104"/>
      <c r="C64" s="104"/>
      <c r="D64" s="104"/>
      <c r="E64" s="34"/>
      <c r="F64" s="27"/>
    </row>
    <row r="65" spans="1:6" ht="14.25" x14ac:dyDescent="0.2">
      <c r="A65" s="27"/>
      <c r="B65" s="96"/>
      <c r="C65" s="96"/>
      <c r="D65" s="96"/>
      <c r="E65" s="34"/>
      <c r="F65" s="27"/>
    </row>
    <row r="66" spans="1:6" ht="14.25" x14ac:dyDescent="0.2">
      <c r="A66" s="27"/>
      <c r="B66" s="104"/>
      <c r="C66" s="104"/>
      <c r="D66" s="104"/>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3*245</f>
        <v>735</v>
      </c>
      <c r="F69" s="27"/>
    </row>
    <row r="70" spans="1:6" ht="13.5" customHeight="1" x14ac:dyDescent="0.2">
      <c r="A70" s="27"/>
      <c r="B70" s="40" t="s">
        <v>467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735</v>
      </c>
      <c r="F72" s="27"/>
    </row>
    <row r="73" spans="1:6" ht="13.5" customHeight="1" x14ac:dyDescent="0.2">
      <c r="A73" s="27"/>
      <c r="B73" s="32" t="s">
        <v>5</v>
      </c>
      <c r="C73" s="37">
        <v>0.05</v>
      </c>
      <c r="D73" s="32"/>
      <c r="E73" s="41">
        <f>ROUND(E72*C73,2)</f>
        <v>36.75</v>
      </c>
      <c r="F73" s="27"/>
    </row>
    <row r="74" spans="1:6" ht="13.5" customHeight="1" x14ac:dyDescent="0.2">
      <c r="A74" s="27"/>
      <c r="B74" s="32" t="s">
        <v>4</v>
      </c>
      <c r="C74" s="64">
        <v>9.9750000000000005E-2</v>
      </c>
      <c r="D74" s="32"/>
      <c r="E74" s="42">
        <f>ROUND(E72*C74,2)</f>
        <v>73.319999999999993</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845.06999999999994</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845.06999999999994</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46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pageSetUpPr fitToPage="1"/>
  </sheetPr>
  <dimension ref="A12:F91"/>
  <sheetViews>
    <sheetView view="pageBreakPreview" zoomScale="80" zoomScaleNormal="100" zoomScaleSheetLayoutView="80" workbookViewId="0">
      <selection activeCell="B70" sqref="B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528</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530</v>
      </c>
      <c r="C24" s="27"/>
      <c r="D24" s="27"/>
      <c r="E24" s="27"/>
      <c r="F24" s="27"/>
    </row>
    <row r="25" spans="1:6" ht="15" x14ac:dyDescent="0.2">
      <c r="A25" s="20"/>
      <c r="B25" s="31" t="s">
        <v>531</v>
      </c>
      <c r="C25" s="27"/>
      <c r="D25" s="27"/>
      <c r="E25" s="27"/>
      <c r="F25" s="27"/>
    </row>
    <row r="26" spans="1:6" ht="33.75" customHeight="1" x14ac:dyDescent="0.2">
      <c r="A26" s="20"/>
      <c r="B26" s="82" t="s">
        <v>532</v>
      </c>
      <c r="C26" s="27"/>
      <c r="D26" s="27"/>
      <c r="E26" s="27"/>
      <c r="F26" s="27"/>
    </row>
    <row r="27" spans="1:6" x14ac:dyDescent="0.2">
      <c r="A27" s="21"/>
      <c r="B27" s="27"/>
      <c r="C27" s="29"/>
      <c r="D27" s="29"/>
      <c r="E27" s="30"/>
      <c r="F27" s="27"/>
    </row>
    <row r="28" spans="1:6" ht="15" x14ac:dyDescent="0.2">
      <c r="A28" s="20"/>
      <c r="B28" s="29"/>
      <c r="C28" s="29"/>
      <c r="D28" s="33" t="s">
        <v>16</v>
      </c>
      <c r="E28" s="33" t="s">
        <v>529</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28.5" customHeight="1" x14ac:dyDescent="0.2">
      <c r="A35" s="27"/>
      <c r="B35" s="96" t="s">
        <v>533</v>
      </c>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104"/>
      <c r="C63" s="104"/>
      <c r="D63" s="104"/>
      <c r="E63" s="34"/>
      <c r="F63" s="27"/>
    </row>
    <row r="64" spans="1:6" ht="14.25" x14ac:dyDescent="0.2">
      <c r="A64" s="27"/>
      <c r="B64" s="96"/>
      <c r="C64" s="96"/>
      <c r="D64" s="96"/>
      <c r="E64" s="34"/>
      <c r="F64" s="27"/>
    </row>
    <row r="65" spans="1:6" ht="14.25" x14ac:dyDescent="0.2">
      <c r="A65" s="27"/>
      <c r="B65" s="104"/>
      <c r="C65" s="104"/>
      <c r="D65" s="104"/>
      <c r="E65" s="34"/>
      <c r="F65" s="27"/>
    </row>
    <row r="66" spans="1:6" ht="14.25" x14ac:dyDescent="0.2">
      <c r="A66" s="27"/>
      <c r="B66" s="96"/>
      <c r="C66" s="96"/>
      <c r="D66" s="96"/>
      <c r="E66" s="34"/>
      <c r="F66" s="27"/>
    </row>
    <row r="67" spans="1:6" ht="13.5" customHeight="1" x14ac:dyDescent="0.2">
      <c r="A67" s="27"/>
      <c r="B67" s="96"/>
      <c r="C67" s="96"/>
      <c r="D67" s="96"/>
      <c r="E67" s="34"/>
      <c r="F67" s="27"/>
    </row>
    <row r="68" spans="1:6" ht="13.5" customHeight="1" x14ac:dyDescent="0.2">
      <c r="A68" s="27"/>
      <c r="B68" s="31" t="s">
        <v>20</v>
      </c>
      <c r="C68" s="32"/>
      <c r="D68" s="32"/>
      <c r="E68" s="35">
        <f>6*245</f>
        <v>1470</v>
      </c>
      <c r="F68" s="27"/>
    </row>
    <row r="69" spans="1:6" ht="13.5" customHeight="1" x14ac:dyDescent="0.2">
      <c r="A69" s="27"/>
      <c r="B69" s="40" t="s">
        <v>17</v>
      </c>
      <c r="C69" s="32"/>
      <c r="D69" s="32"/>
      <c r="E69" s="36">
        <v>0</v>
      </c>
      <c r="F69" s="27"/>
    </row>
    <row r="70" spans="1:6" ht="13.5" customHeight="1" x14ac:dyDescent="0.2">
      <c r="A70" s="27"/>
      <c r="B70" s="40" t="s">
        <v>18</v>
      </c>
      <c r="C70" s="32"/>
      <c r="D70" s="32"/>
      <c r="E70" s="36">
        <v>0</v>
      </c>
      <c r="F70" s="27"/>
    </row>
    <row r="71" spans="1:6" ht="13.5" customHeight="1" x14ac:dyDescent="0.2">
      <c r="A71" s="27"/>
      <c r="B71" s="31" t="s">
        <v>19</v>
      </c>
      <c r="C71" s="32"/>
      <c r="D71" s="32"/>
      <c r="E71" s="35">
        <f>SUM(E68:E70)</f>
        <v>1470</v>
      </c>
      <c r="F71" s="27"/>
    </row>
    <row r="72" spans="1:6" ht="13.5" customHeight="1" x14ac:dyDescent="0.2">
      <c r="A72" s="27"/>
      <c r="B72" s="32" t="s">
        <v>5</v>
      </c>
      <c r="C72" s="37">
        <v>0.05</v>
      </c>
      <c r="D72" s="32"/>
      <c r="E72" s="41">
        <f>ROUND(E71*C72,2)</f>
        <v>73.5</v>
      </c>
      <c r="F72" s="27"/>
    </row>
    <row r="73" spans="1:6" ht="13.5" customHeight="1" x14ac:dyDescent="0.2">
      <c r="A73" s="27"/>
      <c r="B73" s="32" t="s">
        <v>4</v>
      </c>
      <c r="C73" s="64">
        <v>9.9750000000000005E-2</v>
      </c>
      <c r="D73" s="32"/>
      <c r="E73" s="42">
        <f>ROUND(E71*C73,2)</f>
        <v>146.63</v>
      </c>
      <c r="F73" s="27"/>
    </row>
    <row r="74" spans="1:6" ht="13.5" customHeight="1" x14ac:dyDescent="0.2">
      <c r="A74" s="27"/>
      <c r="B74" s="32"/>
      <c r="C74" s="32"/>
      <c r="D74" s="32"/>
      <c r="E74" s="38"/>
      <c r="F74" s="27"/>
    </row>
    <row r="75" spans="1:6" ht="16.5" customHeight="1" thickBot="1" x14ac:dyDescent="0.25">
      <c r="A75" s="27"/>
      <c r="B75" s="31" t="s">
        <v>21</v>
      </c>
      <c r="C75" s="32"/>
      <c r="D75" s="32"/>
      <c r="E75" s="39">
        <f>SUM(E71:E73)</f>
        <v>1690.13</v>
      </c>
      <c r="F75" s="27"/>
    </row>
    <row r="76" spans="1:6" ht="15.75" thickTop="1" x14ac:dyDescent="0.2">
      <c r="A76" s="27"/>
      <c r="B76" s="98"/>
      <c r="C76" s="98"/>
      <c r="D76" s="98"/>
      <c r="E76" s="43"/>
      <c r="F76" s="27"/>
    </row>
    <row r="77" spans="1:6" ht="15" x14ac:dyDescent="0.2">
      <c r="A77" s="27"/>
      <c r="B77" s="97" t="s">
        <v>23</v>
      </c>
      <c r="C77" s="97"/>
      <c r="D77" s="97"/>
      <c r="E77" s="43">
        <v>0</v>
      </c>
      <c r="F77" s="27"/>
    </row>
    <row r="78" spans="1:6" ht="15" x14ac:dyDescent="0.2">
      <c r="A78" s="27"/>
      <c r="B78" s="98"/>
      <c r="C78" s="98"/>
      <c r="D78" s="98"/>
      <c r="E78" s="43"/>
      <c r="F78" s="27"/>
    </row>
    <row r="79" spans="1:6" ht="19.5" customHeight="1" x14ac:dyDescent="0.2">
      <c r="A79" s="27"/>
      <c r="B79" s="44" t="s">
        <v>22</v>
      </c>
      <c r="C79" s="45"/>
      <c r="D79" s="45"/>
      <c r="E79" s="46">
        <f>E75-E77</f>
        <v>1690.13</v>
      </c>
      <c r="F79" s="27"/>
    </row>
    <row r="80" spans="1:6" ht="13.5" customHeight="1" x14ac:dyDescent="0.2">
      <c r="A80" s="27"/>
      <c r="B80" s="27"/>
      <c r="C80" s="27"/>
      <c r="D80" s="27"/>
      <c r="E80" s="27"/>
      <c r="F80" s="27"/>
    </row>
    <row r="81" spans="1:6" x14ac:dyDescent="0.2">
      <c r="A81" s="27"/>
      <c r="B81" s="27"/>
      <c r="C81" s="27"/>
      <c r="D81" s="27"/>
      <c r="E81" s="27"/>
      <c r="F81" s="27"/>
    </row>
    <row r="82" spans="1:6" x14ac:dyDescent="0.2">
      <c r="A82" s="27"/>
      <c r="B82" s="102"/>
      <c r="C82" s="102"/>
      <c r="D82" s="102"/>
      <c r="E82" s="102"/>
      <c r="F82" s="27"/>
    </row>
    <row r="83" spans="1:6" ht="14.25" x14ac:dyDescent="0.2">
      <c r="A83" s="95" t="s">
        <v>297</v>
      </c>
      <c r="B83" s="95"/>
      <c r="C83" s="95"/>
      <c r="D83" s="95"/>
      <c r="E83" s="95"/>
      <c r="F83" s="95"/>
    </row>
    <row r="84" spans="1:6" ht="14.25" x14ac:dyDescent="0.2">
      <c r="A84" s="93" t="s">
        <v>298</v>
      </c>
      <c r="B84" s="93"/>
      <c r="C84" s="93"/>
      <c r="D84" s="93"/>
      <c r="E84" s="93"/>
      <c r="F84" s="93"/>
    </row>
    <row r="85" spans="1:6" x14ac:dyDescent="0.2">
      <c r="A85" s="27"/>
      <c r="B85" s="27"/>
      <c r="C85" s="27"/>
      <c r="D85" s="27"/>
      <c r="E85" s="27"/>
      <c r="F85" s="27"/>
    </row>
    <row r="86" spans="1:6" x14ac:dyDescent="0.2">
      <c r="A86" s="27"/>
      <c r="B86" s="103"/>
      <c r="C86" s="103"/>
      <c r="D86" s="103"/>
      <c r="E86" s="103"/>
      <c r="F86" s="27"/>
    </row>
    <row r="87" spans="1:6" ht="15" x14ac:dyDescent="0.2">
      <c r="A87" s="94" t="s">
        <v>8</v>
      </c>
      <c r="B87" s="94"/>
      <c r="C87" s="94"/>
      <c r="D87" s="94"/>
      <c r="E87" s="94"/>
      <c r="F87" s="94"/>
    </row>
    <row r="89" spans="1:6" ht="39.75" customHeight="1" x14ac:dyDescent="0.2">
      <c r="B89" s="100"/>
      <c r="C89" s="101"/>
      <c r="D89" s="101"/>
    </row>
    <row r="90" spans="1:6" ht="13.5" customHeight="1" x14ac:dyDescent="0.2"/>
    <row r="91" spans="1:6" x14ac:dyDescent="0.2">
      <c r="B91" s="19"/>
      <c r="C91" s="19"/>
      <c r="D91" s="19"/>
    </row>
  </sheetData>
  <mergeCells count="45">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00000000-0002-0000-47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pageSetUpPr fitToPage="1"/>
  </sheetPr>
  <dimension ref="A12:F92"/>
  <sheetViews>
    <sheetView view="pageBreakPreview" zoomScale="80" zoomScaleNormal="100" zoomScaleSheetLayoutView="80" workbookViewId="0">
      <selection activeCell="E49" sqref="E4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534</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535</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536</v>
      </c>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537</v>
      </c>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104"/>
      <c r="C64" s="104"/>
      <c r="D64" s="104"/>
      <c r="E64" s="34"/>
      <c r="F64" s="27"/>
    </row>
    <row r="65" spans="1:6" ht="14.25" x14ac:dyDescent="0.2">
      <c r="A65" s="27"/>
      <c r="B65" s="96"/>
      <c r="C65" s="96"/>
      <c r="D65" s="96"/>
      <c r="E65" s="34"/>
      <c r="F65" s="27"/>
    </row>
    <row r="66" spans="1:6" ht="14.25" x14ac:dyDescent="0.2">
      <c r="A66" s="27"/>
      <c r="B66" s="104"/>
      <c r="C66" s="104"/>
      <c r="D66" s="104"/>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1.25*255</f>
        <v>318.75</v>
      </c>
      <c r="F69" s="27"/>
    </row>
    <row r="70" spans="1:6" ht="13.5" customHeight="1" x14ac:dyDescent="0.2">
      <c r="A70" s="27"/>
      <c r="B70" s="40" t="s">
        <v>467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318.75</v>
      </c>
      <c r="F72" s="27"/>
    </row>
    <row r="73" spans="1:6" ht="13.5" customHeight="1" x14ac:dyDescent="0.2">
      <c r="A73" s="27"/>
      <c r="B73" s="32" t="s">
        <v>5</v>
      </c>
      <c r="C73" s="37">
        <v>0.05</v>
      </c>
      <c r="D73" s="32"/>
      <c r="E73" s="41">
        <f>ROUND(E72*C73,2)</f>
        <v>15.94</v>
      </c>
      <c r="F73" s="27"/>
    </row>
    <row r="74" spans="1:6" ht="13.5" customHeight="1" x14ac:dyDescent="0.2">
      <c r="A74" s="27"/>
      <c r="B74" s="32" t="s">
        <v>4</v>
      </c>
      <c r="C74" s="64">
        <v>9.9750000000000005E-2</v>
      </c>
      <c r="D74" s="32"/>
      <c r="E74" s="42">
        <f>ROUND(E72*C74,2)</f>
        <v>31.8</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366.49</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366.49</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48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534</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541</v>
      </c>
      <c r="C24" s="27"/>
      <c r="D24" s="27"/>
      <c r="E24" s="27"/>
      <c r="F24" s="27"/>
    </row>
    <row r="25" spans="1:6" ht="15" x14ac:dyDescent="0.2">
      <c r="A25" s="20"/>
      <c r="B25" s="31" t="s">
        <v>539</v>
      </c>
      <c r="C25" s="27"/>
      <c r="D25" s="27"/>
      <c r="E25" s="27"/>
      <c r="F25" s="27"/>
    </row>
    <row r="26" spans="1:6" ht="33.75" customHeight="1" x14ac:dyDescent="0.2">
      <c r="A26" s="20"/>
      <c r="B26" s="82" t="s">
        <v>540</v>
      </c>
      <c r="C26" s="27"/>
      <c r="D26" s="27"/>
      <c r="E26" s="27"/>
      <c r="F26" s="27"/>
    </row>
    <row r="27" spans="1:6" x14ac:dyDescent="0.2">
      <c r="A27" s="21"/>
      <c r="B27" s="27"/>
      <c r="C27" s="29"/>
      <c r="D27" s="29"/>
      <c r="E27" s="30"/>
      <c r="F27" s="27"/>
    </row>
    <row r="28" spans="1:6" ht="15" x14ac:dyDescent="0.2">
      <c r="A28" s="20"/>
      <c r="B28" s="29"/>
      <c r="C28" s="29"/>
      <c r="D28" s="33" t="s">
        <v>16</v>
      </c>
      <c r="E28" s="33" t="s">
        <v>538</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14.25" x14ac:dyDescent="0.2">
      <c r="A35" s="27"/>
      <c r="B35" s="96" t="s">
        <v>542</v>
      </c>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104"/>
      <c r="C64" s="104"/>
      <c r="D64" s="104"/>
      <c r="E64" s="34"/>
      <c r="F64" s="27"/>
    </row>
    <row r="65" spans="1:6" ht="14.25" x14ac:dyDescent="0.2">
      <c r="A65" s="27"/>
      <c r="B65" s="96"/>
      <c r="C65" s="96"/>
      <c r="D65" s="96"/>
      <c r="E65" s="34"/>
      <c r="F65" s="27"/>
    </row>
    <row r="66" spans="1:6" ht="14.25" x14ac:dyDescent="0.2">
      <c r="A66" s="27"/>
      <c r="B66" s="104"/>
      <c r="C66" s="104"/>
      <c r="D66" s="104"/>
      <c r="E66" s="34"/>
      <c r="F66" s="27"/>
    </row>
    <row r="67" spans="1:6" ht="14.25" x14ac:dyDescent="0.2">
      <c r="A67" s="27"/>
      <c r="B67" s="96"/>
      <c r="C67" s="96"/>
      <c r="D67" s="96"/>
      <c r="E67" s="34"/>
      <c r="F67" s="27"/>
    </row>
    <row r="68" spans="1:6" ht="13.5" customHeight="1" x14ac:dyDescent="0.2">
      <c r="A68" s="27"/>
      <c r="B68" s="96"/>
      <c r="C68" s="96"/>
      <c r="D68" s="96"/>
      <c r="E68" s="34"/>
      <c r="F68" s="27"/>
    </row>
    <row r="69" spans="1:6" ht="13.5" customHeight="1" x14ac:dyDescent="0.2">
      <c r="A69" s="27"/>
      <c r="B69" s="31" t="s">
        <v>20</v>
      </c>
      <c r="C69" s="32"/>
      <c r="D69" s="32"/>
      <c r="E69" s="35">
        <f>3*255</f>
        <v>765</v>
      </c>
      <c r="F69" s="27"/>
    </row>
    <row r="70" spans="1:6" ht="13.5" customHeight="1" x14ac:dyDescent="0.2">
      <c r="A70" s="27"/>
      <c r="B70" s="40" t="s">
        <v>467</v>
      </c>
      <c r="C70" s="32"/>
      <c r="D70" s="32"/>
      <c r="E70" s="36">
        <v>0</v>
      </c>
      <c r="F70" s="27"/>
    </row>
    <row r="71" spans="1:6" ht="13.5" customHeight="1" x14ac:dyDescent="0.2">
      <c r="A71" s="27"/>
      <c r="B71" s="40" t="s">
        <v>18</v>
      </c>
      <c r="C71" s="32"/>
      <c r="D71" s="32"/>
      <c r="E71" s="36">
        <v>0</v>
      </c>
      <c r="F71" s="27"/>
    </row>
    <row r="72" spans="1:6" ht="13.5" customHeight="1" x14ac:dyDescent="0.2">
      <c r="A72" s="27"/>
      <c r="B72" s="31" t="s">
        <v>19</v>
      </c>
      <c r="C72" s="32"/>
      <c r="D72" s="32"/>
      <c r="E72" s="35">
        <f>SUM(E69:E71)</f>
        <v>765</v>
      </c>
      <c r="F72" s="27"/>
    </row>
    <row r="73" spans="1:6" ht="13.5" customHeight="1" x14ac:dyDescent="0.2">
      <c r="A73" s="27"/>
      <c r="B73" s="32" t="s">
        <v>5</v>
      </c>
      <c r="C73" s="37">
        <v>0.05</v>
      </c>
      <c r="D73" s="32"/>
      <c r="E73" s="41">
        <f>ROUND(E72*C73,2)</f>
        <v>38.25</v>
      </c>
      <c r="F73" s="27"/>
    </row>
    <row r="74" spans="1:6" ht="13.5" customHeight="1" x14ac:dyDescent="0.2">
      <c r="A74" s="27"/>
      <c r="B74" s="32" t="s">
        <v>4</v>
      </c>
      <c r="C74" s="64">
        <v>9.9750000000000005E-2</v>
      </c>
      <c r="D74" s="32"/>
      <c r="E74" s="42">
        <f>ROUND(E72*C74,2)</f>
        <v>76.31</v>
      </c>
      <c r="F74" s="27"/>
    </row>
    <row r="75" spans="1:6" ht="13.5" customHeight="1" x14ac:dyDescent="0.2">
      <c r="A75" s="27"/>
      <c r="B75" s="32"/>
      <c r="C75" s="32"/>
      <c r="D75" s="32"/>
      <c r="E75" s="38"/>
      <c r="F75" s="27"/>
    </row>
    <row r="76" spans="1:6" ht="16.5" customHeight="1" thickBot="1" x14ac:dyDescent="0.25">
      <c r="A76" s="27"/>
      <c r="B76" s="31" t="s">
        <v>21</v>
      </c>
      <c r="C76" s="32"/>
      <c r="D76" s="32"/>
      <c r="E76" s="39">
        <f>SUM(E72:E74)</f>
        <v>879.56</v>
      </c>
      <c r="F76" s="27"/>
    </row>
    <row r="77" spans="1:6" ht="15.75" thickTop="1" x14ac:dyDescent="0.2">
      <c r="A77" s="27"/>
      <c r="B77" s="98"/>
      <c r="C77" s="98"/>
      <c r="D77" s="98"/>
      <c r="E77" s="43"/>
      <c r="F77" s="27"/>
    </row>
    <row r="78" spans="1:6" ht="15" x14ac:dyDescent="0.2">
      <c r="A78" s="27"/>
      <c r="B78" s="97" t="s">
        <v>23</v>
      </c>
      <c r="C78" s="97"/>
      <c r="D78" s="97"/>
      <c r="E78" s="43">
        <v>0</v>
      </c>
      <c r="F78" s="27"/>
    </row>
    <row r="79" spans="1:6" ht="15" x14ac:dyDescent="0.2">
      <c r="A79" s="27"/>
      <c r="B79" s="98"/>
      <c r="C79" s="98"/>
      <c r="D79" s="98"/>
      <c r="E79" s="43"/>
      <c r="F79" s="27"/>
    </row>
    <row r="80" spans="1:6" ht="19.5" customHeight="1" x14ac:dyDescent="0.2">
      <c r="A80" s="27"/>
      <c r="B80" s="44" t="s">
        <v>22</v>
      </c>
      <c r="C80" s="45"/>
      <c r="D80" s="45"/>
      <c r="E80" s="46">
        <f>E76-E78</f>
        <v>879.56</v>
      </c>
      <c r="F80" s="27"/>
    </row>
    <row r="81" spans="1:6" ht="13.5" customHeight="1" x14ac:dyDescent="0.2">
      <c r="A81" s="27"/>
      <c r="B81" s="27"/>
      <c r="C81" s="27"/>
      <c r="D81" s="27"/>
      <c r="E81" s="27"/>
      <c r="F81" s="27"/>
    </row>
    <row r="82" spans="1:6" x14ac:dyDescent="0.2">
      <c r="A82" s="27"/>
      <c r="B82" s="27"/>
      <c r="C82" s="27"/>
      <c r="D82" s="27"/>
      <c r="E82" s="27"/>
      <c r="F82" s="27"/>
    </row>
    <row r="83" spans="1:6" x14ac:dyDescent="0.2">
      <c r="A83" s="27"/>
      <c r="B83" s="102"/>
      <c r="C83" s="102"/>
      <c r="D83" s="102"/>
      <c r="E83" s="102"/>
      <c r="F83" s="27"/>
    </row>
    <row r="84" spans="1:6" ht="14.25" x14ac:dyDescent="0.2">
      <c r="A84" s="95" t="s">
        <v>297</v>
      </c>
      <c r="B84" s="95"/>
      <c r="C84" s="95"/>
      <c r="D84" s="95"/>
      <c r="E84" s="95"/>
      <c r="F84" s="95"/>
    </row>
    <row r="85" spans="1:6" ht="14.25" x14ac:dyDescent="0.2">
      <c r="A85" s="93" t="s">
        <v>298</v>
      </c>
      <c r="B85" s="93"/>
      <c r="C85" s="93"/>
      <c r="D85" s="93"/>
      <c r="E85" s="93"/>
      <c r="F85" s="93"/>
    </row>
    <row r="86" spans="1:6" x14ac:dyDescent="0.2">
      <c r="A86" s="27"/>
      <c r="B86" s="27"/>
      <c r="C86" s="27"/>
      <c r="D86" s="27"/>
      <c r="E86" s="27"/>
      <c r="F86" s="27"/>
    </row>
    <row r="87" spans="1:6" x14ac:dyDescent="0.2">
      <c r="A87" s="27"/>
      <c r="B87" s="103"/>
      <c r="C87" s="103"/>
      <c r="D87" s="103"/>
      <c r="E87" s="103"/>
      <c r="F87" s="27"/>
    </row>
    <row r="88" spans="1:6" ht="15" x14ac:dyDescent="0.2">
      <c r="A88" s="94" t="s">
        <v>8</v>
      </c>
      <c r="B88" s="94"/>
      <c r="C88" s="94"/>
      <c r="D88" s="94"/>
      <c r="E88" s="94"/>
      <c r="F88" s="94"/>
    </row>
    <row r="90" spans="1:6" ht="39.75" customHeight="1" x14ac:dyDescent="0.2">
      <c r="B90" s="100"/>
      <c r="C90" s="101"/>
      <c r="D90" s="101"/>
    </row>
    <row r="91" spans="1:6" ht="13.5" customHeight="1" x14ac:dyDescent="0.2"/>
    <row r="92" spans="1:6" x14ac:dyDescent="0.2">
      <c r="B92" s="19"/>
      <c r="C92" s="19"/>
      <c r="D92" s="19"/>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49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pageSetUpPr fitToPage="1"/>
  </sheetPr>
  <dimension ref="A12:F91"/>
  <sheetViews>
    <sheetView view="pageBreakPreview" topLeftCell="A2"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543</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544</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28.5" customHeight="1" x14ac:dyDescent="0.2">
      <c r="A35" s="27"/>
      <c r="B35" s="96" t="s">
        <v>545</v>
      </c>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t="s">
        <v>546</v>
      </c>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104"/>
      <c r="C63" s="104"/>
      <c r="D63" s="104"/>
      <c r="E63" s="34"/>
      <c r="F63" s="27"/>
    </row>
    <row r="64" spans="1:6" ht="14.25" x14ac:dyDescent="0.2">
      <c r="A64" s="27"/>
      <c r="B64" s="96"/>
      <c r="C64" s="96"/>
      <c r="D64" s="96"/>
      <c r="E64" s="34"/>
      <c r="F64" s="27"/>
    </row>
    <row r="65" spans="1:6" ht="14.25" x14ac:dyDescent="0.2">
      <c r="A65" s="27"/>
      <c r="B65" s="104"/>
      <c r="C65" s="104"/>
      <c r="D65" s="104"/>
      <c r="E65" s="34"/>
      <c r="F65" s="27"/>
    </row>
    <row r="66" spans="1:6" ht="14.25" x14ac:dyDescent="0.2">
      <c r="A66" s="27"/>
      <c r="B66" s="96"/>
      <c r="C66" s="96"/>
      <c r="D66" s="96"/>
      <c r="E66" s="34"/>
      <c r="F66" s="27"/>
    </row>
    <row r="67" spans="1:6" ht="13.5" customHeight="1" x14ac:dyDescent="0.2">
      <c r="A67" s="27"/>
      <c r="B67" s="96"/>
      <c r="C67" s="96"/>
      <c r="D67" s="96"/>
      <c r="E67" s="34"/>
      <c r="F67" s="27"/>
    </row>
    <row r="68" spans="1:6" ht="13.5" customHeight="1" x14ac:dyDescent="0.2">
      <c r="A68" s="27"/>
      <c r="B68" s="31" t="s">
        <v>20</v>
      </c>
      <c r="C68" s="32"/>
      <c r="D68" s="32"/>
      <c r="E68" s="35">
        <f>2.4*255</f>
        <v>612</v>
      </c>
      <c r="F68" s="27"/>
    </row>
    <row r="69" spans="1:6" ht="13.5" customHeight="1" x14ac:dyDescent="0.2">
      <c r="A69" s="27"/>
      <c r="B69" s="40" t="s">
        <v>467</v>
      </c>
      <c r="C69" s="32"/>
      <c r="D69" s="32"/>
      <c r="E69" s="36">
        <v>0</v>
      </c>
      <c r="F69" s="27"/>
    </row>
    <row r="70" spans="1:6" ht="13.5" customHeight="1" x14ac:dyDescent="0.2">
      <c r="A70" s="27"/>
      <c r="B70" s="40" t="s">
        <v>18</v>
      </c>
      <c r="C70" s="32"/>
      <c r="D70" s="32"/>
      <c r="E70" s="36">
        <v>0</v>
      </c>
      <c r="F70" s="27"/>
    </row>
    <row r="71" spans="1:6" ht="13.5" customHeight="1" x14ac:dyDescent="0.2">
      <c r="A71" s="27"/>
      <c r="B71" s="31" t="s">
        <v>19</v>
      </c>
      <c r="C71" s="32"/>
      <c r="D71" s="32"/>
      <c r="E71" s="35">
        <f>SUM(E68:E70)</f>
        <v>612</v>
      </c>
      <c r="F71" s="27"/>
    </row>
    <row r="72" spans="1:6" ht="13.5" customHeight="1" x14ac:dyDescent="0.2">
      <c r="A72" s="27"/>
      <c r="B72" s="32" t="s">
        <v>5</v>
      </c>
      <c r="C72" s="37">
        <v>0.05</v>
      </c>
      <c r="D72" s="32"/>
      <c r="E72" s="41">
        <f>ROUND(E71*C72,2)</f>
        <v>30.6</v>
      </c>
      <c r="F72" s="27"/>
    </row>
    <row r="73" spans="1:6" ht="13.5" customHeight="1" x14ac:dyDescent="0.2">
      <c r="A73" s="27"/>
      <c r="B73" s="32" t="s">
        <v>4</v>
      </c>
      <c r="C73" s="64">
        <v>9.9750000000000005E-2</v>
      </c>
      <c r="D73" s="32"/>
      <c r="E73" s="42">
        <f>ROUND(E71*C73,2)</f>
        <v>61.05</v>
      </c>
      <c r="F73" s="27"/>
    </row>
    <row r="74" spans="1:6" ht="13.5" customHeight="1" x14ac:dyDescent="0.2">
      <c r="A74" s="27"/>
      <c r="B74" s="32"/>
      <c r="C74" s="32"/>
      <c r="D74" s="32"/>
      <c r="E74" s="38"/>
      <c r="F74" s="27"/>
    </row>
    <row r="75" spans="1:6" ht="16.5" customHeight="1" thickBot="1" x14ac:dyDescent="0.25">
      <c r="A75" s="27"/>
      <c r="B75" s="31" t="s">
        <v>21</v>
      </c>
      <c r="C75" s="32"/>
      <c r="D75" s="32"/>
      <c r="E75" s="39">
        <f>SUM(E71:E73)</f>
        <v>703.65</v>
      </c>
      <c r="F75" s="27"/>
    </row>
    <row r="76" spans="1:6" ht="15.75" thickTop="1" x14ac:dyDescent="0.2">
      <c r="A76" s="27"/>
      <c r="B76" s="98"/>
      <c r="C76" s="98"/>
      <c r="D76" s="98"/>
      <c r="E76" s="43"/>
      <c r="F76" s="27"/>
    </row>
    <row r="77" spans="1:6" ht="15" x14ac:dyDescent="0.2">
      <c r="A77" s="27"/>
      <c r="B77" s="97" t="s">
        <v>23</v>
      </c>
      <c r="C77" s="97"/>
      <c r="D77" s="97"/>
      <c r="E77" s="43">
        <v>0</v>
      </c>
      <c r="F77" s="27"/>
    </row>
    <row r="78" spans="1:6" ht="15" x14ac:dyDescent="0.2">
      <c r="A78" s="27"/>
      <c r="B78" s="98"/>
      <c r="C78" s="98"/>
      <c r="D78" s="98"/>
      <c r="E78" s="43"/>
      <c r="F78" s="27"/>
    </row>
    <row r="79" spans="1:6" ht="19.5" customHeight="1" x14ac:dyDescent="0.2">
      <c r="A79" s="27"/>
      <c r="B79" s="44" t="s">
        <v>22</v>
      </c>
      <c r="C79" s="45"/>
      <c r="D79" s="45"/>
      <c r="E79" s="46">
        <f>E75-E77</f>
        <v>703.65</v>
      </c>
      <c r="F79" s="27"/>
    </row>
    <row r="80" spans="1:6" ht="13.5" customHeight="1" x14ac:dyDescent="0.2">
      <c r="A80" s="27"/>
      <c r="B80" s="27"/>
      <c r="C80" s="27"/>
      <c r="D80" s="27"/>
      <c r="E80" s="27"/>
      <c r="F80" s="27"/>
    </row>
    <row r="81" spans="1:6" x14ac:dyDescent="0.2">
      <c r="A81" s="27"/>
      <c r="B81" s="27"/>
      <c r="C81" s="27"/>
      <c r="D81" s="27"/>
      <c r="E81" s="27"/>
      <c r="F81" s="27"/>
    </row>
    <row r="82" spans="1:6" x14ac:dyDescent="0.2">
      <c r="A82" s="27"/>
      <c r="B82" s="102"/>
      <c r="C82" s="102"/>
      <c r="D82" s="102"/>
      <c r="E82" s="102"/>
      <c r="F82" s="27"/>
    </row>
    <row r="83" spans="1:6" ht="14.25" x14ac:dyDescent="0.2">
      <c r="A83" s="95" t="s">
        <v>297</v>
      </c>
      <c r="B83" s="95"/>
      <c r="C83" s="95"/>
      <c r="D83" s="95"/>
      <c r="E83" s="95"/>
      <c r="F83" s="95"/>
    </row>
    <row r="84" spans="1:6" ht="14.25" x14ac:dyDescent="0.2">
      <c r="A84" s="93" t="s">
        <v>298</v>
      </c>
      <c r="B84" s="93"/>
      <c r="C84" s="93"/>
      <c r="D84" s="93"/>
      <c r="E84" s="93"/>
      <c r="F84" s="93"/>
    </row>
    <row r="85" spans="1:6" x14ac:dyDescent="0.2">
      <c r="A85" s="27"/>
      <c r="B85" s="27"/>
      <c r="C85" s="27"/>
      <c r="D85" s="27"/>
      <c r="E85" s="27"/>
      <c r="F85" s="27"/>
    </row>
    <row r="86" spans="1:6" x14ac:dyDescent="0.2">
      <c r="A86" s="27"/>
      <c r="B86" s="103"/>
      <c r="C86" s="103"/>
      <c r="D86" s="103"/>
      <c r="E86" s="103"/>
      <c r="F86" s="27"/>
    </row>
    <row r="87" spans="1:6" ht="15" x14ac:dyDescent="0.2">
      <c r="A87" s="94" t="s">
        <v>8</v>
      </c>
      <c r="B87" s="94"/>
      <c r="C87" s="94"/>
      <c r="D87" s="94"/>
      <c r="E87" s="94"/>
      <c r="F87" s="94"/>
    </row>
    <row r="89" spans="1:6" ht="39.75" customHeight="1" x14ac:dyDescent="0.2">
      <c r="B89" s="100"/>
      <c r="C89" s="101"/>
      <c r="D89" s="101"/>
    </row>
    <row r="90" spans="1:6" ht="13.5" customHeight="1" x14ac:dyDescent="0.2"/>
    <row r="91" spans="1:6" x14ac:dyDescent="0.2">
      <c r="B91" s="19"/>
      <c r="C91" s="19"/>
      <c r="D91" s="19"/>
    </row>
  </sheetData>
  <mergeCells count="45">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00000000-0002-0000-4A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9D46-EF5A-4AA7-A468-5C397FEBD2C6}">
  <sheetPr>
    <pageSetUpPr fitToPage="1"/>
  </sheetPr>
  <dimension ref="A12:F91"/>
  <sheetViews>
    <sheetView tabSelected="1" view="pageBreakPreview" topLeftCell="A40"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547</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25</v>
      </c>
      <c r="C24" s="27"/>
      <c r="D24" s="27"/>
      <c r="E24" s="27"/>
      <c r="F24" s="27"/>
    </row>
    <row r="25" spans="1:6" ht="15" x14ac:dyDescent="0.2">
      <c r="A25" s="20"/>
      <c r="B25" s="31" t="s">
        <v>300</v>
      </c>
      <c r="C25" s="27"/>
      <c r="D25" s="27"/>
      <c r="E25" s="27"/>
      <c r="F25" s="27"/>
    </row>
    <row r="26" spans="1:6" ht="33.75" customHeight="1" x14ac:dyDescent="0.2">
      <c r="A26" s="20"/>
      <c r="B26" s="82" t="s">
        <v>301</v>
      </c>
      <c r="C26" s="27"/>
      <c r="D26" s="27"/>
      <c r="E26" s="27"/>
      <c r="F26" s="27"/>
    </row>
    <row r="27" spans="1:6" x14ac:dyDescent="0.2">
      <c r="A27" s="21"/>
      <c r="B27" s="27"/>
      <c r="C27" s="29"/>
      <c r="D27" s="29"/>
      <c r="E27" s="30"/>
      <c r="F27" s="27"/>
    </row>
    <row r="28" spans="1:6" ht="15" x14ac:dyDescent="0.2">
      <c r="A28" s="20"/>
      <c r="B28" s="29"/>
      <c r="C28" s="29"/>
      <c r="D28" s="33" t="s">
        <v>16</v>
      </c>
      <c r="E28" s="33" t="s">
        <v>548</v>
      </c>
      <c r="F28" s="27"/>
    </row>
    <row r="29" spans="1:6" ht="13.5" thickBot="1" x14ac:dyDescent="0.25">
      <c r="A29" s="22"/>
      <c r="B29" s="22"/>
      <c r="C29" s="22"/>
      <c r="D29" s="22"/>
      <c r="E29" s="22"/>
      <c r="F29" s="26"/>
    </row>
    <row r="30" spans="1:6" s="47" customFormat="1" ht="21.75" customHeight="1" x14ac:dyDescent="0.2">
      <c r="A30" s="99" t="s">
        <v>0</v>
      </c>
      <c r="B30" s="99"/>
      <c r="C30" s="99"/>
      <c r="D30" s="99"/>
      <c r="E30" s="99"/>
      <c r="F30" s="99"/>
    </row>
    <row r="31" spans="1:6" x14ac:dyDescent="0.2">
      <c r="A31" s="20"/>
      <c r="B31" s="21"/>
      <c r="C31" s="20"/>
      <c r="D31" s="20"/>
      <c r="E31" s="20"/>
    </row>
    <row r="32" spans="1:6" ht="14.25" x14ac:dyDescent="0.2">
      <c r="A32" s="27"/>
      <c r="B32" s="28" t="s">
        <v>6</v>
      </c>
      <c r="C32" s="28"/>
      <c r="D32" s="28"/>
      <c r="E32" s="34"/>
      <c r="F32" s="27"/>
    </row>
    <row r="33" spans="1:6" ht="14.25" x14ac:dyDescent="0.2">
      <c r="A33" s="27"/>
      <c r="B33" s="96"/>
      <c r="C33" s="96"/>
      <c r="D33" s="96"/>
      <c r="E33" s="34"/>
      <c r="F33" s="27"/>
    </row>
    <row r="34" spans="1:6" ht="14.25" x14ac:dyDescent="0.2">
      <c r="A34" s="27"/>
      <c r="B34" s="96"/>
      <c r="C34" s="96"/>
      <c r="D34" s="96"/>
      <c r="E34" s="34"/>
      <c r="F34" s="27"/>
    </row>
    <row r="35" spans="1:6" ht="28.5" customHeight="1" x14ac:dyDescent="0.2">
      <c r="A35" s="27"/>
      <c r="B35" s="96" t="s">
        <v>549</v>
      </c>
      <c r="C35" s="96"/>
      <c r="D35" s="96"/>
      <c r="E35" s="34"/>
      <c r="F35" s="27"/>
    </row>
    <row r="36" spans="1:6" ht="14.25" x14ac:dyDescent="0.2">
      <c r="A36" s="27"/>
      <c r="B36" s="96"/>
      <c r="C36" s="96"/>
      <c r="D36" s="96"/>
      <c r="E36" s="34"/>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4.25"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104"/>
      <c r="C63" s="104"/>
      <c r="D63" s="104"/>
      <c r="E63" s="34"/>
      <c r="F63" s="27"/>
    </row>
    <row r="64" spans="1:6" ht="14.25" x14ac:dyDescent="0.2">
      <c r="A64" s="27"/>
      <c r="B64" s="96"/>
      <c r="C64" s="96"/>
      <c r="D64" s="96"/>
      <c r="E64" s="34"/>
      <c r="F64" s="27"/>
    </row>
    <row r="65" spans="1:6" ht="14.25" x14ac:dyDescent="0.2">
      <c r="A65" s="27"/>
      <c r="B65" s="104"/>
      <c r="C65" s="104"/>
      <c r="D65" s="104"/>
      <c r="E65" s="34"/>
      <c r="F65" s="27"/>
    </row>
    <row r="66" spans="1:6" ht="14.25" x14ac:dyDescent="0.2">
      <c r="A66" s="27"/>
      <c r="B66" s="96"/>
      <c r="C66" s="96"/>
      <c r="D66" s="96"/>
      <c r="E66" s="34"/>
      <c r="F66" s="27"/>
    </row>
    <row r="67" spans="1:6" ht="13.5" customHeight="1" x14ac:dyDescent="0.2">
      <c r="A67" s="27"/>
      <c r="B67" s="96"/>
      <c r="C67" s="96"/>
      <c r="D67" s="96"/>
      <c r="E67" s="34"/>
      <c r="F67" s="27"/>
    </row>
    <row r="68" spans="1:6" ht="13.5" customHeight="1" x14ac:dyDescent="0.2">
      <c r="A68" s="27"/>
      <c r="B68" s="31" t="s">
        <v>20</v>
      </c>
      <c r="C68" s="32"/>
      <c r="D68" s="32"/>
      <c r="E68" s="35">
        <f>11*285</f>
        <v>3135</v>
      </c>
      <c r="F68" s="27"/>
    </row>
    <row r="69" spans="1:6" ht="13.5" customHeight="1" x14ac:dyDescent="0.2">
      <c r="A69" s="27"/>
      <c r="B69" s="40" t="s">
        <v>467</v>
      </c>
      <c r="C69" s="32"/>
      <c r="D69" s="32"/>
      <c r="E69" s="36">
        <v>0</v>
      </c>
      <c r="F69" s="27"/>
    </row>
    <row r="70" spans="1:6" ht="13.5" customHeight="1" x14ac:dyDescent="0.2">
      <c r="A70" s="27"/>
      <c r="B70" s="40" t="s">
        <v>18</v>
      </c>
      <c r="C70" s="32"/>
      <c r="D70" s="32"/>
      <c r="E70" s="36">
        <v>0</v>
      </c>
      <c r="F70" s="27"/>
    </row>
    <row r="71" spans="1:6" ht="13.5" customHeight="1" x14ac:dyDescent="0.2">
      <c r="A71" s="27"/>
      <c r="B71" s="31" t="s">
        <v>19</v>
      </c>
      <c r="C71" s="32"/>
      <c r="D71" s="32"/>
      <c r="E71" s="35">
        <f>SUM(E68:E70)</f>
        <v>3135</v>
      </c>
      <c r="F71" s="27"/>
    </row>
    <row r="72" spans="1:6" ht="13.5" customHeight="1" x14ac:dyDescent="0.2">
      <c r="A72" s="27"/>
      <c r="B72" s="32" t="s">
        <v>5</v>
      </c>
      <c r="C72" s="37">
        <v>0.05</v>
      </c>
      <c r="D72" s="32"/>
      <c r="E72" s="41">
        <f>ROUND(E71*C72,2)</f>
        <v>156.75</v>
      </c>
      <c r="F72" s="27"/>
    </row>
    <row r="73" spans="1:6" ht="13.5" customHeight="1" x14ac:dyDescent="0.2">
      <c r="A73" s="27"/>
      <c r="B73" s="32" t="s">
        <v>4</v>
      </c>
      <c r="C73" s="64">
        <v>9.9750000000000005E-2</v>
      </c>
      <c r="D73" s="32"/>
      <c r="E73" s="42">
        <f>ROUND(E71*C73,2)</f>
        <v>312.72000000000003</v>
      </c>
      <c r="F73" s="27"/>
    </row>
    <row r="74" spans="1:6" ht="13.5" customHeight="1" x14ac:dyDescent="0.2">
      <c r="A74" s="27"/>
      <c r="B74" s="32"/>
      <c r="C74" s="32"/>
      <c r="D74" s="32"/>
      <c r="E74" s="38"/>
      <c r="F74" s="27"/>
    </row>
    <row r="75" spans="1:6" ht="16.5" customHeight="1" thickBot="1" x14ac:dyDescent="0.25">
      <c r="A75" s="27"/>
      <c r="B75" s="31" t="s">
        <v>21</v>
      </c>
      <c r="C75" s="32"/>
      <c r="D75" s="32"/>
      <c r="E75" s="39">
        <f>SUM(E71:E73)</f>
        <v>3604.4700000000003</v>
      </c>
      <c r="F75" s="27"/>
    </row>
    <row r="76" spans="1:6" ht="15.75" thickTop="1" x14ac:dyDescent="0.2">
      <c r="A76" s="27"/>
      <c r="B76" s="98"/>
      <c r="C76" s="98"/>
      <c r="D76" s="98"/>
      <c r="E76" s="43"/>
      <c r="F76" s="27"/>
    </row>
    <row r="77" spans="1:6" ht="15" x14ac:dyDescent="0.2">
      <c r="A77" s="27"/>
      <c r="B77" s="97" t="s">
        <v>23</v>
      </c>
      <c r="C77" s="97"/>
      <c r="D77" s="97"/>
      <c r="E77" s="43">
        <v>0</v>
      </c>
      <c r="F77" s="27"/>
    </row>
    <row r="78" spans="1:6" ht="15" x14ac:dyDescent="0.2">
      <c r="A78" s="27"/>
      <c r="B78" s="98"/>
      <c r="C78" s="98"/>
      <c r="D78" s="98"/>
      <c r="E78" s="43"/>
      <c r="F78" s="27"/>
    </row>
    <row r="79" spans="1:6" ht="19.5" customHeight="1" x14ac:dyDescent="0.2">
      <c r="A79" s="27"/>
      <c r="B79" s="44" t="s">
        <v>22</v>
      </c>
      <c r="C79" s="45"/>
      <c r="D79" s="45"/>
      <c r="E79" s="46">
        <f>E75-E77</f>
        <v>3604.4700000000003</v>
      </c>
      <c r="F79" s="27"/>
    </row>
    <row r="80" spans="1:6" ht="13.5" customHeight="1" x14ac:dyDescent="0.2">
      <c r="A80" s="27"/>
      <c r="B80" s="27"/>
      <c r="C80" s="27"/>
      <c r="D80" s="27"/>
      <c r="E80" s="27"/>
      <c r="F80" s="27"/>
    </row>
    <row r="81" spans="1:6" x14ac:dyDescent="0.2">
      <c r="A81" s="27"/>
      <c r="B81" s="27"/>
      <c r="C81" s="27"/>
      <c r="D81" s="27"/>
      <c r="E81" s="27"/>
      <c r="F81" s="27"/>
    </row>
    <row r="82" spans="1:6" x14ac:dyDescent="0.2">
      <c r="A82" s="27"/>
      <c r="B82" s="102"/>
      <c r="C82" s="102"/>
      <c r="D82" s="102"/>
      <c r="E82" s="102"/>
      <c r="F82" s="27"/>
    </row>
    <row r="83" spans="1:6" ht="14.25" x14ac:dyDescent="0.2">
      <c r="A83" s="95" t="s">
        <v>297</v>
      </c>
      <c r="B83" s="95"/>
      <c r="C83" s="95"/>
      <c r="D83" s="95"/>
      <c r="E83" s="95"/>
      <c r="F83" s="95"/>
    </row>
    <row r="84" spans="1:6" ht="14.25" x14ac:dyDescent="0.2">
      <c r="A84" s="93" t="s">
        <v>298</v>
      </c>
      <c r="B84" s="93"/>
      <c r="C84" s="93"/>
      <c r="D84" s="93"/>
      <c r="E84" s="93"/>
      <c r="F84" s="93"/>
    </row>
    <row r="85" spans="1:6" x14ac:dyDescent="0.2">
      <c r="A85" s="27"/>
      <c r="B85" s="27"/>
      <c r="C85" s="27"/>
      <c r="D85" s="27"/>
      <c r="E85" s="27"/>
      <c r="F85" s="27"/>
    </row>
    <row r="86" spans="1:6" x14ac:dyDescent="0.2">
      <c r="A86" s="27"/>
      <c r="B86" s="103"/>
      <c r="C86" s="103"/>
      <c r="D86" s="103"/>
      <c r="E86" s="103"/>
      <c r="F86" s="27"/>
    </row>
    <row r="87" spans="1:6" ht="15" x14ac:dyDescent="0.2">
      <c r="A87" s="94" t="s">
        <v>8</v>
      </c>
      <c r="B87" s="94"/>
      <c r="C87" s="94"/>
      <c r="D87" s="94"/>
      <c r="E87" s="94"/>
      <c r="F87" s="94"/>
    </row>
    <row r="89" spans="1:6" ht="39.75" customHeight="1" x14ac:dyDescent="0.2">
      <c r="B89" s="100"/>
      <c r="C89" s="101"/>
      <c r="D89" s="101"/>
    </row>
    <row r="90" spans="1:6" ht="13.5" customHeight="1" x14ac:dyDescent="0.2"/>
    <row r="91" spans="1:6" x14ac:dyDescent="0.2">
      <c r="B91" s="19"/>
      <c r="C91" s="19"/>
      <c r="D91" s="19"/>
    </row>
  </sheetData>
  <mergeCells count="45">
    <mergeCell ref="B86:E86"/>
    <mergeCell ref="A87:F87"/>
    <mergeCell ref="B89:D89"/>
    <mergeCell ref="B76:D76"/>
    <mergeCell ref="B77:D77"/>
    <mergeCell ref="B78:D78"/>
    <mergeCell ref="B82:E82"/>
    <mergeCell ref="A83:F83"/>
    <mergeCell ref="A84:F84"/>
    <mergeCell ref="B62:D62"/>
    <mergeCell ref="B63:D63"/>
    <mergeCell ref="B64:D64"/>
    <mergeCell ref="B65:D65"/>
    <mergeCell ref="B66:D66"/>
    <mergeCell ref="B67:D6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6:B78 B12:B20 B33:B67" xr:uid="{C08E6E27-A190-4CED-BCFD-F6B796CD09F6}">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Feuil28">
    <pageSetUpPr fitToPage="1"/>
  </sheetPr>
  <dimension ref="A1:D45"/>
  <sheetViews>
    <sheetView view="pageBreakPreview" topLeftCell="A10" zoomScaleNormal="100" workbookViewId="0">
      <selection activeCell="C13" sqref="C13"/>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107" t="s">
        <v>1</v>
      </c>
      <c r="C1" s="107"/>
      <c r="D1" s="13"/>
    </row>
    <row r="2" spans="1:4" ht="13.5" customHeight="1" x14ac:dyDescent="0.3">
      <c r="A2" s="6"/>
      <c r="B2" s="14"/>
      <c r="C2" s="14"/>
      <c r="D2" s="7"/>
    </row>
    <row r="3" spans="1:4" ht="13.5" thickBot="1" x14ac:dyDescent="0.25">
      <c r="A3" s="6"/>
      <c r="B3" s="15"/>
      <c r="C3" s="15"/>
      <c r="D3" s="7"/>
    </row>
    <row r="4" spans="1:4" ht="13.5" thickBot="1" x14ac:dyDescent="0.25">
      <c r="A4" s="6"/>
      <c r="B4" s="92"/>
      <c r="C4" s="91" t="s">
        <v>3</v>
      </c>
      <c r="D4" s="7"/>
    </row>
    <row r="5" spans="1:4" s="2" customFormat="1" x14ac:dyDescent="0.2">
      <c r="A5" s="23"/>
      <c r="B5" s="24"/>
      <c r="C5" s="90" t="s">
        <v>429</v>
      </c>
      <c r="D5" s="25"/>
    </row>
    <row r="6" spans="1:4" x14ac:dyDescent="0.2">
      <c r="A6" s="6"/>
      <c r="B6" s="16"/>
      <c r="C6" s="8" t="s">
        <v>12</v>
      </c>
      <c r="D6" s="7"/>
    </row>
    <row r="7" spans="1:4" x14ac:dyDescent="0.2">
      <c r="A7" s="6"/>
      <c r="B7" s="16"/>
      <c r="C7" s="8" t="s">
        <v>430</v>
      </c>
      <c r="D7" s="7"/>
    </row>
    <row r="8" spans="1:4" x14ac:dyDescent="0.2">
      <c r="A8" s="6"/>
      <c r="B8" s="16"/>
      <c r="C8" s="8" t="s">
        <v>431</v>
      </c>
      <c r="D8" s="7"/>
    </row>
    <row r="9" spans="1:4" x14ac:dyDescent="0.2">
      <c r="A9" s="6"/>
      <c r="B9" s="16"/>
      <c r="C9" s="8" t="s">
        <v>432</v>
      </c>
      <c r="D9" s="7"/>
    </row>
    <row r="10" spans="1:4" x14ac:dyDescent="0.2">
      <c r="A10" s="6"/>
      <c r="B10" s="16"/>
      <c r="C10" s="8" t="s">
        <v>433</v>
      </c>
      <c r="D10" s="7"/>
    </row>
    <row r="11" spans="1:4" x14ac:dyDescent="0.2">
      <c r="A11" s="6"/>
      <c r="B11" s="16"/>
      <c r="C11" s="8" t="s">
        <v>2</v>
      </c>
      <c r="D11" s="7"/>
    </row>
    <row r="12" spans="1:4" ht="25.5" x14ac:dyDescent="0.2">
      <c r="A12" s="6"/>
      <c r="B12" s="16"/>
      <c r="C12" s="8" t="s">
        <v>434</v>
      </c>
      <c r="D12" s="7"/>
    </row>
    <row r="13" spans="1:4" x14ac:dyDescent="0.2">
      <c r="A13" s="6"/>
      <c r="B13" s="16"/>
      <c r="C13" s="8" t="s">
        <v>9</v>
      </c>
      <c r="D13" s="7"/>
    </row>
    <row r="14" spans="1:4" x14ac:dyDescent="0.2">
      <c r="A14" s="6"/>
      <c r="B14" s="16"/>
      <c r="C14" s="8" t="s">
        <v>435</v>
      </c>
      <c r="D14" s="7"/>
    </row>
    <row r="15" spans="1:4" x14ac:dyDescent="0.2">
      <c r="A15" s="6"/>
      <c r="B15" s="16"/>
      <c r="C15" s="8" t="s">
        <v>436</v>
      </c>
      <c r="D15" s="7"/>
    </row>
    <row r="16" spans="1:4" ht="25.5" x14ac:dyDescent="0.2">
      <c r="A16" s="6"/>
      <c r="B16" s="16"/>
      <c r="C16" s="8" t="s">
        <v>437</v>
      </c>
      <c r="D16" s="7"/>
    </row>
    <row r="17" spans="1:4" ht="25.5" x14ac:dyDescent="0.2">
      <c r="A17" s="6"/>
      <c r="B17" s="16"/>
      <c r="C17" s="8" t="s">
        <v>438</v>
      </c>
      <c r="D17" s="7"/>
    </row>
    <row r="18" spans="1:4" x14ac:dyDescent="0.2">
      <c r="A18" s="6"/>
      <c r="B18" s="16"/>
      <c r="C18" s="8" t="s">
        <v>11</v>
      </c>
      <c r="D18" s="7"/>
    </row>
    <row r="19" spans="1:4" ht="25.5" x14ac:dyDescent="0.2">
      <c r="A19" s="6"/>
      <c r="B19" s="16"/>
      <c r="C19" s="8" t="s">
        <v>10</v>
      </c>
      <c r="D19" s="7"/>
    </row>
    <row r="20" spans="1:4" x14ac:dyDescent="0.2">
      <c r="A20" s="6"/>
      <c r="B20" s="16"/>
      <c r="C20" s="8" t="s">
        <v>439</v>
      </c>
      <c r="D20" s="7"/>
    </row>
    <row r="21" spans="1:4" x14ac:dyDescent="0.2">
      <c r="A21" s="6"/>
      <c r="B21" s="16"/>
      <c r="C21" s="8" t="s">
        <v>440</v>
      </c>
      <c r="D21" s="7"/>
    </row>
    <row r="22" spans="1:4" x14ac:dyDescent="0.2">
      <c r="A22" s="6"/>
      <c r="B22" s="16"/>
      <c r="C22" s="8" t="s">
        <v>441</v>
      </c>
      <c r="D22" s="7"/>
    </row>
    <row r="23" spans="1:4" ht="25.5" x14ac:dyDescent="0.2">
      <c r="A23" s="6"/>
      <c r="B23" s="16"/>
      <c r="C23" s="8" t="s">
        <v>442</v>
      </c>
      <c r="D23" s="7"/>
    </row>
    <row r="24" spans="1:4" x14ac:dyDescent="0.2">
      <c r="A24" s="6"/>
      <c r="B24" s="16"/>
      <c r="C24" s="9" t="s">
        <v>443</v>
      </c>
      <c r="D24" s="7"/>
    </row>
    <row r="25" spans="1:4" x14ac:dyDescent="0.2">
      <c r="A25" s="6"/>
      <c r="B25" s="16"/>
      <c r="C25" s="9" t="s">
        <v>444</v>
      </c>
      <c r="D25" s="7"/>
    </row>
    <row r="26" spans="1:4" x14ac:dyDescent="0.2">
      <c r="A26" s="6"/>
      <c r="B26" s="16"/>
      <c r="C26" s="9" t="s">
        <v>445</v>
      </c>
      <c r="D26" s="7"/>
    </row>
    <row r="27" spans="1:4" x14ac:dyDescent="0.2">
      <c r="A27" s="6"/>
      <c r="B27" s="16"/>
      <c r="C27" s="9" t="s">
        <v>446</v>
      </c>
      <c r="D27" s="7"/>
    </row>
    <row r="28" spans="1:4" x14ac:dyDescent="0.2">
      <c r="A28" s="6"/>
      <c r="B28" s="16"/>
      <c r="C28" s="9" t="s">
        <v>447</v>
      </c>
      <c r="D28" s="7"/>
    </row>
    <row r="29" spans="1:4" x14ac:dyDescent="0.2">
      <c r="A29" s="6"/>
      <c r="B29" s="16"/>
      <c r="C29" s="9" t="s">
        <v>448</v>
      </c>
      <c r="D29" s="7"/>
    </row>
    <row r="30" spans="1:4" x14ac:dyDescent="0.2">
      <c r="A30" s="6"/>
      <c r="B30" s="16"/>
      <c r="C30" s="9" t="s">
        <v>449</v>
      </c>
      <c r="D30" s="7"/>
    </row>
    <row r="31" spans="1:4" x14ac:dyDescent="0.2">
      <c r="A31" s="6"/>
      <c r="B31" s="16"/>
      <c r="C31" s="8" t="s">
        <v>450</v>
      </c>
      <c r="D31" s="7"/>
    </row>
    <row r="32" spans="1:4" x14ac:dyDescent="0.2">
      <c r="A32" s="6"/>
      <c r="B32" s="16"/>
      <c r="C32" s="8" t="s">
        <v>451</v>
      </c>
      <c r="D32" s="7"/>
    </row>
    <row r="33" spans="1:4" x14ac:dyDescent="0.2">
      <c r="A33" s="6"/>
      <c r="B33" s="16"/>
      <c r="C33" s="8" t="s">
        <v>452</v>
      </c>
      <c r="D33" s="7"/>
    </row>
    <row r="34" spans="1:4" x14ac:dyDescent="0.2">
      <c r="A34" s="6"/>
      <c r="B34" s="16"/>
      <c r="C34" s="8" t="s">
        <v>453</v>
      </c>
      <c r="D34" s="7"/>
    </row>
    <row r="35" spans="1:4" x14ac:dyDescent="0.2">
      <c r="A35" s="6"/>
      <c r="B35" s="16"/>
      <c r="C35" s="8" t="s">
        <v>14</v>
      </c>
      <c r="D35" s="7"/>
    </row>
    <row r="36" spans="1:4" x14ac:dyDescent="0.2">
      <c r="A36" s="6"/>
      <c r="B36" s="16"/>
      <c r="C36" s="8"/>
      <c r="D36" s="7"/>
    </row>
    <row r="37" spans="1:4" x14ac:dyDescent="0.2">
      <c r="A37" s="6"/>
      <c r="B37" s="16"/>
      <c r="C37" s="90" t="s">
        <v>13</v>
      </c>
      <c r="D37" s="7"/>
    </row>
    <row r="38" spans="1:4" x14ac:dyDescent="0.2">
      <c r="A38" s="6"/>
      <c r="B38" s="16"/>
      <c r="C38" s="8" t="s">
        <v>454</v>
      </c>
      <c r="D38" s="7"/>
    </row>
    <row r="39" spans="1:4" ht="25.5" x14ac:dyDescent="0.2">
      <c r="A39" s="6"/>
      <c r="B39" s="16"/>
      <c r="C39" s="8" t="s">
        <v>455</v>
      </c>
      <c r="D39" s="7"/>
    </row>
    <row r="40" spans="1:4" x14ac:dyDescent="0.2">
      <c r="A40" s="6"/>
      <c r="B40" s="16"/>
      <c r="C40" s="8" t="s">
        <v>456</v>
      </c>
      <c r="D40" s="7"/>
    </row>
    <row r="41" spans="1:4" x14ac:dyDescent="0.2">
      <c r="A41" s="6"/>
      <c r="B41" s="16"/>
      <c r="C41" s="10" t="s">
        <v>457</v>
      </c>
      <c r="D41" s="7"/>
    </row>
    <row r="42" spans="1:4" x14ac:dyDescent="0.2">
      <c r="A42" s="6"/>
      <c r="B42" s="16"/>
      <c r="C42" s="7" t="s">
        <v>15</v>
      </c>
      <c r="D42" s="7"/>
    </row>
    <row r="43" spans="1:4" x14ac:dyDescent="0.2">
      <c r="A43" s="6"/>
      <c r="B43" s="16"/>
      <c r="C43" s="10" t="s">
        <v>458</v>
      </c>
      <c r="D43" s="7"/>
    </row>
    <row r="44" spans="1:4" x14ac:dyDescent="0.2">
      <c r="A44" s="6"/>
      <c r="B44" s="17"/>
      <c r="C44" s="8"/>
      <c r="D44" s="7"/>
    </row>
    <row r="45" spans="1:4" ht="13.5" thickBot="1" x14ac:dyDescent="0.25">
      <c r="A45" s="11"/>
      <c r="B45" s="18"/>
      <c r="C45" s="12"/>
      <c r="D45" s="12"/>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pageSetUpPr fitToPage="1"/>
  </sheetPr>
  <dimension ref="A12:F98"/>
  <sheetViews>
    <sheetView view="pageBreakPreview" topLeftCell="A46"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61</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40</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62</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63</v>
      </c>
      <c r="C36" s="96"/>
      <c r="D36" s="96"/>
      <c r="E36" s="34">
        <f>1.25*190</f>
        <v>237.5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c r="C39" s="96"/>
      <c r="D39" s="96"/>
      <c r="E39" s="34"/>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c r="C42" s="96"/>
      <c r="D42" s="96"/>
      <c r="E42" s="34"/>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237.5</v>
      </c>
      <c r="F75" s="27"/>
    </row>
    <row r="76" spans="1:6" ht="13.5" customHeight="1" x14ac:dyDescent="0.2">
      <c r="A76" s="27"/>
      <c r="B76" s="40" t="s">
        <v>17</v>
      </c>
      <c r="C76" s="32"/>
      <c r="D76" s="32"/>
      <c r="E76" s="36">
        <v>0</v>
      </c>
      <c r="F76" s="27"/>
    </row>
    <row r="77" spans="1:6" ht="13.5" customHeight="1" x14ac:dyDescent="0.2">
      <c r="A77" s="27"/>
      <c r="B77" s="40" t="s">
        <v>18</v>
      </c>
      <c r="C77" s="32"/>
      <c r="D77" s="32"/>
      <c r="E77" s="36">
        <v>0</v>
      </c>
      <c r="F77" s="27"/>
    </row>
    <row r="78" spans="1:6" ht="13.5" customHeight="1" x14ac:dyDescent="0.2">
      <c r="A78" s="27"/>
      <c r="B78" s="31" t="s">
        <v>19</v>
      </c>
      <c r="C78" s="32"/>
      <c r="D78" s="32"/>
      <c r="E78" s="35">
        <f>SUM(E75:E77)</f>
        <v>237.5</v>
      </c>
      <c r="F78" s="27"/>
    </row>
    <row r="79" spans="1:6" ht="13.5" customHeight="1" x14ac:dyDescent="0.2">
      <c r="A79" s="27"/>
      <c r="B79" s="32" t="s">
        <v>5</v>
      </c>
      <c r="C79" s="37">
        <v>0.05</v>
      </c>
      <c r="D79" s="32"/>
      <c r="E79" s="41">
        <f>ROUND(E78*C79,2)</f>
        <v>11.88</v>
      </c>
      <c r="F79" s="27"/>
    </row>
    <row r="80" spans="1:6" ht="13.5" customHeight="1" x14ac:dyDescent="0.2">
      <c r="A80" s="27"/>
      <c r="B80" s="32" t="s">
        <v>4</v>
      </c>
      <c r="C80" s="37">
        <v>8.5000000000000006E-2</v>
      </c>
      <c r="D80" s="32"/>
      <c r="E80" s="42">
        <f>ROUND((E78+E79)*C80,2)</f>
        <v>21.2</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270.58</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270.58</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7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pageSetUpPr fitToPage="1"/>
  </sheetPr>
  <dimension ref="A12:F98"/>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0"/>
      <c r="B21" s="31" t="s">
        <v>64</v>
      </c>
      <c r="C21" s="27"/>
      <c r="D21" s="27"/>
      <c r="E21" s="27"/>
      <c r="F21" s="27"/>
    </row>
    <row r="22" spans="1:6" ht="15" x14ac:dyDescent="0.2">
      <c r="A22" s="20"/>
      <c r="B22" s="32"/>
      <c r="C22" s="27"/>
      <c r="D22" s="27"/>
      <c r="E22" s="27"/>
      <c r="F22" s="27"/>
    </row>
    <row r="23" spans="1:6" ht="15" x14ac:dyDescent="0.2">
      <c r="A23" s="20"/>
      <c r="B23" s="32"/>
      <c r="C23" s="27"/>
      <c r="D23" s="27"/>
      <c r="E23" s="27"/>
      <c r="F23" s="27"/>
    </row>
    <row r="24" spans="1:6" ht="15" x14ac:dyDescent="0.2">
      <c r="A24" s="20"/>
      <c r="B24" s="31" t="s">
        <v>65</v>
      </c>
      <c r="C24" s="27"/>
      <c r="D24" s="27"/>
      <c r="E24" s="27"/>
      <c r="F24" s="27"/>
    </row>
    <row r="25" spans="1:6" ht="15" x14ac:dyDescent="0.2">
      <c r="A25" s="20"/>
      <c r="B25" s="31" t="s">
        <v>26</v>
      </c>
      <c r="C25" s="27"/>
      <c r="D25" s="27"/>
      <c r="E25" s="27"/>
      <c r="F25" s="27"/>
    </row>
    <row r="26" spans="1:6" ht="15" x14ac:dyDescent="0.2">
      <c r="A26" s="20"/>
      <c r="B26" s="32" t="s">
        <v>27</v>
      </c>
      <c r="C26" s="27"/>
      <c r="D26" s="27"/>
      <c r="E26" s="27"/>
      <c r="F26" s="27"/>
    </row>
    <row r="27" spans="1:6" ht="15" x14ac:dyDescent="0.2">
      <c r="A27" s="20"/>
      <c r="B27" s="32" t="s">
        <v>28</v>
      </c>
      <c r="C27" s="27"/>
      <c r="D27" s="27"/>
      <c r="E27" s="27"/>
      <c r="F27" s="27"/>
    </row>
    <row r="28" spans="1:6" x14ac:dyDescent="0.2">
      <c r="A28" s="21"/>
      <c r="B28" s="27"/>
      <c r="C28" s="29"/>
      <c r="D28" s="29"/>
      <c r="E28" s="30"/>
      <c r="F28" s="27"/>
    </row>
    <row r="29" spans="1:6" ht="15" x14ac:dyDescent="0.2">
      <c r="A29" s="20"/>
      <c r="B29" s="29"/>
      <c r="C29" s="29"/>
      <c r="D29" s="33" t="s">
        <v>16</v>
      </c>
      <c r="E29" s="33" t="s">
        <v>70</v>
      </c>
      <c r="F29" s="27"/>
    </row>
    <row r="30" spans="1:6" ht="13.5" thickBot="1" x14ac:dyDescent="0.25">
      <c r="A30" s="22"/>
      <c r="B30" s="22"/>
      <c r="C30" s="22"/>
      <c r="D30" s="22"/>
      <c r="E30" s="22"/>
      <c r="F30" s="26"/>
    </row>
    <row r="31" spans="1:6" s="47" customFormat="1" ht="21.75" customHeight="1" x14ac:dyDescent="0.2">
      <c r="A31" s="99" t="s">
        <v>0</v>
      </c>
      <c r="B31" s="99"/>
      <c r="C31" s="99"/>
      <c r="D31" s="99"/>
      <c r="E31" s="99"/>
      <c r="F31" s="99"/>
    </row>
    <row r="32" spans="1:6" x14ac:dyDescent="0.2">
      <c r="A32" s="20"/>
      <c r="B32" s="21"/>
      <c r="C32" s="20"/>
      <c r="D32" s="20"/>
      <c r="E32" s="20"/>
    </row>
    <row r="33" spans="1:6" ht="14.25" x14ac:dyDescent="0.2">
      <c r="A33" s="27"/>
      <c r="B33" s="28" t="s">
        <v>6</v>
      </c>
      <c r="C33" s="28"/>
      <c r="D33" s="28"/>
      <c r="E33" s="34"/>
      <c r="F33" s="27"/>
    </row>
    <row r="34" spans="1:6" ht="14.25" x14ac:dyDescent="0.2">
      <c r="A34" s="27"/>
      <c r="B34" s="96"/>
      <c r="C34" s="96"/>
      <c r="D34" s="96"/>
      <c r="E34" s="34"/>
      <c r="F34" s="27"/>
    </row>
    <row r="35" spans="1:6" ht="14.25" x14ac:dyDescent="0.2">
      <c r="A35" s="27"/>
      <c r="B35" s="96"/>
      <c r="C35" s="96"/>
      <c r="D35" s="96"/>
      <c r="E35" s="34"/>
      <c r="F35" s="27"/>
    </row>
    <row r="36" spans="1:6" ht="14.25" x14ac:dyDescent="0.2">
      <c r="A36" s="27"/>
      <c r="B36" s="96" t="s">
        <v>66</v>
      </c>
      <c r="C36" s="96"/>
      <c r="D36" s="96"/>
      <c r="E36" s="34">
        <f>1.5*190</f>
        <v>285</v>
      </c>
      <c r="F36" s="27"/>
    </row>
    <row r="37" spans="1:6" ht="14.25" x14ac:dyDescent="0.2">
      <c r="A37" s="27"/>
      <c r="B37" s="96"/>
      <c r="C37" s="96"/>
      <c r="D37" s="96"/>
      <c r="E37" s="34"/>
      <c r="F37" s="27"/>
    </row>
    <row r="38" spans="1:6" ht="14.25" x14ac:dyDescent="0.2">
      <c r="A38" s="27"/>
      <c r="B38" s="96"/>
      <c r="C38" s="96"/>
      <c r="D38" s="96"/>
      <c r="E38" s="34"/>
      <c r="F38" s="27"/>
    </row>
    <row r="39" spans="1:6" ht="14.25" x14ac:dyDescent="0.2">
      <c r="A39" s="27"/>
      <c r="B39" s="96" t="s">
        <v>67</v>
      </c>
      <c r="C39" s="96"/>
      <c r="D39" s="96"/>
      <c r="E39" s="34">
        <f>0.4*190</f>
        <v>76</v>
      </c>
      <c r="F39" s="27"/>
    </row>
    <row r="40" spans="1:6" ht="14.25" x14ac:dyDescent="0.2">
      <c r="A40" s="27"/>
      <c r="B40" s="96"/>
      <c r="C40" s="96"/>
      <c r="D40" s="96"/>
      <c r="E40" s="34"/>
      <c r="F40" s="27"/>
    </row>
    <row r="41" spans="1:6" ht="13.5" customHeight="1" x14ac:dyDescent="0.2">
      <c r="A41" s="27"/>
      <c r="B41" s="96"/>
      <c r="C41" s="96"/>
      <c r="D41" s="96"/>
      <c r="E41" s="34"/>
      <c r="F41" s="27"/>
    </row>
    <row r="42" spans="1:6" ht="14.25" x14ac:dyDescent="0.2">
      <c r="A42" s="27"/>
      <c r="B42" s="96" t="s">
        <v>68</v>
      </c>
      <c r="C42" s="96"/>
      <c r="D42" s="96"/>
      <c r="E42" s="34">
        <f>5*190</f>
        <v>950</v>
      </c>
      <c r="F42" s="27"/>
    </row>
    <row r="43" spans="1:6" ht="14.25" x14ac:dyDescent="0.2">
      <c r="A43" s="27"/>
      <c r="B43" s="96"/>
      <c r="C43" s="96"/>
      <c r="D43" s="96"/>
      <c r="E43" s="34"/>
      <c r="F43" s="27"/>
    </row>
    <row r="44" spans="1:6" ht="14.25" x14ac:dyDescent="0.2">
      <c r="A44" s="27"/>
      <c r="B44" s="96"/>
      <c r="C44" s="96"/>
      <c r="D44" s="96"/>
      <c r="E44" s="34"/>
      <c r="F44" s="27"/>
    </row>
    <row r="45" spans="1:6" ht="14.25" x14ac:dyDescent="0.2">
      <c r="A45" s="27"/>
      <c r="B45" s="96"/>
      <c r="C45" s="96"/>
      <c r="D45" s="96"/>
      <c r="E45" s="34"/>
      <c r="F45" s="27"/>
    </row>
    <row r="46" spans="1:6" ht="14.25" x14ac:dyDescent="0.2">
      <c r="A46" s="27"/>
      <c r="B46" s="96"/>
      <c r="C46" s="96"/>
      <c r="D46" s="96"/>
      <c r="E46" s="34"/>
      <c r="F46" s="27"/>
    </row>
    <row r="47" spans="1:6" ht="14.25" x14ac:dyDescent="0.2">
      <c r="A47" s="27"/>
      <c r="B47" s="96"/>
      <c r="C47" s="96"/>
      <c r="D47" s="96"/>
      <c r="E47" s="34"/>
      <c r="F47" s="27"/>
    </row>
    <row r="48" spans="1:6" ht="14.25" x14ac:dyDescent="0.2">
      <c r="A48" s="27"/>
      <c r="B48" s="96"/>
      <c r="C48" s="96"/>
      <c r="D48" s="96"/>
      <c r="E48" s="34"/>
      <c r="F48" s="27"/>
    </row>
    <row r="49" spans="1:6" ht="14.25" x14ac:dyDescent="0.2">
      <c r="A49" s="27"/>
      <c r="B49" s="96"/>
      <c r="C49" s="96"/>
      <c r="D49" s="96"/>
      <c r="E49" s="34"/>
      <c r="F49" s="27"/>
    </row>
    <row r="50" spans="1:6" ht="14.25" x14ac:dyDescent="0.2">
      <c r="A50" s="27"/>
      <c r="B50" s="96"/>
      <c r="C50" s="96"/>
      <c r="D50" s="96"/>
      <c r="E50" s="34"/>
      <c r="F50" s="27"/>
    </row>
    <row r="51" spans="1:6" ht="14.25" x14ac:dyDescent="0.2">
      <c r="A51" s="27"/>
      <c r="B51" s="96"/>
      <c r="C51" s="96"/>
      <c r="D51" s="96"/>
      <c r="E51" s="34"/>
      <c r="F51" s="27"/>
    </row>
    <row r="52" spans="1:6" ht="14.25" x14ac:dyDescent="0.2">
      <c r="A52" s="27"/>
      <c r="B52" s="96"/>
      <c r="C52" s="96"/>
      <c r="D52" s="96"/>
      <c r="E52" s="34"/>
      <c r="F52" s="27"/>
    </row>
    <row r="53" spans="1:6" ht="14.25" x14ac:dyDescent="0.2">
      <c r="A53" s="27"/>
      <c r="B53" s="96"/>
      <c r="C53" s="96"/>
      <c r="D53" s="96"/>
      <c r="E53" s="34"/>
      <c r="F53" s="27"/>
    </row>
    <row r="54" spans="1:6" ht="14.25" x14ac:dyDescent="0.2">
      <c r="A54" s="27"/>
      <c r="B54" s="96"/>
      <c r="C54" s="96"/>
      <c r="D54" s="96"/>
      <c r="E54" s="34"/>
      <c r="F54" s="27"/>
    </row>
    <row r="55" spans="1:6" ht="14.25" x14ac:dyDescent="0.2">
      <c r="A55" s="27"/>
      <c r="B55" s="96"/>
      <c r="C55" s="96"/>
      <c r="D55" s="96"/>
      <c r="E55" s="34"/>
      <c r="F55" s="27"/>
    </row>
    <row r="56" spans="1:6" ht="14.25" x14ac:dyDescent="0.2">
      <c r="A56" s="27"/>
      <c r="B56" s="96"/>
      <c r="C56" s="96"/>
      <c r="D56" s="96"/>
      <c r="E56" s="34"/>
      <c r="F56" s="27"/>
    </row>
    <row r="57" spans="1:6" ht="14.25" x14ac:dyDescent="0.2">
      <c r="A57" s="27"/>
      <c r="B57" s="96"/>
      <c r="C57" s="96"/>
      <c r="D57" s="96"/>
      <c r="E57" s="34"/>
      <c r="F57" s="27"/>
    </row>
    <row r="58" spans="1:6" ht="14.25" x14ac:dyDescent="0.2">
      <c r="A58" s="27"/>
      <c r="B58" s="96"/>
      <c r="C58" s="96"/>
      <c r="D58" s="96"/>
      <c r="E58" s="34"/>
      <c r="F58" s="27"/>
    </row>
    <row r="59" spans="1:6" ht="14.25" x14ac:dyDescent="0.2">
      <c r="A59" s="27"/>
      <c r="B59" s="96"/>
      <c r="C59" s="96"/>
      <c r="D59" s="96"/>
      <c r="E59" s="34"/>
      <c r="F59" s="27"/>
    </row>
    <row r="60" spans="1:6" ht="14.25" x14ac:dyDescent="0.2">
      <c r="A60" s="27"/>
      <c r="B60" s="96"/>
      <c r="C60" s="96"/>
      <c r="D60" s="96"/>
      <c r="E60" s="34"/>
      <c r="F60" s="27"/>
    </row>
    <row r="61" spans="1:6" ht="14.25" x14ac:dyDescent="0.2">
      <c r="A61" s="27"/>
      <c r="B61" s="96"/>
      <c r="C61" s="96"/>
      <c r="D61" s="96"/>
      <c r="E61" s="34"/>
      <c r="F61" s="27"/>
    </row>
    <row r="62" spans="1:6" ht="14.25" x14ac:dyDescent="0.2">
      <c r="A62" s="27"/>
      <c r="B62" s="96"/>
      <c r="C62" s="96"/>
      <c r="D62" s="96"/>
      <c r="E62" s="34"/>
      <c r="F62" s="27"/>
    </row>
    <row r="63" spans="1:6" ht="14.25" x14ac:dyDescent="0.2">
      <c r="A63" s="27"/>
      <c r="B63" s="96"/>
      <c r="C63" s="96"/>
      <c r="D63" s="96"/>
      <c r="E63" s="34"/>
      <c r="F63" s="27"/>
    </row>
    <row r="64" spans="1:6" ht="14.25" x14ac:dyDescent="0.2">
      <c r="A64" s="27"/>
      <c r="B64" s="96"/>
      <c r="C64" s="96"/>
      <c r="D64" s="96"/>
      <c r="E64" s="34"/>
      <c r="F64" s="27"/>
    </row>
    <row r="65" spans="1:6" ht="14.25" x14ac:dyDescent="0.2">
      <c r="A65" s="27"/>
      <c r="B65" s="96"/>
      <c r="C65" s="96"/>
      <c r="D65" s="96"/>
      <c r="E65" s="34"/>
      <c r="F65" s="27"/>
    </row>
    <row r="66" spans="1:6" ht="14.25" x14ac:dyDescent="0.2">
      <c r="A66" s="27"/>
      <c r="B66" s="96"/>
      <c r="C66" s="96"/>
      <c r="D66" s="96"/>
      <c r="E66" s="34"/>
      <c r="F66" s="27"/>
    </row>
    <row r="67" spans="1:6" ht="14.25" x14ac:dyDescent="0.2">
      <c r="A67" s="27"/>
      <c r="B67" s="96"/>
      <c r="C67" s="96"/>
      <c r="D67" s="96"/>
      <c r="E67" s="34"/>
      <c r="F67" s="27"/>
    </row>
    <row r="68" spans="1:6" ht="14.25" x14ac:dyDescent="0.2">
      <c r="A68" s="27"/>
      <c r="B68" s="96"/>
      <c r="C68" s="96"/>
      <c r="D68" s="96"/>
      <c r="E68" s="34"/>
      <c r="F68" s="27"/>
    </row>
    <row r="69" spans="1:6" ht="14.25" x14ac:dyDescent="0.2">
      <c r="A69" s="27"/>
      <c r="B69" s="96"/>
      <c r="C69" s="96"/>
      <c r="D69" s="96"/>
      <c r="E69" s="34"/>
      <c r="F69" s="27"/>
    </row>
    <row r="70" spans="1:6" ht="14.25" x14ac:dyDescent="0.2">
      <c r="A70" s="27"/>
      <c r="B70" s="96"/>
      <c r="C70" s="96"/>
      <c r="D70" s="96"/>
      <c r="E70" s="34"/>
      <c r="F70" s="27"/>
    </row>
    <row r="71" spans="1:6" ht="14.25" x14ac:dyDescent="0.2">
      <c r="A71" s="27"/>
      <c r="B71" s="96"/>
      <c r="C71" s="96"/>
      <c r="D71" s="96"/>
      <c r="E71" s="34"/>
      <c r="F71" s="27"/>
    </row>
    <row r="72" spans="1:6" ht="14.25" x14ac:dyDescent="0.2">
      <c r="A72" s="27"/>
      <c r="B72" s="96"/>
      <c r="C72" s="96"/>
      <c r="D72" s="96"/>
      <c r="E72" s="34"/>
      <c r="F72" s="27"/>
    </row>
    <row r="73" spans="1:6" ht="14.25" x14ac:dyDescent="0.2">
      <c r="A73" s="27"/>
      <c r="B73" s="96"/>
      <c r="C73" s="96"/>
      <c r="D73" s="96"/>
      <c r="E73" s="34"/>
      <c r="F73" s="27"/>
    </row>
    <row r="74" spans="1:6" ht="13.5" customHeight="1" x14ac:dyDescent="0.2">
      <c r="A74" s="27"/>
      <c r="B74" s="96"/>
      <c r="C74" s="96"/>
      <c r="D74" s="96"/>
      <c r="E74" s="34"/>
      <c r="F74" s="27"/>
    </row>
    <row r="75" spans="1:6" ht="13.5" customHeight="1" x14ac:dyDescent="0.2">
      <c r="A75" s="27"/>
      <c r="B75" s="31" t="s">
        <v>20</v>
      </c>
      <c r="C75" s="32"/>
      <c r="D75" s="32"/>
      <c r="E75" s="35">
        <f>SUM(E36:E74)</f>
        <v>1311</v>
      </c>
      <c r="F75" s="27"/>
    </row>
    <row r="76" spans="1:6" ht="13.5" customHeight="1" x14ac:dyDescent="0.2">
      <c r="A76" s="27"/>
      <c r="B76" s="40" t="s">
        <v>17</v>
      </c>
      <c r="C76" s="32"/>
      <c r="D76" s="32"/>
      <c r="E76" s="36">
        <v>0</v>
      </c>
      <c r="F76" s="27"/>
    </row>
    <row r="77" spans="1:6" ht="13.5" customHeight="1" x14ac:dyDescent="0.2">
      <c r="A77" s="27"/>
      <c r="B77" s="40" t="s">
        <v>69</v>
      </c>
      <c r="C77" s="32"/>
      <c r="D77" s="32"/>
      <c r="E77" s="36">
        <f>300*1.25</f>
        <v>375</v>
      </c>
      <c r="F77" s="27"/>
    </row>
    <row r="78" spans="1:6" ht="13.5" customHeight="1" x14ac:dyDescent="0.2">
      <c r="A78" s="27"/>
      <c r="B78" s="31" t="s">
        <v>19</v>
      </c>
      <c r="C78" s="32"/>
      <c r="D78" s="32"/>
      <c r="E78" s="35">
        <f>SUM(E75:E77)</f>
        <v>1686</v>
      </c>
      <c r="F78" s="27"/>
    </row>
    <row r="79" spans="1:6" ht="13.5" customHeight="1" x14ac:dyDescent="0.2">
      <c r="A79" s="27"/>
      <c r="B79" s="32" t="s">
        <v>5</v>
      </c>
      <c r="C79" s="37">
        <v>0.05</v>
      </c>
      <c r="D79" s="32"/>
      <c r="E79" s="41">
        <f>ROUND(E78*C79,2)</f>
        <v>84.3</v>
      </c>
      <c r="F79" s="27"/>
    </row>
    <row r="80" spans="1:6" ht="13.5" customHeight="1" x14ac:dyDescent="0.2">
      <c r="A80" s="27"/>
      <c r="B80" s="32" t="s">
        <v>4</v>
      </c>
      <c r="C80" s="37">
        <v>8.5000000000000006E-2</v>
      </c>
      <c r="D80" s="32"/>
      <c r="E80" s="42">
        <f>ROUND((E78+E79)*C80,2)</f>
        <v>150.47999999999999</v>
      </c>
      <c r="F80" s="27"/>
    </row>
    <row r="81" spans="1:6" ht="13.5" customHeight="1" x14ac:dyDescent="0.2">
      <c r="A81" s="27"/>
      <c r="B81" s="32"/>
      <c r="C81" s="32"/>
      <c r="D81" s="32"/>
      <c r="E81" s="38"/>
      <c r="F81" s="27"/>
    </row>
    <row r="82" spans="1:6" ht="16.5" customHeight="1" thickBot="1" x14ac:dyDescent="0.25">
      <c r="A82" s="27"/>
      <c r="B82" s="31" t="s">
        <v>21</v>
      </c>
      <c r="C82" s="32"/>
      <c r="D82" s="32"/>
      <c r="E82" s="39">
        <f>SUM(E78:E80)</f>
        <v>1920.78</v>
      </c>
      <c r="F82" s="27"/>
    </row>
    <row r="83" spans="1:6" ht="15.75" thickTop="1" x14ac:dyDescent="0.2">
      <c r="A83" s="27"/>
      <c r="B83" s="98"/>
      <c r="C83" s="98"/>
      <c r="D83" s="98"/>
      <c r="E83" s="43"/>
      <c r="F83" s="27"/>
    </row>
    <row r="84" spans="1:6" ht="15" x14ac:dyDescent="0.2">
      <c r="A84" s="27"/>
      <c r="B84" s="97" t="s">
        <v>23</v>
      </c>
      <c r="C84" s="97"/>
      <c r="D84" s="97"/>
      <c r="E84" s="43">
        <v>0</v>
      </c>
      <c r="F84" s="27"/>
    </row>
    <row r="85" spans="1:6" ht="15" x14ac:dyDescent="0.2">
      <c r="A85" s="27"/>
      <c r="B85" s="98"/>
      <c r="C85" s="98"/>
      <c r="D85" s="98"/>
      <c r="E85" s="43"/>
      <c r="F85" s="27"/>
    </row>
    <row r="86" spans="1:6" ht="19.5" customHeight="1" x14ac:dyDescent="0.2">
      <c r="A86" s="27"/>
      <c r="B86" s="44" t="s">
        <v>22</v>
      </c>
      <c r="C86" s="45"/>
      <c r="D86" s="45"/>
      <c r="E86" s="46">
        <f>E82-E84</f>
        <v>1920.78</v>
      </c>
      <c r="F86" s="27"/>
    </row>
    <row r="87" spans="1:6" ht="13.5" customHeight="1" x14ac:dyDescent="0.2">
      <c r="A87" s="27"/>
      <c r="B87" s="27"/>
      <c r="C87" s="27"/>
      <c r="D87" s="27"/>
      <c r="E87" s="27"/>
      <c r="F87" s="27"/>
    </row>
    <row r="88" spans="1:6" x14ac:dyDescent="0.2">
      <c r="A88" s="27"/>
      <c r="B88" s="27"/>
      <c r="C88" s="27"/>
      <c r="D88" s="27"/>
      <c r="E88" s="27"/>
      <c r="F88" s="27"/>
    </row>
    <row r="89" spans="1:6" x14ac:dyDescent="0.2">
      <c r="A89" s="27"/>
      <c r="B89" s="102"/>
      <c r="C89" s="102"/>
      <c r="D89" s="102"/>
      <c r="E89" s="102"/>
      <c r="F89" s="27"/>
    </row>
    <row r="90" spans="1:6" ht="14.25" x14ac:dyDescent="0.2">
      <c r="A90" s="95" t="s">
        <v>24</v>
      </c>
      <c r="B90" s="95"/>
      <c r="C90" s="95"/>
      <c r="D90" s="95"/>
      <c r="E90" s="95"/>
      <c r="F90" s="95"/>
    </row>
    <row r="91" spans="1:6" ht="14.25" x14ac:dyDescent="0.2">
      <c r="A91" s="93" t="s">
        <v>7</v>
      </c>
      <c r="B91" s="93"/>
      <c r="C91" s="93"/>
      <c r="D91" s="93"/>
      <c r="E91" s="93"/>
      <c r="F91" s="93"/>
    </row>
    <row r="92" spans="1:6" x14ac:dyDescent="0.2">
      <c r="A92" s="27"/>
      <c r="B92" s="27"/>
      <c r="C92" s="27"/>
      <c r="D92" s="27"/>
      <c r="E92" s="27"/>
      <c r="F92" s="27"/>
    </row>
    <row r="93" spans="1:6" x14ac:dyDescent="0.2">
      <c r="A93" s="27"/>
      <c r="B93" s="103"/>
      <c r="C93" s="103"/>
      <c r="D93" s="103"/>
      <c r="E93" s="103"/>
      <c r="F93" s="27"/>
    </row>
    <row r="94" spans="1:6" ht="15" x14ac:dyDescent="0.2">
      <c r="A94" s="94" t="s">
        <v>8</v>
      </c>
      <c r="B94" s="94"/>
      <c r="C94" s="94"/>
      <c r="D94" s="94"/>
      <c r="E94" s="94"/>
      <c r="F94" s="94"/>
    </row>
    <row r="96" spans="1:6" ht="39.75" customHeight="1" x14ac:dyDescent="0.2">
      <c r="B96" s="100"/>
      <c r="C96" s="101"/>
      <c r="D96" s="101"/>
    </row>
    <row r="97" spans="2:4" ht="13.5" customHeight="1" x14ac:dyDescent="0.2"/>
    <row r="98" spans="2:4" x14ac:dyDescent="0.2">
      <c r="B98" s="19"/>
      <c r="C98" s="19"/>
      <c r="D98" s="19"/>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800-000000000000}">
      <formula1>Liste_Activités</formula1>
    </dataValidation>
  </dataValidations>
  <pageMargins left="0" right="0" top="0" bottom="0" header="0" footer="0"/>
  <pageSetup paperSize="122" scale="47"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77</vt:i4>
      </vt:variant>
      <vt:variant>
        <vt:lpstr>Plages nommées</vt:lpstr>
      </vt:variant>
      <vt:variant>
        <vt:i4>138</vt:i4>
      </vt:variant>
    </vt:vector>
  </HeadingPairs>
  <TitlesOfParts>
    <vt:vector size="215" baseType="lpstr">
      <vt:lpstr>30-08-10</vt:lpstr>
      <vt:lpstr>08-11-10</vt:lpstr>
      <vt:lpstr>07-12-10</vt:lpstr>
      <vt:lpstr>22-12-10</vt:lpstr>
      <vt:lpstr>17-02-11</vt:lpstr>
      <vt:lpstr>08-04-11</vt:lpstr>
      <vt:lpstr>05-05-11</vt:lpstr>
      <vt:lpstr>23-05-11</vt:lpstr>
      <vt:lpstr>20-06-11</vt:lpstr>
      <vt:lpstr>08-07-11</vt:lpstr>
      <vt:lpstr>01-09-11</vt:lpstr>
      <vt:lpstr>30-09-11</vt:lpstr>
      <vt:lpstr>07-10-11</vt:lpstr>
      <vt:lpstr>07-11-11</vt:lpstr>
      <vt:lpstr>07-11-11 (2)</vt:lpstr>
      <vt:lpstr>23-01-12</vt:lpstr>
      <vt:lpstr>28-02-12</vt:lpstr>
      <vt:lpstr>05-04-12</vt:lpstr>
      <vt:lpstr>16-04-12</vt:lpstr>
      <vt:lpstr>03-05-12</vt:lpstr>
      <vt:lpstr>27-06-12</vt:lpstr>
      <vt:lpstr>16-07-12</vt:lpstr>
      <vt:lpstr>31-07-12</vt:lpstr>
      <vt:lpstr>23-10-12</vt:lpstr>
      <vt:lpstr>13-11-12</vt:lpstr>
      <vt:lpstr>13-12-12</vt:lpstr>
      <vt:lpstr>28-01-13</vt:lpstr>
      <vt:lpstr>25-02-13</vt:lpstr>
      <vt:lpstr>22-03-13</vt:lpstr>
      <vt:lpstr>29-04-13</vt:lpstr>
      <vt:lpstr>23-05-13</vt:lpstr>
      <vt:lpstr>28-06-13</vt:lpstr>
      <vt:lpstr>11-07-13</vt:lpstr>
      <vt:lpstr>26-08-13</vt:lpstr>
      <vt:lpstr>23-10-13</vt:lpstr>
      <vt:lpstr>10-12-13</vt:lpstr>
      <vt:lpstr>03-02-14</vt:lpstr>
      <vt:lpstr>17-02-14</vt:lpstr>
      <vt:lpstr>28-04-14</vt:lpstr>
      <vt:lpstr>22-05-14</vt:lpstr>
      <vt:lpstr>10-07-14</vt:lpstr>
      <vt:lpstr>03-09-14</vt:lpstr>
      <vt:lpstr>26-09-14</vt:lpstr>
      <vt:lpstr>30-10-14</vt:lpstr>
      <vt:lpstr>20-11-14</vt:lpstr>
      <vt:lpstr>11-12-14</vt:lpstr>
      <vt:lpstr>26-02-15</vt:lpstr>
      <vt:lpstr>30-04-15</vt:lpstr>
      <vt:lpstr>08-06-15</vt:lpstr>
      <vt:lpstr>01-07-15</vt:lpstr>
      <vt:lpstr>16-07-15</vt:lpstr>
      <vt:lpstr>06-10-15</vt:lpstr>
      <vt:lpstr>02-11-15</vt:lpstr>
      <vt:lpstr>29-11-15</vt:lpstr>
      <vt:lpstr>29-01-16</vt:lpstr>
      <vt:lpstr>31-03-16</vt:lpstr>
      <vt:lpstr>27-04-16</vt:lpstr>
      <vt:lpstr>16-05-16</vt:lpstr>
      <vt:lpstr>31-05-16</vt:lpstr>
      <vt:lpstr>06-07-16</vt:lpstr>
      <vt:lpstr>06-07-16C</vt:lpstr>
      <vt:lpstr>18-07-16</vt:lpstr>
      <vt:lpstr>18-07-16 (2)</vt:lpstr>
      <vt:lpstr>08-09-16</vt:lpstr>
      <vt:lpstr>04-10-16</vt:lpstr>
      <vt:lpstr>04-10-16 (2)</vt:lpstr>
      <vt:lpstr>18-03-17</vt:lpstr>
      <vt:lpstr>30-03-17</vt:lpstr>
      <vt:lpstr>21-09-17</vt:lpstr>
      <vt:lpstr>13-11-17</vt:lpstr>
      <vt:lpstr>27-11-17</vt:lpstr>
      <vt:lpstr>30-11-2017</vt:lpstr>
      <vt:lpstr>12-04-18</vt:lpstr>
      <vt:lpstr>12-04-18 (2)</vt:lpstr>
      <vt:lpstr>26-09-2018</vt:lpstr>
      <vt:lpstr>06-03-20</vt:lpstr>
      <vt:lpstr>Activités</vt:lpstr>
      <vt:lpstr>'01-07-15'!Liste_Activités</vt:lpstr>
      <vt:lpstr>'02-11-15'!Liste_Activités</vt:lpstr>
      <vt:lpstr>'04-10-16'!Liste_Activités</vt:lpstr>
      <vt:lpstr>'04-10-16 (2)'!Liste_Activités</vt:lpstr>
      <vt:lpstr>'06-03-20'!Liste_Activités</vt:lpstr>
      <vt:lpstr>'06-07-16'!Liste_Activités</vt:lpstr>
      <vt:lpstr>'06-07-16C'!Liste_Activités</vt:lpstr>
      <vt:lpstr>'06-10-15'!Liste_Activités</vt:lpstr>
      <vt:lpstr>'08-06-15'!Liste_Activités</vt:lpstr>
      <vt:lpstr>'08-09-16'!Liste_Activités</vt:lpstr>
      <vt:lpstr>'12-04-18'!Liste_Activités</vt:lpstr>
      <vt:lpstr>'12-04-18 (2)'!Liste_Activités</vt:lpstr>
      <vt:lpstr>'13-11-17'!Liste_Activités</vt:lpstr>
      <vt:lpstr>'16-05-16'!Liste_Activités</vt:lpstr>
      <vt:lpstr>'16-07-15'!Liste_Activités</vt:lpstr>
      <vt:lpstr>'18-03-17'!Liste_Activités</vt:lpstr>
      <vt:lpstr>'18-07-16'!Liste_Activités</vt:lpstr>
      <vt:lpstr>'18-07-16 (2)'!Liste_Activités</vt:lpstr>
      <vt:lpstr>'21-09-17'!Liste_Activités</vt:lpstr>
      <vt:lpstr>'26-02-15'!Liste_Activités</vt:lpstr>
      <vt:lpstr>'26-09-2018'!Liste_Activités</vt:lpstr>
      <vt:lpstr>'27-04-16'!Liste_Activités</vt:lpstr>
      <vt:lpstr>'27-11-17'!Liste_Activités</vt:lpstr>
      <vt:lpstr>'29-01-16'!Liste_Activités</vt:lpstr>
      <vt:lpstr>'29-11-15'!Liste_Activités</vt:lpstr>
      <vt:lpstr>'30-03-17'!Liste_Activités</vt:lpstr>
      <vt:lpstr>'30-04-15'!Liste_Activités</vt:lpstr>
      <vt:lpstr>'30-11-2017'!Liste_Activités</vt:lpstr>
      <vt:lpstr>'31-03-16'!Liste_Activités</vt:lpstr>
      <vt:lpstr>'31-05-16'!Liste_Activités</vt:lpstr>
      <vt:lpstr>Liste_Activités</vt:lpstr>
      <vt:lpstr>'01-07-15'!Print_Area</vt:lpstr>
      <vt:lpstr>'02-11-15'!Print_Area</vt:lpstr>
      <vt:lpstr>'04-10-16'!Print_Area</vt:lpstr>
      <vt:lpstr>'04-10-16 (2)'!Print_Area</vt:lpstr>
      <vt:lpstr>'06-03-20'!Print_Area</vt:lpstr>
      <vt:lpstr>'06-07-16'!Print_Area</vt:lpstr>
      <vt:lpstr>'06-07-16C'!Print_Area</vt:lpstr>
      <vt:lpstr>'06-10-15'!Print_Area</vt:lpstr>
      <vt:lpstr>'08-06-15'!Print_Area</vt:lpstr>
      <vt:lpstr>'08-09-16'!Print_Area</vt:lpstr>
      <vt:lpstr>'12-04-18'!Print_Area</vt:lpstr>
      <vt:lpstr>'12-04-18 (2)'!Print_Area</vt:lpstr>
      <vt:lpstr>'13-11-17'!Print_Area</vt:lpstr>
      <vt:lpstr>'16-05-16'!Print_Area</vt:lpstr>
      <vt:lpstr>'16-07-15'!Print_Area</vt:lpstr>
      <vt:lpstr>'18-03-17'!Print_Area</vt:lpstr>
      <vt:lpstr>'18-07-16'!Print_Area</vt:lpstr>
      <vt:lpstr>'18-07-16 (2)'!Print_Area</vt:lpstr>
      <vt:lpstr>'21-09-17'!Print_Area</vt:lpstr>
      <vt:lpstr>'26-02-15'!Print_Area</vt:lpstr>
      <vt:lpstr>'26-09-2018'!Print_Area</vt:lpstr>
      <vt:lpstr>'27-04-16'!Print_Area</vt:lpstr>
      <vt:lpstr>'27-11-17'!Print_Area</vt:lpstr>
      <vt:lpstr>'29-01-16'!Print_Area</vt:lpstr>
      <vt:lpstr>'29-11-15'!Print_Area</vt:lpstr>
      <vt:lpstr>'30-03-17'!Print_Area</vt:lpstr>
      <vt:lpstr>'30-04-15'!Print_Area</vt:lpstr>
      <vt:lpstr>'30-11-2017'!Print_Area</vt:lpstr>
      <vt:lpstr>'31-03-16'!Print_Area</vt:lpstr>
      <vt:lpstr>'31-05-16'!Print_Area</vt:lpstr>
      <vt:lpstr>'01-07-15'!Zone_d_impression</vt:lpstr>
      <vt:lpstr>'01-09-11'!Zone_d_impression</vt:lpstr>
      <vt:lpstr>'02-11-15'!Zone_d_impression</vt:lpstr>
      <vt:lpstr>'03-02-14'!Zone_d_impression</vt:lpstr>
      <vt:lpstr>'03-05-12'!Zone_d_impression</vt:lpstr>
      <vt:lpstr>'03-09-14'!Zone_d_impression</vt:lpstr>
      <vt:lpstr>'04-10-16'!Zone_d_impression</vt:lpstr>
      <vt:lpstr>'04-10-16 (2)'!Zone_d_impression</vt:lpstr>
      <vt:lpstr>'05-04-12'!Zone_d_impression</vt:lpstr>
      <vt:lpstr>'05-05-11'!Zone_d_impression</vt:lpstr>
      <vt:lpstr>'06-03-20'!Zone_d_impression</vt:lpstr>
      <vt:lpstr>'06-07-16'!Zone_d_impression</vt:lpstr>
      <vt:lpstr>'06-07-16C'!Zone_d_impression</vt:lpstr>
      <vt:lpstr>'06-10-15'!Zone_d_impression</vt:lpstr>
      <vt:lpstr>'07-10-11'!Zone_d_impression</vt:lpstr>
      <vt:lpstr>'07-11-11'!Zone_d_impression</vt:lpstr>
      <vt:lpstr>'07-11-11 (2)'!Zone_d_impression</vt:lpstr>
      <vt:lpstr>'07-12-10'!Zone_d_impression</vt:lpstr>
      <vt:lpstr>'08-04-11'!Zone_d_impression</vt:lpstr>
      <vt:lpstr>'08-06-15'!Zone_d_impression</vt:lpstr>
      <vt:lpstr>'08-07-11'!Zone_d_impression</vt:lpstr>
      <vt:lpstr>'08-09-16'!Zone_d_impression</vt:lpstr>
      <vt:lpstr>'08-11-10'!Zone_d_impression</vt:lpstr>
      <vt:lpstr>'10-07-14'!Zone_d_impression</vt:lpstr>
      <vt:lpstr>'10-12-13'!Zone_d_impression</vt:lpstr>
      <vt:lpstr>'11-07-13'!Zone_d_impression</vt:lpstr>
      <vt:lpstr>'11-12-14'!Zone_d_impression</vt:lpstr>
      <vt:lpstr>'12-04-18'!Zone_d_impression</vt:lpstr>
      <vt:lpstr>'12-04-18 (2)'!Zone_d_impression</vt:lpstr>
      <vt:lpstr>'13-11-12'!Zone_d_impression</vt:lpstr>
      <vt:lpstr>'13-11-17'!Zone_d_impression</vt:lpstr>
      <vt:lpstr>'13-12-12'!Zone_d_impression</vt:lpstr>
      <vt:lpstr>'16-04-12'!Zone_d_impression</vt:lpstr>
      <vt:lpstr>'16-05-16'!Zone_d_impression</vt:lpstr>
      <vt:lpstr>'16-07-12'!Zone_d_impression</vt:lpstr>
      <vt:lpstr>'16-07-15'!Zone_d_impression</vt:lpstr>
      <vt:lpstr>'17-02-11'!Zone_d_impression</vt:lpstr>
      <vt:lpstr>'17-02-14'!Zone_d_impression</vt:lpstr>
      <vt:lpstr>'18-03-17'!Zone_d_impression</vt:lpstr>
      <vt:lpstr>'18-07-16'!Zone_d_impression</vt:lpstr>
      <vt:lpstr>'18-07-16 (2)'!Zone_d_impression</vt:lpstr>
      <vt:lpstr>'20-06-11'!Zone_d_impression</vt:lpstr>
      <vt:lpstr>'20-11-14'!Zone_d_impression</vt:lpstr>
      <vt:lpstr>'21-09-17'!Zone_d_impression</vt:lpstr>
      <vt:lpstr>'22-03-13'!Zone_d_impression</vt:lpstr>
      <vt:lpstr>'22-05-14'!Zone_d_impression</vt:lpstr>
      <vt:lpstr>'22-12-10'!Zone_d_impression</vt:lpstr>
      <vt:lpstr>'23-01-12'!Zone_d_impression</vt:lpstr>
      <vt:lpstr>'23-05-11'!Zone_d_impression</vt:lpstr>
      <vt:lpstr>'23-05-13'!Zone_d_impression</vt:lpstr>
      <vt:lpstr>'23-10-12'!Zone_d_impression</vt:lpstr>
      <vt:lpstr>'23-10-13'!Zone_d_impression</vt:lpstr>
      <vt:lpstr>'25-02-13'!Zone_d_impression</vt:lpstr>
      <vt:lpstr>'26-02-15'!Zone_d_impression</vt:lpstr>
      <vt:lpstr>'26-08-13'!Zone_d_impression</vt:lpstr>
      <vt:lpstr>'26-09-14'!Zone_d_impression</vt:lpstr>
      <vt:lpstr>'26-09-2018'!Zone_d_impression</vt:lpstr>
      <vt:lpstr>'27-04-16'!Zone_d_impression</vt:lpstr>
      <vt:lpstr>'27-06-12'!Zone_d_impression</vt:lpstr>
      <vt:lpstr>'27-11-17'!Zone_d_impression</vt:lpstr>
      <vt:lpstr>'28-01-13'!Zone_d_impression</vt:lpstr>
      <vt:lpstr>'28-02-12'!Zone_d_impression</vt:lpstr>
      <vt:lpstr>'28-04-14'!Zone_d_impression</vt:lpstr>
      <vt:lpstr>'28-06-13'!Zone_d_impression</vt:lpstr>
      <vt:lpstr>'29-01-16'!Zone_d_impression</vt:lpstr>
      <vt:lpstr>'29-04-13'!Zone_d_impression</vt:lpstr>
      <vt:lpstr>'29-11-15'!Zone_d_impression</vt:lpstr>
      <vt:lpstr>'30-03-17'!Zone_d_impression</vt:lpstr>
      <vt:lpstr>'30-04-15'!Zone_d_impression</vt:lpstr>
      <vt:lpstr>'30-08-10'!Zone_d_impression</vt:lpstr>
      <vt:lpstr>'30-09-11'!Zone_d_impression</vt:lpstr>
      <vt:lpstr>'30-10-14'!Zone_d_impression</vt:lpstr>
      <vt:lpstr>'30-11-2017'!Zone_d_impression</vt:lpstr>
      <vt:lpstr>'31-03-16'!Zone_d_impression</vt:lpstr>
      <vt:lpstr>'31-05-16'!Zone_d_impression</vt:lpstr>
      <vt:lpstr>'31-07-12'!Zone_d_impression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GCFiscalite</cp:lastModifiedBy>
  <cp:lastPrinted>2020-03-06T16:23:00Z</cp:lastPrinted>
  <dcterms:created xsi:type="dcterms:W3CDTF">1996-11-05T19:10:39Z</dcterms:created>
  <dcterms:modified xsi:type="dcterms:W3CDTF">2020-03-06T16:23:10Z</dcterms:modified>
</cp:coreProperties>
</file>