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Steel\"/>
    </mc:Choice>
  </mc:AlternateContent>
  <xr:revisionPtr revIDLastSave="0" documentId="13_ncr:1_{1ECA5A26-7A42-444E-85B9-86F670FD9220}" xr6:coauthVersionLast="36" xr6:coauthVersionMax="36" xr10:uidLastSave="{00000000-0000-0000-0000-000000000000}"/>
  <bookViews>
    <workbookView xWindow="0" yWindow="0" windowWidth="21570" windowHeight="7350" xr2:uid="{00000000-000D-0000-FFFF-FFFF00000000}"/>
  </bookViews>
  <sheets>
    <sheet name="Technologies" sheetId="4" r:id="rId1"/>
    <sheet name="Conversion table" sheetId="5" r:id="rId2"/>
    <sheet name="Sources" sheetId="2" r:id="rId3"/>
    <sheet name="Comment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4" l="1"/>
  <c r="W6" i="4"/>
  <c r="V6" i="4"/>
  <c r="U6" i="4"/>
  <c r="R6" i="4"/>
  <c r="S6" i="4"/>
  <c r="T6" i="4" s="1"/>
  <c r="Q6" i="4"/>
  <c r="P6" i="4"/>
  <c r="W11" i="4"/>
  <c r="V11" i="4"/>
  <c r="U11" i="4"/>
  <c r="T11" i="4"/>
  <c r="S11" i="4"/>
  <c r="Q11" i="4"/>
  <c r="R11" i="4"/>
  <c r="P11" i="4"/>
  <c r="V19" i="4" l="1"/>
  <c r="O19" i="4"/>
  <c r="W19" i="4"/>
  <c r="U19" i="4"/>
  <c r="S19" i="4"/>
  <c r="P19" i="4"/>
  <c r="R19" i="4"/>
  <c r="Q19" i="4"/>
  <c r="S14" i="4"/>
  <c r="Q14" i="4"/>
  <c r="R14" i="4"/>
  <c r="P14" i="4"/>
  <c r="U14" i="4"/>
  <c r="V14" i="4"/>
  <c r="W14" i="4"/>
  <c r="T14" i="4"/>
  <c r="D18" i="4" l="1"/>
  <c r="P17" i="4"/>
  <c r="Q17" i="4"/>
  <c r="R17" i="4"/>
  <c r="S17" i="4"/>
  <c r="T17" i="4"/>
  <c r="U17" i="4"/>
  <c r="V17" i="4"/>
  <c r="W17" i="4"/>
  <c r="M17" i="4"/>
  <c r="M14" i="4"/>
  <c r="R7" i="4"/>
  <c r="R8" i="4"/>
  <c r="V8" i="4"/>
  <c r="W7" i="4"/>
  <c r="P7" i="4"/>
  <c r="Q5" i="4" s="1"/>
  <c r="N11" i="4"/>
  <c r="N6" i="4"/>
  <c r="O6" i="4"/>
  <c r="B6" i="5"/>
  <c r="B5" i="5"/>
  <c r="B4" i="5"/>
  <c r="B3" i="5"/>
  <c r="B2" i="5"/>
  <c r="Q7" i="4" l="1"/>
  <c r="K6" i="4"/>
  <c r="K13" i="4" s="1"/>
  <c r="J11" i="4"/>
  <c r="L10" i="4" l="1"/>
  <c r="F18" i="4"/>
  <c r="H18" i="4"/>
  <c r="I18" i="4"/>
  <c r="H13" i="4"/>
  <c r="F13" i="4"/>
  <c r="D13" i="4"/>
  <c r="E13" i="4"/>
</calcChain>
</file>

<file path=xl/sharedStrings.xml><?xml version="1.0" encoding="utf-8"?>
<sst xmlns="http://schemas.openxmlformats.org/spreadsheetml/2006/main" count="92" uniqueCount="72">
  <si>
    <t>coal</t>
  </si>
  <si>
    <t>biomass</t>
  </si>
  <si>
    <t>hydrogen</t>
  </si>
  <si>
    <t>oil</t>
  </si>
  <si>
    <t>electricity</t>
  </si>
  <si>
    <t>unit</t>
  </si>
  <si>
    <t>t</t>
  </si>
  <si>
    <t>MWh</t>
  </si>
  <si>
    <t>Electrolyser</t>
  </si>
  <si>
    <t>gas</t>
  </si>
  <si>
    <t>€</t>
  </si>
  <si>
    <t>tCO2</t>
  </si>
  <si>
    <t>steam</t>
  </si>
  <si>
    <t>water</t>
  </si>
  <si>
    <t>CO2</t>
  </si>
  <si>
    <t>Emissions</t>
  </si>
  <si>
    <t>Resource</t>
  </si>
  <si>
    <t>Zero</t>
  </si>
  <si>
    <t>Name</t>
  </si>
  <si>
    <t>About</t>
  </si>
  <si>
    <t>Link</t>
  </si>
  <si>
    <t>SMR</t>
  </si>
  <si>
    <t>Gas_boiler</t>
  </si>
  <si>
    <t>E_boiler</t>
  </si>
  <si>
    <t>Coal</t>
  </si>
  <si>
    <t>Biomass</t>
  </si>
  <si>
    <t>Oil</t>
  </si>
  <si>
    <t>Electricity</t>
  </si>
  <si>
    <t>Gas</t>
  </si>
  <si>
    <t>Biogas</t>
  </si>
  <si>
    <t>steel</t>
  </si>
  <si>
    <t>BF-BOF</t>
  </si>
  <si>
    <t>H2-BF-BOF</t>
  </si>
  <si>
    <t>BioBF-BOF</t>
  </si>
  <si>
    <t>EAF</t>
  </si>
  <si>
    <t>Scrap</t>
  </si>
  <si>
    <t>scrap_steel</t>
  </si>
  <si>
    <t>to fill</t>
  </si>
  <si>
    <t>https://france.arcelormittal.com/news/2022/fev/vers-une-production-dacier-sans-co2-en-france.aspx</t>
  </si>
  <si>
    <t>https://france.arcelormittal.com/developpement-durable/co2.aspx</t>
  </si>
  <si>
    <t>https://www.entreprises.gouv.fr/files/files/directions_services/semaine-industrie/img/evenement/presentation_arcelormittal_france_16mars16.pdf</t>
  </si>
  <si>
    <t>https://france.arcelormittal.com/news/2022/mars/arcelormittal-investit-300-millions-deuros-a-mardyck.aspx</t>
  </si>
  <si>
    <t>https://corporate.arcelormittal.com/media/news-articles/arcelormittal-europe-to-produce-green-steel-starting-in-2020</t>
  </si>
  <si>
    <t>10.1016/J.JCLEPRO.2018.08.279</t>
  </si>
  <si>
    <t>https://www.eclairerlavenir.fr/rapport-2021-du-groupe-de-travail-n4/</t>
  </si>
  <si>
    <t>https://www.senat.fr/rap/r18-649-1/r18-649-117.html</t>
  </si>
  <si>
    <t>10.1016/J.JOULE.2021.02.018</t>
  </si>
  <si>
    <t>https://irena.org/-/media/Files/IRENA/Agency/Publication/2020/Dec/IRENA_Green_hydrogen_cost_2020.pdf</t>
  </si>
  <si>
    <t>https://data.jrc.ec.europa.eu/dataset/jrc-10110-10001</t>
  </si>
  <si>
    <t>Arcelor Mittal</t>
  </si>
  <si>
    <t>(Vogl et al, 2018)</t>
  </si>
  <si>
    <t>CRE</t>
  </si>
  <si>
    <t>Sénat</t>
  </si>
  <si>
    <t>(Fan et al, 2021)</t>
  </si>
  <si>
    <t>IRENA</t>
  </si>
  <si>
    <t>JRC-IDEES 2015</t>
  </si>
  <si>
    <t>H-DRI-EAF</t>
  </si>
  <si>
    <t>CH4-DRI-EAF</t>
  </si>
  <si>
    <t>BioDRI-EAF</t>
  </si>
  <si>
    <t>Coal-DRI-EAF</t>
  </si>
  <si>
    <t>ore_pellet</t>
  </si>
  <si>
    <t>Pellet_making</t>
  </si>
  <si>
    <t>t to MWh</t>
  </si>
  <si>
    <t>10.1016/J.JCLEPRO.2014.05.063</t>
  </si>
  <si>
    <t>costs</t>
  </si>
  <si>
    <t>(Fischedick et al, 2014)</t>
  </si>
  <si>
    <t>capex</t>
  </si>
  <si>
    <t>flow_cost</t>
  </si>
  <si>
    <t>lifetime</t>
  </si>
  <si>
    <t>yrs</t>
  </si>
  <si>
    <t>CRF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</si>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</sst>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2" borderId="1" xfId="0" applyFont="1" applyFill="1" applyBorder="1"/>
    <xf numFmtId="0" fontId="1" fillId="3" borderId="0" xfId="0" applyFont="1" applyFill="1" applyBorder="1"/>
    <xf numFmtId="0" fontId="0" fillId="4" borderId="1" xfId="0" applyFont="1" applyFill="1" applyBorder="1"/>
    <xf numFmtId="2" fontId="0" fillId="4" borderId="1" xfId="0" applyNumberFormat="1" applyFont="1" applyFill="1" applyBorder="1"/>
    <xf numFmtId="0" fontId="0" fillId="0" borderId="1" xfId="0" applyFont="1" applyFill="1" applyBorder="1"/>
    <xf numFmtId="165" fontId="0" fillId="4" borderId="1" xfId="0" applyNumberFormat="1" applyFont="1" applyFill="1" applyBorder="1"/>
    <xf numFmtId="164" fontId="0" fillId="4" borderId="1" xfId="0" applyNumberFormat="1" applyFont="1" applyFill="1" applyBorder="1"/>
    <xf numFmtId="164" fontId="0" fillId="4" borderId="0" xfId="0" applyNumberFormat="1" applyFill="1"/>
    <xf numFmtId="2" fontId="0" fillId="2" borderId="1" xfId="0" applyNumberFormat="1" applyFont="1" applyFill="1" applyBorder="1"/>
    <xf numFmtId="0" fontId="1" fillId="3" borderId="0" xfId="0" applyFont="1" applyFill="1"/>
    <xf numFmtId="0" fontId="0" fillId="0" borderId="0" xfId="0" applyFont="1"/>
    <xf numFmtId="0" fontId="0" fillId="5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4" borderId="2" xfId="0" applyFont="1" applyFill="1" applyBorder="1"/>
    <xf numFmtId="2" fontId="0" fillId="0" borderId="2" xfId="0" applyNumberFormat="1" applyBorder="1"/>
    <xf numFmtId="0" fontId="0" fillId="4" borderId="2" xfId="0" applyFill="1" applyBorder="1"/>
    <xf numFmtId="0" fontId="0" fillId="6" borderId="1" xfId="0" applyFont="1" applyFill="1" applyBorder="1"/>
    <xf numFmtId="2" fontId="0" fillId="0" borderId="1" xfId="0" applyNumberFormat="1" applyFont="1" applyFill="1" applyBorder="1"/>
    <xf numFmtId="164" fontId="0" fillId="0" borderId="0" xfId="0" applyNumberFormat="1" applyFont="1"/>
    <xf numFmtId="0" fontId="0" fillId="7" borderId="1" xfId="0" applyFont="1" applyFill="1" applyBorder="1"/>
    <xf numFmtId="0" fontId="0" fillId="7" borderId="0" xfId="0" applyFill="1"/>
    <xf numFmtId="1" fontId="0" fillId="7" borderId="1" xfId="0" applyNumberFormat="1" applyFont="1" applyFill="1" applyBorder="1"/>
    <xf numFmtId="0" fontId="0" fillId="2" borderId="0" xfId="0" applyFont="1" applyFill="1"/>
    <xf numFmtId="1" fontId="0" fillId="2" borderId="1" xfId="0" applyNumberFormat="1" applyFont="1" applyFill="1" applyBorder="1"/>
    <xf numFmtId="2" fontId="0" fillId="2" borderId="1" xfId="1" applyNumberFormat="1" applyFont="1" applyFill="1" applyBorder="1"/>
    <xf numFmtId="0" fontId="0" fillId="8" borderId="0" xfId="0" applyFill="1"/>
    <xf numFmtId="0" fontId="0" fillId="8" borderId="1" xfId="0" applyFont="1" applyFill="1" applyBorder="1"/>
    <xf numFmtId="0" fontId="0" fillId="8" borderId="0" xfId="0" applyFont="1" applyFill="1"/>
    <xf numFmtId="1" fontId="4" fillId="8" borderId="1" xfId="0" applyNumberFormat="1" applyFont="1" applyFill="1" applyBorder="1"/>
    <xf numFmtId="0" fontId="0" fillId="9" borderId="0" xfId="0" applyFill="1"/>
    <xf numFmtId="0" fontId="0" fillId="9" borderId="1" xfId="0" applyFont="1" applyFill="1" applyBorder="1"/>
    <xf numFmtId="2" fontId="0" fillId="9" borderId="1" xfId="0" applyNumberFormat="1" applyFont="1" applyFill="1" applyBorder="1"/>
    <xf numFmtId="0" fontId="0" fillId="2" borderId="0" xfId="0" applyFont="1" applyFill="1" applyBorder="1"/>
    <xf numFmtId="0" fontId="0" fillId="9" borderId="0" xfId="0" applyFont="1" applyFill="1" applyBorder="1"/>
    <xf numFmtId="0" fontId="0" fillId="8" borderId="0" xfId="0" applyFont="1" applyFill="1" applyBorder="1"/>
    <xf numFmtId="0" fontId="0" fillId="9" borderId="0" xfId="0" applyFont="1" applyFill="1"/>
  </cellXfs>
  <cellStyles count="2">
    <cellStyle name="Milliers" xfId="1" builtinId="3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ources_character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Sources"/>
    </sheetNames>
    <sheetDataSet>
      <sheetData sheetId="0">
        <row r="4">
          <cell r="B4">
            <v>11.666760000000002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58D-7F5B-4EF4-A405-5ECDD25301A7}" name="Tableau3" displayName="Tableau3" ref="A1:W19" totalsRowShown="0" headerRowDxfId="25" dataDxfId="24" tableBorderDxfId="23">
  <autoFilter ref="A1:W19" xr:uid="{87FB60C7-DCAA-43CC-AAD9-BB44B0181513}"/>
  <tableColumns count="23">
    <tableColumn id="1" xr3:uid="{42A5F6EE-6AFE-476D-8B1C-92974D7ECF5E}" name="Resource" dataDxfId="22"/>
    <tableColumn id="2" xr3:uid="{436B0181-7084-40DE-83CC-F2B7CA1F9DBE}" name="Zero" dataDxfId="21"/>
    <tableColumn id="4" xr3:uid="{9D816E12-F9ED-4134-84FD-E84CE7055F94}" name="unit" dataDxfId="20"/>
    <tableColumn id="31" xr3:uid="{1834CA8E-6F62-4112-9C55-3BEBEF582BCD}" name="Coal" dataDxfId="19"/>
    <tableColumn id="30" xr3:uid="{95CE3A02-2D09-444F-A86C-44BABD9960A1}" name="Biomass" dataDxfId="18"/>
    <tableColumn id="29" xr3:uid="{3C14BBC9-3F5B-41A2-A16E-8B63C0830C83}" name="Oil" dataDxfId="17"/>
    <tableColumn id="33" xr3:uid="{ABEF9DE2-1D37-4217-B0DB-9B4F2ABC2CC5}" name="Electricity" dataDxfId="16"/>
    <tableColumn id="32" xr3:uid="{40527675-7B2B-4EC4-87CC-1F5584BF45D5}" name="Gas" dataDxfId="15"/>
    <tableColumn id="34" xr3:uid="{F8B04E4E-A0EB-4B56-9F9D-4007CD57A8B7}" name="Biogas" dataDxfId="14"/>
    <tableColumn id="28" xr3:uid="{3A6DD972-6816-40FD-9915-532B362BF585}" name="E_boiler" dataDxfId="13"/>
    <tableColumn id="27" xr3:uid="{33DD4CA3-0CFF-44B4-B667-E3DD4CCEEC56}" name="Gas_boiler" dataDxfId="12"/>
    <tableColumn id="26" xr3:uid="{B21DF75D-E835-4798-84CC-42014D76A798}" name="SMR" dataDxfId="11"/>
    <tableColumn id="5" xr3:uid="{373EC982-CA8C-4DD0-B0E0-32F80AB9FA15}" name="Electrolyser" dataDxfId="10"/>
    <tableColumn id="12" xr3:uid="{DB97F9EF-90E4-4C9C-991F-8DAD126D2235}" name="Scrap" dataDxfId="9"/>
    <tableColumn id="13" xr3:uid="{E1370907-462D-42E0-BEE5-5C402344A846}" name="Pellet_making" dataDxfId="8"/>
    <tableColumn id="23" xr3:uid="{9C579E2B-EFB9-4CDF-90A8-B8E4B9421C12}" name="BF-BOF" dataDxfId="7"/>
    <tableColumn id="24" xr3:uid="{B0DEE251-5BB2-4367-BFBD-103A29B0561A}" name="H2-BF-BOF" dataDxfId="6"/>
    <tableColumn id="6" xr3:uid="{2E6C1B91-C3DE-4354-BCF7-60140C2C1CA3}" name="BioBF-BOF" dataDxfId="5"/>
    <tableColumn id="7" xr3:uid="{559435F3-4582-467F-8C76-B10399D7D78A}" name="EAF" dataDxfId="4"/>
    <tableColumn id="8" xr3:uid="{E1E290F6-88F7-451F-9364-C275A967D90D}" name="H-DRI-EAF" dataDxfId="3"/>
    <tableColumn id="9" xr3:uid="{1F484475-C8B0-425E-87D5-19B30AEACB25}" name="CH4-DRI-EAF" dataDxfId="2"/>
    <tableColumn id="10" xr3:uid="{D0015D03-4CF5-4EF1-9804-DE585190B1D4}" name="BioDRI-EAF" dataDxfId="1"/>
    <tableColumn id="11" xr3:uid="{7F11CCD2-8961-4412-87AE-60BC0FD4F71A}" name="Coal-DRI-EAF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A324C-91D6-4E2E-BBB0-429EC5DA63B5}" name="Tableau2" displayName="Tableau2" ref="A1:C1048576" totalsRowShown="0">
  <autoFilter ref="A1:C1048576" xr:uid="{A4DB52C6-C72E-419E-94E1-402E072AFA9D}"/>
  <tableColumns count="3">
    <tableColumn id="1" xr3:uid="{B00E869B-4749-4997-968B-712B16B60D42}" name="Name"/>
    <tableColumn id="2" xr3:uid="{8A746971-D955-4701-BD9F-9613B6E8A947}" name="About"/>
    <tableColumn id="3" xr3:uid="{2DDA0A64-ECC1-464B-9FE9-23943C30F038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EE37-33A3-4179-A627-9FAA023AC5EF}">
  <dimension ref="A1:W19"/>
  <sheetViews>
    <sheetView tabSelected="1" workbookViewId="0">
      <selection activeCell="I13" sqref="I13"/>
    </sheetView>
  </sheetViews>
  <sheetFormatPr baseColWidth="10" defaultRowHeight="15" x14ac:dyDescent="0.25"/>
  <cols>
    <col min="8" max="8" width="12" bestFit="1" customWidth="1"/>
    <col min="10" max="10" width="12" bestFit="1" customWidth="1"/>
    <col min="14" max="14" width="12" bestFit="1" customWidth="1"/>
    <col min="15" max="15" width="16" bestFit="1" customWidth="1"/>
  </cols>
  <sheetData>
    <row r="1" spans="1:23" x14ac:dyDescent="0.25">
      <c r="A1" s="4" t="s">
        <v>16</v>
      </c>
      <c r="B1" s="4" t="s">
        <v>17</v>
      </c>
      <c r="C1" s="4" t="s">
        <v>5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23</v>
      </c>
      <c r="K1" s="4" t="s">
        <v>22</v>
      </c>
      <c r="L1" s="4" t="s">
        <v>21</v>
      </c>
      <c r="M1" s="4" t="s">
        <v>8</v>
      </c>
      <c r="N1" s="4" t="s">
        <v>35</v>
      </c>
      <c r="O1" s="4" t="s">
        <v>61</v>
      </c>
      <c r="P1" s="4" t="s">
        <v>31</v>
      </c>
      <c r="Q1" s="4" t="s">
        <v>32</v>
      </c>
      <c r="R1" s="12" t="s">
        <v>33</v>
      </c>
      <c r="S1" s="12" t="s">
        <v>34</v>
      </c>
      <c r="T1" s="12" t="s">
        <v>56</v>
      </c>
      <c r="U1" s="12" t="s">
        <v>57</v>
      </c>
      <c r="V1" s="12" t="s">
        <v>58</v>
      </c>
      <c r="W1" s="12" t="s">
        <v>59</v>
      </c>
    </row>
    <row r="2" spans="1:23" x14ac:dyDescent="0.25">
      <c r="A2" s="1" t="s">
        <v>30</v>
      </c>
      <c r="B2" s="1"/>
      <c r="C2" s="1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">
        <v>-1</v>
      </c>
      <c r="Q2" s="1">
        <v>-1</v>
      </c>
      <c r="R2" s="13">
        <v>-1</v>
      </c>
      <c r="S2" s="13">
        <v>-1</v>
      </c>
      <c r="T2" s="13">
        <v>-1</v>
      </c>
      <c r="U2" s="13">
        <v>-1</v>
      </c>
      <c r="V2" s="13">
        <v>-1</v>
      </c>
      <c r="W2" s="13">
        <v>-1</v>
      </c>
    </row>
    <row r="3" spans="1:23" x14ac:dyDescent="0.25">
      <c r="A3" s="21" t="s">
        <v>60</v>
      </c>
      <c r="B3" s="21"/>
      <c r="C3" s="21" t="s">
        <v>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>
        <v>-1</v>
      </c>
      <c r="P3" s="1">
        <v>1</v>
      </c>
      <c r="Q3" s="1">
        <v>1</v>
      </c>
      <c r="R3" s="13">
        <v>1</v>
      </c>
      <c r="S3" s="13"/>
      <c r="T3" s="13">
        <v>1</v>
      </c>
      <c r="U3" s="13">
        <v>1</v>
      </c>
      <c r="V3" s="13">
        <v>1</v>
      </c>
      <c r="W3" s="13">
        <v>1</v>
      </c>
    </row>
    <row r="4" spans="1:23" x14ac:dyDescent="0.25">
      <c r="A4" s="21" t="s">
        <v>36</v>
      </c>
      <c r="B4" s="21"/>
      <c r="C4" s="21" t="s">
        <v>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>
        <v>-1</v>
      </c>
      <c r="O4" s="21"/>
      <c r="P4" s="1"/>
      <c r="Q4" s="1"/>
      <c r="R4" s="13"/>
      <c r="S4" s="13">
        <v>1</v>
      </c>
      <c r="T4" s="13"/>
      <c r="U4" s="13"/>
      <c r="V4" s="13"/>
      <c r="W4" s="13"/>
    </row>
    <row r="5" spans="1:23" x14ac:dyDescent="0.25">
      <c r="A5" s="5" t="s">
        <v>2</v>
      </c>
      <c r="B5" s="5"/>
      <c r="C5" s="5" t="s">
        <v>6</v>
      </c>
      <c r="D5" s="5"/>
      <c r="E5" s="5"/>
      <c r="F5" s="5"/>
      <c r="G5" s="5"/>
      <c r="H5" s="5"/>
      <c r="I5" s="5"/>
      <c r="J5" s="5"/>
      <c r="K5" s="5"/>
      <c r="L5" s="5">
        <v>-1</v>
      </c>
      <c r="M5" s="5">
        <v>-1</v>
      </c>
      <c r="N5" s="5"/>
      <c r="O5" s="5"/>
      <c r="P5" s="1"/>
      <c r="Q5" s="2">
        <f>P7*0.15*27.5/120</f>
        <v>1.8334529055985125E-2</v>
      </c>
      <c r="R5" s="23"/>
      <c r="S5" s="13"/>
      <c r="T5" s="13">
        <v>0.05</v>
      </c>
      <c r="U5" s="13"/>
      <c r="V5" s="13"/>
      <c r="W5" s="13"/>
    </row>
    <row r="6" spans="1:23" x14ac:dyDescent="0.25">
      <c r="A6" s="5" t="s">
        <v>9</v>
      </c>
      <c r="B6" s="5"/>
      <c r="C6" s="5" t="s">
        <v>6</v>
      </c>
      <c r="D6" s="5"/>
      <c r="E6" s="5"/>
      <c r="F6" s="5"/>
      <c r="G6" s="5"/>
      <c r="H6" s="5">
        <v>-1</v>
      </c>
      <c r="I6" s="5">
        <v>-1</v>
      </c>
      <c r="J6" s="5"/>
      <c r="K6" s="6">
        <f>1/0.95*0.75/[1]Feuil1!$B$4</f>
        <v>6.7668631583278155E-2</v>
      </c>
      <c r="L6" s="5">
        <v>3.04</v>
      </c>
      <c r="M6" s="5"/>
      <c r="N6" s="9">
        <f>0.22/'Conversion table'!B3</f>
        <v>1.8856992001206843E-2</v>
      </c>
      <c r="O6" s="9">
        <f>0.556/'Conversion table'!B3</f>
        <v>4.7656761603050032E-2</v>
      </c>
      <c r="P6" s="2">
        <f>(0.153+0.036)/'Conversion table'!B3</f>
        <v>1.6199870401036789E-2</v>
      </c>
      <c r="Q6" s="2">
        <f>Tableau3[[#This Row],[BF-BOF]]</f>
        <v>1.6199870401036789E-2</v>
      </c>
      <c r="R6" s="2">
        <f>Tableau3[[#This Row],[H2-BF-BOF]]</f>
        <v>1.6199870401036789E-2</v>
      </c>
      <c r="S6" s="2">
        <f>Tableau3[[#This Row],[BioBF-BOF]]</f>
        <v>1.6199870401036789E-2</v>
      </c>
      <c r="T6" s="2">
        <f>Tableau3[[#This Row],[EAF]]</f>
        <v>1.6199870401036789E-2</v>
      </c>
      <c r="U6" s="23">
        <f>1.972/'Conversion table'!B3+Tableau3[[#This Row],[BF-BOF]]</f>
        <v>0.1852270896118545</v>
      </c>
      <c r="V6" s="23">
        <f>Tableau3[[#This Row],[EAF]]</f>
        <v>1.6199870401036789E-2</v>
      </c>
      <c r="W6" s="23">
        <f>Tableau3[[#This Row],[H-DRI-EAF]]</f>
        <v>1.6199870401036789E-2</v>
      </c>
    </row>
    <row r="7" spans="1:23" x14ac:dyDescent="0.25">
      <c r="A7" s="5" t="s">
        <v>0</v>
      </c>
      <c r="B7" s="5"/>
      <c r="C7" s="5" t="s">
        <v>6</v>
      </c>
      <c r="D7" s="5">
        <v>-1</v>
      </c>
      <c r="E7" s="5"/>
      <c r="F7" s="5"/>
      <c r="G7" s="5"/>
      <c r="H7" s="5"/>
      <c r="I7" s="5"/>
      <c r="J7" s="5"/>
      <c r="K7" s="5"/>
      <c r="L7" s="5"/>
      <c r="M7" s="5"/>
      <c r="N7" s="5"/>
      <c r="O7" s="9"/>
      <c r="P7" s="2">
        <f>3.541/'Conversion table'!B4</f>
        <v>0.53336811799229455</v>
      </c>
      <c r="Q7" s="2">
        <f>0.85*Tableau3[[#This Row],[BF-BOF]]</f>
        <v>0.45336290029345033</v>
      </c>
      <c r="R7" s="23">
        <f>1.644/'Conversion table'!B4</f>
        <v>0.24762981812463489</v>
      </c>
      <c r="S7" s="13"/>
      <c r="T7" s="13"/>
      <c r="U7" s="13"/>
      <c r="V7" s="13"/>
      <c r="W7" s="23">
        <f>0.853/'Conversion table'!B4</f>
        <v>0.12848432777391336</v>
      </c>
    </row>
    <row r="8" spans="1:23" x14ac:dyDescent="0.25">
      <c r="A8" s="5" t="s">
        <v>1</v>
      </c>
      <c r="B8" s="5"/>
      <c r="C8" s="5" t="s">
        <v>6</v>
      </c>
      <c r="D8" s="5"/>
      <c r="E8" s="5">
        <v>-1</v>
      </c>
      <c r="F8" s="5"/>
      <c r="G8" s="5"/>
      <c r="H8" s="5"/>
      <c r="I8" s="5"/>
      <c r="J8" s="5"/>
      <c r="K8" s="5"/>
      <c r="L8" s="5"/>
      <c r="M8" s="5"/>
      <c r="N8" s="5"/>
      <c r="O8" s="9"/>
      <c r="P8" s="1"/>
      <c r="Q8" s="2"/>
      <c r="R8" s="23">
        <f>1.897/'Conversion table'!B5</f>
        <v>0.42682158542731652</v>
      </c>
      <c r="S8" s="13"/>
      <c r="T8" s="13"/>
      <c r="U8" s="13"/>
      <c r="V8" s="23">
        <f>0.853/'Conversion table'!B5</f>
        <v>0.19192346461228307</v>
      </c>
      <c r="W8" s="13"/>
    </row>
    <row r="9" spans="1:23" x14ac:dyDescent="0.25">
      <c r="A9" s="5" t="s">
        <v>3</v>
      </c>
      <c r="B9" s="5"/>
      <c r="C9" s="5" t="s">
        <v>6</v>
      </c>
      <c r="D9" s="5"/>
      <c r="E9" s="5"/>
      <c r="F9" s="5">
        <v>-1</v>
      </c>
      <c r="G9" s="5"/>
      <c r="H9" s="5"/>
      <c r="I9" s="5"/>
      <c r="J9" s="5"/>
      <c r="K9" s="5"/>
      <c r="L9" s="5"/>
      <c r="M9" s="5"/>
      <c r="N9" s="5"/>
      <c r="O9" s="9"/>
      <c r="P9" s="1"/>
      <c r="Q9" s="1"/>
      <c r="R9" s="13"/>
      <c r="S9" s="13"/>
      <c r="T9" s="13"/>
      <c r="U9" s="13"/>
      <c r="V9" s="13"/>
      <c r="W9" s="13"/>
    </row>
    <row r="10" spans="1:23" x14ac:dyDescent="0.25">
      <c r="A10" s="5" t="s">
        <v>12</v>
      </c>
      <c r="B10" s="5"/>
      <c r="C10" s="5" t="s">
        <v>6</v>
      </c>
      <c r="D10" s="5"/>
      <c r="E10" s="5"/>
      <c r="F10" s="5"/>
      <c r="G10" s="5"/>
      <c r="H10" s="5"/>
      <c r="I10" s="5"/>
      <c r="J10" s="5">
        <v>-1</v>
      </c>
      <c r="K10" s="5">
        <v>-1</v>
      </c>
      <c r="L10" s="11">
        <f>4.9/1.1</f>
        <v>4.4545454545454541</v>
      </c>
      <c r="M10" s="5"/>
      <c r="N10" s="5"/>
      <c r="O10" s="5"/>
      <c r="P10" s="1"/>
      <c r="Q10" s="1"/>
      <c r="R10" s="13"/>
      <c r="S10" s="13"/>
      <c r="T10" s="13"/>
      <c r="U10" s="13"/>
      <c r="V10" s="13"/>
      <c r="W10" s="13"/>
    </row>
    <row r="11" spans="1:23" x14ac:dyDescent="0.25">
      <c r="A11" s="5" t="s">
        <v>4</v>
      </c>
      <c r="B11" s="5"/>
      <c r="C11" s="5" t="s">
        <v>7</v>
      </c>
      <c r="D11" s="5"/>
      <c r="E11" s="5"/>
      <c r="F11" s="5"/>
      <c r="G11" s="5">
        <v>-1</v>
      </c>
      <c r="H11" s="5"/>
      <c r="I11" s="5"/>
      <c r="J11" s="6">
        <f>1/0.99*0.75</f>
        <v>0.75757575757575757</v>
      </c>
      <c r="K11" s="5"/>
      <c r="L11" s="5"/>
      <c r="M11" s="5">
        <v>55</v>
      </c>
      <c r="N11" s="5">
        <f>0.004</f>
        <v>4.0000000000000001E-3</v>
      </c>
      <c r="O11" s="5">
        <v>0.14000000000000001</v>
      </c>
      <c r="P11" s="1">
        <f>0.085+0.109</f>
        <v>0.19400000000000001</v>
      </c>
      <c r="Q11" s="1">
        <f t="shared" ref="Q11:R11" si="0">0.085+0.109</f>
        <v>0.19400000000000001</v>
      </c>
      <c r="R11" s="1">
        <f t="shared" si="0"/>
        <v>0.19400000000000001</v>
      </c>
      <c r="S11" s="13">
        <f>0.686+Tableau3[[#This Row],[BF-BOF]]</f>
        <v>0.88000000000000012</v>
      </c>
      <c r="T11" s="13">
        <f>0.313+0.753+Tableau3[[#This Row],[BF-BOF]]</f>
        <v>1.26</v>
      </c>
      <c r="U11" s="13">
        <f>0.313+0.753+Tableau3[[#This Row],[BF-BOF]]</f>
        <v>1.26</v>
      </c>
      <c r="V11" s="13">
        <f>0.38+0.753+Tableau3[[#This Row],[BF-BOF]]</f>
        <v>1.327</v>
      </c>
      <c r="W11" s="13">
        <f>0.38+0.753+Tableau3[[#This Row],[BF-BOF]]</f>
        <v>1.327</v>
      </c>
    </row>
    <row r="12" spans="1:23" x14ac:dyDescent="0.25">
      <c r="A12" s="7" t="s">
        <v>14</v>
      </c>
      <c r="B12" s="7"/>
      <c r="C12" s="7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3"/>
      <c r="S12" s="13"/>
      <c r="T12" s="13"/>
      <c r="U12" s="13"/>
      <c r="V12" s="13"/>
      <c r="W12" s="13"/>
    </row>
    <row r="13" spans="1:23" x14ac:dyDescent="0.25">
      <c r="A13" s="5" t="s">
        <v>15</v>
      </c>
      <c r="B13" s="5"/>
      <c r="C13" s="5" t="s">
        <v>11</v>
      </c>
      <c r="D13" s="9">
        <f>29308*0.00001621</f>
        <v>0.47508267999999998</v>
      </c>
      <c r="E13" s="9">
        <f>0.000001*9*16900</f>
        <v>0.15210000000000001</v>
      </c>
      <c r="F13" s="10">
        <f>41816*0.0000136</f>
        <v>0.56869760000000003</v>
      </c>
      <c r="G13" s="9">
        <v>0.06</v>
      </c>
      <c r="H13" s="10">
        <f>45998*0.0000097</f>
        <v>0.44618060000000004</v>
      </c>
      <c r="I13" s="9">
        <f>0.000001*-84*14500</f>
        <v>-1.218</v>
      </c>
      <c r="J13" s="8"/>
      <c r="K13" s="9">
        <f>K6/0.000277778*0.00005624</f>
        <v>1.3700450864516135E-2</v>
      </c>
      <c r="L13" s="5">
        <v>12.13</v>
      </c>
      <c r="M13" s="5"/>
      <c r="N13" s="5"/>
      <c r="O13" s="5"/>
      <c r="P13" s="1"/>
      <c r="Q13" s="1"/>
      <c r="R13" s="13"/>
      <c r="S13" s="13"/>
      <c r="T13" s="13"/>
      <c r="U13" s="13"/>
      <c r="V13" s="13"/>
      <c r="W13" s="13"/>
    </row>
    <row r="14" spans="1:23" x14ac:dyDescent="0.25">
      <c r="A14" s="5" t="s">
        <v>66</v>
      </c>
      <c r="B14" s="5"/>
      <c r="C14" s="5" t="s">
        <v>10</v>
      </c>
      <c r="D14" s="9"/>
      <c r="E14" s="9"/>
      <c r="F14" s="9"/>
      <c r="G14" s="9"/>
      <c r="H14" s="9"/>
      <c r="I14" s="9"/>
      <c r="J14" s="8"/>
      <c r="K14" s="9"/>
      <c r="L14" s="5"/>
      <c r="M14" s="26">
        <f>650000/M11</f>
        <v>11818.181818181818</v>
      </c>
      <c r="N14" s="5"/>
      <c r="O14" s="5"/>
      <c r="P14" s="31">
        <f>170+48.3</f>
        <v>218.3</v>
      </c>
      <c r="Q14" s="31">
        <f t="shared" ref="Q14:R14" si="1">170+48.3</f>
        <v>218.3</v>
      </c>
      <c r="R14" s="31">
        <f t="shared" si="1"/>
        <v>218.3</v>
      </c>
      <c r="S14" s="32">
        <f>184</f>
        <v>184</v>
      </c>
      <c r="T14" s="32">
        <f>184+230</f>
        <v>414</v>
      </c>
      <c r="U14" s="32">
        <f t="shared" ref="U14:W14" si="2">184+230</f>
        <v>414</v>
      </c>
      <c r="V14" s="32">
        <f t="shared" si="2"/>
        <v>414</v>
      </c>
      <c r="W14" s="32">
        <f t="shared" si="2"/>
        <v>414</v>
      </c>
    </row>
    <row r="15" spans="1:23" x14ac:dyDescent="0.25">
      <c r="A15" s="5" t="s">
        <v>68</v>
      </c>
      <c r="B15" s="5"/>
      <c r="C15" s="5" t="s">
        <v>69</v>
      </c>
      <c r="D15" s="9"/>
      <c r="E15" s="9"/>
      <c r="F15" s="9"/>
      <c r="G15" s="9"/>
      <c r="H15" s="9"/>
      <c r="I15" s="9"/>
      <c r="J15" s="8"/>
      <c r="K15" s="9"/>
      <c r="L15" s="5"/>
      <c r="M15" s="28">
        <v>10</v>
      </c>
      <c r="N15" s="5"/>
      <c r="O15" s="5"/>
      <c r="P15" s="3">
        <v>20</v>
      </c>
      <c r="Q15" s="3">
        <v>20</v>
      </c>
      <c r="R15" s="27">
        <v>20</v>
      </c>
      <c r="S15" s="27">
        <v>20</v>
      </c>
      <c r="T15" s="27">
        <v>20</v>
      </c>
      <c r="U15" s="27">
        <v>20</v>
      </c>
      <c r="V15" s="27">
        <v>20</v>
      </c>
      <c r="W15" s="27">
        <v>20</v>
      </c>
    </row>
    <row r="16" spans="1:23" x14ac:dyDescent="0.25">
      <c r="A16" s="5" t="s">
        <v>71</v>
      </c>
      <c r="B16" s="5"/>
      <c r="C16" s="5"/>
      <c r="D16" s="9"/>
      <c r="E16" s="9"/>
      <c r="F16" s="9"/>
      <c r="G16" s="9"/>
      <c r="H16" s="9"/>
      <c r="I16" s="9"/>
      <c r="J16" s="8"/>
      <c r="K16" s="9"/>
      <c r="L16" s="5"/>
      <c r="M16" s="11">
        <v>0.1</v>
      </c>
      <c r="N16" s="6"/>
      <c r="O16" s="6"/>
      <c r="P16" s="29">
        <v>0.1</v>
      </c>
      <c r="Q16" s="29">
        <v>0.1</v>
      </c>
      <c r="R16" s="29">
        <v>0.1</v>
      </c>
      <c r="S16" s="29">
        <v>0.1</v>
      </c>
      <c r="T16" s="29">
        <v>0.1</v>
      </c>
      <c r="U16" s="29">
        <v>0.1</v>
      </c>
      <c r="V16" s="29">
        <v>0.1</v>
      </c>
      <c r="W16" s="29">
        <v>0.1</v>
      </c>
    </row>
    <row r="17" spans="1:23" x14ac:dyDescent="0.25">
      <c r="A17" s="5" t="s">
        <v>70</v>
      </c>
      <c r="B17" s="5"/>
      <c r="C17" s="5"/>
      <c r="D17" s="9"/>
      <c r="E17" s="9"/>
      <c r="F17" s="9"/>
      <c r="G17" s="9"/>
      <c r="H17" s="9"/>
      <c r="I17" s="9"/>
      <c r="J17" s="8"/>
      <c r="K17" s="9"/>
      <c r="L17" s="5"/>
      <c r="M17" s="6">
        <f>(M16*(1+M16)^M15/((1+M16)^M15-1))</f>
        <v>0.16274539488251155</v>
      </c>
      <c r="N17" s="6"/>
      <c r="O17" s="6"/>
      <c r="P17" s="22">
        <f t="shared" ref="P17:W17" si="3">(P16*(1+P16)^P15/((1+P16)^P15-1))</f>
        <v>0.11745962477254576</v>
      </c>
      <c r="Q17" s="22">
        <f t="shared" si="3"/>
        <v>0.11745962477254576</v>
      </c>
      <c r="R17" s="22">
        <f t="shared" si="3"/>
        <v>0.11745962477254576</v>
      </c>
      <c r="S17" s="22">
        <f t="shared" si="3"/>
        <v>0.11745962477254576</v>
      </c>
      <c r="T17" s="22">
        <f t="shared" si="3"/>
        <v>0.11745962477254576</v>
      </c>
      <c r="U17" s="22">
        <f t="shared" si="3"/>
        <v>0.11745962477254576</v>
      </c>
      <c r="V17" s="22">
        <f t="shared" si="3"/>
        <v>0.11745962477254576</v>
      </c>
      <c r="W17" s="22">
        <f t="shared" si="3"/>
        <v>0.11745962477254576</v>
      </c>
    </row>
    <row r="18" spans="1:23" x14ac:dyDescent="0.25">
      <c r="A18" s="5" t="s">
        <v>67</v>
      </c>
      <c r="B18" s="5"/>
      <c r="C18" s="5" t="s">
        <v>10</v>
      </c>
      <c r="D18" s="5">
        <f>250*0.95</f>
        <v>237.5</v>
      </c>
      <c r="E18" s="3">
        <v>400</v>
      </c>
      <c r="F18" s="5">
        <f>60*17.8</f>
        <v>1068</v>
      </c>
      <c r="G18" s="5">
        <v>60</v>
      </c>
      <c r="H18" s="5">
        <f>25*[1]Feuil1!$B$4</f>
        <v>291.66900000000004</v>
      </c>
      <c r="I18" s="5">
        <f>49.2578*13</f>
        <v>640.35140000000001</v>
      </c>
      <c r="J18" s="5"/>
      <c r="K18" s="5"/>
      <c r="L18" s="5">
        <v>1500</v>
      </c>
      <c r="M18" s="5"/>
      <c r="N18" s="31">
        <v>180</v>
      </c>
      <c r="O18" s="24">
        <v>114</v>
      </c>
      <c r="P18" s="33">
        <v>53.2</v>
      </c>
      <c r="Q18" s="33">
        <v>53.2</v>
      </c>
      <c r="R18" s="33">
        <v>53.2</v>
      </c>
      <c r="S18" s="33">
        <v>53.2</v>
      </c>
      <c r="T18" s="33">
        <v>53.2</v>
      </c>
      <c r="U18" s="33">
        <v>53.2</v>
      </c>
      <c r="V18" s="33">
        <v>53.2</v>
      </c>
      <c r="W18" s="33">
        <v>53.2</v>
      </c>
    </row>
    <row r="19" spans="1:23" x14ac:dyDescent="0.25">
      <c r="A19" s="5" t="s">
        <v>13</v>
      </c>
      <c r="B19" s="5"/>
      <c r="C19" s="5" t="s">
        <v>6</v>
      </c>
      <c r="D19" s="5"/>
      <c r="E19" s="5"/>
      <c r="F19" s="5"/>
      <c r="G19" s="5"/>
      <c r="H19" s="5"/>
      <c r="I19" s="5"/>
      <c r="J19" s="5">
        <v>1</v>
      </c>
      <c r="K19" s="5">
        <v>1</v>
      </c>
      <c r="L19" s="5">
        <v>16.3</v>
      </c>
      <c r="M19" s="5">
        <v>9</v>
      </c>
      <c r="N19" s="5"/>
      <c r="O19" s="35">
        <f>0.26+0.035</f>
        <v>0.29500000000000004</v>
      </c>
      <c r="P19" s="36">
        <f>0.097+1.476+0.193</f>
        <v>1.766</v>
      </c>
      <c r="Q19" s="3">
        <f>Tableau3[[#This Row],[BF-BOF]]*Q7/P7</f>
        <v>1.5010999999999999</v>
      </c>
      <c r="R19" s="37">
        <f>Tableau3[[#This Row],[BF-BOF]]</f>
        <v>1.766</v>
      </c>
      <c r="S19" s="38">
        <f>0.42</f>
        <v>0.42</v>
      </c>
      <c r="T19" s="39">
        <v>5.2999999999999999E-2</v>
      </c>
      <c r="U19" s="40">
        <f>0.522</f>
        <v>0.52200000000000002</v>
      </c>
      <c r="V19" s="27">
        <f>Tableau3[[#This Row],[Coal-DRI-EAF]]</f>
        <v>1.048</v>
      </c>
      <c r="W19" s="40">
        <f>1.048</f>
        <v>1.048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207-36C8-455B-8B01-DF3AD48E0882}">
  <dimension ref="A1:B6"/>
  <sheetViews>
    <sheetView workbookViewId="0">
      <selection activeCell="E20" sqref="E20"/>
    </sheetView>
  </sheetViews>
  <sheetFormatPr baseColWidth="10" defaultRowHeight="15" x14ac:dyDescent="0.25"/>
  <sheetData>
    <row r="1" spans="1:2" x14ac:dyDescent="0.25">
      <c r="A1" s="17"/>
      <c r="B1" s="20" t="s">
        <v>62</v>
      </c>
    </row>
    <row r="2" spans="1:2" x14ac:dyDescent="0.25">
      <c r="A2" s="18" t="s">
        <v>2</v>
      </c>
      <c r="B2" s="19">
        <f>0.27778*120</f>
        <v>33.333600000000004</v>
      </c>
    </row>
    <row r="3" spans="1:2" x14ac:dyDescent="0.25">
      <c r="A3" s="18" t="s">
        <v>9</v>
      </c>
      <c r="B3" s="19">
        <f>0.27778*42</f>
        <v>11.666760000000002</v>
      </c>
    </row>
    <row r="4" spans="1:2" x14ac:dyDescent="0.25">
      <c r="A4" s="18" t="s">
        <v>0</v>
      </c>
      <c r="B4" s="19">
        <f>0.27778*23.9</f>
        <v>6.6389420000000001</v>
      </c>
    </row>
    <row r="5" spans="1:2" x14ac:dyDescent="0.25">
      <c r="A5" s="18" t="s">
        <v>1</v>
      </c>
      <c r="B5" s="19">
        <f>0.27778*16</f>
        <v>4.4444800000000004</v>
      </c>
    </row>
    <row r="6" spans="1:2" x14ac:dyDescent="0.25">
      <c r="A6" s="18" t="s">
        <v>3</v>
      </c>
      <c r="B6" s="19">
        <f>0.27778*42</f>
        <v>11.666760000000002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D17-6166-40A9-953F-A236C50591E1}">
  <dimension ref="A1:C13"/>
  <sheetViews>
    <sheetView workbookViewId="0">
      <selection activeCell="A10" sqref="A10:C10"/>
    </sheetView>
  </sheetViews>
  <sheetFormatPr baseColWidth="10" defaultRowHeight="15" x14ac:dyDescent="0.25"/>
  <cols>
    <col min="1" max="1" width="16.140625" bestFit="1" customWidth="1"/>
    <col min="2" max="2" width="30.28515625" bestFit="1" customWidth="1"/>
    <col min="3" max="3" width="148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6" t="s">
        <v>49</v>
      </c>
      <c r="C2" t="s">
        <v>38</v>
      </c>
    </row>
    <row r="3" spans="1:3" x14ac:dyDescent="0.25">
      <c r="A3" s="16" t="s">
        <v>49</v>
      </c>
      <c r="C3" t="s">
        <v>39</v>
      </c>
    </row>
    <row r="4" spans="1:3" x14ac:dyDescent="0.25">
      <c r="A4" s="16" t="s">
        <v>49</v>
      </c>
      <c r="C4" t="s">
        <v>40</v>
      </c>
    </row>
    <row r="5" spans="1:3" x14ac:dyDescent="0.25">
      <c r="A5" s="16" t="s">
        <v>49</v>
      </c>
      <c r="C5" t="s">
        <v>41</v>
      </c>
    </row>
    <row r="6" spans="1:3" x14ac:dyDescent="0.25">
      <c r="A6" s="16" t="s">
        <v>49</v>
      </c>
      <c r="C6" t="s">
        <v>42</v>
      </c>
    </row>
    <row r="7" spans="1:3" x14ac:dyDescent="0.25">
      <c r="A7" s="30" t="s">
        <v>50</v>
      </c>
      <c r="B7" s="30"/>
      <c r="C7" s="30" t="s">
        <v>43</v>
      </c>
    </row>
    <row r="8" spans="1:3" x14ac:dyDescent="0.25">
      <c r="A8" t="s">
        <v>51</v>
      </c>
      <c r="C8" t="s">
        <v>44</v>
      </c>
    </row>
    <row r="9" spans="1:3" x14ac:dyDescent="0.25">
      <c r="A9" t="s">
        <v>52</v>
      </c>
      <c r="C9" t="s">
        <v>45</v>
      </c>
    </row>
    <row r="10" spans="1:3" x14ac:dyDescent="0.25">
      <c r="A10" s="34" t="s">
        <v>53</v>
      </c>
      <c r="B10" s="34"/>
      <c r="C10" s="34" t="s">
        <v>46</v>
      </c>
    </row>
    <row r="11" spans="1:3" x14ac:dyDescent="0.25">
      <c r="A11" t="s">
        <v>54</v>
      </c>
      <c r="C11" t="s">
        <v>47</v>
      </c>
    </row>
    <row r="12" spans="1:3" x14ac:dyDescent="0.25">
      <c r="A12" t="s">
        <v>55</v>
      </c>
      <c r="C12" t="s">
        <v>48</v>
      </c>
    </row>
    <row r="13" spans="1:3" x14ac:dyDescent="0.25">
      <c r="A13" s="25" t="s">
        <v>65</v>
      </c>
      <c r="B13" s="25" t="s">
        <v>64</v>
      </c>
      <c r="C13" s="25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DC7-3FA9-4644-A7FC-535374C66D32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4"/>
      <c r="B1" s="1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Technologies</vt:lpstr>
      <vt:lpstr>Conversion table</vt:lpstr>
      <vt:lpstr>Sources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RAILLARD-CAZANOVE</dc:creator>
  <cp:lastModifiedBy>Quentin RAILLARD-CAZANOVE</cp:lastModifiedBy>
  <dcterms:created xsi:type="dcterms:W3CDTF">2022-06-28T16:44:25Z</dcterms:created>
  <dcterms:modified xsi:type="dcterms:W3CDTF">2022-07-05T14:28:44Z</dcterms:modified>
</cp:coreProperties>
</file>