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D30FC84F-CBC1-FB4C-938A-32AB65D2E9E8}" xr6:coauthVersionLast="47" xr6:coauthVersionMax="47" xr10:uidLastSave="{00000000-0000-0000-0000-000000000000}"/>
  <bookViews>
    <workbookView xWindow="740" yWindow="500" windowWidth="20920" windowHeight="15720" activeTab="1" xr2:uid="{00000000-000D-0000-FFFF-FFFF00000000}"/>
  </bookViews>
  <sheets>
    <sheet name="0D" sheetId="2" r:id="rId1"/>
    <sheet name="Production_system" sheetId="1" r:id="rId2"/>
    <sheet name="Vecteurs" sheetId="4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6" i="2"/>
  <c r="N2" i="3"/>
  <c r="I7" i="1"/>
  <c r="I11" i="1"/>
  <c r="G6" i="1"/>
  <c r="G11" i="1" s="1"/>
  <c r="F14" i="1"/>
  <c r="I14" i="1"/>
  <c r="C14" i="1"/>
  <c r="G13" i="1"/>
  <c r="I10" i="1"/>
  <c r="I13" i="1"/>
  <c r="D12" i="1"/>
  <c r="C10" i="1" l="1"/>
  <c r="D10" i="1"/>
  <c r="F9" i="1"/>
  <c r="I9" i="1" s="1"/>
  <c r="H8" i="1"/>
  <c r="I8" i="1" s="1"/>
  <c r="D6" i="1"/>
  <c r="I6" i="1" s="1"/>
  <c r="C6" i="1"/>
  <c r="I5" i="1"/>
  <c r="C5" i="1"/>
  <c r="D5" i="1"/>
  <c r="H3" i="1"/>
  <c r="D3" i="1"/>
  <c r="C3" i="1"/>
  <c r="D4" i="1"/>
  <c r="C4" i="1"/>
  <c r="F4" i="1"/>
  <c r="D2" i="1"/>
  <c r="I2" i="1" s="1"/>
  <c r="C2" i="1"/>
  <c r="C8" i="1" l="1"/>
  <c r="C7" i="1"/>
  <c r="I3" i="1"/>
  <c r="I4" i="1"/>
  <c r="C9" i="1"/>
  <c r="C1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I2" authorId="0" shapeId="0" xr:uid="{5CCE9E03-F56B-46D9-9DE1-582AA5BE47D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3" authorId="0" shapeId="0" xr:uid="{AC1A9C11-9285-4FEE-8B82-A6EB414D77D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4" authorId="0" shapeId="0" xr:uid="{7F62403D-20DC-4B08-81FC-56D0BF0A99C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5" authorId="0" shapeId="0" xr:uid="{031B1775-AAF4-47DB-95EB-F3F9AE9D65C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6" authorId="0" shapeId="0" xr:uid="{8C6906F9-F824-453F-B4D3-54CF3ACAEF3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10" authorId="0" shapeId="0" xr:uid="{DD98A76C-6C63-430B-9056-5C2B4B92311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</t>
        </r>
      </text>
    </comment>
    <comment ref="I12" authorId="0" shapeId="0" xr:uid="{C2ADB4AE-CC93-48CD-8843-A653B3277C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0% methane leakage assumed
</t>
        </r>
      </text>
    </comment>
  </commentList>
</comments>
</file>

<file path=xl/sharedStrings.xml><?xml version="1.0" encoding="utf-8"?>
<sst xmlns="http://schemas.openxmlformats.org/spreadsheetml/2006/main" count="72" uniqueCount="38">
  <si>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</si>
  <si>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</si>
  <si>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</si>
  <si>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</si>
  <si>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</si>
  <si>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</si>
  <si>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</si>
  <si>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</si>
  <si>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</si>
  <si>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</si>
  <si>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</si>
  <si>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</si>
  <si>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</si>
  <si>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</si>
  <si>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init_emissions_unitaire</t>
  </si>
  <si>
    <t>Naphtha steam cracking</t>
  </si>
  <si>
    <t>Biomass to Olefins</t>
  </si>
  <si>
    <t>Gas to Olefins</t>
  </si>
  <si>
    <t>CO2-H2 to Olefins</t>
  </si>
  <si>
    <t>Coal to Olefins</t>
  </si>
  <si>
    <t>Naphtha steam cracking - Eboiler</t>
  </si>
  <si>
    <t>Biomass to Olefins - Eboiler</t>
  </si>
  <si>
    <t>Gas to Olefins - Eboiler</t>
  </si>
  <si>
    <t>CO2-H2 to Olefins - Eboiler</t>
  </si>
  <si>
    <t>Coal to Olefins - Eboiler</t>
  </si>
  <si>
    <t>Oxidative Coupling of Methane (OCM)</t>
  </si>
  <si>
    <t>CO2-H2-OCM</t>
  </si>
  <si>
    <t>Biomass-OCM</t>
  </si>
  <si>
    <t>retrofit_improvement</t>
  </si>
  <si>
    <t>init_energy_need_per_unite_prod</t>
  </si>
  <si>
    <t>Vecteurs</t>
  </si>
  <si>
    <t>Emissions_scope_2_3</t>
  </si>
  <si>
    <t>elec</t>
  </si>
  <si>
    <t>gaz</t>
  </si>
  <si>
    <t>fioul</t>
  </si>
  <si>
    <t>bois</t>
  </si>
  <si>
    <t>H2</t>
  </si>
  <si>
    <t>charbon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</si>
</sst>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5" fontId="0" fillId="0" borderId="4" xfId="1" applyFont="1" applyBorder="1"/>
    <xf numFmtId="0" fontId="0" fillId="0" borderId="0" xfId="0" applyBorder="1"/>
    <xf numFmtId="0" fontId="0" fillId="0" borderId="6" xfId="0" applyBorder="1"/>
    <xf numFmtId="165" fontId="0" fillId="0" borderId="0" xfId="1" applyFont="1" applyBorder="1"/>
    <xf numFmtId="0" fontId="1" fillId="0" borderId="8" xfId="0" applyFont="1" applyFill="1" applyBorder="1" applyAlignment="1">
      <alignment horizontal="center" vertical="top"/>
    </xf>
    <xf numFmtId="0" fontId="1" fillId="0" borderId="0" xfId="0" applyFont="1"/>
    <xf numFmtId="165" fontId="0" fillId="0" borderId="0" xfId="0" applyNumberFormat="1"/>
    <xf numFmtId="1" fontId="0" fillId="0" borderId="5" xfId="1" applyNumberFormat="1" applyFont="1" applyBorder="1"/>
    <xf numFmtId="1" fontId="0" fillId="0" borderId="2" xfId="1" applyNumberFormat="1" applyFont="1" applyBorder="1"/>
    <xf numFmtId="1" fontId="0" fillId="0" borderId="7" xfId="1" applyNumberFormat="1" applyFont="1" applyBorder="1"/>
    <xf numFmtId="0" fontId="1" fillId="0" borderId="0" xfId="0" applyFont="1" applyAlignment="1">
      <alignment horizontal="center" vertical="top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0" xfId="1" applyNumberFormat="1" applyFont="1"/>
    <xf numFmtId="0" fontId="0" fillId="0" borderId="4" xfId="1" applyNumberFormat="1" applyFont="1" applyBorder="1"/>
    <xf numFmtId="0" fontId="0" fillId="0" borderId="0" xfId="1" applyNumberFormat="1" applyFont="1" applyBorder="1"/>
    <xf numFmtId="0" fontId="0" fillId="0" borderId="6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16" t="s">
        <v>28</v>
      </c>
      <c r="B5">
        <v>5.0000000000000001E-3</v>
      </c>
    </row>
    <row r="6" spans="1:2" x14ac:dyDescent="0.2">
      <c r="A6" s="16" t="s">
        <v>29</v>
      </c>
      <c r="B6">
        <f>1/1000</f>
        <v>1E-3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36.5" bestFit="1" customWidth="1"/>
    <col min="2" max="2" width="21.83203125" customWidth="1"/>
    <col min="3" max="3" width="45.8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  <col min="11" max="11" width="11.5" bestFit="1" customWidth="1"/>
  </cols>
  <sheetData>
    <row r="1" spans="1:11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4" t="s">
        <v>7</v>
      </c>
      <c r="G1" s="4" t="s">
        <v>11</v>
      </c>
      <c r="H1" s="4" t="s">
        <v>12</v>
      </c>
      <c r="I1" s="1" t="s">
        <v>14</v>
      </c>
    </row>
    <row r="2" spans="1:11" x14ac:dyDescent="0.2">
      <c r="A2" s="1" t="s">
        <v>15</v>
      </c>
      <c r="B2" s="6">
        <f>(2270+1386+949+848+117+530+465)</f>
        <v>6565</v>
      </c>
      <c r="C2" s="22">
        <f>270*0.27777</f>
        <v>74.997900000000001</v>
      </c>
      <c r="D2" s="6">
        <f>1.38*1160*0.2777777</f>
        <v>444.66654216000001</v>
      </c>
      <c r="E2" s="6">
        <v>19080</v>
      </c>
      <c r="F2" s="8">
        <v>0</v>
      </c>
      <c r="G2" s="8">
        <v>0</v>
      </c>
      <c r="H2" s="8">
        <v>0</v>
      </c>
      <c r="I2" s="13">
        <f>(E2*3600*(12.654+23*0.002)+D2*3600*(55.612+0.001*23+0.001*296))*0.000001</f>
        <v>961.87191973038352</v>
      </c>
      <c r="K2" s="12"/>
    </row>
    <row r="3" spans="1:11" x14ac:dyDescent="0.2">
      <c r="A3" s="5" t="s">
        <v>19</v>
      </c>
      <c r="B3" s="8">
        <v>0</v>
      </c>
      <c r="C3" s="23">
        <f>6020*0.2777777777</f>
        <v>1672.222221754</v>
      </c>
      <c r="D3" s="9">
        <f>1.38*8750*0.2777777</f>
        <v>3354.1657274999998</v>
      </c>
      <c r="E3" s="8">
        <v>0</v>
      </c>
      <c r="F3" s="8">
        <v>0</v>
      </c>
      <c r="G3" s="8">
        <v>0</v>
      </c>
      <c r="H3" s="9">
        <f>115210*0.2777777</f>
        <v>32002.768817</v>
      </c>
      <c r="I3" s="14">
        <f>((H3*3600*(50.526+23*0.001+296*0.001))+(D3*3600*(55.612+0.001*23+0.001*296)))*0.000001</f>
        <v>6533.2174456986031</v>
      </c>
      <c r="K3" s="12"/>
    </row>
    <row r="4" spans="1:11" x14ac:dyDescent="0.2">
      <c r="A4" s="4" t="s">
        <v>16</v>
      </c>
      <c r="B4" s="8">
        <v>0</v>
      </c>
      <c r="C4" s="23">
        <f>6020*0.2777777777</f>
        <v>1672.222221754</v>
      </c>
      <c r="D4" s="9">
        <f>1.38*8750*0.2777777</f>
        <v>3354.1657274999998</v>
      </c>
      <c r="E4" s="8">
        <v>0</v>
      </c>
      <c r="F4" s="9">
        <f>115210*0.2777777</f>
        <v>32002.768817</v>
      </c>
      <c r="G4" s="8">
        <v>0</v>
      </c>
      <c r="H4" s="8">
        <v>0</v>
      </c>
      <c r="I4" s="14">
        <f>((F4*3600*(50.526+23*0.001+296*0.001))+(D4*3600*(55.612)))*0.000001</f>
        <v>6529.365521777142</v>
      </c>
      <c r="K4" s="12"/>
    </row>
    <row r="5" spans="1:11" x14ac:dyDescent="0.2">
      <c r="A5" s="4" t="s">
        <v>17</v>
      </c>
      <c r="B5" s="8">
        <v>0</v>
      </c>
      <c r="C5" s="23">
        <f>1504*0.277777</f>
        <v>417.77660800000001</v>
      </c>
      <c r="D5" s="9">
        <f>2.57*33113*0.27777+5099*1.38*0.277777</f>
        <v>25592.952079439998</v>
      </c>
      <c r="E5" s="8">
        <v>0</v>
      </c>
      <c r="F5" s="8">
        <v>0</v>
      </c>
      <c r="G5" s="8">
        <v>0</v>
      </c>
      <c r="H5" s="8">
        <v>0</v>
      </c>
      <c r="I5" s="14">
        <f>(1955*3600*(55.612+23*0.001+296*0.001)+23638*3600*(8.955+23*0.001+296*0.001))*0.000001</f>
        <v>1182.8301011999999</v>
      </c>
      <c r="K5" s="12"/>
    </row>
    <row r="6" spans="1:11" x14ac:dyDescent="0.2">
      <c r="A6" s="4" t="s">
        <v>18</v>
      </c>
      <c r="B6" s="8">
        <v>0</v>
      </c>
      <c r="C6" s="23">
        <f>50.6+1863</f>
        <v>1913.6</v>
      </c>
      <c r="D6" s="9">
        <f>4.5*4.18*480*0.277777</f>
        <v>2507.9929775999999</v>
      </c>
      <c r="E6" s="8">
        <v>0</v>
      </c>
      <c r="F6" s="8">
        <v>0</v>
      </c>
      <c r="G6" s="9">
        <f>600*33.3</f>
        <v>19980</v>
      </c>
      <c r="H6" s="8">
        <v>0</v>
      </c>
      <c r="I6" s="14">
        <f>(2900*19.9*0.001*0.000001+D6*3600*(55.612+23*0.001+296*0.001))*0.000001-4300</f>
        <v>-3795.0116011714181</v>
      </c>
      <c r="K6" s="12"/>
    </row>
    <row r="7" spans="1:11" x14ac:dyDescent="0.2">
      <c r="A7" s="5" t="s">
        <v>20</v>
      </c>
      <c r="B7" s="8">
        <v>0</v>
      </c>
      <c r="C7" s="23">
        <f>C2+D2</f>
        <v>519.66444216000002</v>
      </c>
      <c r="D7" s="8">
        <v>0</v>
      </c>
      <c r="E7" s="9">
        <v>19080</v>
      </c>
      <c r="F7" s="8">
        <v>0</v>
      </c>
      <c r="G7" s="8">
        <v>0</v>
      </c>
      <c r="H7" s="8">
        <v>0</v>
      </c>
      <c r="I7" s="14">
        <f>((E7*3600*(12.654+23*0.002)+D7*3600*(55.612+0.001*23+0.001*296))*0.000001)</f>
        <v>872.33759999999995</v>
      </c>
      <c r="K7" s="12"/>
    </row>
    <row r="8" spans="1:11" x14ac:dyDescent="0.2">
      <c r="A8" s="5" t="s">
        <v>24</v>
      </c>
      <c r="B8" s="8">
        <v>0</v>
      </c>
      <c r="C8" s="23">
        <f>C3+D3</f>
        <v>5026.387949254</v>
      </c>
      <c r="D8" s="8">
        <v>0</v>
      </c>
      <c r="E8" s="8">
        <v>0</v>
      </c>
      <c r="F8" s="8">
        <v>0</v>
      </c>
      <c r="G8" s="8">
        <v>0</v>
      </c>
      <c r="H8" s="9">
        <f>115210*0.2777777</f>
        <v>32002.768817</v>
      </c>
      <c r="I8" s="14">
        <f>((H8*3600*(50.526+23*0.001+296*0.001))+(D8*3600*(55.612+0.001*23+0.001*296)))*0.000001</f>
        <v>5857.8508098013144</v>
      </c>
      <c r="K8" s="12"/>
    </row>
    <row r="9" spans="1:11" x14ac:dyDescent="0.2">
      <c r="A9" s="4" t="s">
        <v>21</v>
      </c>
      <c r="B9" s="8">
        <v>0</v>
      </c>
      <c r="C9" s="23">
        <f>C4+D4</f>
        <v>5026.387949254</v>
      </c>
      <c r="D9" s="8">
        <v>0</v>
      </c>
      <c r="E9" s="8">
        <v>0</v>
      </c>
      <c r="F9" s="9">
        <f>115210*0.2777777</f>
        <v>32002.768817</v>
      </c>
      <c r="G9" s="8">
        <v>0</v>
      </c>
      <c r="H9" s="8">
        <v>0</v>
      </c>
      <c r="I9" s="14">
        <f>((F9*3600*(50.526+23*0.001+296*0.001))+(D9*3600*(55.612)))*0.000001</f>
        <v>5857.8508098013144</v>
      </c>
      <c r="K9" s="12"/>
    </row>
    <row r="10" spans="1:11" x14ac:dyDescent="0.2">
      <c r="A10" s="4" t="s">
        <v>22</v>
      </c>
      <c r="B10" s="8">
        <v>0</v>
      </c>
      <c r="C10" s="23">
        <f>1504*0.277777+5099*1.38*0.277777</f>
        <v>2372.3878017399998</v>
      </c>
      <c r="D10" s="9">
        <f>2.57*33113*0.27777</f>
        <v>23638.340885699999</v>
      </c>
      <c r="E10" s="8">
        <v>0</v>
      </c>
      <c r="F10" s="8">
        <v>0</v>
      </c>
      <c r="G10" s="8">
        <v>0</v>
      </c>
      <c r="H10" s="8">
        <v>0</v>
      </c>
      <c r="I10" s="14">
        <f>(23638*3600*(8.955+23*0.001+296*0.001))*0.000001</f>
        <v>789.18772319999994</v>
      </c>
      <c r="K10" s="12"/>
    </row>
    <row r="11" spans="1:11" x14ac:dyDescent="0.2">
      <c r="A11" s="10" t="s">
        <v>23</v>
      </c>
      <c r="B11" s="8">
        <v>0</v>
      </c>
      <c r="C11" s="23">
        <f>C6+D6</f>
        <v>4421.5929775999994</v>
      </c>
      <c r="D11" s="8">
        <v>0</v>
      </c>
      <c r="E11" s="8">
        <v>0</v>
      </c>
      <c r="F11" s="8">
        <v>0</v>
      </c>
      <c r="G11" s="9">
        <f>G6</f>
        <v>19980</v>
      </c>
      <c r="H11" s="8">
        <v>0</v>
      </c>
      <c r="I11" s="14">
        <f>(2900*19.9*0.001*0.000001+D11*3600*(55.612+23*0.001+296*0.001))*0.000001-4300</f>
        <v>-4299.9999999999427</v>
      </c>
      <c r="K11" s="12"/>
    </row>
    <row r="12" spans="1:11" x14ac:dyDescent="0.2">
      <c r="A12" s="4" t="s">
        <v>25</v>
      </c>
      <c r="B12" s="8">
        <v>0</v>
      </c>
      <c r="C12" s="23">
        <v>3995</v>
      </c>
      <c r="D12" s="7">
        <f>2700*13.1</f>
        <v>35370</v>
      </c>
      <c r="E12" s="8">
        <v>0</v>
      </c>
      <c r="F12" s="8">
        <v>0</v>
      </c>
      <c r="G12" s="8">
        <v>0</v>
      </c>
      <c r="H12" s="8">
        <v>0</v>
      </c>
      <c r="I12" s="14">
        <v>0</v>
      </c>
      <c r="K12" s="12"/>
    </row>
    <row r="13" spans="1:11" x14ac:dyDescent="0.2">
      <c r="A13" s="4" t="s">
        <v>26</v>
      </c>
      <c r="B13" s="8">
        <v>0</v>
      </c>
      <c r="C13" s="23">
        <f>C12+2700*0.381</f>
        <v>5023.7</v>
      </c>
      <c r="D13" s="8">
        <v>0</v>
      </c>
      <c r="E13" s="8">
        <v>0</v>
      </c>
      <c r="F13" s="8">
        <v>0</v>
      </c>
      <c r="G13" s="7">
        <f>2700*1.3*33.3</f>
        <v>116882.99999999999</v>
      </c>
      <c r="H13" s="8">
        <v>0</v>
      </c>
      <c r="I13" s="14">
        <f>I12-2700*7.2</f>
        <v>-19440</v>
      </c>
      <c r="K13" s="12"/>
    </row>
    <row r="14" spans="1:11" x14ac:dyDescent="0.2">
      <c r="A14" s="4" t="s">
        <v>27</v>
      </c>
      <c r="B14" s="8">
        <v>0</v>
      </c>
      <c r="C14" s="24">
        <f>C12+2700*1.7</f>
        <v>8585</v>
      </c>
      <c r="D14" s="8">
        <v>0</v>
      </c>
      <c r="E14" s="8">
        <v>0</v>
      </c>
      <c r="F14" s="8">
        <f>7.89*2700*12.2</f>
        <v>259896.59999999998</v>
      </c>
      <c r="G14" s="8">
        <v>0</v>
      </c>
      <c r="H14" s="8">
        <v>0</v>
      </c>
      <c r="I14" s="15">
        <f>I12</f>
        <v>0</v>
      </c>
      <c r="K14" s="12"/>
    </row>
    <row r="18" spans="2:4" x14ac:dyDescent="0.2">
      <c r="B18" s="11"/>
    </row>
    <row r="24" spans="2:4" x14ac:dyDescent="0.2">
      <c r="D24" s="21"/>
    </row>
  </sheetData>
  <pageMargins left="0.75" right="0.75" top="1" bottom="1" header="0.5" footer="0.5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441D-9165-1D43-8F74-DEBDF45B3E23}">
  <dimension ref="A1:C13"/>
  <sheetViews>
    <sheetView workbookViewId="0">
      <selection activeCell="H25" sqref="H25"/>
    </sheetView>
  </sheetViews>
  <sheetFormatPr baseColWidth="10" defaultRowHeight="15" x14ac:dyDescent="0.2"/>
  <sheetData>
    <row r="1" spans="1:3" x14ac:dyDescent="0.2">
      <c r="A1" s="17" t="s">
        <v>30</v>
      </c>
      <c r="B1" s="17" t="s">
        <v>8</v>
      </c>
      <c r="C1" s="17" t="s">
        <v>31</v>
      </c>
    </row>
    <row r="2" spans="1:3" x14ac:dyDescent="0.2">
      <c r="A2" s="18" t="s">
        <v>32</v>
      </c>
      <c r="B2" s="19">
        <v>2020</v>
      </c>
      <c r="C2" s="17">
        <v>60</v>
      </c>
    </row>
    <row r="3" spans="1:3" x14ac:dyDescent="0.2">
      <c r="A3" s="20" t="s">
        <v>33</v>
      </c>
      <c r="B3" s="19">
        <v>2020</v>
      </c>
      <c r="C3" s="17">
        <v>6</v>
      </c>
    </row>
    <row r="4" spans="1:3" x14ac:dyDescent="0.2">
      <c r="A4" s="20" t="s">
        <v>34</v>
      </c>
      <c r="B4" s="19">
        <v>2020</v>
      </c>
      <c r="C4" s="17">
        <v>0</v>
      </c>
    </row>
    <row r="5" spans="1:3" x14ac:dyDescent="0.2">
      <c r="A5" s="20" t="s">
        <v>35</v>
      </c>
      <c r="B5" s="19">
        <v>2020</v>
      </c>
      <c r="C5" s="17">
        <v>0</v>
      </c>
    </row>
    <row r="6" spans="1:3" x14ac:dyDescent="0.2">
      <c r="A6" s="20" t="s">
        <v>36</v>
      </c>
      <c r="B6" s="19">
        <v>2020</v>
      </c>
      <c r="C6" s="17">
        <v>200</v>
      </c>
    </row>
    <row r="7" spans="1:3" x14ac:dyDescent="0.2">
      <c r="A7" s="20" t="s">
        <v>37</v>
      </c>
      <c r="B7" s="19">
        <v>2020</v>
      </c>
      <c r="C7" s="17">
        <v>0</v>
      </c>
    </row>
    <row r="8" spans="1:3" x14ac:dyDescent="0.2">
      <c r="A8" s="20" t="s">
        <v>32</v>
      </c>
      <c r="B8" s="19">
        <v>2030</v>
      </c>
      <c r="C8" s="17">
        <v>30</v>
      </c>
    </row>
    <row r="9" spans="1:3" x14ac:dyDescent="0.2">
      <c r="A9" s="20" t="s">
        <v>33</v>
      </c>
      <c r="B9" s="19">
        <v>2030</v>
      </c>
      <c r="C9" s="17">
        <v>6</v>
      </c>
    </row>
    <row r="10" spans="1:3" x14ac:dyDescent="0.2">
      <c r="A10" s="20" t="s">
        <v>34</v>
      </c>
      <c r="B10" s="19">
        <v>2030</v>
      </c>
      <c r="C10" s="17">
        <v>0</v>
      </c>
    </row>
    <row r="11" spans="1:3" x14ac:dyDescent="0.2">
      <c r="A11" s="20" t="s">
        <v>35</v>
      </c>
      <c r="B11" s="19">
        <v>2030</v>
      </c>
      <c r="C11" s="17">
        <v>0</v>
      </c>
    </row>
    <row r="12" spans="1:3" x14ac:dyDescent="0.2">
      <c r="A12" s="20" t="s">
        <v>36</v>
      </c>
      <c r="B12" s="19">
        <v>2030</v>
      </c>
      <c r="C12" s="17">
        <v>60</v>
      </c>
    </row>
    <row r="13" spans="1:3" x14ac:dyDescent="0.2">
      <c r="A13" s="20" t="s">
        <v>37</v>
      </c>
      <c r="B13" s="19">
        <v>2030</v>
      </c>
      <c r="C13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35.5" bestFit="1" customWidth="1"/>
    <col min="2" max="2" width="5.1640625" bestFit="1" customWidth="1"/>
    <col min="3" max="3" width="22.33203125" bestFit="1" customWidth="1"/>
    <col min="4" max="4" width="14" bestFit="1" customWidth="1"/>
    <col min="5" max="5" width="17.5" bestFit="1" customWidth="1"/>
    <col min="6" max="6" width="17.1640625" bestFit="1" customWidth="1"/>
    <col min="7" max="7" width="16.83203125" bestFit="1" customWidth="1"/>
    <col min="8" max="8" width="30.33203125" bestFit="1" customWidth="1"/>
    <col min="9" max="9" width="22.83203125" bestFit="1" customWidth="1"/>
    <col min="10" max="10" width="25.5" bestFit="1" customWidth="1"/>
    <col min="11" max="11" width="21.5" bestFit="1" customWidth="1"/>
    <col min="12" max="12" width="24.83203125" bestFit="1" customWidth="1"/>
    <col min="13" max="13" width="35.5" bestFit="1" customWidth="1"/>
  </cols>
  <sheetData>
    <row r="1" spans="1:15" x14ac:dyDescent="0.2">
      <c r="A1" s="1" t="s">
        <v>9</v>
      </c>
      <c r="B1" s="1" t="s">
        <v>8</v>
      </c>
      <c r="C1" s="1" t="s">
        <v>15</v>
      </c>
      <c r="D1" s="5" t="s">
        <v>19</v>
      </c>
      <c r="E1" s="4" t="s">
        <v>16</v>
      </c>
      <c r="F1" s="4" t="s">
        <v>17</v>
      </c>
      <c r="G1" s="4" t="s">
        <v>18</v>
      </c>
      <c r="H1" s="5" t="s">
        <v>20</v>
      </c>
      <c r="I1" s="5" t="s">
        <v>24</v>
      </c>
      <c r="J1" s="4" t="s">
        <v>21</v>
      </c>
      <c r="K1" s="4" t="s">
        <v>22</v>
      </c>
      <c r="L1" s="10" t="s">
        <v>23</v>
      </c>
      <c r="M1" s="4" t="s">
        <v>25</v>
      </c>
      <c r="N1" s="4" t="s">
        <v>26</v>
      </c>
      <c r="O1" s="4" t="s">
        <v>27</v>
      </c>
    </row>
    <row r="2" spans="1:15" x14ac:dyDescent="0.2">
      <c r="A2" s="1" t="s">
        <v>15</v>
      </c>
      <c r="B2" s="1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0.4</v>
      </c>
      <c r="I2">
        <v>0</v>
      </c>
      <c r="J2">
        <v>0</v>
      </c>
      <c r="K2" s="3">
        <v>0.15</v>
      </c>
      <c r="L2">
        <v>0.2</v>
      </c>
      <c r="M2">
        <v>0.15</v>
      </c>
      <c r="N2" s="3">
        <f>1-H2-K2-L2-M2</f>
        <v>9.999999999999995E-2</v>
      </c>
      <c r="O2">
        <v>0</v>
      </c>
    </row>
    <row r="3" spans="1:15" x14ac:dyDescent="0.2">
      <c r="A3" s="5" t="s">
        <v>19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s="4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s="4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s="4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s="5" t="s">
        <v>20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5" t="s">
        <v>24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s="4" t="s">
        <v>21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s="4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10" t="s">
        <v>23</v>
      </c>
      <c r="B11" s="1">
        <v>2020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2">
      <c r="A12" s="4" t="s">
        <v>25</v>
      </c>
      <c r="B12" s="1">
        <v>2020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">
      <c r="A13" s="4" t="s">
        <v>26</v>
      </c>
      <c r="B13" s="1">
        <v>2020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2">
      <c r="A14" s="4" t="s">
        <v>27</v>
      </c>
      <c r="B14" s="1"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2022-09-20T08:51:09Z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