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raillard-cazanove\ownCloud\1ère année\Optim modelling\Project\Etude_TP_CapaExpPlaning-Python\Models\Industry_model\Input\Chemistry\Data\"/>
    </mc:Choice>
  </mc:AlternateContent>
  <xr:revisionPtr revIDLastSave="0" documentId="13_ncr:1_{CEF4A71F-E3B8-400F-A370-80A6C15FA5B3}" xr6:coauthVersionLast="36" xr6:coauthVersionMax="36" xr10:uidLastSave="{00000000-0000-0000-0000-000000000000}"/>
  <bookViews>
    <workbookView xWindow="0" yWindow="0" windowWidth="21570" windowHeight="7350" xr2:uid="{00000000-000D-0000-FFFF-FFFF00000000}"/>
  </bookViews>
  <sheets>
    <sheet name="Technologies" sheetId="4" r:id="rId1"/>
    <sheet name="Sources" sheetId="2" r:id="rId2"/>
    <sheet name="Comment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4" l="1"/>
  <c r="N19" i="4"/>
  <c r="K11" i="4" l="1"/>
  <c r="K18" i="4" s="1"/>
  <c r="L15" i="4"/>
  <c r="F19" i="4"/>
  <c r="H19" i="4"/>
  <c r="I19" i="4"/>
  <c r="D19" i="4"/>
  <c r="N8" i="4"/>
  <c r="H18" i="4"/>
  <c r="F18" i="4"/>
  <c r="D18" i="4"/>
  <c r="E18" i="4"/>
  <c r="I18" i="4"/>
  <c r="N18" i="4"/>
  <c r="J16" i="4"/>
  <c r="N16" i="4"/>
  <c r="N11" i="4"/>
  <c r="N14" i="4"/>
  <c r="P8" i="4"/>
  <c r="P16" i="4"/>
  <c r="P14" i="4"/>
  <c r="P18" i="4" l="1"/>
  <c r="AD20" i="4" l="1"/>
  <c r="AC20" i="4"/>
  <c r="AB20" i="4"/>
  <c r="AA20" i="4"/>
  <c r="Z20" i="4"/>
  <c r="Y20" i="4"/>
  <c r="P19" i="4"/>
  <c r="AE18" i="4"/>
  <c r="AC18" i="4"/>
  <c r="T18" i="4"/>
  <c r="S18" i="4"/>
  <c r="R18" i="4"/>
  <c r="Q18" i="4"/>
  <c r="AE16" i="4"/>
  <c r="AD16" i="4"/>
  <c r="AC16" i="4"/>
  <c r="AB16" i="4"/>
  <c r="AA16" i="4"/>
  <c r="Z16" i="4"/>
  <c r="Y16" i="4"/>
  <c r="X16" i="4"/>
  <c r="V16" i="4"/>
  <c r="T16" i="4"/>
  <c r="S16" i="4"/>
  <c r="R16" i="4"/>
  <c r="Q16" i="4"/>
  <c r="AE15" i="4"/>
  <c r="AD15" i="4"/>
  <c r="AC15" i="4"/>
  <c r="AB15" i="4"/>
  <c r="AA15" i="4"/>
  <c r="Z15" i="4"/>
  <c r="Y15" i="4"/>
  <c r="T8" i="4"/>
  <c r="S8" i="4"/>
  <c r="R8" i="4"/>
  <c r="AA13" i="4"/>
  <c r="S11" i="4"/>
  <c r="R11" i="4"/>
  <c r="Q11" i="4"/>
  <c r="P11" i="4"/>
  <c r="P10" i="4"/>
  <c r="AD9" i="4"/>
  <c r="AB9" i="4"/>
  <c r="AA9" i="4"/>
  <c r="T6" i="4"/>
  <c r="S6" i="4"/>
  <c r="R6" i="4"/>
  <c r="Q6" i="4"/>
  <c r="T4" i="4"/>
  <c r="S4" i="4"/>
  <c r="R4" i="4"/>
  <c r="Q4" i="4"/>
  <c r="Q19" i="4" l="1"/>
  <c r="R19" i="4"/>
  <c r="S19" i="4"/>
  <c r="T19" i="4"/>
  <c r="P2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Quentin RAILLARD-CAZANOVE</author>
  </authors>
  <commentList>
    <comment ref="Q16" authorId="0" shapeId="0" xr:uid="{90EE0965-D865-45C3-9C4F-14DFF6458323}">
      <text>
        <r>
          <rPr>
            <b/>
            <sz val="9"/>
            <color indexed="81"/>
            <rFont val="Tahoma"/>
            <family val="2"/>
          </rPr>
          <t>Quentin RAILLARD-CAZANOVE:</t>
        </r>
        <r>
          <rPr>
            <sz val="9"/>
            <color indexed="81"/>
            <rFont val="Tahoma"/>
            <family val="2"/>
          </rPr>
          <t xml:space="preserve">
arbitrarily set</t>
        </r>
      </text>
    </comment>
  </commentList>
</comments>
</file>

<file path=xl/sharedStrings.xml><?xml version="1.0" encoding="utf-8"?>
<sst xmlns="http://schemas.openxmlformats.org/spreadsheetml/2006/main" count="401" uniqueCount="96">
  <si>
    <t>ethylene</t>
  </si>
  <si>
    <t>propylene</t>
  </si>
  <si>
    <t>lpg</t>
  </si>
  <si>
    <t>c4</t>
  </si>
  <si>
    <t>aromatics</t>
  </si>
  <si>
    <t>methanol</t>
  </si>
  <si>
    <t>coal</t>
  </si>
  <si>
    <t>biomass</t>
  </si>
  <si>
    <t>c5</t>
  </si>
  <si>
    <t>hydrogen</t>
  </si>
  <si>
    <t>NaphtaSC</t>
  </si>
  <si>
    <t>EthaneSC</t>
  </si>
  <si>
    <t>PDH</t>
  </si>
  <si>
    <t>oil</t>
  </si>
  <si>
    <t>electricity</t>
  </si>
  <si>
    <t>unit</t>
  </si>
  <si>
    <t>t</t>
  </si>
  <si>
    <t>MWh</t>
  </si>
  <si>
    <t>Electrolyser</t>
  </si>
  <si>
    <t>H2_to_CH4</t>
  </si>
  <si>
    <t>Biomass_to_CH4</t>
  </si>
  <si>
    <t>OCM</t>
  </si>
  <si>
    <t>gas</t>
  </si>
  <si>
    <t>cost</t>
  </si>
  <si>
    <t>€</t>
  </si>
  <si>
    <t>tCO2</t>
  </si>
  <si>
    <t>steam</t>
  </si>
  <si>
    <t>water</t>
  </si>
  <si>
    <t>CFTO</t>
  </si>
  <si>
    <t>NFTO</t>
  </si>
  <si>
    <t>BFTO</t>
  </si>
  <si>
    <t>Coal_to_Methanol</t>
  </si>
  <si>
    <t>Natural_gas_to_Methanol</t>
  </si>
  <si>
    <t>Biomass_to_Methanol</t>
  </si>
  <si>
    <t>Air_to_Methanol</t>
  </si>
  <si>
    <t>MTO</t>
  </si>
  <si>
    <t>MTP</t>
  </si>
  <si>
    <t>CO2</t>
  </si>
  <si>
    <t>Emissions</t>
  </si>
  <si>
    <t>Resource</t>
  </si>
  <si>
    <t>Zero</t>
  </si>
  <si>
    <t>FR_SC</t>
  </si>
  <si>
    <t>Name</t>
  </si>
  <si>
    <t>About</t>
  </si>
  <si>
    <t>Link</t>
  </si>
  <si>
    <t>ADEME PTS</t>
  </si>
  <si>
    <t>https://finance-climact.fr/wp-content/uploads/2021/06/memo-pts-chimie-2021.pdf</t>
  </si>
  <si>
    <t>FR GOV Petro</t>
  </si>
  <si>
    <t>HCV production in France</t>
  </si>
  <si>
    <t>https://www.statistiques.developpement-durable.gouv.fr/sites/default/files/2021-01/datalab_essentiel_235_activite_de_la_petrochimie_en_france_en_2019.pdf</t>
  </si>
  <si>
    <t>https://www.sciencedirect.com/science/article/pii/S0959652615019241#bib13</t>
  </si>
  <si>
    <t>energy consumption + emissions</t>
  </si>
  <si>
    <t>(Zhao et al, 2017)</t>
  </si>
  <si>
    <t>(Zhao et al, 2021)</t>
  </si>
  <si>
    <t>energy consumption</t>
  </si>
  <si>
    <t>https://www.sciencedirect.com/science/article/pii/S2095495620302606#tbl0002</t>
  </si>
  <si>
    <t>(Layritz et al, 2021)</t>
  </si>
  <si>
    <t>https://www.sciencedirect.com/science/article/pii/S0306261921005079</t>
  </si>
  <si>
    <t>https://www.iea.org/data-and-statistics/charts/simplified-levelised-cost-of-petrochemicals-for-selected-feedstocks-and-regions-2017</t>
  </si>
  <si>
    <t>IEA_lvl_cost</t>
  </si>
  <si>
    <t>Blank</t>
  </si>
  <si>
    <t>PropaneSC</t>
  </si>
  <si>
    <t>ButaneSC</t>
  </si>
  <si>
    <t>(Lee &amp; Elgowainy, 2018)</t>
  </si>
  <si>
    <t>https://www.sciencedirect.com/science/article/pii/S0360319918328854</t>
  </si>
  <si>
    <t>enery consumption</t>
  </si>
  <si>
    <t>enerygy + emissions</t>
  </si>
  <si>
    <t>https://www.sciencedirect.com/science/article/pii/S0921344905000728</t>
  </si>
  <si>
    <t>(Neelis et al, 2005)</t>
  </si>
  <si>
    <t>SMR</t>
  </si>
  <si>
    <t>sc_input</t>
  </si>
  <si>
    <t>Refining</t>
  </si>
  <si>
    <t>Gas_boiler</t>
  </si>
  <si>
    <t>E_boiler</t>
  </si>
  <si>
    <t>Coal</t>
  </si>
  <si>
    <t>Biomass</t>
  </si>
  <si>
    <t>Oil</t>
  </si>
  <si>
    <t>Electricity</t>
  </si>
  <si>
    <t>Gas</t>
  </si>
  <si>
    <t>Biogas</t>
  </si>
  <si>
    <t>BioNaphta</t>
  </si>
  <si>
    <t>JRC_Biomass</t>
  </si>
  <si>
    <t>biomass/biogas emissions</t>
  </si>
  <si>
    <t>https://publications.jrc.ec.europa.eu/repository/bitstream/JRC104759/ld1a27215enn.pdf</t>
  </si>
  <si>
    <t>bio-naphtha</t>
  </si>
  <si>
    <t>https://www.sciencedirect.com/science/article/pii/S1385894711006012</t>
  </si>
  <si>
    <t>(Pyl et al, 2011)</t>
  </si>
  <si>
    <t>MMC_Berlin</t>
  </si>
  <si>
    <t>oil, natural gas and coal cost</t>
  </si>
  <si>
    <t>https://www.mcc-berlin.net/fileadmin/data/C18_MCC_Publications/2022_MCC_Effects_of_the_energy_price_crisis_on_European_households.pdf</t>
  </si>
  <si>
    <t>IEA_biogas</t>
  </si>
  <si>
    <t>biogas cost</t>
  </si>
  <si>
    <t>https://www.iea.org/reports/outlook-for-biogas-and-biomethane-prospects-for-organic-growth/sustainable-supply-potential-and-costs</t>
  </si>
  <si>
    <t>(Cottam &amp; Bridgwater, 1994)</t>
  </si>
  <si>
    <t>bio-naphta cost</t>
  </si>
  <si>
    <t>https://www.sciencedirect.com/science/article/pii/0961953494000685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</si>
</sst>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2" fontId="0" fillId="2" borderId="1" xfId="0" applyNumberFormat="1" applyFont="1" applyFill="1" applyBorder="1"/>
    <xf numFmtId="164" fontId="0" fillId="0" borderId="1" xfId="0" applyNumberFormat="1" applyFont="1" applyBorder="1"/>
    <xf numFmtId="164" fontId="0" fillId="2" borderId="1" xfId="0" applyNumberFormat="1" applyFont="1" applyFill="1" applyBorder="1"/>
    <xf numFmtId="0" fontId="0" fillId="3" borderId="1" xfId="0" applyFont="1" applyFill="1" applyBorder="1"/>
    <xf numFmtId="1" fontId="0" fillId="0" borderId="1" xfId="0" applyNumberFormat="1" applyFont="1" applyBorder="1"/>
    <xf numFmtId="0" fontId="0" fillId="2" borderId="1" xfId="0" applyFont="1" applyFill="1" applyBorder="1"/>
    <xf numFmtId="0" fontId="3" fillId="4" borderId="0" xfId="0" applyFont="1" applyFill="1" applyBorder="1"/>
    <xf numFmtId="0" fontId="0" fillId="5" borderId="1" xfId="0" applyFont="1" applyFill="1" applyBorder="1"/>
    <xf numFmtId="2" fontId="0" fillId="5" borderId="1" xfId="0" applyNumberFormat="1" applyFont="1" applyFill="1" applyBorder="1"/>
    <xf numFmtId="0" fontId="0" fillId="0" borderId="1" xfId="0" applyFont="1" applyFill="1" applyBorder="1"/>
    <xf numFmtId="165" fontId="0" fillId="5" borderId="1" xfId="0" applyNumberFormat="1" applyFont="1" applyFill="1" applyBorder="1"/>
    <xf numFmtId="164" fontId="0" fillId="5" borderId="1" xfId="0" applyNumberFormat="1" applyFont="1" applyFill="1" applyBorder="1"/>
    <xf numFmtId="164" fontId="0" fillId="5" borderId="0" xfId="0" applyNumberFormat="1" applyFill="1"/>
    <xf numFmtId="2" fontId="0" fillId="3" borderId="1" xfId="0" applyNumberFormat="1" applyFont="1" applyFill="1" applyBorder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.raillard-cazanove/ownCloud/1&#232;re%20ann&#233;e/Optim%20modelling/Project/Etude_TP_CapaExpPlaning-Python/Models/Industry_model/Input/Chemistry/Naphta%20&amp;%20gasoline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ources_character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phta &amp; gasoline production"/>
    </sheetNames>
    <sheetDataSet>
      <sheetData sheetId="0">
        <row r="3">
          <cell r="D3">
            <v>6.3920000000000003</v>
          </cell>
        </row>
        <row r="5">
          <cell r="D5">
            <v>6.5000000000000002E-2</v>
          </cell>
        </row>
        <row r="6">
          <cell r="D6">
            <v>0.06</v>
          </cell>
        </row>
        <row r="7">
          <cell r="D7">
            <v>255</v>
          </cell>
        </row>
        <row r="13">
          <cell r="D13">
            <v>6.2799999999999994</v>
          </cell>
        </row>
        <row r="14">
          <cell r="D14">
            <v>0.56400000000000006</v>
          </cell>
        </row>
        <row r="22">
          <cell r="E22">
            <v>1.1024063116370808</v>
          </cell>
        </row>
        <row r="24">
          <cell r="E24">
            <v>4.511439842209073E-2</v>
          </cell>
        </row>
        <row r="25">
          <cell r="E25">
            <v>24.927021696252464</v>
          </cell>
        </row>
        <row r="32">
          <cell r="E32">
            <v>1.2287968441814597E-2</v>
          </cell>
        </row>
        <row r="33">
          <cell r="E33">
            <v>0.65687968441814593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Sources"/>
    </sheetNames>
    <sheetDataSet>
      <sheetData sheetId="0">
        <row r="4">
          <cell r="B4">
            <v>11.666760000000002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58D-7F5B-4EF4-A405-5ECDD25301A7}" name="Tableau3" displayName="Tableau3" ref="A1:AH20" totalsRowShown="0" headerRowDxfId="33" dataDxfId="32" tableBorderDxfId="31">
  <autoFilter ref="A1:AH20" xr:uid="{87FB60C7-DCAA-43CC-AAD9-BB44B0181513}"/>
  <tableColumns count="34">
    <tableColumn id="1" xr3:uid="{42A5F6EE-6AFE-476D-8B1C-92974D7ECF5E}" name="Resource" dataDxfId="30"/>
    <tableColumn id="2" xr3:uid="{436B0181-7084-40DE-83CC-F2B7CA1F9DBE}" name="Zero" dataDxfId="29"/>
    <tableColumn id="4" xr3:uid="{9D816E12-F9ED-4134-84FD-E84CE7055F94}" name="unit" dataDxfId="28"/>
    <tableColumn id="31" xr3:uid="{1834CA8E-6F62-4112-9C55-3BEBEF582BCD}" name="Coal" dataDxfId="27"/>
    <tableColumn id="30" xr3:uid="{95CE3A02-2D09-444F-A86C-44BABD9960A1}" name="Biomass" dataDxfId="26"/>
    <tableColumn id="29" xr3:uid="{3C14BBC9-3F5B-41A2-A16E-8B63C0830C83}" name="Oil" dataDxfId="25"/>
    <tableColumn id="33" xr3:uid="{ABEF9DE2-1D37-4217-B0DB-9B4F2ABC2CC5}" name="Electricity" dataDxfId="24"/>
    <tableColumn id="32" xr3:uid="{40527675-7B2B-4EC4-87CC-1F5584BF45D5}" name="Gas" dataDxfId="23"/>
    <tableColumn id="34" xr3:uid="{F8B04E4E-A0EB-4B56-9F9D-4007CD57A8B7}" name="Biogas" dataDxfId="22"/>
    <tableColumn id="28" xr3:uid="{3A6DD972-6816-40FD-9915-532B362BF585}" name="E_boiler" dataDxfId="21"/>
    <tableColumn id="27" xr3:uid="{33DD4CA3-0CFF-44B4-B667-E3DD4CCEEC56}" name="Gas_boiler" dataDxfId="20"/>
    <tableColumn id="26" xr3:uid="{B21DF75D-E835-4798-84CC-42014D76A798}" name="SMR" dataDxfId="19"/>
    <tableColumn id="5" xr3:uid="{373EC982-CA8C-4DD0-B0E0-32F80AB9FA15}" name="Electrolyser" dataDxfId="18"/>
    <tableColumn id="25" xr3:uid="{079A3945-6948-4056-BF74-88C1C36C8EEF}" name="Refining" dataDxfId="2"/>
    <tableColumn id="36" xr3:uid="{55E93B13-450C-4F8D-BA3B-8FC0501DA6CD}" name="BioNaphta" dataDxfId="0"/>
    <tableColumn id="6" xr3:uid="{71A8539B-F0B9-4CEB-B46E-A2B2B5E94600}" name="FR_SC" dataDxfId="1"/>
    <tableColumn id="7" xr3:uid="{8DD7E9EB-CCC0-4816-8C40-750FC8B75FB2}" name="NaphtaSC"/>
    <tableColumn id="8" xr3:uid="{C0930048-16BC-4864-90D6-1F7A0C76EDF5}" name="PropaneSC"/>
    <tableColumn id="9" xr3:uid="{3B88FE91-C2CA-4A5A-AEE6-4222842B89B9}" name="ButaneSC"/>
    <tableColumn id="10" xr3:uid="{9E787C65-B5AD-4E9B-9726-5E74B5E2591E}" name="EthaneSC" dataDxfId="17"/>
    <tableColumn id="11" xr3:uid="{13E099E0-2238-48BF-804F-B7015D5ACA13}" name="PDH" dataDxfId="16"/>
    <tableColumn id="12" xr3:uid="{E3BA8A3E-D200-4A9D-BD50-1A5D3E121A70}" name="Biomass_to_CH4" dataDxfId="15"/>
    <tableColumn id="13" xr3:uid="{41177214-B713-49F6-ABC4-45DD47D20226}" name="H2_to_CH4" dataDxfId="14"/>
    <tableColumn id="14" xr3:uid="{A9A92A6A-E58E-40AD-AA4C-A639C157BCE1}" name="OCM" dataDxfId="13"/>
    <tableColumn id="15" xr3:uid="{95761D16-EA39-497C-88C7-E17568142C5D}" name="CFTO" dataDxfId="12"/>
    <tableColumn id="16" xr3:uid="{6458C60D-42CB-4193-AD3F-784FDFFBF674}" name="NFTO" dataDxfId="11"/>
    <tableColumn id="17" xr3:uid="{AB331960-8DD1-4F53-BF5B-A63A102275E1}" name="BFTO" dataDxfId="10"/>
    <tableColumn id="18" xr3:uid="{B696CBCD-7F79-4135-AF86-10A02B64678E}" name="Coal_to_Methanol" dataDxfId="9"/>
    <tableColumn id="19" xr3:uid="{35678EC3-B1A2-427E-9958-D66E86A9BD5C}" name="Natural_gas_to_Methanol" dataDxfId="8"/>
    <tableColumn id="20" xr3:uid="{4CD8688F-5ABC-4011-81FC-0B4E9DDBAB50}" name="Biomass_to_Methanol" dataDxfId="7"/>
    <tableColumn id="21" xr3:uid="{33EFDC9A-CE5A-4838-B51E-E6450A08E686}" name="Air_to_Methanol" dataDxfId="6"/>
    <tableColumn id="22" xr3:uid="{940371B1-A398-4D7E-800F-2DA6D9378E14}" name="MTO" dataDxfId="5"/>
    <tableColumn id="23" xr3:uid="{9C579E2B-EFB9-4CDF-90A8-B8E4B9421C12}" name="MTP" dataDxfId="4"/>
    <tableColumn id="24" xr3:uid="{B0DEE251-5BB2-4367-BFBD-103A29B0561A}" name="Blank" dataDxfId="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A324C-91D6-4E2E-BBB0-429EC5DA63B5}" name="Tableau2" displayName="Tableau2" ref="A1:C1048576" totalsRowShown="0">
  <autoFilter ref="A1:C1048576" xr:uid="{A4DB52C6-C72E-419E-94E1-402E072AFA9D}"/>
  <tableColumns count="3">
    <tableColumn id="1" xr3:uid="{B00E869B-4749-4997-968B-712B16B60D42}" name="Name"/>
    <tableColumn id="2" xr3:uid="{8A746971-D955-4701-BD9F-9613B6E8A947}" name="About"/>
    <tableColumn id="3" xr3:uid="{2DDA0A64-ECC1-464B-9FE9-23943C30F038}" name="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EE37-33A3-4179-A627-9FAA023AC5EF}">
  <dimension ref="A1:AH20"/>
  <sheetViews>
    <sheetView tabSelected="1" workbookViewId="0">
      <selection activeCell="G6" sqref="G6"/>
    </sheetView>
  </sheetViews>
  <sheetFormatPr baseColWidth="10" defaultRowHeight="15" x14ac:dyDescent="0.25"/>
  <cols>
    <col min="8" max="8" width="12" bestFit="1" customWidth="1"/>
    <col min="14" max="15" width="13.5703125" customWidth="1"/>
    <col min="18" max="18" width="11.7109375" customWidth="1"/>
    <col min="19" max="19" width="12.7109375" customWidth="1"/>
    <col min="20" max="20" width="11.5703125" customWidth="1"/>
    <col min="23" max="23" width="17.7109375" customWidth="1"/>
    <col min="24" max="24" width="12.7109375" customWidth="1"/>
    <col min="29" max="29" width="19.5703125" customWidth="1"/>
    <col min="30" max="30" width="26.140625" customWidth="1"/>
    <col min="31" max="31" width="23" customWidth="1"/>
    <col min="32" max="32" width="18.28515625" customWidth="1"/>
  </cols>
  <sheetData>
    <row r="1" spans="1:34" x14ac:dyDescent="0.25">
      <c r="A1" s="8" t="s">
        <v>39</v>
      </c>
      <c r="B1" s="8" t="s">
        <v>40</v>
      </c>
      <c r="C1" s="8" t="s">
        <v>15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73</v>
      </c>
      <c r="K1" s="8" t="s">
        <v>72</v>
      </c>
      <c r="L1" s="8" t="s">
        <v>69</v>
      </c>
      <c r="M1" s="8" t="s">
        <v>18</v>
      </c>
      <c r="N1" s="8" t="s">
        <v>71</v>
      </c>
      <c r="O1" s="8" t="s">
        <v>80</v>
      </c>
      <c r="P1" s="8" t="s">
        <v>41</v>
      </c>
      <c r="Q1" s="8" t="s">
        <v>10</v>
      </c>
      <c r="R1" s="8" t="s">
        <v>61</v>
      </c>
      <c r="S1" s="8" t="s">
        <v>62</v>
      </c>
      <c r="T1" s="8" t="s">
        <v>11</v>
      </c>
      <c r="U1" s="8" t="s">
        <v>12</v>
      </c>
      <c r="V1" s="8" t="s">
        <v>20</v>
      </c>
      <c r="W1" s="8" t="s">
        <v>19</v>
      </c>
      <c r="X1" s="8" t="s">
        <v>21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8" t="s">
        <v>36</v>
      </c>
      <c r="AH1" s="8" t="s">
        <v>60</v>
      </c>
    </row>
    <row r="2" spans="1:34" x14ac:dyDescent="0.25">
      <c r="A2" s="1" t="s">
        <v>0</v>
      </c>
      <c r="B2" s="1"/>
      <c r="C2" s="1" t="s">
        <v>16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">
        <v>-0.31</v>
      </c>
      <c r="Q2" s="1">
        <v>-29.18</v>
      </c>
      <c r="R2" s="1">
        <v>-38.4</v>
      </c>
      <c r="S2" s="1">
        <v>-37.909999999999997</v>
      </c>
      <c r="T2" s="1">
        <v>-52.81</v>
      </c>
      <c r="U2" s="1"/>
      <c r="V2" s="1"/>
      <c r="W2" s="1"/>
      <c r="X2" s="1">
        <v>-1</v>
      </c>
      <c r="Y2" s="1">
        <v>-0.4</v>
      </c>
      <c r="Z2" s="1">
        <v>-0.4</v>
      </c>
      <c r="AA2" s="1">
        <v>-0.4</v>
      </c>
      <c r="AB2" s="1"/>
      <c r="AC2" s="1"/>
      <c r="AD2" s="1"/>
      <c r="AE2" s="1"/>
      <c r="AF2" s="1">
        <v>-0.5</v>
      </c>
      <c r="AG2" s="1">
        <v>-0.05</v>
      </c>
      <c r="AH2" s="1"/>
    </row>
    <row r="3" spans="1:34" x14ac:dyDescent="0.25">
      <c r="A3" s="1" t="s">
        <v>1</v>
      </c>
      <c r="B3" s="1"/>
      <c r="C3" s="1" t="s">
        <v>16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>
        <v>-0.19</v>
      </c>
      <c r="Q3" s="1">
        <v>-15.4</v>
      </c>
      <c r="R3" s="1">
        <v>-13.16</v>
      </c>
      <c r="S3" s="1">
        <v>-16.25</v>
      </c>
      <c r="T3" s="1">
        <v>-0.99</v>
      </c>
      <c r="U3" s="1">
        <v>-1</v>
      </c>
      <c r="V3" s="1"/>
      <c r="W3" s="1"/>
      <c r="X3" s="1"/>
      <c r="Y3" s="1">
        <v>-0.6</v>
      </c>
      <c r="Z3" s="1">
        <v>-0.6</v>
      </c>
      <c r="AA3" s="1">
        <v>-0.6</v>
      </c>
      <c r="AB3" s="1"/>
      <c r="AC3" s="1"/>
      <c r="AD3" s="1"/>
      <c r="AE3" s="1"/>
      <c r="AF3" s="1">
        <v>-0.5</v>
      </c>
      <c r="AG3" s="1">
        <v>-0.95</v>
      </c>
      <c r="AH3" s="1"/>
    </row>
    <row r="4" spans="1:34" x14ac:dyDescent="0.25">
      <c r="A4" s="1" t="s">
        <v>3</v>
      </c>
      <c r="B4" s="1"/>
      <c r="C4" s="1" t="s">
        <v>16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">
        <v>-0.13</v>
      </c>
      <c r="Q4" s="1">
        <f>-4.89-4.53</f>
        <v>-9.42</v>
      </c>
      <c r="R4" s="1">
        <f>-3.72-0.91</f>
        <v>-4.63</v>
      </c>
      <c r="S4" s="1">
        <f>-5.03-4.13-2.26</f>
        <v>-11.42</v>
      </c>
      <c r="T4" s="1">
        <f>-1.48-0.18</f>
        <v>-1.66</v>
      </c>
      <c r="U4" s="1">
        <v>-0.04</v>
      </c>
      <c r="V4" s="1"/>
      <c r="W4" s="1"/>
      <c r="X4" s="1"/>
      <c r="Y4" s="1">
        <v>-0.2</v>
      </c>
      <c r="Z4" s="1">
        <v>-0.2</v>
      </c>
      <c r="AA4" s="1">
        <v>-0.2</v>
      </c>
      <c r="AB4" s="1"/>
      <c r="AC4" s="1"/>
      <c r="AD4" s="1"/>
      <c r="AE4" s="1"/>
      <c r="AF4" s="1">
        <v>-0.2</v>
      </c>
      <c r="AG4" s="1"/>
      <c r="AH4" s="1"/>
    </row>
    <row r="5" spans="1:34" x14ac:dyDescent="0.25">
      <c r="A5" s="1" t="s">
        <v>2</v>
      </c>
      <c r="B5" s="1"/>
      <c r="C5" s="1" t="s">
        <v>16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-0.1</v>
      </c>
      <c r="AG5" s="1">
        <v>-7.0000000000000007E-2</v>
      </c>
      <c r="AH5" s="1"/>
    </row>
    <row r="6" spans="1:34" x14ac:dyDescent="0.25">
      <c r="A6" s="1" t="s">
        <v>4</v>
      </c>
      <c r="B6" s="1"/>
      <c r="C6" s="1" t="s">
        <v>16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">
        <v>-0.26</v>
      </c>
      <c r="Q6" s="1">
        <f>-6.35-3.43-0.92-1.32</f>
        <v>-12.02</v>
      </c>
      <c r="R6" s="1">
        <f>-2.38-0.52-0.35-0.07</f>
        <v>-3.32</v>
      </c>
      <c r="S6" s="1">
        <f>-2.51-0.06-0.23-0.15</f>
        <v>-2.9499999999999997</v>
      </c>
      <c r="T6" s="1">
        <f>-0.01-0.39-0.07</f>
        <v>-0.47000000000000003</v>
      </c>
      <c r="U6" s="1"/>
      <c r="V6" s="1"/>
      <c r="W6" s="1"/>
      <c r="X6" s="1"/>
      <c r="Y6" s="1">
        <v>-0.2</v>
      </c>
      <c r="Z6" s="1">
        <v>-0.2</v>
      </c>
      <c r="AA6" s="1">
        <v>-0.2</v>
      </c>
      <c r="AB6" s="1"/>
      <c r="AC6" s="1"/>
      <c r="AD6" s="1"/>
      <c r="AE6" s="1"/>
      <c r="AF6" s="1"/>
      <c r="AG6" s="1"/>
      <c r="AH6" s="1"/>
    </row>
    <row r="7" spans="1:34" x14ac:dyDescent="0.25">
      <c r="A7" s="1" t="s">
        <v>8</v>
      </c>
      <c r="B7" s="1"/>
      <c r="C7" s="1" t="s">
        <v>16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"/>
      <c r="Q7" s="1"/>
      <c r="R7" s="1"/>
      <c r="S7" s="1"/>
      <c r="T7" s="1"/>
      <c r="U7" s="1"/>
      <c r="V7" s="1"/>
      <c r="W7" s="1"/>
      <c r="X7" s="1"/>
      <c r="Y7" s="1">
        <v>-0.2</v>
      </c>
      <c r="Z7" s="1">
        <v>-0.2</v>
      </c>
      <c r="AA7" s="1">
        <v>-0.2</v>
      </c>
      <c r="AB7" s="1"/>
      <c r="AC7" s="1"/>
      <c r="AD7" s="1"/>
      <c r="AE7" s="1"/>
      <c r="AF7" s="1"/>
      <c r="AG7" s="1">
        <v>-0.35</v>
      </c>
      <c r="AH7" s="1"/>
    </row>
    <row r="8" spans="1:34" x14ac:dyDescent="0.25">
      <c r="A8" s="9" t="s">
        <v>70</v>
      </c>
      <c r="B8" s="9"/>
      <c r="C8" s="9" t="s">
        <v>16</v>
      </c>
      <c r="D8" s="9"/>
      <c r="E8" s="9"/>
      <c r="F8" s="9"/>
      <c r="G8" s="9"/>
      <c r="H8" s="9"/>
      <c r="I8" s="9"/>
      <c r="J8" s="9"/>
      <c r="K8" s="9"/>
      <c r="L8" s="9"/>
      <c r="M8" s="9"/>
      <c r="N8" s="7">
        <f>-'[1]Naphta &amp; gasoline production'!$D$13</f>
        <v>-6.2799999999999994</v>
      </c>
      <c r="O8" s="9">
        <v>-0.316</v>
      </c>
      <c r="P8" s="4">
        <f>'[1]Naphta &amp; gasoline production'!$E$22</f>
        <v>1.1024063116370808</v>
      </c>
      <c r="Q8" s="1">
        <v>100</v>
      </c>
      <c r="R8" s="1">
        <f>100-7.5</f>
        <v>92.5</v>
      </c>
      <c r="S8" s="1">
        <f>100-5.03</f>
        <v>94.97</v>
      </c>
      <c r="T8" s="1">
        <f>100-0.11-35</f>
        <v>64.89</v>
      </c>
      <c r="U8" s="1">
        <v>1.2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5</v>
      </c>
      <c r="B9" s="1"/>
      <c r="C9" s="1" t="s">
        <v>16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"/>
      <c r="Q9" s="1"/>
      <c r="R9" s="1"/>
      <c r="S9" s="1"/>
      <c r="T9" s="1"/>
      <c r="U9" s="1"/>
      <c r="V9" s="1"/>
      <c r="W9" s="1"/>
      <c r="X9" s="1"/>
      <c r="Y9" s="1">
        <v>0.9</v>
      </c>
      <c r="Z9" s="1"/>
      <c r="AA9" s="1">
        <f>0.4</f>
        <v>0.4</v>
      </c>
      <c r="AB9" s="1">
        <f>-2.9+0.3</f>
        <v>-2.6</v>
      </c>
      <c r="AC9" s="1">
        <v>-2.9</v>
      </c>
      <c r="AD9" s="1">
        <f>-2.9+0.3</f>
        <v>-2.6</v>
      </c>
      <c r="AE9" s="1">
        <v>-2.9</v>
      </c>
      <c r="AF9" s="1">
        <v>2.9</v>
      </c>
      <c r="AG9" s="1">
        <v>3.2</v>
      </c>
      <c r="AH9" s="1"/>
    </row>
    <row r="10" spans="1:34" x14ac:dyDescent="0.25">
      <c r="A10" s="9" t="s">
        <v>9</v>
      </c>
      <c r="B10" s="9"/>
      <c r="C10" s="9" t="s">
        <v>16</v>
      </c>
      <c r="D10" s="9"/>
      <c r="E10" s="9"/>
      <c r="F10" s="9"/>
      <c r="G10" s="9"/>
      <c r="H10" s="9"/>
      <c r="I10" s="9"/>
      <c r="J10" s="9"/>
      <c r="K10" s="9"/>
      <c r="L10" s="9">
        <v>-1</v>
      </c>
      <c r="M10" s="9">
        <v>-1</v>
      </c>
      <c r="N10" s="9"/>
      <c r="O10" s="9"/>
      <c r="P10" s="4">
        <f>-1*'[1]Naphta &amp; gasoline production'!$E$32</f>
        <v>-1.2287968441814597E-2</v>
      </c>
      <c r="Q10" s="6">
        <v>0</v>
      </c>
      <c r="R10" s="1">
        <v>0</v>
      </c>
      <c r="S10" s="1">
        <v>0</v>
      </c>
      <c r="T10" s="1">
        <v>0</v>
      </c>
      <c r="U10" s="1">
        <v>-0.03</v>
      </c>
      <c r="V10" s="1">
        <v>0.3</v>
      </c>
      <c r="W10" s="1">
        <v>1.3</v>
      </c>
      <c r="X10" s="1"/>
      <c r="Y10" s="1">
        <v>-0.1</v>
      </c>
      <c r="Z10" s="1"/>
      <c r="AA10" s="1">
        <v>-0.4</v>
      </c>
      <c r="AB10" s="1"/>
      <c r="AC10" s="1"/>
      <c r="AD10" s="1"/>
      <c r="AE10" s="1">
        <v>0.6</v>
      </c>
      <c r="AF10" s="1"/>
      <c r="AG10" s="1"/>
      <c r="AH10" s="1"/>
    </row>
    <row r="11" spans="1:34" x14ac:dyDescent="0.25">
      <c r="A11" s="9" t="s">
        <v>22</v>
      </c>
      <c r="B11" s="9"/>
      <c r="C11" s="9" t="s">
        <v>16</v>
      </c>
      <c r="D11" s="9"/>
      <c r="E11" s="9"/>
      <c r="F11" s="9"/>
      <c r="G11" s="9"/>
      <c r="H11" s="9">
        <v>-1</v>
      </c>
      <c r="I11" s="9">
        <v>-1</v>
      </c>
      <c r="J11" s="9"/>
      <c r="K11" s="10">
        <f>1/0.95*0.75/[2]Feuil1!$B$4</f>
        <v>6.7668631583278155E-2</v>
      </c>
      <c r="L11" s="9">
        <v>3.04</v>
      </c>
      <c r="M11" s="9"/>
      <c r="N11" s="7">
        <f>'[1]Naphta &amp; gasoline production'!$D$5</f>
        <v>6.5000000000000002E-2</v>
      </c>
      <c r="O11" s="9"/>
      <c r="P11" s="7">
        <f>-0.18+0.011</f>
        <v>-0.16899999999999998</v>
      </c>
      <c r="Q11" s="3">
        <f>0.13*Q2</f>
        <v>-3.7934000000000001</v>
      </c>
      <c r="R11" s="1">
        <f>0.35*R2</f>
        <v>-13.44</v>
      </c>
      <c r="S11" s="1">
        <f>0.24*S2</f>
        <v>-9.098399999999998</v>
      </c>
      <c r="T11" s="1">
        <v>0</v>
      </c>
      <c r="U11" s="1"/>
      <c r="V11" s="1">
        <v>-2.7</v>
      </c>
      <c r="W11" s="1">
        <v>-2.7</v>
      </c>
      <c r="X11" s="1">
        <v>2.7</v>
      </c>
      <c r="Y11" s="1"/>
      <c r="Z11" s="1">
        <v>8.6</v>
      </c>
      <c r="AA11" s="1"/>
      <c r="AB11" s="1"/>
      <c r="AC11" s="1">
        <v>2.4</v>
      </c>
      <c r="AD11" s="1"/>
      <c r="AE11" s="1"/>
      <c r="AF11" s="1"/>
      <c r="AG11" s="1"/>
      <c r="AH11" s="1"/>
    </row>
    <row r="12" spans="1:34" x14ac:dyDescent="0.25">
      <c r="A12" s="9" t="s">
        <v>6</v>
      </c>
      <c r="B12" s="9"/>
      <c r="C12" s="9" t="s">
        <v>16</v>
      </c>
      <c r="D12" s="9">
        <v>-1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"/>
      <c r="Q12" s="1"/>
      <c r="R12" s="1"/>
      <c r="S12" s="1"/>
      <c r="T12" s="1"/>
      <c r="U12" s="1"/>
      <c r="V12" s="1"/>
      <c r="W12" s="1"/>
      <c r="X12" s="1"/>
      <c r="Y12" s="1">
        <v>10</v>
      </c>
      <c r="Z12" s="1"/>
      <c r="AA12" s="1"/>
      <c r="AB12" s="1">
        <v>3.8</v>
      </c>
      <c r="AC12" s="1"/>
      <c r="AD12" s="1"/>
      <c r="AE12" s="1"/>
      <c r="AF12" s="1"/>
      <c r="AG12" s="1"/>
      <c r="AH12" s="1"/>
    </row>
    <row r="13" spans="1:34" x14ac:dyDescent="0.25">
      <c r="A13" s="9" t="s">
        <v>7</v>
      </c>
      <c r="B13" s="9"/>
      <c r="C13" s="9" t="s">
        <v>16</v>
      </c>
      <c r="D13" s="9"/>
      <c r="E13" s="9">
        <v>-1</v>
      </c>
      <c r="F13" s="9"/>
      <c r="G13" s="9"/>
      <c r="H13" s="9"/>
      <c r="I13" s="9"/>
      <c r="J13" s="9"/>
      <c r="K13" s="9"/>
      <c r="L13" s="9"/>
      <c r="M13" s="9"/>
      <c r="N13" s="9"/>
      <c r="O13" s="9">
        <v>1</v>
      </c>
      <c r="P13" s="1"/>
      <c r="Q13" s="1"/>
      <c r="R13" s="1"/>
      <c r="S13" s="1"/>
      <c r="T13" s="1"/>
      <c r="U13" s="1"/>
      <c r="V13" s="1">
        <v>12.2</v>
      </c>
      <c r="W13" s="1"/>
      <c r="X13" s="1"/>
      <c r="Y13" s="1"/>
      <c r="Z13" s="1"/>
      <c r="AA13" s="1">
        <f>17</f>
        <v>17</v>
      </c>
      <c r="AB13" s="1"/>
      <c r="AC13" s="1"/>
      <c r="AD13" s="1">
        <v>7</v>
      </c>
      <c r="AE13" s="1"/>
      <c r="AF13" s="1"/>
      <c r="AG13" s="1"/>
      <c r="AH13" s="1"/>
    </row>
    <row r="14" spans="1:34" x14ac:dyDescent="0.25">
      <c r="A14" s="9" t="s">
        <v>13</v>
      </c>
      <c r="B14" s="9"/>
      <c r="C14" s="9" t="s">
        <v>16</v>
      </c>
      <c r="D14" s="9"/>
      <c r="E14" s="9"/>
      <c r="F14" s="9">
        <v>-1</v>
      </c>
      <c r="G14" s="9"/>
      <c r="H14" s="9"/>
      <c r="I14" s="9"/>
      <c r="J14" s="9"/>
      <c r="K14" s="9"/>
      <c r="L14" s="9"/>
      <c r="M14" s="9"/>
      <c r="N14" s="7">
        <f>'[1]Naphta &amp; gasoline production'!$D$3+'[1]Naphta &amp; gasoline production'!$D$6</f>
        <v>6.452</v>
      </c>
      <c r="O14" s="9">
        <v>-0.28399999999999997</v>
      </c>
      <c r="P14" s="2">
        <f>'[1]Naphta &amp; gasoline production'!$E$24</f>
        <v>4.511439842209073E-2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9" t="s">
        <v>26</v>
      </c>
      <c r="B15" s="9"/>
      <c r="C15" s="9" t="s">
        <v>16</v>
      </c>
      <c r="D15" s="9"/>
      <c r="E15" s="9"/>
      <c r="F15" s="9"/>
      <c r="G15" s="9"/>
      <c r="H15" s="9"/>
      <c r="I15" s="9"/>
      <c r="J15" s="9">
        <v>-1</v>
      </c>
      <c r="K15" s="9">
        <v>-1</v>
      </c>
      <c r="L15" s="15">
        <f>4.9/1.1</f>
        <v>4.4545454545454541</v>
      </c>
      <c r="M15" s="9"/>
      <c r="N15" s="9"/>
      <c r="O15" s="9"/>
      <c r="P15" s="3"/>
      <c r="Q15" s="1"/>
      <c r="R15" s="1"/>
      <c r="S15" s="1"/>
      <c r="T15" s="1"/>
      <c r="U15" s="1">
        <v>3.5</v>
      </c>
      <c r="V15" s="1"/>
      <c r="W15" s="1">
        <v>-11.7</v>
      </c>
      <c r="X15" s="1"/>
      <c r="Y15" s="1">
        <f>-26+4.4+1</f>
        <v>-20.6</v>
      </c>
      <c r="Z15" s="1">
        <f>2+5.9</f>
        <v>7.9</v>
      </c>
      <c r="AA15" s="1">
        <f>-15.1+2.2+17.2</f>
        <v>4.3000000000000007</v>
      </c>
      <c r="AB15" s="1">
        <f>-9.8+1.5-3.1</f>
        <v>-11.4</v>
      </c>
      <c r="AC15" s="1">
        <f>0.4-3.1</f>
        <v>-2.7</v>
      </c>
      <c r="AD15" s="1">
        <f>-11+1.3-3.2</f>
        <v>-12.899999999999999</v>
      </c>
      <c r="AE15" s="1">
        <f>0.7</f>
        <v>0.7</v>
      </c>
      <c r="AF15" s="1">
        <v>4.5</v>
      </c>
      <c r="AG15" s="1">
        <v>4.5999999999999996</v>
      </c>
      <c r="AH15" s="1"/>
    </row>
    <row r="16" spans="1:34" x14ac:dyDescent="0.25">
      <c r="A16" s="9" t="s">
        <v>14</v>
      </c>
      <c r="B16" s="9"/>
      <c r="C16" s="9" t="s">
        <v>17</v>
      </c>
      <c r="D16" s="9"/>
      <c r="E16" s="9"/>
      <c r="F16" s="9"/>
      <c r="G16" s="9">
        <v>-1</v>
      </c>
      <c r="H16" s="9"/>
      <c r="I16" s="9"/>
      <c r="J16" s="10">
        <f>1/0.99*0.75</f>
        <v>0.75757575757575757</v>
      </c>
      <c r="K16" s="9"/>
      <c r="L16" s="9"/>
      <c r="M16" s="9">
        <v>55</v>
      </c>
      <c r="N16" s="7">
        <f>'[1]Naphta &amp; gasoline production'!$D$7/1000</f>
        <v>0.255</v>
      </c>
      <c r="O16" s="9">
        <v>0</v>
      </c>
      <c r="P16" s="4">
        <f>'[1]Naphta &amp; gasoline production'!$E$25/1000</f>
        <v>2.4927021696252463E-2</v>
      </c>
      <c r="Q16" s="5">
        <f>0.07*100</f>
        <v>7.0000000000000009</v>
      </c>
      <c r="R16" s="5">
        <f t="shared" ref="R16:T16" si="0">0.07*100</f>
        <v>7.0000000000000009</v>
      </c>
      <c r="S16" s="5">
        <f t="shared" si="0"/>
        <v>7.0000000000000009</v>
      </c>
      <c r="T16" s="5">
        <f t="shared" si="0"/>
        <v>7.0000000000000009</v>
      </c>
      <c r="U16" s="1">
        <v>7.8200000000000006E-2</v>
      </c>
      <c r="V16" s="1">
        <f>1.66+0.0655</f>
        <v>1.7254999999999998</v>
      </c>
      <c r="W16" s="1">
        <v>0.38100000000000001</v>
      </c>
      <c r="X16" s="1">
        <f>1.159+2.836</f>
        <v>3.9950000000000001</v>
      </c>
      <c r="Y16" s="1">
        <f>2.381+1.229+1.526+3.972</f>
        <v>9.1080000000000005</v>
      </c>
      <c r="Z16" s="1">
        <f>1.243+0.748+2.701</f>
        <v>4.6920000000000002</v>
      </c>
      <c r="AA16" s="1">
        <f>1.693+0.882+1+4.047</f>
        <v>7.6219999999999999</v>
      </c>
      <c r="AB16" s="1">
        <f>0.901+0.381+0.606+0.195</f>
        <v>2.0829999999999997</v>
      </c>
      <c r="AC16" s="1">
        <f>0.35+0.212+0.462</f>
        <v>1.024</v>
      </c>
      <c r="AD16" s="1">
        <f>0.727+0.316+1.335+0.211</f>
        <v>2.589</v>
      </c>
      <c r="AE16" s="1">
        <f>1.863+0.0063</f>
        <v>1.8693</v>
      </c>
      <c r="AF16" s="1">
        <v>0.1</v>
      </c>
      <c r="AG16" s="1">
        <v>0.23400000000000001</v>
      </c>
      <c r="AH16" s="1"/>
    </row>
    <row r="17" spans="1:34" x14ac:dyDescent="0.25">
      <c r="A17" s="11" t="s">
        <v>37</v>
      </c>
      <c r="B17" s="11"/>
      <c r="C17" s="11" t="s">
        <v>16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3"/>
      <c r="Q17" s="1"/>
      <c r="R17" s="1"/>
      <c r="S17" s="1"/>
      <c r="T17" s="1"/>
      <c r="U17" s="1"/>
      <c r="V17" s="1"/>
      <c r="W17" s="1">
        <v>7.2</v>
      </c>
      <c r="X17" s="1"/>
      <c r="Y17" s="1"/>
      <c r="Z17" s="1"/>
      <c r="AA17" s="1"/>
      <c r="AB17" s="1"/>
      <c r="AC17" s="1"/>
      <c r="AD17" s="1"/>
      <c r="AE17" s="1">
        <v>4.3</v>
      </c>
      <c r="AF17" s="1"/>
      <c r="AG17" s="1"/>
      <c r="AH17" s="1"/>
    </row>
    <row r="18" spans="1:34" x14ac:dyDescent="0.25">
      <c r="A18" s="9" t="s">
        <v>38</v>
      </c>
      <c r="B18" s="9"/>
      <c r="C18" s="9" t="s">
        <v>25</v>
      </c>
      <c r="D18" s="13">
        <f>29308*0.00001621</f>
        <v>0.47508267999999998</v>
      </c>
      <c r="E18" s="13">
        <f>0.000001*9*16900</f>
        <v>0.15210000000000001</v>
      </c>
      <c r="F18" s="14">
        <f>41816*0.0000136</f>
        <v>0.56869760000000003</v>
      </c>
      <c r="G18" s="13">
        <v>0.06</v>
      </c>
      <c r="H18" s="14">
        <f>45998*0.0000097</f>
        <v>0.44618060000000004</v>
      </c>
      <c r="I18" s="13">
        <f>0.000001*-84*14500</f>
        <v>-1.218</v>
      </c>
      <c r="J18" s="12"/>
      <c r="K18" s="13">
        <f>K11/0.000277778*0.00005624</f>
        <v>1.3700450864516135E-2</v>
      </c>
      <c r="L18" s="9"/>
      <c r="M18" s="9"/>
      <c r="N18" s="7">
        <f>'[1]Naphta &amp; gasoline production'!$D$14</f>
        <v>0.56400000000000006</v>
      </c>
      <c r="O18" s="9">
        <v>0</v>
      </c>
      <c r="P18" s="4">
        <f>'[1]Naphta &amp; gasoline production'!$E$33</f>
        <v>0.65687968441814593</v>
      </c>
      <c r="Q18" s="1">
        <f>(1.7+0.9)*-Q2</f>
        <v>75.867999999999995</v>
      </c>
      <c r="R18" s="1">
        <f>(1+0.8)*-R2</f>
        <v>69.12</v>
      </c>
      <c r="S18" s="1">
        <f>(1.1+0.9)*-S2</f>
        <v>75.819999999999993</v>
      </c>
      <c r="T18" s="1">
        <f>(0.8+0)*-T2</f>
        <v>42.248000000000005</v>
      </c>
      <c r="U18" s="1"/>
      <c r="V18" s="1"/>
      <c r="W18" s="1">
        <v>-7.2</v>
      </c>
      <c r="X18" s="1"/>
      <c r="Y18" s="1"/>
      <c r="Z18" s="1"/>
      <c r="AA18" s="1"/>
      <c r="AB18" s="1"/>
      <c r="AC18" s="1">
        <f>2.1*AF9/-AC9*-(AF2)</f>
        <v>1.05</v>
      </c>
      <c r="AD18" s="1"/>
      <c r="AE18" s="1">
        <f>-AE17</f>
        <v>-4.3</v>
      </c>
      <c r="AF18" s="1"/>
      <c r="AG18" s="1"/>
      <c r="AH18" s="1"/>
    </row>
    <row r="19" spans="1:34" x14ac:dyDescent="0.25">
      <c r="A19" s="9" t="s">
        <v>23</v>
      </c>
      <c r="B19" s="9"/>
      <c r="C19" s="9" t="s">
        <v>24</v>
      </c>
      <c r="D19" s="9">
        <f>250*0.95</f>
        <v>237.5</v>
      </c>
      <c r="E19" s="5">
        <v>200</v>
      </c>
      <c r="F19" s="9">
        <f>60*17.8</f>
        <v>1068</v>
      </c>
      <c r="G19" s="9">
        <v>60</v>
      </c>
      <c r="H19" s="9">
        <f>25*[2]Feuil1!$B$4</f>
        <v>291.66900000000004</v>
      </c>
      <c r="I19" s="9">
        <f>49.2578*13</f>
        <v>640.35140000000001</v>
      </c>
      <c r="J19" s="9"/>
      <c r="K19" s="9"/>
      <c r="L19" s="9">
        <v>1500</v>
      </c>
      <c r="M19" s="9">
        <v>4000</v>
      </c>
      <c r="N19" s="9">
        <f>800*-1*N8</f>
        <v>5023.9999999999991</v>
      </c>
      <c r="O19" s="5">
        <f>215*O8*-1</f>
        <v>67.94</v>
      </c>
      <c r="P19" s="3">
        <f>(51+244+880)*0.95*-1*SUM(P2:P6)</f>
        <v>993.46249999999998</v>
      </c>
      <c r="Q19" s="3">
        <f>(51+244+880)*0.95*-1*SUM(Q2:Q6)</f>
        <v>73694.824999999997</v>
      </c>
      <c r="R19" s="3">
        <f t="shared" ref="R19:S19" si="1">(51+244+880)*0.95*-1*SUM(R2:R6)</f>
        <v>66428.037500000006</v>
      </c>
      <c r="S19" s="3">
        <f t="shared" si="1"/>
        <v>76496.612500000003</v>
      </c>
      <c r="T19" s="3">
        <f>(600)*0.95*-1*SUM(T2:T6)</f>
        <v>31880.1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9" t="s">
        <v>27</v>
      </c>
      <c r="B20" s="9"/>
      <c r="C20" s="9" t="s">
        <v>16</v>
      </c>
      <c r="D20" s="9"/>
      <c r="E20" s="9"/>
      <c r="F20" s="9"/>
      <c r="G20" s="9"/>
      <c r="H20" s="9"/>
      <c r="I20" s="9"/>
      <c r="J20" s="9">
        <v>1</v>
      </c>
      <c r="K20" s="9">
        <v>1</v>
      </c>
      <c r="L20" s="9">
        <v>16.3</v>
      </c>
      <c r="M20" s="9">
        <v>9</v>
      </c>
      <c r="N20" s="9"/>
      <c r="O20" s="9"/>
      <c r="P20" s="3">
        <f>Tableau3[[#This Row],[NaphtaSC]]*SUM($P$2:$P$7)/SUM($Q$2:$Q$7)</f>
        <v>4.0442290215086336</v>
      </c>
      <c r="Q20" s="5">
        <v>300</v>
      </c>
      <c r="R20" s="5">
        <v>300</v>
      </c>
      <c r="S20" s="5">
        <v>300</v>
      </c>
      <c r="T20" s="1">
        <v>355.3</v>
      </c>
      <c r="U20" s="1">
        <v>95.4</v>
      </c>
      <c r="V20" s="1"/>
      <c r="W20" s="1"/>
      <c r="X20" s="1"/>
      <c r="Y20" s="1">
        <f>38.1+154.8+344.7</f>
        <v>537.6</v>
      </c>
      <c r="Z20" s="1">
        <f>563+5.1</f>
        <v>568.1</v>
      </c>
      <c r="AA20" s="1">
        <f>27.1+100.5+350.5</f>
        <v>478.1</v>
      </c>
      <c r="AB20" s="1">
        <f>21.3+46.2+5.7</f>
        <v>73.2</v>
      </c>
      <c r="AC20" s="1">
        <f>3.8+36.8</f>
        <v>40.599999999999994</v>
      </c>
      <c r="AD20" s="1">
        <f>4.7+204.4+33.7</f>
        <v>242.8</v>
      </c>
      <c r="AE20" s="1"/>
      <c r="AF20" s="1">
        <v>93.3</v>
      </c>
      <c r="AG20" s="1">
        <v>0.9</v>
      </c>
      <c r="AH20" s="1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6D17-6166-40A9-953F-A236C50591E1}">
  <dimension ref="A1:C14"/>
  <sheetViews>
    <sheetView workbookViewId="0">
      <selection activeCell="A15" sqref="A15"/>
    </sheetView>
  </sheetViews>
  <sheetFormatPr baseColWidth="10" defaultRowHeight="15" x14ac:dyDescent="0.25"/>
  <cols>
    <col min="1" max="1" width="16.140625" bestFit="1" customWidth="1"/>
    <col min="2" max="2" width="30.28515625" bestFit="1" customWidth="1"/>
    <col min="3" max="3" width="148.570312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45</v>
      </c>
      <c r="C2" t="s">
        <v>46</v>
      </c>
    </row>
    <row r="3" spans="1:3" x14ac:dyDescent="0.25">
      <c r="A3" t="s">
        <v>47</v>
      </c>
      <c r="B3" t="s">
        <v>48</v>
      </c>
      <c r="C3" t="s">
        <v>49</v>
      </c>
    </row>
    <row r="4" spans="1:3" x14ac:dyDescent="0.25">
      <c r="A4" t="s">
        <v>52</v>
      </c>
      <c r="B4" t="s">
        <v>51</v>
      </c>
      <c r="C4" t="s">
        <v>50</v>
      </c>
    </row>
    <row r="5" spans="1:3" x14ac:dyDescent="0.25">
      <c r="A5" t="s">
        <v>53</v>
      </c>
      <c r="B5" t="s">
        <v>54</v>
      </c>
      <c r="C5" t="s">
        <v>55</v>
      </c>
    </row>
    <row r="6" spans="1:3" x14ac:dyDescent="0.25">
      <c r="A6" t="s">
        <v>56</v>
      </c>
      <c r="B6" t="s">
        <v>54</v>
      </c>
      <c r="C6" t="s">
        <v>57</v>
      </c>
    </row>
    <row r="7" spans="1:3" x14ac:dyDescent="0.25">
      <c r="A7" t="s">
        <v>59</v>
      </c>
      <c r="B7" t="s">
        <v>23</v>
      </c>
      <c r="C7" t="s">
        <v>58</v>
      </c>
    </row>
    <row r="8" spans="1:3" x14ac:dyDescent="0.25">
      <c r="A8" t="s">
        <v>63</v>
      </c>
      <c r="B8" t="s">
        <v>65</v>
      </c>
      <c r="C8" t="s">
        <v>64</v>
      </c>
    </row>
    <row r="9" spans="1:3" x14ac:dyDescent="0.25">
      <c r="A9" t="s">
        <v>68</v>
      </c>
      <c r="B9" t="s">
        <v>66</v>
      </c>
      <c r="C9" t="s">
        <v>67</v>
      </c>
    </row>
    <row r="10" spans="1:3" x14ac:dyDescent="0.25">
      <c r="A10" t="s">
        <v>81</v>
      </c>
      <c r="B10" t="s">
        <v>82</v>
      </c>
      <c r="C10" t="s">
        <v>83</v>
      </c>
    </row>
    <row r="11" spans="1:3" x14ac:dyDescent="0.25">
      <c r="A11" t="s">
        <v>86</v>
      </c>
      <c r="B11" t="s">
        <v>84</v>
      </c>
      <c r="C11" t="s">
        <v>85</v>
      </c>
    </row>
    <row r="12" spans="1:3" x14ac:dyDescent="0.25">
      <c r="A12" t="s">
        <v>87</v>
      </c>
      <c r="B12" t="s">
        <v>88</v>
      </c>
      <c r="C12" t="s">
        <v>89</v>
      </c>
    </row>
    <row r="13" spans="1:3" x14ac:dyDescent="0.25">
      <c r="A13" t="s">
        <v>90</v>
      </c>
      <c r="B13" t="s">
        <v>91</v>
      </c>
      <c r="C13" t="s">
        <v>92</v>
      </c>
    </row>
    <row r="14" spans="1:3" x14ac:dyDescent="0.25">
      <c r="A14" t="s">
        <v>93</v>
      </c>
      <c r="B14" t="s">
        <v>94</v>
      </c>
      <c r="C14" t="s">
        <v>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7DC7-3FA9-4644-A7FC-535374C66D32}"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Technologies</vt:lpstr>
      <vt:lpstr>Sources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RAILLARD-CAZANOVE</dc:creator>
  <cp:lastModifiedBy>Quentin RAILLARD-CAZANOVE</cp:lastModifiedBy>
  <dcterms:created xsi:type="dcterms:W3CDTF">2022-06-28T16:44:25Z</dcterms:created>
  <dcterms:modified xsi:type="dcterms:W3CDTF">2022-07-04T08:43:27Z</dcterms:modified>
</cp:coreProperties>
</file>