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ickdartois/Documents/Corps des Mines/3A/Mémoire 3A/Modèle/Energy-Alternatives-Planing/Models/Industry_model/Integrated_model/Data/Ceramics/"/>
    </mc:Choice>
  </mc:AlternateContent>
  <xr:revisionPtr revIDLastSave="0" documentId="13_ncr:1_{FE29A3F8-2B2B-D14B-BF57-8E2FD8E5CB61}" xr6:coauthVersionLast="47" xr6:coauthVersionMax="47" xr10:uidLastSave="{00000000-0000-0000-0000-000000000000}"/>
  <bookViews>
    <workbookView xWindow="80" yWindow="2100" windowWidth="25520" windowHeight="12500" activeTab="4" xr2:uid="{58A7FF8E-AC87-D946-9EA0-31D96153DFA2}"/>
  </bookViews>
  <sheets>
    <sheet name="Technologies" sheetId="1" r:id="rId1"/>
    <sheet name="Processes" sheetId="2" r:id="rId2"/>
    <sheet name="Energy efficiency" sheetId="5" r:id="rId3"/>
    <sheet name="Emissions" sheetId="3" r:id="rId4"/>
    <sheet name="Cos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3" i="1" l="1"/>
  <c r="J73" i="1"/>
  <c r="H73" i="1"/>
  <c r="G73" i="1"/>
  <c r="D73" i="1"/>
  <c r="F72" i="1"/>
  <c r="E72" i="1"/>
  <c r="P69" i="1"/>
  <c r="L69" i="1"/>
  <c r="M68" i="1"/>
  <c r="I68" i="1"/>
  <c r="E68" i="1"/>
  <c r="O67" i="1"/>
  <c r="K67" i="1"/>
  <c r="P49" i="1"/>
  <c r="O47" i="1"/>
  <c r="N53" i="1"/>
  <c r="M48" i="1"/>
  <c r="L49" i="1"/>
  <c r="K47" i="1"/>
  <c r="J53" i="1"/>
  <c r="I48" i="1"/>
  <c r="H53" i="1"/>
  <c r="G53" i="1"/>
  <c r="F52" i="1"/>
  <c r="E48" i="1"/>
  <c r="E52" i="1"/>
  <c r="D53" i="1"/>
  <c r="P29" i="1"/>
  <c r="O27" i="1"/>
  <c r="N33" i="1"/>
  <c r="M28" i="1"/>
  <c r="L29" i="1"/>
  <c r="K27" i="1"/>
  <c r="J33" i="1"/>
  <c r="I28" i="1"/>
  <c r="H33" i="1"/>
  <c r="G33" i="1"/>
  <c r="F32" i="1"/>
  <c r="E28" i="1"/>
  <c r="E32" i="1"/>
  <c r="D33" i="1"/>
  <c r="T31" i="5"/>
  <c r="T32" i="5"/>
  <c r="T33" i="5"/>
  <c r="T35" i="5"/>
  <c r="T36" i="5"/>
  <c r="T37" i="5"/>
  <c r="T38" i="5"/>
  <c r="T39" i="5"/>
  <c r="T40" i="5"/>
  <c r="T41" i="5"/>
  <c r="T30" i="5"/>
  <c r="S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C41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C13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C31" i="5"/>
  <c r="C32" i="5"/>
  <c r="C33" i="5"/>
  <c r="C34" i="5"/>
  <c r="C35" i="5"/>
  <c r="C36" i="5"/>
  <c r="C37" i="5"/>
  <c r="C38" i="5"/>
  <c r="C39" i="5"/>
  <c r="C40" i="5"/>
  <c r="C30" i="5"/>
  <c r="S38" i="5" l="1"/>
  <c r="S30" i="5"/>
  <c r="S37" i="5"/>
  <c r="S39" i="5"/>
  <c r="S35" i="5"/>
  <c r="S31" i="5"/>
  <c r="S33" i="5"/>
  <c r="S40" i="5"/>
  <c r="S36" i="5"/>
  <c r="S32" i="5"/>
  <c r="H80" i="1" l="1"/>
  <c r="J78" i="1"/>
  <c r="J79" i="1" s="1"/>
  <c r="H78" i="1"/>
  <c r="H79" i="1" s="1"/>
  <c r="J77" i="1"/>
  <c r="H77" i="1"/>
  <c r="J76" i="1"/>
  <c r="H76" i="1"/>
  <c r="L75" i="1"/>
  <c r="K75" i="1"/>
  <c r="J75" i="1"/>
  <c r="I75" i="1"/>
  <c r="H60" i="1"/>
  <c r="J58" i="1"/>
  <c r="J59" i="1" s="1"/>
  <c r="H58" i="1"/>
  <c r="J57" i="1"/>
  <c r="H57" i="1"/>
  <c r="H59" i="1" s="1"/>
  <c r="J56" i="1"/>
  <c r="H56" i="1"/>
  <c r="L55" i="1"/>
  <c r="K55" i="1"/>
  <c r="J55" i="1"/>
  <c r="I55" i="1"/>
  <c r="J38" i="1"/>
  <c r="J39" i="1" s="1"/>
  <c r="J37" i="1"/>
  <c r="J36" i="1"/>
  <c r="H40" i="1"/>
  <c r="H38" i="1"/>
  <c r="H39" i="1" s="1"/>
  <c r="H37" i="1"/>
  <c r="H36" i="1"/>
  <c r="L35" i="1"/>
  <c r="K35" i="1"/>
  <c r="J35" i="1"/>
  <c r="I35" i="1"/>
  <c r="J17" i="1"/>
  <c r="J19" i="1" s="1"/>
  <c r="J16" i="1"/>
  <c r="C34" i="4"/>
  <c r="G28" i="4"/>
  <c r="L15" i="1" l="1"/>
  <c r="K15" i="1"/>
  <c r="J15" i="1"/>
  <c r="I15" i="1"/>
  <c r="H19" i="1"/>
  <c r="B12" i="4"/>
  <c r="C17" i="4" s="1"/>
  <c r="I37" i="2"/>
  <c r="H13" i="1" s="1"/>
  <c r="C15" i="4" l="1"/>
  <c r="H16" i="1" s="1"/>
  <c r="C16" i="4"/>
  <c r="H20" i="1" s="1"/>
  <c r="D3" i="3" l="1"/>
  <c r="E3" i="3"/>
  <c r="F3" i="3"/>
  <c r="G3" i="3"/>
  <c r="C3" i="3"/>
  <c r="E55" i="2"/>
  <c r="F55" i="2"/>
  <c r="G55" i="2"/>
  <c r="H55" i="2"/>
  <c r="I58" i="2" s="1"/>
  <c r="M8" i="1" s="1"/>
  <c r="P9" i="1" s="1"/>
  <c r="E56" i="2"/>
  <c r="F56" i="2"/>
  <c r="G56" i="2"/>
  <c r="H56" i="2"/>
  <c r="I59" i="2" s="1"/>
  <c r="N13" i="1" s="1"/>
  <c r="D56" i="2"/>
  <c r="D55" i="2"/>
  <c r="E44" i="2"/>
  <c r="F44" i="2"/>
  <c r="G44" i="2"/>
  <c r="H44" i="2"/>
  <c r="I47" i="2" s="1"/>
  <c r="I8" i="1" s="1"/>
  <c r="L9" i="1" s="1"/>
  <c r="E45" i="2"/>
  <c r="F45" i="2"/>
  <c r="G45" i="2"/>
  <c r="H45" i="2"/>
  <c r="I48" i="2" s="1"/>
  <c r="J13" i="1" s="1"/>
  <c r="D45" i="2"/>
  <c r="D44" i="2"/>
  <c r="I26" i="2"/>
  <c r="I32" i="2" s="1"/>
  <c r="I5" i="2"/>
  <c r="D13" i="1" s="1"/>
  <c r="E14" i="2"/>
  <c r="F14" i="2"/>
  <c r="G14" i="2"/>
  <c r="H14" i="2"/>
  <c r="I24" i="2" s="1"/>
  <c r="I30" i="2" s="1"/>
  <c r="E15" i="2"/>
  <c r="F15" i="2"/>
  <c r="G15" i="2"/>
  <c r="H15" i="2"/>
  <c r="I27" i="2" s="1"/>
  <c r="I33" i="2" s="1"/>
  <c r="F12" i="1" s="1"/>
  <c r="E16" i="2"/>
  <c r="F16" i="2"/>
  <c r="G16" i="2"/>
  <c r="H16" i="2"/>
  <c r="I28" i="2" s="1"/>
  <c r="I34" i="2" s="1"/>
  <c r="G13" i="1" s="1"/>
  <c r="D15" i="2"/>
  <c r="D16" i="2"/>
  <c r="D14" i="2"/>
  <c r="O7" i="1" l="1"/>
  <c r="K7" i="1"/>
  <c r="I23" i="2"/>
  <c r="I29" i="2" s="1"/>
  <c r="E12" i="1" s="1"/>
  <c r="I25" i="2"/>
  <c r="I31" i="2" s="1"/>
  <c r="E8" i="1" s="1"/>
</calcChain>
</file>

<file path=xl/sharedStrings.xml><?xml version="1.0" encoding="utf-8"?>
<sst xmlns="http://schemas.openxmlformats.org/spreadsheetml/2006/main" count="469" uniqueCount="135">
  <si>
    <t>Resource</t>
  </si>
  <si>
    <t>unit</t>
  </si>
  <si>
    <t>t</t>
  </si>
  <si>
    <t>hydrogen</t>
  </si>
  <si>
    <t>gas</t>
  </si>
  <si>
    <t>coal</t>
  </si>
  <si>
    <t>biomass</t>
  </si>
  <si>
    <t>oil</t>
  </si>
  <si>
    <t>electricity</t>
  </si>
  <si>
    <t>MWh</t>
  </si>
  <si>
    <t>CO2</t>
  </si>
  <si>
    <t>Emissions</t>
  </si>
  <si>
    <t>tCO2</t>
  </si>
  <si>
    <t>capex</t>
  </si>
  <si>
    <t>€</t>
  </si>
  <si>
    <t>lifetime</t>
  </si>
  <si>
    <t>yrs</t>
  </si>
  <si>
    <t>discount_rate</t>
  </si>
  <si>
    <t>CRF</t>
  </si>
  <si>
    <t>flow_cost</t>
  </si>
  <si>
    <t>water</t>
  </si>
  <si>
    <t>ceramics</t>
  </si>
  <si>
    <t>raw_material</t>
  </si>
  <si>
    <t>dry_material</t>
  </si>
  <si>
    <t>mixed_material</t>
  </si>
  <si>
    <t>ceramics_crude</t>
  </si>
  <si>
    <t>Mixing</t>
  </si>
  <si>
    <t>Dryning_thermal</t>
  </si>
  <si>
    <t>Drying_steam</t>
  </si>
  <si>
    <t>Drying_microwave</t>
  </si>
  <si>
    <t>Production</t>
  </si>
  <si>
    <t>Unit</t>
  </si>
  <si>
    <t>Final energy demand</t>
  </si>
  <si>
    <t>Drying</t>
  </si>
  <si>
    <t>Thermal</t>
  </si>
  <si>
    <t>Steam</t>
  </si>
  <si>
    <t>Microwave</t>
  </si>
  <si>
    <t>Firing</t>
  </si>
  <si>
    <t>kt bricks eq.</t>
  </si>
  <si>
    <t>Ceramics</t>
  </si>
  <si>
    <t>Product or process</t>
  </si>
  <si>
    <t>Physical data</t>
  </si>
  <si>
    <t>ktoe</t>
  </si>
  <si>
    <t>Useful energy demand</t>
  </si>
  <si>
    <t>Part of production (assumed)</t>
  </si>
  <si>
    <t>%</t>
  </si>
  <si>
    <t>LPG (liquified petroleum gas)</t>
  </si>
  <si>
    <t>Diesel oil</t>
  </si>
  <si>
    <t>Gas</t>
  </si>
  <si>
    <t>Coal</t>
  </si>
  <si>
    <t>Residual fuel oil</t>
  </si>
  <si>
    <t>ktoe/kt bricks eq.</t>
  </si>
  <si>
    <t>LPG energy intensity</t>
  </si>
  <si>
    <t>Diesel oil energy intensity</t>
  </si>
  <si>
    <t>Gas energy intensity</t>
  </si>
  <si>
    <t>Coal energy intensity</t>
  </si>
  <si>
    <t>Residual fuel oil energy intensity</t>
  </si>
  <si>
    <t>Electric energy intensity</t>
  </si>
  <si>
    <t>MWh/kt bricks eq.</t>
  </si>
  <si>
    <t>MWh/t bricks eq.</t>
  </si>
  <si>
    <t>Electric</t>
  </si>
  <si>
    <t>Firing_electric</t>
  </si>
  <si>
    <t>Firing_thermal</t>
  </si>
  <si>
    <t>Finishing_thermal</t>
  </si>
  <si>
    <t>Finishing_electric</t>
  </si>
  <si>
    <t>Firing_thermal_H2</t>
  </si>
  <si>
    <t>Finishing_thermal_H2</t>
  </si>
  <si>
    <t>Finishing</t>
  </si>
  <si>
    <t>Process emissions</t>
  </si>
  <si>
    <t>kt CO2 eq.</t>
  </si>
  <si>
    <t>t CO2 eq./t bricks eq.</t>
  </si>
  <si>
    <t>Process carbon intensity</t>
  </si>
  <si>
    <t>Ressource emissions</t>
  </si>
  <si>
    <t>t CO2 éq/MWh</t>
  </si>
  <si>
    <t>biogas</t>
  </si>
  <si>
    <t>Drying_heat_pump</t>
  </si>
  <si>
    <t>Heat pump</t>
  </si>
  <si>
    <t>COP hypothesis</t>
  </si>
  <si>
    <t>Heat (output) per year</t>
  </si>
  <si>
    <t>GJth</t>
  </si>
  <si>
    <t>Parameter</t>
  </si>
  <si>
    <t>Value</t>
  </si>
  <si>
    <t>M€2019</t>
  </si>
  <si>
    <t>Fixed O&amp;M costs per year</t>
  </si>
  <si>
    <t>k€2019/yr</t>
  </si>
  <si>
    <t>Variable (electricity) O&amp;M costs</t>
  </si>
  <si>
    <t>€2019/GJth</t>
  </si>
  <si>
    <t>Investment costs</t>
  </si>
  <si>
    <t>Facteur de conversion GJ-&gt;MWh</t>
  </si>
  <si>
    <t>M€2019/(MWh/yr)</t>
  </si>
  <si>
    <t>k€2019/(MWh/yr)</t>
  </si>
  <si>
    <t>€2019/MWh</t>
  </si>
  <si>
    <t>Firing_thermal_syngas</t>
  </si>
  <si>
    <t>syngas</t>
  </si>
  <si>
    <t>Finishing_thermal_syngas</t>
  </si>
  <si>
    <t>Year</t>
  </si>
  <si>
    <t>Sources</t>
  </si>
  <si>
    <t>TNO (Netherlands), PNL (Dutch environment agency)</t>
  </si>
  <si>
    <t>https://www.pbl.nl/en/publications/decarbonisation-options-for-the-dutch-ceramic-industry</t>
  </si>
  <si>
    <t>Heat pumps</t>
  </si>
  <si>
    <t>Electric kilns</t>
  </si>
  <si>
    <t>https://www.gov.uk/government/publications/industrial-decarbonisation-and-energy-efficiency-roadmaps-to-2050</t>
  </si>
  <si>
    <t>UK government</t>
  </si>
  <si>
    <t>CAPEX</t>
  </si>
  <si>
    <t>M£/site</t>
  </si>
  <si>
    <t>Part of CAPEX attributed to CO2 reduction</t>
  </si>
  <si>
    <t>Number of sites electrifiable</t>
  </si>
  <si>
    <t>Total number of sites</t>
  </si>
  <si>
    <t>Part of production of electrifiable sites</t>
  </si>
  <si>
    <t>UK production of ceramics</t>
  </si>
  <si>
    <t>Average</t>
  </si>
  <si>
    <t>Lifetime of investment</t>
  </si>
  <si>
    <t>years</t>
  </si>
  <si>
    <t>Assumption</t>
  </si>
  <si>
    <t>Pound-Euro rate</t>
  </si>
  <si>
    <t>€/£</t>
  </si>
  <si>
    <t>Parameter to be set</t>
  </si>
  <si>
    <t>€/t bricks eq.</t>
  </si>
  <si>
    <t>Thermal drying</t>
  </si>
  <si>
    <t>Final energy</t>
  </si>
  <si>
    <t>Steam drying</t>
  </si>
  <si>
    <t>Microwave drying</t>
  </si>
  <si>
    <t>Thermal firing</t>
  </si>
  <si>
    <t>Electric firing</t>
  </si>
  <si>
    <t>Thermal finishing</t>
  </si>
  <si>
    <t>Electric finishing</t>
  </si>
  <si>
    <t>Useful energy</t>
  </si>
  <si>
    <t>Energy efficiency</t>
  </si>
  <si>
    <t>Efficiency gain</t>
  </si>
  <si>
    <t>Total</t>
  </si>
  <si>
    <t>Average annual gain 2007-2015</t>
  </si>
  <si>
    <t>Hypothesis energy efficiency</t>
  </si>
  <si>
    <t>Up to 2030</t>
  </si>
  <si>
    <t>After 2030</t>
  </si>
  <si>
    <t>%/year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</si>
</sst>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6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2" fillId="2" borderId="0" xfId="0" applyFont="1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164" fontId="0" fillId="0" borderId="0" xfId="1" applyNumberFormat="1" applyFont="1"/>
    <xf numFmtId="0" fontId="5" fillId="3" borderId="0" xfId="0" applyFont="1" applyFill="1" applyBorder="1"/>
    <xf numFmtId="9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Fill="1" applyBorder="1"/>
    <xf numFmtId="0" fontId="5" fillId="0" borderId="1" xfId="0" applyFont="1" applyBorder="1"/>
    <xf numFmtId="0" fontId="5" fillId="4" borderId="1" xfId="0" applyFont="1" applyFill="1" applyBorder="1"/>
    <xf numFmtId="0" fontId="5" fillId="3" borderId="1" xfId="0" applyFont="1" applyFill="1" applyBorder="1"/>
    <xf numFmtId="164" fontId="0" fillId="0" borderId="0" xfId="0" applyNumberFormat="1"/>
    <xf numFmtId="10" fontId="0" fillId="0" borderId="0" xfId="0" applyNumberFormat="1"/>
  </cellXfs>
  <cellStyles count="3">
    <cellStyle name="Normal" xfId="0" builtinId="0"/>
    <cellStyle name="Normal 2" xfId="2" xr:uid="{9F2B921D-BA17-D742-82EF-7E94100A7B57}"/>
    <cellStyle name="Pourcentage" xfId="1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1E251-4BAD-7E47-9410-23F4A8109598}" name="Tableau3" displayName="Tableau3" ref="B1:P41" totalsRowShown="0" headerRowDxfId="32" dataDxfId="31" tableBorderDxfId="30">
  <autoFilter ref="B1:P41" xr:uid="{E3E1E251-4BAD-7E47-9410-23F4A8109598}"/>
  <tableColumns count="15">
    <tableColumn id="1" xr3:uid="{4403E603-CF6C-0646-AF0E-D582A2CF4608}" name="Resource" dataDxfId="29" totalsRowDxfId="28"/>
    <tableColumn id="4" xr3:uid="{B4E6CE4B-62CE-9E4A-B616-4E984BA0576B}" name="unit" dataDxfId="27" totalsRowDxfId="26"/>
    <tableColumn id="5" xr3:uid="{FBA1BB08-8668-564A-8D5D-B6B9CF08D6A2}" name="Mixing" dataDxfId="25" totalsRowDxfId="24"/>
    <tableColumn id="3" xr3:uid="{9BE86F9A-B645-BF4B-92E9-05ADB37568B1}" name="Dryning_thermal" dataDxfId="23" totalsRowDxfId="22"/>
    <tableColumn id="14" xr3:uid="{D9CE5594-992A-4C40-9D5B-51326723E7B1}" name="Drying_steam" dataDxfId="21" totalsRowDxfId="20"/>
    <tableColumn id="15" xr3:uid="{505BCE50-590A-6A44-9F81-76A897DEA05F}" name="Drying_microwave" dataDxfId="19" totalsRowDxfId="18"/>
    <tableColumn id="9" xr3:uid="{EDF47174-5744-D044-A6E5-C23C37F4CCFD}" name="Drying_heat_pump" dataDxfId="17" totalsRowDxfId="16"/>
    <tableColumn id="18" xr3:uid="{A9121061-FFF3-8643-B47A-44766C7DD57B}" name="Firing_thermal" dataDxfId="15" totalsRowDxfId="14"/>
    <tableColumn id="17" xr3:uid="{D1CA0150-C972-524F-92E6-2EC7AAE65ACD}" name="Firing_electric" dataDxfId="13" totalsRowDxfId="12"/>
    <tableColumn id="16" xr3:uid="{FCE156B6-6CE1-4941-A2B7-C72F5E0C632E}" name="Firing_thermal_H2" dataDxfId="11" totalsRowDxfId="10"/>
    <tableColumn id="7" xr3:uid="{DF384425-071C-3B44-9E35-B99D1B3910C7}" name="Firing_thermal_syngas" dataDxfId="9" totalsRowDxfId="8"/>
    <tableColumn id="21" xr3:uid="{89CCE7B4-9E9F-C74F-9C47-7B4691F1108C}" name="Finishing_thermal" dataDxfId="7" totalsRowDxfId="6"/>
    <tableColumn id="20" xr3:uid="{5E1716FA-2DE1-474B-9B31-D02E2974503C}" name="Finishing_electric" dataDxfId="5" totalsRowDxfId="4"/>
    <tableColumn id="22" xr3:uid="{83EA1B10-59B3-BA47-8DDF-29080F0E4189}" name="Finishing_thermal_H2" dataDxfId="3" totalsRowDxfId="2"/>
    <tableColumn id="6" xr3:uid="{187B9298-32BE-3A4F-928A-B1085D0858AC}" name="Finishing_thermal_syngas" dataDxfId="1" totalsRow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0CF7-F88C-B948-BD09-1747B969E242}">
  <dimension ref="A1:P81"/>
  <sheetViews>
    <sheetView workbookViewId="0">
      <selection activeCell="E16" sqref="E16"/>
    </sheetView>
  </sheetViews>
  <sheetFormatPr baseColWidth="10" defaultRowHeight="16" x14ac:dyDescent="0.2"/>
  <sheetData>
    <row r="1" spans="1:16" x14ac:dyDescent="0.2">
      <c r="A1" s="1" t="s">
        <v>95</v>
      </c>
      <c r="B1" s="1" t="s">
        <v>0</v>
      </c>
      <c r="C1" s="1" t="s">
        <v>1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75</v>
      </c>
      <c r="I1" s="1" t="s">
        <v>62</v>
      </c>
      <c r="J1" s="1" t="s">
        <v>61</v>
      </c>
      <c r="K1" s="1" t="s">
        <v>65</v>
      </c>
      <c r="L1" s="1" t="s">
        <v>92</v>
      </c>
      <c r="M1" s="1" t="s">
        <v>63</v>
      </c>
      <c r="N1" s="1" t="s">
        <v>64</v>
      </c>
      <c r="O1" s="1" t="s">
        <v>66</v>
      </c>
      <c r="P1" s="1" t="s">
        <v>94</v>
      </c>
    </row>
    <row r="2" spans="1:16" x14ac:dyDescent="0.2">
      <c r="A2" s="2">
        <v>2015</v>
      </c>
      <c r="B2" s="2" t="s">
        <v>21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>
        <v>-1</v>
      </c>
      <c r="N2" s="2">
        <v>-1</v>
      </c>
      <c r="O2" s="2">
        <v>-1</v>
      </c>
      <c r="P2" s="2">
        <v>-1</v>
      </c>
    </row>
    <row r="3" spans="1:16" x14ac:dyDescent="0.2">
      <c r="A3" s="2">
        <v>2015</v>
      </c>
      <c r="B3" s="2" t="s">
        <v>22</v>
      </c>
      <c r="C3" s="2" t="s">
        <v>2</v>
      </c>
      <c r="D3" s="2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 s="2">
        <v>2015</v>
      </c>
      <c r="B4" s="2" t="s">
        <v>24</v>
      </c>
      <c r="C4" s="2" t="s">
        <v>2</v>
      </c>
      <c r="D4" s="2">
        <v>-1</v>
      </c>
      <c r="E4" s="2">
        <v>1</v>
      </c>
      <c r="F4" s="2">
        <v>1</v>
      </c>
      <c r="G4" s="2">
        <v>1</v>
      </c>
      <c r="H4" s="2">
        <v>1</v>
      </c>
      <c r="I4" s="2"/>
      <c r="J4" s="2"/>
      <c r="K4" s="2"/>
      <c r="L4" s="2"/>
      <c r="M4" s="2"/>
      <c r="N4" s="2"/>
      <c r="O4" s="2"/>
      <c r="P4" s="2"/>
    </row>
    <row r="5" spans="1:16" x14ac:dyDescent="0.2">
      <c r="A5" s="2">
        <v>2015</v>
      </c>
      <c r="B5" s="4" t="s">
        <v>23</v>
      </c>
      <c r="C5" s="4" t="s">
        <v>2</v>
      </c>
      <c r="D5" s="4"/>
      <c r="E5" s="4">
        <v>-1</v>
      </c>
      <c r="F5" s="4">
        <v>-1</v>
      </c>
      <c r="G5" s="4">
        <v>-1</v>
      </c>
      <c r="H5" s="4">
        <v>-1</v>
      </c>
      <c r="I5" s="4">
        <v>1</v>
      </c>
      <c r="J5" s="4">
        <v>1</v>
      </c>
      <c r="K5" s="4">
        <v>1</v>
      </c>
      <c r="L5" s="4">
        <v>1</v>
      </c>
      <c r="M5" s="4"/>
      <c r="N5" s="4"/>
      <c r="O5" s="4"/>
      <c r="P5" s="4"/>
    </row>
    <row r="6" spans="1:16" x14ac:dyDescent="0.2">
      <c r="A6" s="2">
        <v>2015</v>
      </c>
      <c r="B6" s="4" t="s">
        <v>25</v>
      </c>
      <c r="C6" s="4" t="s">
        <v>2</v>
      </c>
      <c r="D6" s="4"/>
      <c r="E6" s="4"/>
      <c r="F6" s="4"/>
      <c r="G6" s="4"/>
      <c r="H6" s="4"/>
      <c r="I6" s="4">
        <v>-1</v>
      </c>
      <c r="J6" s="4">
        <v>-1</v>
      </c>
      <c r="K6" s="4">
        <v>-1</v>
      </c>
      <c r="L6" s="4">
        <v>-1</v>
      </c>
      <c r="M6" s="4">
        <v>1</v>
      </c>
      <c r="N6" s="4">
        <v>1</v>
      </c>
      <c r="O6" s="4">
        <v>1</v>
      </c>
      <c r="P6" s="4">
        <v>1</v>
      </c>
    </row>
    <row r="7" spans="1:16" x14ac:dyDescent="0.2">
      <c r="A7" s="2">
        <v>2015</v>
      </c>
      <c r="B7" s="3" t="s">
        <v>3</v>
      </c>
      <c r="C7" s="3" t="s">
        <v>9</v>
      </c>
      <c r="D7" s="3"/>
      <c r="E7" s="3"/>
      <c r="F7" s="3"/>
      <c r="G7" s="3"/>
      <c r="H7" s="3"/>
      <c r="I7" s="3"/>
      <c r="J7" s="3"/>
      <c r="K7" s="3">
        <f>I8</f>
        <v>0.3801943866268454</v>
      </c>
      <c r="L7" s="3"/>
      <c r="M7" s="3"/>
      <c r="N7" s="3"/>
      <c r="O7" s="3">
        <f>M8</f>
        <v>7.3724030321516948E-2</v>
      </c>
      <c r="P7" s="6"/>
    </row>
    <row r="8" spans="1:16" x14ac:dyDescent="0.2">
      <c r="A8" s="2">
        <v>2015</v>
      </c>
      <c r="B8" s="3" t="s">
        <v>4</v>
      </c>
      <c r="C8" s="3" t="s">
        <v>9</v>
      </c>
      <c r="D8" s="3"/>
      <c r="E8" s="3">
        <f>Processes!I31</f>
        <v>4.5728894646749084E-2</v>
      </c>
      <c r="F8" s="3"/>
      <c r="G8" s="3"/>
      <c r="H8" s="3"/>
      <c r="I8" s="3">
        <f>Processes!I47</f>
        <v>0.3801943866268454</v>
      </c>
      <c r="J8" s="3"/>
      <c r="K8" s="3"/>
      <c r="L8" s="3"/>
      <c r="M8" s="3">
        <f>Processes!I58</f>
        <v>7.3724030321516948E-2</v>
      </c>
      <c r="N8" s="3"/>
      <c r="O8" s="3"/>
      <c r="P8" s="6"/>
    </row>
    <row r="9" spans="1:16" x14ac:dyDescent="0.2">
      <c r="A9" s="2">
        <v>2015</v>
      </c>
      <c r="B9" s="3" t="s">
        <v>93</v>
      </c>
      <c r="C9" s="3" t="s">
        <v>9</v>
      </c>
      <c r="D9" s="3"/>
      <c r="E9" s="3"/>
      <c r="F9" s="3"/>
      <c r="G9" s="3"/>
      <c r="H9" s="3"/>
      <c r="I9" s="3"/>
      <c r="J9" s="3"/>
      <c r="K9" s="3"/>
      <c r="L9" s="3">
        <f>I8</f>
        <v>0.3801943866268454</v>
      </c>
      <c r="M9" s="3"/>
      <c r="N9" s="3"/>
      <c r="O9" s="3"/>
      <c r="P9" s="6">
        <f>M8</f>
        <v>7.3724030321516948E-2</v>
      </c>
    </row>
    <row r="10" spans="1:16" x14ac:dyDescent="0.2">
      <c r="A10" s="2">
        <v>2015</v>
      </c>
      <c r="B10" s="3" t="s">
        <v>5</v>
      </c>
      <c r="C10" s="3" t="s">
        <v>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6"/>
    </row>
    <row r="11" spans="1:16" x14ac:dyDescent="0.2">
      <c r="A11" s="2">
        <v>2015</v>
      </c>
      <c r="B11" s="3" t="s">
        <v>6</v>
      </c>
      <c r="C11" s="3" t="s">
        <v>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6"/>
    </row>
    <row r="12" spans="1:16" x14ac:dyDescent="0.2">
      <c r="A12" s="2">
        <v>2015</v>
      </c>
      <c r="B12" s="3" t="s">
        <v>7</v>
      </c>
      <c r="C12" s="3" t="s">
        <v>9</v>
      </c>
      <c r="D12" s="3"/>
      <c r="E12" s="3">
        <f>Processes!I29+Processes!I30</f>
        <v>3.010666516482139E-2</v>
      </c>
      <c r="F12" s="3">
        <f>Processes!I33</f>
        <v>6.6066010809727405E-2</v>
      </c>
      <c r="G12" s="3"/>
      <c r="H12" s="3"/>
      <c r="I12" s="3"/>
      <c r="J12" s="3"/>
      <c r="K12" s="3"/>
      <c r="L12" s="3"/>
      <c r="M12" s="3"/>
      <c r="N12" s="3"/>
      <c r="O12" s="3"/>
      <c r="P12" s="6"/>
    </row>
    <row r="13" spans="1:16" x14ac:dyDescent="0.2">
      <c r="A13" s="2">
        <v>2015</v>
      </c>
      <c r="B13" s="3" t="s">
        <v>8</v>
      </c>
      <c r="C13" s="3" t="s">
        <v>9</v>
      </c>
      <c r="D13" s="3">
        <f>Processes!I5</f>
        <v>3.2335731870636958E-2</v>
      </c>
      <c r="E13" s="3"/>
      <c r="F13" s="3"/>
      <c r="G13" s="3">
        <f>Processes!I34</f>
        <v>6.1738217581538739E-2</v>
      </c>
      <c r="H13" s="3">
        <f>Processes!I37</f>
        <v>2.0579405860512913E-2</v>
      </c>
      <c r="I13" s="3"/>
      <c r="J13" s="3">
        <f>Processes!I48</f>
        <v>0.34729456228906602</v>
      </c>
      <c r="K13" s="3"/>
      <c r="L13" s="3"/>
      <c r="M13" s="3"/>
      <c r="N13" s="3">
        <f>Processes!I59</f>
        <v>5.9388802203444238E-2</v>
      </c>
      <c r="O13" s="3"/>
      <c r="P13" s="6"/>
    </row>
    <row r="14" spans="1:16" x14ac:dyDescent="0.2">
      <c r="A14" s="2">
        <v>2015</v>
      </c>
      <c r="B14" s="3" t="s">
        <v>10</v>
      </c>
      <c r="C14" s="3" t="s">
        <v>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6"/>
    </row>
    <row r="15" spans="1:16" x14ac:dyDescent="0.2">
      <c r="A15" s="2">
        <v>2015</v>
      </c>
      <c r="B15" s="3" t="s">
        <v>11</v>
      </c>
      <c r="C15" s="3" t="s">
        <v>12</v>
      </c>
      <c r="D15" s="3"/>
      <c r="E15" s="3"/>
      <c r="F15" s="3"/>
      <c r="G15" s="3"/>
      <c r="H15" s="3"/>
      <c r="I15" s="3">
        <f>Emissions!$G$3</f>
        <v>6.9956830007287418E-2</v>
      </c>
      <c r="J15" s="3">
        <f>Emissions!$G$3</f>
        <v>6.9956830007287418E-2</v>
      </c>
      <c r="K15" s="3">
        <f>Emissions!$G$3</f>
        <v>6.9956830007287418E-2</v>
      </c>
      <c r="L15" s="3">
        <f>Emissions!$G$3</f>
        <v>6.9956830007287418E-2</v>
      </c>
      <c r="M15" s="3"/>
      <c r="N15" s="3"/>
      <c r="O15" s="3"/>
      <c r="P15" s="6"/>
    </row>
    <row r="16" spans="1:16" x14ac:dyDescent="0.2">
      <c r="A16" s="2">
        <v>2015</v>
      </c>
      <c r="B16" s="3" t="s">
        <v>13</v>
      </c>
      <c r="C16" s="3" t="s">
        <v>14</v>
      </c>
      <c r="D16" s="3"/>
      <c r="E16" s="3"/>
      <c r="F16" s="3"/>
      <c r="G16" s="3"/>
      <c r="H16" s="3">
        <f>Costs!C15*1000000*H13</f>
        <v>2.93256533512309</v>
      </c>
      <c r="I16" s="3"/>
      <c r="J16" s="3">
        <f>Costs!C34</f>
        <v>23.795158732184991</v>
      </c>
      <c r="K16" s="3"/>
      <c r="L16" s="3"/>
      <c r="M16" s="3"/>
      <c r="N16" s="3"/>
      <c r="O16" s="3"/>
      <c r="P16" s="6"/>
    </row>
    <row r="17" spans="1:16" x14ac:dyDescent="0.2">
      <c r="A17" s="2">
        <v>2015</v>
      </c>
      <c r="B17" s="3" t="s">
        <v>15</v>
      </c>
      <c r="C17" s="3" t="s">
        <v>16</v>
      </c>
      <c r="D17" s="3"/>
      <c r="E17" s="3"/>
      <c r="F17" s="3"/>
      <c r="G17" s="3"/>
      <c r="H17" s="3">
        <v>15</v>
      </c>
      <c r="I17" s="3"/>
      <c r="J17" s="3">
        <f>Costs!C25</f>
        <v>40</v>
      </c>
      <c r="K17" s="3"/>
      <c r="L17" s="3"/>
      <c r="M17" s="3"/>
      <c r="N17" s="3"/>
      <c r="O17" s="3"/>
      <c r="P17" s="6"/>
    </row>
    <row r="18" spans="1:16" x14ac:dyDescent="0.2">
      <c r="A18" s="2">
        <v>2015</v>
      </c>
      <c r="B18" s="3" t="s">
        <v>17</v>
      </c>
      <c r="C18" s="3"/>
      <c r="D18" s="3"/>
      <c r="E18" s="3"/>
      <c r="F18" s="3"/>
      <c r="G18" s="3"/>
      <c r="H18" s="3">
        <v>0.1</v>
      </c>
      <c r="I18" s="3"/>
      <c r="J18" s="3">
        <v>0.1</v>
      </c>
      <c r="K18" s="3"/>
      <c r="L18" s="3"/>
      <c r="M18" s="3"/>
      <c r="N18" s="3"/>
      <c r="O18" s="3"/>
      <c r="P18" s="6"/>
    </row>
    <row r="19" spans="1:16" x14ac:dyDescent="0.2">
      <c r="A19" s="2">
        <v>2015</v>
      </c>
      <c r="B19" s="3" t="s">
        <v>18</v>
      </c>
      <c r="C19" s="3"/>
      <c r="D19" s="3"/>
      <c r="E19" s="3"/>
      <c r="F19" s="3"/>
      <c r="G19" s="3"/>
      <c r="H19" s="3">
        <f>H18/(1-1/(1+H18)^H17)</f>
        <v>0.13147377688737216</v>
      </c>
      <c r="I19" s="3"/>
      <c r="J19" s="3">
        <f>J18/(1-1/(1+J18)^J17)</f>
        <v>0.10225941441436949</v>
      </c>
      <c r="K19" s="3"/>
      <c r="L19" s="3"/>
      <c r="M19" s="3"/>
      <c r="N19" s="3"/>
      <c r="O19" s="3"/>
      <c r="P19" s="6"/>
    </row>
    <row r="20" spans="1:16" x14ac:dyDescent="0.2">
      <c r="A20" s="2">
        <v>2015</v>
      </c>
      <c r="B20" s="3" t="s">
        <v>19</v>
      </c>
      <c r="C20" s="3" t="s">
        <v>14</v>
      </c>
      <c r="D20" s="3"/>
      <c r="E20" s="3"/>
      <c r="F20" s="3"/>
      <c r="G20" s="3"/>
      <c r="H20" s="3">
        <f>Costs!C16*1000*H13</f>
        <v>6.6883069046666965E-2</v>
      </c>
      <c r="I20" s="3"/>
      <c r="J20" s="3"/>
      <c r="K20" s="3"/>
      <c r="L20" s="3"/>
      <c r="M20" s="3"/>
      <c r="N20" s="3"/>
      <c r="O20" s="3"/>
      <c r="P20" s="6"/>
    </row>
    <row r="21" spans="1:16" x14ac:dyDescent="0.2">
      <c r="A21" s="2">
        <v>2015</v>
      </c>
      <c r="B21" s="3" t="s">
        <v>20</v>
      </c>
      <c r="C21" s="3" t="s">
        <v>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6"/>
    </row>
    <row r="22" spans="1:16" x14ac:dyDescent="0.2">
      <c r="A22" s="10">
        <v>2030</v>
      </c>
      <c r="B22" s="11" t="s">
        <v>21</v>
      </c>
      <c r="C22" s="11" t="s">
        <v>2</v>
      </c>
      <c r="D22" s="3"/>
      <c r="E22" s="3"/>
      <c r="F22" s="3"/>
      <c r="G22" s="3"/>
      <c r="H22" s="3"/>
      <c r="I22" s="3"/>
      <c r="J22" s="3"/>
      <c r="K22" s="3"/>
      <c r="L22" s="3"/>
      <c r="M22" s="3">
        <v>-1</v>
      </c>
      <c r="N22" s="3">
        <v>-1</v>
      </c>
      <c r="O22" s="3">
        <v>-1</v>
      </c>
      <c r="P22" s="13">
        <v>-1</v>
      </c>
    </row>
    <row r="23" spans="1:16" x14ac:dyDescent="0.2">
      <c r="A23" s="10">
        <v>2030</v>
      </c>
      <c r="B23" s="11" t="s">
        <v>22</v>
      </c>
      <c r="C23" s="11" t="s">
        <v>2</v>
      </c>
      <c r="D23" s="3">
        <v>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3"/>
    </row>
    <row r="24" spans="1:16" x14ac:dyDescent="0.2">
      <c r="A24" s="10">
        <v>2030</v>
      </c>
      <c r="B24" s="11" t="s">
        <v>24</v>
      </c>
      <c r="C24" s="11" t="s">
        <v>2</v>
      </c>
      <c r="D24" s="3">
        <v>-1</v>
      </c>
      <c r="E24" s="3">
        <v>1</v>
      </c>
      <c r="F24" s="3">
        <v>1</v>
      </c>
      <c r="G24" s="3">
        <v>1</v>
      </c>
      <c r="H24" s="3">
        <v>1</v>
      </c>
      <c r="I24" s="3"/>
      <c r="J24" s="3"/>
      <c r="K24" s="3"/>
      <c r="L24" s="3"/>
      <c r="M24" s="3"/>
      <c r="N24" s="3"/>
      <c r="O24" s="3"/>
      <c r="P24" s="13"/>
    </row>
    <row r="25" spans="1:16" x14ac:dyDescent="0.2">
      <c r="A25" s="10">
        <v>2030</v>
      </c>
      <c r="B25" s="12" t="s">
        <v>23</v>
      </c>
      <c r="C25" s="12" t="s">
        <v>2</v>
      </c>
      <c r="D25" s="3"/>
      <c r="E25" s="3">
        <v>-1</v>
      </c>
      <c r="F25" s="3">
        <v>-1</v>
      </c>
      <c r="G25" s="3">
        <v>-1</v>
      </c>
      <c r="H25" s="3">
        <v>-1</v>
      </c>
      <c r="I25" s="3">
        <v>1</v>
      </c>
      <c r="J25" s="3">
        <v>1</v>
      </c>
      <c r="K25" s="3">
        <v>1</v>
      </c>
      <c r="L25" s="3">
        <v>1</v>
      </c>
      <c r="M25" s="3"/>
      <c r="N25" s="3"/>
      <c r="O25" s="3"/>
      <c r="P25" s="13"/>
    </row>
    <row r="26" spans="1:16" x14ac:dyDescent="0.2">
      <c r="A26" s="10">
        <v>2030</v>
      </c>
      <c r="B26" s="12" t="s">
        <v>25</v>
      </c>
      <c r="C26" s="12" t="s">
        <v>2</v>
      </c>
      <c r="D26" s="3"/>
      <c r="E26" s="3"/>
      <c r="F26" s="3"/>
      <c r="G26" s="3"/>
      <c r="H26" s="3"/>
      <c r="I26" s="3">
        <v>-1</v>
      </c>
      <c r="J26" s="3">
        <v>-1</v>
      </c>
      <c r="K26" s="3">
        <v>-1</v>
      </c>
      <c r="L26" s="3">
        <v>-1</v>
      </c>
      <c r="M26" s="3">
        <v>1</v>
      </c>
      <c r="N26" s="3">
        <v>1</v>
      </c>
      <c r="O26" s="3">
        <v>1</v>
      </c>
      <c r="P26" s="13">
        <v>1</v>
      </c>
    </row>
    <row r="27" spans="1:16" x14ac:dyDescent="0.2">
      <c r="A27" s="10">
        <v>2030</v>
      </c>
      <c r="B27" s="13" t="s">
        <v>3</v>
      </c>
      <c r="C27" s="13" t="s">
        <v>9</v>
      </c>
      <c r="D27" s="3"/>
      <c r="E27" s="3"/>
      <c r="F27" s="3"/>
      <c r="G27" s="3"/>
      <c r="H27" s="3"/>
      <c r="I27" s="3"/>
      <c r="J27" s="3"/>
      <c r="K27" s="3">
        <f>K7/(1+'Energy efficiency'!$C$44)^15</f>
        <v>0.30409905230174528</v>
      </c>
      <c r="L27" s="3"/>
      <c r="M27" s="3"/>
      <c r="N27" s="3"/>
      <c r="O27" s="3">
        <f>O7/(1+'Energy efficiency'!$C$44)^15</f>
        <v>5.8968276600681956E-2</v>
      </c>
      <c r="P27" s="6"/>
    </row>
    <row r="28" spans="1:16" x14ac:dyDescent="0.2">
      <c r="A28" s="10">
        <v>2030</v>
      </c>
      <c r="B28" s="13" t="s">
        <v>4</v>
      </c>
      <c r="C28" s="13" t="s">
        <v>9</v>
      </c>
      <c r="D28" s="3"/>
      <c r="E28" s="3">
        <f>E8/(1+'Energy efficiency'!$C$44)^15</f>
        <v>3.6576325201064512E-2</v>
      </c>
      <c r="F28" s="3"/>
      <c r="G28" s="3"/>
      <c r="H28" s="3"/>
      <c r="I28" s="3">
        <f>I8/(1+'Energy efficiency'!$C$44)^15</f>
        <v>0.30409905230174528</v>
      </c>
      <c r="J28" s="3"/>
      <c r="K28" s="3"/>
      <c r="L28" s="3"/>
      <c r="M28" s="3">
        <f>M8/(1+'Energy efficiency'!$C$44)^15</f>
        <v>5.8968276600681956E-2</v>
      </c>
      <c r="N28" s="3"/>
      <c r="O28" s="3"/>
      <c r="P28" s="6"/>
    </row>
    <row r="29" spans="1:16" x14ac:dyDescent="0.2">
      <c r="A29" s="10">
        <v>2030</v>
      </c>
      <c r="B29" s="13" t="s">
        <v>93</v>
      </c>
      <c r="C29" s="13" t="s">
        <v>9</v>
      </c>
      <c r="D29" s="3"/>
      <c r="E29" s="3"/>
      <c r="F29" s="3"/>
      <c r="G29" s="3"/>
      <c r="H29" s="3"/>
      <c r="I29" s="3"/>
      <c r="J29" s="3"/>
      <c r="K29" s="3"/>
      <c r="L29" s="3">
        <f>L9/(1+'Energy efficiency'!$C$44)^15</f>
        <v>0.30409905230174528</v>
      </c>
      <c r="M29" s="3"/>
      <c r="N29" s="3"/>
      <c r="O29" s="3"/>
      <c r="P29" s="6">
        <f>P9/(1+'Energy efficiency'!$C$44)^15</f>
        <v>5.8968276600681956E-2</v>
      </c>
    </row>
    <row r="30" spans="1:16" x14ac:dyDescent="0.2">
      <c r="A30" s="10">
        <v>2030</v>
      </c>
      <c r="B30" s="13" t="s">
        <v>5</v>
      </c>
      <c r="C30" s="13" t="s">
        <v>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6"/>
    </row>
    <row r="31" spans="1:16" x14ac:dyDescent="0.2">
      <c r="A31" s="10">
        <v>2030</v>
      </c>
      <c r="B31" s="13" t="s">
        <v>6</v>
      </c>
      <c r="C31" s="13" t="s">
        <v>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6"/>
    </row>
    <row r="32" spans="1:16" x14ac:dyDescent="0.2">
      <c r="A32" s="10">
        <v>2030</v>
      </c>
      <c r="B32" s="13" t="s">
        <v>7</v>
      </c>
      <c r="C32" s="13" t="s">
        <v>9</v>
      </c>
      <c r="D32" s="3"/>
      <c r="E32" s="3">
        <f>E12/(1+'Energy efficiency'!$C$44)^15</f>
        <v>2.4080861439898207E-2</v>
      </c>
      <c r="F32" s="3">
        <f>F12/(1+'Energy efficiency'!$C$44)^15</f>
        <v>5.2842998169548384E-2</v>
      </c>
      <c r="G32" s="3"/>
      <c r="H32" s="3"/>
      <c r="I32" s="3"/>
      <c r="J32" s="3"/>
      <c r="K32" s="3"/>
      <c r="L32" s="3"/>
      <c r="M32" s="3"/>
      <c r="N32" s="3"/>
      <c r="O32" s="3"/>
      <c r="P32" s="6"/>
    </row>
    <row r="33" spans="1:16" x14ac:dyDescent="0.2">
      <c r="A33" s="10">
        <v>2030</v>
      </c>
      <c r="B33" s="13" t="s">
        <v>8</v>
      </c>
      <c r="C33" s="13" t="s">
        <v>9</v>
      </c>
      <c r="D33" s="3">
        <f>D13/(1+'Energy efficiency'!$C$44)^15</f>
        <v>2.5863783799089147E-2</v>
      </c>
      <c r="E33" s="3"/>
      <c r="F33" s="3"/>
      <c r="G33" s="3">
        <f>G13/(1+'Energy efficiency'!$C$44)^15</f>
        <v>4.9381406243043185E-2</v>
      </c>
      <c r="H33" s="3">
        <f>H13/(1+'Energy efficiency'!$C$44)^15</f>
        <v>1.6460468747681062E-2</v>
      </c>
      <c r="I33" s="3"/>
      <c r="J33" s="3">
        <f>J13/(1+'Energy efficiency'!$C$44)^15</f>
        <v>0.27778407829390395</v>
      </c>
      <c r="K33" s="3"/>
      <c r="L33" s="3"/>
      <c r="M33" s="3"/>
      <c r="N33" s="3">
        <f>N13/(1+'Energy efficiency'!$C$44)^15</f>
        <v>4.7502222817216042E-2</v>
      </c>
      <c r="O33" s="3"/>
      <c r="P33" s="6"/>
    </row>
    <row r="34" spans="1:16" x14ac:dyDescent="0.2">
      <c r="A34" s="10">
        <v>2030</v>
      </c>
      <c r="B34" s="13" t="s">
        <v>10</v>
      </c>
      <c r="C34" s="13" t="s">
        <v>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6"/>
    </row>
    <row r="35" spans="1:16" x14ac:dyDescent="0.2">
      <c r="A35" s="10">
        <v>2030</v>
      </c>
      <c r="B35" s="13" t="s">
        <v>11</v>
      </c>
      <c r="C35" s="13" t="s">
        <v>12</v>
      </c>
      <c r="D35" s="3"/>
      <c r="E35" s="3"/>
      <c r="F35" s="3"/>
      <c r="G35" s="3"/>
      <c r="H35" s="3"/>
      <c r="I35" s="3">
        <f>Emissions!$G$3</f>
        <v>6.9956830007287418E-2</v>
      </c>
      <c r="J35" s="3">
        <f>Emissions!$G$3</f>
        <v>6.9956830007287418E-2</v>
      </c>
      <c r="K35" s="3">
        <f>Emissions!$G$3</f>
        <v>6.9956830007287418E-2</v>
      </c>
      <c r="L35" s="3">
        <f>Emissions!$G$3</f>
        <v>6.9956830007287418E-2</v>
      </c>
      <c r="M35" s="3"/>
      <c r="N35" s="3"/>
      <c r="O35" s="3"/>
      <c r="P35" s="6"/>
    </row>
    <row r="36" spans="1:16" x14ac:dyDescent="0.2">
      <c r="A36" s="10">
        <v>2030</v>
      </c>
      <c r="B36" s="13" t="s">
        <v>13</v>
      </c>
      <c r="C36" s="13" t="s">
        <v>14</v>
      </c>
      <c r="D36" s="3"/>
      <c r="E36" s="3"/>
      <c r="F36" s="3"/>
      <c r="G36" s="3"/>
      <c r="H36" s="3">
        <f>H$16</f>
        <v>2.93256533512309</v>
      </c>
      <c r="I36" s="3"/>
      <c r="J36" s="3">
        <f>J$16</f>
        <v>23.795158732184991</v>
      </c>
      <c r="K36" s="3"/>
      <c r="L36" s="3"/>
      <c r="M36" s="3"/>
      <c r="N36" s="3"/>
      <c r="O36" s="3"/>
      <c r="P36" s="6"/>
    </row>
    <row r="37" spans="1:16" x14ac:dyDescent="0.2">
      <c r="A37" s="10">
        <v>2030</v>
      </c>
      <c r="B37" s="13" t="s">
        <v>15</v>
      </c>
      <c r="C37" s="13" t="s">
        <v>16</v>
      </c>
      <c r="D37" s="3"/>
      <c r="E37" s="3"/>
      <c r="F37" s="3"/>
      <c r="G37" s="3"/>
      <c r="H37" s="3">
        <f>H$17</f>
        <v>15</v>
      </c>
      <c r="I37" s="3"/>
      <c r="J37" s="3">
        <f>J$17</f>
        <v>40</v>
      </c>
      <c r="K37" s="3"/>
      <c r="L37" s="3"/>
      <c r="M37" s="3"/>
      <c r="N37" s="3"/>
      <c r="O37" s="3"/>
      <c r="P37" s="6"/>
    </row>
    <row r="38" spans="1:16" x14ac:dyDescent="0.2">
      <c r="A38" s="10">
        <v>2030</v>
      </c>
      <c r="B38" s="13" t="s">
        <v>17</v>
      </c>
      <c r="C38" s="13"/>
      <c r="D38" s="3"/>
      <c r="E38" s="3"/>
      <c r="F38" s="3"/>
      <c r="G38" s="3"/>
      <c r="H38" s="3">
        <f>H$18</f>
        <v>0.1</v>
      </c>
      <c r="I38" s="3"/>
      <c r="J38" s="3">
        <f>J$18</f>
        <v>0.1</v>
      </c>
      <c r="K38" s="3"/>
      <c r="L38" s="3"/>
      <c r="M38" s="3"/>
      <c r="N38" s="3"/>
      <c r="O38" s="3"/>
      <c r="P38" s="6"/>
    </row>
    <row r="39" spans="1:16" x14ac:dyDescent="0.2">
      <c r="A39" s="10">
        <v>2030</v>
      </c>
      <c r="B39" s="13" t="s">
        <v>18</v>
      </c>
      <c r="C39" s="13"/>
      <c r="D39" s="3"/>
      <c r="E39" s="3"/>
      <c r="F39" s="3"/>
      <c r="G39" s="3"/>
      <c r="H39" s="3">
        <f>H38/(1-1/(1+H38)^H37)</f>
        <v>0.13147377688737216</v>
      </c>
      <c r="I39" s="3"/>
      <c r="J39" s="3">
        <f>J38/(1-1/(1+J38)^J37)</f>
        <v>0.10225941441436949</v>
      </c>
      <c r="K39" s="3"/>
      <c r="L39" s="3"/>
      <c r="M39" s="3"/>
      <c r="N39" s="3"/>
      <c r="O39" s="3"/>
      <c r="P39" s="6"/>
    </row>
    <row r="40" spans="1:16" x14ac:dyDescent="0.2">
      <c r="A40" s="10">
        <v>2030</v>
      </c>
      <c r="B40" s="13" t="s">
        <v>19</v>
      </c>
      <c r="C40" s="13" t="s">
        <v>14</v>
      </c>
      <c r="D40" s="3"/>
      <c r="E40" s="3"/>
      <c r="F40" s="3"/>
      <c r="G40" s="3"/>
      <c r="H40" s="3">
        <f>H$20</f>
        <v>6.6883069046666965E-2</v>
      </c>
      <c r="I40" s="3"/>
      <c r="J40" s="3"/>
      <c r="K40" s="3"/>
      <c r="L40" s="3"/>
      <c r="M40" s="3"/>
      <c r="N40" s="3"/>
      <c r="O40" s="3"/>
      <c r="P40" s="6"/>
    </row>
    <row r="41" spans="1:16" x14ac:dyDescent="0.2">
      <c r="A41" s="10">
        <v>2030</v>
      </c>
      <c r="B41" s="13" t="s">
        <v>20</v>
      </c>
      <c r="C41" s="13" t="s">
        <v>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6"/>
    </row>
    <row r="42" spans="1:16" x14ac:dyDescent="0.2">
      <c r="A42" s="10">
        <v>2040</v>
      </c>
      <c r="B42" s="11" t="s">
        <v>21</v>
      </c>
      <c r="C42" s="11" t="s">
        <v>2</v>
      </c>
      <c r="D42" s="3"/>
      <c r="E42" s="3"/>
      <c r="F42" s="3"/>
      <c r="G42" s="3"/>
      <c r="H42" s="3"/>
      <c r="I42" s="3"/>
      <c r="J42" s="3"/>
      <c r="K42" s="3"/>
      <c r="L42" s="3"/>
      <c r="M42" s="3">
        <v>-1</v>
      </c>
      <c r="N42" s="3">
        <v>-1</v>
      </c>
      <c r="O42" s="3">
        <v>-1</v>
      </c>
      <c r="P42" s="13">
        <v>-1</v>
      </c>
    </row>
    <row r="43" spans="1:16" x14ac:dyDescent="0.2">
      <c r="A43" s="10">
        <v>2040</v>
      </c>
      <c r="B43" s="11" t="s">
        <v>22</v>
      </c>
      <c r="C43" s="11" t="s">
        <v>2</v>
      </c>
      <c r="D43" s="3">
        <v>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3"/>
    </row>
    <row r="44" spans="1:16" x14ac:dyDescent="0.2">
      <c r="A44" s="10">
        <v>2040</v>
      </c>
      <c r="B44" s="11" t="s">
        <v>24</v>
      </c>
      <c r="C44" s="11" t="s">
        <v>2</v>
      </c>
      <c r="D44" s="3">
        <v>-1</v>
      </c>
      <c r="E44" s="3">
        <v>1</v>
      </c>
      <c r="F44" s="3">
        <v>1</v>
      </c>
      <c r="G44" s="3">
        <v>1</v>
      </c>
      <c r="H44" s="3">
        <v>1</v>
      </c>
      <c r="I44" s="3"/>
      <c r="J44" s="3"/>
      <c r="K44" s="3"/>
      <c r="L44" s="3"/>
      <c r="M44" s="3"/>
      <c r="N44" s="3"/>
      <c r="O44" s="3"/>
      <c r="P44" s="13"/>
    </row>
    <row r="45" spans="1:16" x14ac:dyDescent="0.2">
      <c r="A45" s="10">
        <v>2040</v>
      </c>
      <c r="B45" s="12" t="s">
        <v>23</v>
      </c>
      <c r="C45" s="12" t="s">
        <v>2</v>
      </c>
      <c r="D45" s="3"/>
      <c r="E45" s="3">
        <v>-1</v>
      </c>
      <c r="F45" s="3">
        <v>-1</v>
      </c>
      <c r="G45" s="3">
        <v>-1</v>
      </c>
      <c r="H45" s="3">
        <v>-1</v>
      </c>
      <c r="I45" s="3">
        <v>1</v>
      </c>
      <c r="J45" s="3">
        <v>1</v>
      </c>
      <c r="K45" s="3">
        <v>1</v>
      </c>
      <c r="L45" s="3">
        <v>1</v>
      </c>
      <c r="M45" s="3"/>
      <c r="N45" s="3"/>
      <c r="O45" s="3"/>
      <c r="P45" s="13"/>
    </row>
    <row r="46" spans="1:16" x14ac:dyDescent="0.2">
      <c r="A46" s="10">
        <v>2040</v>
      </c>
      <c r="B46" s="12" t="s">
        <v>25</v>
      </c>
      <c r="C46" s="12" t="s">
        <v>2</v>
      </c>
      <c r="D46" s="3"/>
      <c r="E46" s="3"/>
      <c r="F46" s="3"/>
      <c r="G46" s="3"/>
      <c r="H46" s="3"/>
      <c r="I46" s="3">
        <v>-1</v>
      </c>
      <c r="J46" s="3">
        <v>-1</v>
      </c>
      <c r="K46" s="3">
        <v>-1</v>
      </c>
      <c r="L46" s="3">
        <v>-1</v>
      </c>
      <c r="M46" s="3">
        <v>1</v>
      </c>
      <c r="N46" s="3">
        <v>1</v>
      </c>
      <c r="O46" s="3">
        <v>1</v>
      </c>
      <c r="P46" s="13">
        <v>1</v>
      </c>
    </row>
    <row r="47" spans="1:16" x14ac:dyDescent="0.2">
      <c r="A47" s="10">
        <v>2040</v>
      </c>
      <c r="B47" s="13" t="s">
        <v>3</v>
      </c>
      <c r="C47" s="13" t="s">
        <v>9</v>
      </c>
      <c r="D47" s="3"/>
      <c r="E47" s="3"/>
      <c r="F47" s="3"/>
      <c r="G47" s="3"/>
      <c r="H47" s="3"/>
      <c r="I47" s="3"/>
      <c r="J47" s="3"/>
      <c r="K47" s="3">
        <f>K27</f>
        <v>0.30409905230174528</v>
      </c>
      <c r="L47" s="3"/>
      <c r="M47" s="3"/>
      <c r="N47" s="3"/>
      <c r="O47" s="3">
        <f>O27</f>
        <v>5.8968276600681956E-2</v>
      </c>
      <c r="P47" s="6"/>
    </row>
    <row r="48" spans="1:16" x14ac:dyDescent="0.2">
      <c r="A48" s="10">
        <v>2040</v>
      </c>
      <c r="B48" s="13" t="s">
        <v>4</v>
      </c>
      <c r="C48" s="13" t="s">
        <v>9</v>
      </c>
      <c r="D48" s="3"/>
      <c r="E48" s="3">
        <f>E28</f>
        <v>3.6576325201064512E-2</v>
      </c>
      <c r="F48" s="3"/>
      <c r="G48" s="3"/>
      <c r="H48" s="3"/>
      <c r="I48" s="3">
        <f>I28</f>
        <v>0.30409905230174528</v>
      </c>
      <c r="J48" s="3"/>
      <c r="K48" s="3"/>
      <c r="L48" s="3"/>
      <c r="M48" s="3">
        <f>M28</f>
        <v>5.8968276600681956E-2</v>
      </c>
      <c r="N48" s="3"/>
      <c r="O48" s="3"/>
      <c r="P48" s="6"/>
    </row>
    <row r="49" spans="1:16" x14ac:dyDescent="0.2">
      <c r="A49" s="10">
        <v>2040</v>
      </c>
      <c r="B49" s="13" t="s">
        <v>93</v>
      </c>
      <c r="C49" s="13" t="s">
        <v>9</v>
      </c>
      <c r="D49" s="3"/>
      <c r="E49" s="3"/>
      <c r="F49" s="3"/>
      <c r="G49" s="3"/>
      <c r="H49" s="3"/>
      <c r="I49" s="3"/>
      <c r="J49" s="3"/>
      <c r="K49" s="3"/>
      <c r="L49" s="3">
        <f>L29</f>
        <v>0.30409905230174528</v>
      </c>
      <c r="M49" s="3"/>
      <c r="N49" s="3"/>
      <c r="O49" s="3"/>
      <c r="P49" s="6">
        <f>P29</f>
        <v>5.8968276600681956E-2</v>
      </c>
    </row>
    <row r="50" spans="1:16" x14ac:dyDescent="0.2">
      <c r="A50" s="10">
        <v>2040</v>
      </c>
      <c r="B50" s="13" t="s">
        <v>5</v>
      </c>
      <c r="C50" s="13" t="s">
        <v>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6"/>
    </row>
    <row r="51" spans="1:16" x14ac:dyDescent="0.2">
      <c r="A51" s="10">
        <v>2040</v>
      </c>
      <c r="B51" s="13" t="s">
        <v>6</v>
      </c>
      <c r="C51" s="13" t="s">
        <v>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6"/>
    </row>
    <row r="52" spans="1:16" x14ac:dyDescent="0.2">
      <c r="A52" s="10">
        <v>2040</v>
      </c>
      <c r="B52" s="13" t="s">
        <v>7</v>
      </c>
      <c r="C52" s="13" t="s">
        <v>9</v>
      </c>
      <c r="D52" s="3"/>
      <c r="E52" s="3">
        <f>E32</f>
        <v>2.4080861439898207E-2</v>
      </c>
      <c r="F52" s="3">
        <f>F32</f>
        <v>5.2842998169548384E-2</v>
      </c>
      <c r="G52" s="3"/>
      <c r="H52" s="3"/>
      <c r="I52" s="3"/>
      <c r="J52" s="3"/>
      <c r="K52" s="3"/>
      <c r="L52" s="3"/>
      <c r="M52" s="3"/>
      <c r="N52" s="3"/>
      <c r="O52" s="3"/>
      <c r="P52" s="6"/>
    </row>
    <row r="53" spans="1:16" x14ac:dyDescent="0.2">
      <c r="A53" s="10">
        <v>2040</v>
      </c>
      <c r="B53" s="13" t="s">
        <v>8</v>
      </c>
      <c r="C53" s="13" t="s">
        <v>9</v>
      </c>
      <c r="D53" s="3">
        <f>D33</f>
        <v>2.5863783799089147E-2</v>
      </c>
      <c r="E53" s="3"/>
      <c r="F53" s="3"/>
      <c r="G53" s="3">
        <f>G33</f>
        <v>4.9381406243043185E-2</v>
      </c>
      <c r="H53" s="3">
        <f>H33</f>
        <v>1.6460468747681062E-2</v>
      </c>
      <c r="I53" s="3"/>
      <c r="J53" s="3">
        <f>J33</f>
        <v>0.27778407829390395</v>
      </c>
      <c r="K53" s="3"/>
      <c r="L53" s="3"/>
      <c r="M53" s="3"/>
      <c r="N53" s="3">
        <f>N33</f>
        <v>4.7502222817216042E-2</v>
      </c>
      <c r="O53" s="3"/>
      <c r="P53" s="6"/>
    </row>
    <row r="54" spans="1:16" x14ac:dyDescent="0.2">
      <c r="A54" s="10">
        <v>2040</v>
      </c>
      <c r="B54" s="13" t="s">
        <v>10</v>
      </c>
      <c r="C54" s="13" t="s">
        <v>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6"/>
    </row>
    <row r="55" spans="1:16" x14ac:dyDescent="0.2">
      <c r="A55" s="10">
        <v>2040</v>
      </c>
      <c r="B55" s="13" t="s">
        <v>11</v>
      </c>
      <c r="C55" s="13" t="s">
        <v>12</v>
      </c>
      <c r="D55" s="3"/>
      <c r="E55" s="3"/>
      <c r="F55" s="3"/>
      <c r="G55" s="3"/>
      <c r="H55" s="3"/>
      <c r="I55" s="3">
        <f>Emissions!$G$3</f>
        <v>6.9956830007287418E-2</v>
      </c>
      <c r="J55" s="3">
        <f>Emissions!$G$3</f>
        <v>6.9956830007287418E-2</v>
      </c>
      <c r="K55" s="3">
        <f>Emissions!$G$3</f>
        <v>6.9956830007287418E-2</v>
      </c>
      <c r="L55" s="3">
        <f>Emissions!$G$3</f>
        <v>6.9956830007287418E-2</v>
      </c>
      <c r="M55" s="3"/>
      <c r="N55" s="3"/>
      <c r="O55" s="3"/>
      <c r="P55" s="6"/>
    </row>
    <row r="56" spans="1:16" x14ac:dyDescent="0.2">
      <c r="A56" s="10">
        <v>2040</v>
      </c>
      <c r="B56" s="13" t="s">
        <v>13</v>
      </c>
      <c r="C56" s="13" t="s">
        <v>14</v>
      </c>
      <c r="D56" s="3"/>
      <c r="E56" s="3"/>
      <c r="F56" s="3"/>
      <c r="G56" s="3"/>
      <c r="H56" s="3">
        <f>H$16</f>
        <v>2.93256533512309</v>
      </c>
      <c r="I56" s="3"/>
      <c r="J56" s="3">
        <f>J$16</f>
        <v>23.795158732184991</v>
      </c>
      <c r="K56" s="3"/>
      <c r="L56" s="3"/>
      <c r="M56" s="3"/>
      <c r="N56" s="3"/>
      <c r="O56" s="3"/>
      <c r="P56" s="6"/>
    </row>
    <row r="57" spans="1:16" x14ac:dyDescent="0.2">
      <c r="A57" s="10">
        <v>2040</v>
      </c>
      <c r="B57" s="13" t="s">
        <v>15</v>
      </c>
      <c r="C57" s="13" t="s">
        <v>16</v>
      </c>
      <c r="D57" s="3"/>
      <c r="E57" s="3"/>
      <c r="F57" s="3"/>
      <c r="G57" s="3"/>
      <c r="H57" s="3">
        <f>H$17</f>
        <v>15</v>
      </c>
      <c r="I57" s="3"/>
      <c r="J57" s="3">
        <f>J$17</f>
        <v>40</v>
      </c>
      <c r="K57" s="3"/>
      <c r="L57" s="3"/>
      <c r="M57" s="3"/>
      <c r="N57" s="3"/>
      <c r="O57" s="3"/>
      <c r="P57" s="6"/>
    </row>
    <row r="58" spans="1:16" x14ac:dyDescent="0.2">
      <c r="A58" s="10">
        <v>2040</v>
      </c>
      <c r="B58" s="13" t="s">
        <v>17</v>
      </c>
      <c r="C58" s="13"/>
      <c r="D58" s="3"/>
      <c r="E58" s="3"/>
      <c r="F58" s="3"/>
      <c r="G58" s="3"/>
      <c r="H58" s="3">
        <f>H$18</f>
        <v>0.1</v>
      </c>
      <c r="I58" s="3"/>
      <c r="J58" s="3">
        <f>J$18</f>
        <v>0.1</v>
      </c>
      <c r="K58" s="3"/>
      <c r="L58" s="3"/>
      <c r="M58" s="3"/>
      <c r="N58" s="3"/>
      <c r="O58" s="3"/>
      <c r="P58" s="6"/>
    </row>
    <row r="59" spans="1:16" x14ac:dyDescent="0.2">
      <c r="A59" s="10">
        <v>2040</v>
      </c>
      <c r="B59" s="13" t="s">
        <v>18</v>
      </c>
      <c r="C59" s="13"/>
      <c r="D59" s="3"/>
      <c r="E59" s="3"/>
      <c r="F59" s="3"/>
      <c r="G59" s="3"/>
      <c r="H59" s="3">
        <f>H58/(1-1/(1+H58)^H57)</f>
        <v>0.13147377688737216</v>
      </c>
      <c r="I59" s="3"/>
      <c r="J59" s="3">
        <f>J58/(1-1/(1+J58)^J57)</f>
        <v>0.10225941441436949</v>
      </c>
      <c r="K59" s="3"/>
      <c r="L59" s="3"/>
      <c r="M59" s="3"/>
      <c r="N59" s="3"/>
      <c r="O59" s="3"/>
      <c r="P59" s="6"/>
    </row>
    <row r="60" spans="1:16" x14ac:dyDescent="0.2">
      <c r="A60" s="10">
        <v>2040</v>
      </c>
      <c r="B60" s="13" t="s">
        <v>19</v>
      </c>
      <c r="C60" s="13" t="s">
        <v>14</v>
      </c>
      <c r="D60" s="3"/>
      <c r="E60" s="3"/>
      <c r="F60" s="3"/>
      <c r="G60" s="3"/>
      <c r="H60" s="3">
        <f>H$20</f>
        <v>6.6883069046666965E-2</v>
      </c>
      <c r="I60" s="3"/>
      <c r="J60" s="3"/>
      <c r="K60" s="3"/>
      <c r="L60" s="3"/>
      <c r="M60" s="3"/>
      <c r="N60" s="3"/>
      <c r="O60" s="3"/>
      <c r="P60" s="6"/>
    </row>
    <row r="61" spans="1:16" x14ac:dyDescent="0.2">
      <c r="A61" s="10">
        <v>2040</v>
      </c>
      <c r="B61" s="13" t="s">
        <v>20</v>
      </c>
      <c r="C61" s="13" t="s">
        <v>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6"/>
    </row>
    <row r="62" spans="1:16" x14ac:dyDescent="0.2">
      <c r="A62" s="10">
        <v>2050</v>
      </c>
      <c r="B62" s="11" t="s">
        <v>21</v>
      </c>
      <c r="C62" s="11" t="s">
        <v>2</v>
      </c>
      <c r="D62" s="3"/>
      <c r="E62" s="3"/>
      <c r="F62" s="3"/>
      <c r="G62" s="3"/>
      <c r="H62" s="3"/>
      <c r="I62" s="3"/>
      <c r="J62" s="3"/>
      <c r="K62" s="3"/>
      <c r="L62" s="3"/>
      <c r="M62" s="3">
        <v>-1</v>
      </c>
      <c r="N62" s="3">
        <v>-1</v>
      </c>
      <c r="O62" s="3">
        <v>-1</v>
      </c>
      <c r="P62" s="13">
        <v>-1</v>
      </c>
    </row>
    <row r="63" spans="1:16" x14ac:dyDescent="0.2">
      <c r="A63" s="10">
        <v>2050</v>
      </c>
      <c r="B63" s="11" t="s">
        <v>22</v>
      </c>
      <c r="C63" s="11" t="s">
        <v>2</v>
      </c>
      <c r="D63" s="3">
        <v>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3"/>
    </row>
    <row r="64" spans="1:16" x14ac:dyDescent="0.2">
      <c r="A64" s="10">
        <v>2050</v>
      </c>
      <c r="B64" s="11" t="s">
        <v>24</v>
      </c>
      <c r="C64" s="11" t="s">
        <v>2</v>
      </c>
      <c r="D64" s="3">
        <v>-1</v>
      </c>
      <c r="E64" s="3">
        <v>1</v>
      </c>
      <c r="F64" s="3">
        <v>1</v>
      </c>
      <c r="G64" s="3">
        <v>1</v>
      </c>
      <c r="H64" s="3">
        <v>1</v>
      </c>
      <c r="I64" s="3"/>
      <c r="J64" s="3"/>
      <c r="K64" s="3"/>
      <c r="L64" s="3"/>
      <c r="M64" s="3"/>
      <c r="N64" s="3"/>
      <c r="O64" s="3"/>
      <c r="P64" s="13"/>
    </row>
    <row r="65" spans="1:16" x14ac:dyDescent="0.2">
      <c r="A65" s="10">
        <v>2050</v>
      </c>
      <c r="B65" s="12" t="s">
        <v>23</v>
      </c>
      <c r="C65" s="12" t="s">
        <v>2</v>
      </c>
      <c r="D65" s="3"/>
      <c r="E65" s="3">
        <v>-1</v>
      </c>
      <c r="F65" s="3">
        <v>-1</v>
      </c>
      <c r="G65" s="3">
        <v>-1</v>
      </c>
      <c r="H65" s="3">
        <v>-1</v>
      </c>
      <c r="I65" s="3">
        <v>1</v>
      </c>
      <c r="J65" s="3">
        <v>1</v>
      </c>
      <c r="K65" s="3">
        <v>1</v>
      </c>
      <c r="L65" s="3">
        <v>1</v>
      </c>
      <c r="M65" s="3"/>
      <c r="N65" s="3"/>
      <c r="O65" s="3"/>
      <c r="P65" s="13"/>
    </row>
    <row r="66" spans="1:16" x14ac:dyDescent="0.2">
      <c r="A66" s="10">
        <v>2050</v>
      </c>
      <c r="B66" s="12" t="s">
        <v>25</v>
      </c>
      <c r="C66" s="12" t="s">
        <v>2</v>
      </c>
      <c r="D66" s="3"/>
      <c r="E66" s="3"/>
      <c r="F66" s="3"/>
      <c r="G66" s="3"/>
      <c r="H66" s="3"/>
      <c r="I66" s="3">
        <v>-1</v>
      </c>
      <c r="J66" s="3">
        <v>-1</v>
      </c>
      <c r="K66" s="3">
        <v>-1</v>
      </c>
      <c r="L66" s="3">
        <v>-1</v>
      </c>
      <c r="M66" s="3">
        <v>1</v>
      </c>
      <c r="N66" s="3">
        <v>1</v>
      </c>
      <c r="O66" s="3">
        <v>1</v>
      </c>
      <c r="P66" s="13">
        <v>1</v>
      </c>
    </row>
    <row r="67" spans="1:16" x14ac:dyDescent="0.2">
      <c r="A67" s="10">
        <v>2050</v>
      </c>
      <c r="B67" s="13" t="s">
        <v>3</v>
      </c>
      <c r="C67" s="13" t="s">
        <v>9</v>
      </c>
      <c r="D67" s="3"/>
      <c r="E67" s="3"/>
      <c r="F67" s="3"/>
      <c r="G67" s="3"/>
      <c r="H67" s="3"/>
      <c r="I67" s="3"/>
      <c r="J67" s="3"/>
      <c r="K67" s="3">
        <f>K47</f>
        <v>0.30409905230174528</v>
      </c>
      <c r="L67" s="3"/>
      <c r="M67" s="3"/>
      <c r="N67" s="3"/>
      <c r="O67" s="3">
        <f>O47</f>
        <v>5.8968276600681956E-2</v>
      </c>
      <c r="P67" s="6"/>
    </row>
    <row r="68" spans="1:16" x14ac:dyDescent="0.2">
      <c r="A68" s="10">
        <v>2050</v>
      </c>
      <c r="B68" s="13" t="s">
        <v>4</v>
      </c>
      <c r="C68" s="13" t="s">
        <v>9</v>
      </c>
      <c r="D68" s="3"/>
      <c r="E68" s="3">
        <f>E48</f>
        <v>3.6576325201064512E-2</v>
      </c>
      <c r="F68" s="3"/>
      <c r="G68" s="3"/>
      <c r="H68" s="3"/>
      <c r="I68" s="3">
        <f>I48</f>
        <v>0.30409905230174528</v>
      </c>
      <c r="J68" s="3"/>
      <c r="K68" s="3"/>
      <c r="L68" s="3"/>
      <c r="M68" s="3">
        <f>M48</f>
        <v>5.8968276600681956E-2</v>
      </c>
      <c r="N68" s="3"/>
      <c r="O68" s="3"/>
      <c r="P68" s="6"/>
    </row>
    <row r="69" spans="1:16" x14ac:dyDescent="0.2">
      <c r="A69" s="10">
        <v>2050</v>
      </c>
      <c r="B69" s="13" t="s">
        <v>93</v>
      </c>
      <c r="C69" s="13" t="s">
        <v>9</v>
      </c>
      <c r="D69" s="3"/>
      <c r="E69" s="3"/>
      <c r="F69" s="3"/>
      <c r="G69" s="3"/>
      <c r="H69" s="3"/>
      <c r="I69" s="3"/>
      <c r="J69" s="3"/>
      <c r="K69" s="3"/>
      <c r="L69" s="3">
        <f>L49</f>
        <v>0.30409905230174528</v>
      </c>
      <c r="M69" s="3"/>
      <c r="N69" s="3"/>
      <c r="O69" s="3"/>
      <c r="P69" s="6">
        <f>P49</f>
        <v>5.8968276600681956E-2</v>
      </c>
    </row>
    <row r="70" spans="1:16" x14ac:dyDescent="0.2">
      <c r="A70" s="10">
        <v>2050</v>
      </c>
      <c r="B70" s="13" t="s">
        <v>5</v>
      </c>
      <c r="C70" s="13" t="s">
        <v>9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6"/>
    </row>
    <row r="71" spans="1:16" x14ac:dyDescent="0.2">
      <c r="A71" s="10">
        <v>2050</v>
      </c>
      <c r="B71" s="13" t="s">
        <v>6</v>
      </c>
      <c r="C71" s="13" t="s">
        <v>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6"/>
    </row>
    <row r="72" spans="1:16" x14ac:dyDescent="0.2">
      <c r="A72" s="10">
        <v>2050</v>
      </c>
      <c r="B72" s="13" t="s">
        <v>7</v>
      </c>
      <c r="C72" s="13" t="s">
        <v>9</v>
      </c>
      <c r="D72" s="3"/>
      <c r="E72" s="3">
        <f>E52</f>
        <v>2.4080861439898207E-2</v>
      </c>
      <c r="F72" s="3">
        <f>F52</f>
        <v>5.2842998169548384E-2</v>
      </c>
      <c r="G72" s="3"/>
      <c r="H72" s="3"/>
      <c r="I72" s="3"/>
      <c r="J72" s="3"/>
      <c r="K72" s="3"/>
      <c r="L72" s="3"/>
      <c r="M72" s="3"/>
      <c r="N72" s="3"/>
      <c r="O72" s="3"/>
      <c r="P72" s="6"/>
    </row>
    <row r="73" spans="1:16" x14ac:dyDescent="0.2">
      <c r="A73" s="10">
        <v>2050</v>
      </c>
      <c r="B73" s="13" t="s">
        <v>8</v>
      </c>
      <c r="C73" s="13" t="s">
        <v>9</v>
      </c>
      <c r="D73" s="3">
        <f>D53</f>
        <v>2.5863783799089147E-2</v>
      </c>
      <c r="E73" s="3"/>
      <c r="F73" s="3"/>
      <c r="G73" s="3">
        <f>G53</f>
        <v>4.9381406243043185E-2</v>
      </c>
      <c r="H73" s="3">
        <f>H53</f>
        <v>1.6460468747681062E-2</v>
      </c>
      <c r="I73" s="3"/>
      <c r="J73" s="3">
        <f>J53</f>
        <v>0.27778407829390395</v>
      </c>
      <c r="K73" s="3"/>
      <c r="L73" s="3"/>
      <c r="M73" s="3"/>
      <c r="N73" s="3">
        <f>N53</f>
        <v>4.7502222817216042E-2</v>
      </c>
      <c r="O73" s="3"/>
      <c r="P73" s="6"/>
    </row>
    <row r="74" spans="1:16" x14ac:dyDescent="0.2">
      <c r="A74" s="10">
        <v>2050</v>
      </c>
      <c r="B74" s="13" t="s">
        <v>10</v>
      </c>
      <c r="C74" s="13" t="s">
        <v>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6"/>
    </row>
    <row r="75" spans="1:16" x14ac:dyDescent="0.2">
      <c r="A75" s="10">
        <v>2050</v>
      </c>
      <c r="B75" s="13" t="s">
        <v>11</v>
      </c>
      <c r="C75" s="13" t="s">
        <v>12</v>
      </c>
      <c r="D75" s="3"/>
      <c r="E75" s="3"/>
      <c r="F75" s="3"/>
      <c r="G75" s="3"/>
      <c r="H75" s="3"/>
      <c r="I75" s="3">
        <f>Emissions!$G$3</f>
        <v>6.9956830007287418E-2</v>
      </c>
      <c r="J75" s="3">
        <f>Emissions!$G$3</f>
        <v>6.9956830007287418E-2</v>
      </c>
      <c r="K75" s="3">
        <f>Emissions!$G$3</f>
        <v>6.9956830007287418E-2</v>
      </c>
      <c r="L75" s="3">
        <f>Emissions!$G$3</f>
        <v>6.9956830007287418E-2</v>
      </c>
      <c r="M75" s="3"/>
      <c r="N75" s="3"/>
      <c r="O75" s="3"/>
      <c r="P75" s="6"/>
    </row>
    <row r="76" spans="1:16" x14ac:dyDescent="0.2">
      <c r="A76" s="10">
        <v>2050</v>
      </c>
      <c r="B76" s="13" t="s">
        <v>13</v>
      </c>
      <c r="C76" s="13" t="s">
        <v>14</v>
      </c>
      <c r="D76" s="3"/>
      <c r="E76" s="3"/>
      <c r="F76" s="3"/>
      <c r="G76" s="3"/>
      <c r="H76" s="3">
        <f>H$16</f>
        <v>2.93256533512309</v>
      </c>
      <c r="I76" s="3"/>
      <c r="J76" s="3">
        <f>J$16</f>
        <v>23.795158732184991</v>
      </c>
      <c r="K76" s="3"/>
      <c r="L76" s="3"/>
      <c r="M76" s="3"/>
      <c r="N76" s="3"/>
      <c r="O76" s="3"/>
      <c r="P76" s="6"/>
    </row>
    <row r="77" spans="1:16" x14ac:dyDescent="0.2">
      <c r="A77" s="10">
        <v>2050</v>
      </c>
      <c r="B77" s="13" t="s">
        <v>15</v>
      </c>
      <c r="C77" s="13" t="s">
        <v>16</v>
      </c>
      <c r="D77" s="3"/>
      <c r="E77" s="3"/>
      <c r="F77" s="3"/>
      <c r="G77" s="3"/>
      <c r="H77" s="3">
        <f>H$17</f>
        <v>15</v>
      </c>
      <c r="I77" s="3"/>
      <c r="J77" s="3">
        <f>J$17</f>
        <v>40</v>
      </c>
      <c r="K77" s="3"/>
      <c r="L77" s="3"/>
      <c r="M77" s="3"/>
      <c r="N77" s="3"/>
      <c r="O77" s="3"/>
      <c r="P77" s="6"/>
    </row>
    <row r="78" spans="1:16" x14ac:dyDescent="0.2">
      <c r="A78" s="10">
        <v>2050</v>
      </c>
      <c r="B78" s="13" t="s">
        <v>17</v>
      </c>
      <c r="C78" s="13"/>
      <c r="D78" s="3"/>
      <c r="E78" s="3"/>
      <c r="F78" s="3"/>
      <c r="G78" s="3"/>
      <c r="H78" s="3">
        <f>H$18</f>
        <v>0.1</v>
      </c>
      <c r="I78" s="3"/>
      <c r="J78" s="3">
        <f>J$18</f>
        <v>0.1</v>
      </c>
      <c r="K78" s="3"/>
      <c r="L78" s="3"/>
      <c r="M78" s="3"/>
      <c r="N78" s="3"/>
      <c r="O78" s="3"/>
      <c r="P78" s="6"/>
    </row>
    <row r="79" spans="1:16" x14ac:dyDescent="0.2">
      <c r="A79" s="10">
        <v>2050</v>
      </c>
      <c r="B79" s="13" t="s">
        <v>18</v>
      </c>
      <c r="C79" s="13"/>
      <c r="D79" s="3"/>
      <c r="E79" s="3"/>
      <c r="F79" s="3"/>
      <c r="G79" s="3"/>
      <c r="H79" s="3">
        <f>H78/(1-1/(1+H78)^H77)</f>
        <v>0.13147377688737216</v>
      </c>
      <c r="I79" s="3"/>
      <c r="J79" s="3">
        <f>J78/(1-1/(1+J78)^J77)</f>
        <v>0.10225941441436949</v>
      </c>
      <c r="K79" s="3"/>
      <c r="L79" s="3"/>
      <c r="M79" s="3"/>
      <c r="N79" s="3"/>
      <c r="O79" s="3"/>
      <c r="P79" s="6"/>
    </row>
    <row r="80" spans="1:16" x14ac:dyDescent="0.2">
      <c r="A80" s="10">
        <v>2050</v>
      </c>
      <c r="B80" s="13" t="s">
        <v>19</v>
      </c>
      <c r="C80" s="13" t="s">
        <v>14</v>
      </c>
      <c r="D80" s="3"/>
      <c r="E80" s="3"/>
      <c r="F80" s="3"/>
      <c r="G80" s="3"/>
      <c r="H80" s="3">
        <f>H$20</f>
        <v>6.6883069046666965E-2</v>
      </c>
      <c r="I80" s="3"/>
      <c r="J80" s="3"/>
      <c r="K80" s="3"/>
      <c r="L80" s="3"/>
      <c r="M80" s="3"/>
      <c r="N80" s="3"/>
      <c r="O80" s="3"/>
      <c r="P80" s="6"/>
    </row>
    <row r="81" spans="1:16" x14ac:dyDescent="0.2">
      <c r="A81" s="10">
        <v>2050</v>
      </c>
      <c r="B81" s="13" t="s">
        <v>20</v>
      </c>
      <c r="C81" s="13" t="s">
        <v>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6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935F-1996-9049-859D-513982C0C434}">
  <dimension ref="A1:I59"/>
  <sheetViews>
    <sheetView workbookViewId="0">
      <selection activeCell="H41" sqref="H41"/>
    </sheetView>
  </sheetViews>
  <sheetFormatPr baseColWidth="10" defaultRowHeight="16" x14ac:dyDescent="0.2"/>
  <sheetData>
    <row r="1" spans="1:9" x14ac:dyDescent="0.2">
      <c r="A1" t="s">
        <v>40</v>
      </c>
      <c r="B1" t="s">
        <v>41</v>
      </c>
      <c r="C1" t="s">
        <v>31</v>
      </c>
      <c r="D1">
        <v>2011</v>
      </c>
      <c r="E1">
        <v>2012</v>
      </c>
      <c r="F1">
        <v>2013</v>
      </c>
      <c r="G1">
        <v>2014</v>
      </c>
      <c r="H1">
        <v>2015</v>
      </c>
    </row>
    <row r="2" spans="1:9" x14ac:dyDescent="0.2">
      <c r="A2" t="s">
        <v>39</v>
      </c>
      <c r="B2" t="s">
        <v>30</v>
      </c>
      <c r="C2" t="s">
        <v>38</v>
      </c>
      <c r="D2">
        <v>18526.033200000002</v>
      </c>
      <c r="E2">
        <v>25140.732250000001</v>
      </c>
      <c r="F2">
        <v>27656.102732040916</v>
      </c>
      <c r="G2">
        <v>27144.054204378226</v>
      </c>
      <c r="H2">
        <v>18105.326061821299</v>
      </c>
    </row>
    <row r="4" spans="1:9" x14ac:dyDescent="0.2">
      <c r="A4" t="s">
        <v>26</v>
      </c>
      <c r="B4" t="s">
        <v>32</v>
      </c>
      <c r="C4" t="s">
        <v>42</v>
      </c>
      <c r="D4">
        <v>60.525627225195258</v>
      </c>
      <c r="E4">
        <v>69.513609008251152</v>
      </c>
      <c r="F4">
        <v>71.205626667855938</v>
      </c>
      <c r="G4">
        <v>69.648050458943757</v>
      </c>
      <c r="H4">
        <v>50.339550211995601</v>
      </c>
    </row>
    <row r="5" spans="1:9" x14ac:dyDescent="0.2">
      <c r="A5" t="s">
        <v>26</v>
      </c>
      <c r="B5" t="s">
        <v>57</v>
      </c>
      <c r="C5" t="s">
        <v>58</v>
      </c>
      <c r="I5">
        <f>H4*11.63/H2</f>
        <v>3.2335731870636958E-2</v>
      </c>
    </row>
    <row r="7" spans="1:9" x14ac:dyDescent="0.2">
      <c r="A7" t="s">
        <v>33</v>
      </c>
    </row>
    <row r="8" spans="1:9" x14ac:dyDescent="0.2">
      <c r="A8" t="s">
        <v>34</v>
      </c>
      <c r="B8" t="s">
        <v>32</v>
      </c>
      <c r="C8" t="s">
        <v>42</v>
      </c>
      <c r="D8">
        <v>124.798856394466</v>
      </c>
      <c r="E8">
        <v>185.02757664443746</v>
      </c>
      <c r="F8">
        <v>199.74269229108518</v>
      </c>
      <c r="G8">
        <v>158.9224183978983</v>
      </c>
      <c r="H8">
        <v>96.484601578236251</v>
      </c>
    </row>
    <row r="9" spans="1:9" x14ac:dyDescent="0.2">
      <c r="A9" t="s">
        <v>35</v>
      </c>
      <c r="B9" t="s">
        <v>32</v>
      </c>
      <c r="C9" t="s">
        <v>42</v>
      </c>
      <c r="D9">
        <v>22.033767227791536</v>
      </c>
      <c r="E9">
        <v>29.071345989519489</v>
      </c>
      <c r="F9">
        <v>30.701158034739624</v>
      </c>
      <c r="G9">
        <v>26.737694414396426</v>
      </c>
      <c r="H9">
        <v>17.725070492293337</v>
      </c>
    </row>
    <row r="10" spans="1:9" x14ac:dyDescent="0.2">
      <c r="A10" t="s">
        <v>36</v>
      </c>
      <c r="B10" t="s">
        <v>32</v>
      </c>
      <c r="C10" t="s">
        <v>42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9" x14ac:dyDescent="0.2">
      <c r="A11" t="s">
        <v>34</v>
      </c>
      <c r="B11" t="s">
        <v>43</v>
      </c>
      <c r="C11" t="s">
        <v>42</v>
      </c>
      <c r="D11">
        <v>40.793452688812103</v>
      </c>
      <c r="E11">
        <v>65.572582953029183</v>
      </c>
      <c r="F11">
        <v>72.727067397045175</v>
      </c>
      <c r="G11">
        <v>57.769174469446497</v>
      </c>
      <c r="H11">
        <v>33.594005083296615</v>
      </c>
    </row>
    <row r="12" spans="1:9" x14ac:dyDescent="0.2">
      <c r="A12" t="s">
        <v>35</v>
      </c>
      <c r="B12" t="s">
        <v>43</v>
      </c>
      <c r="C12" t="s">
        <v>42</v>
      </c>
      <c r="D12">
        <v>8.0692618397884015</v>
      </c>
      <c r="E12">
        <v>11.250994541875489</v>
      </c>
      <c r="F12">
        <v>12.189705503180464</v>
      </c>
      <c r="G12">
        <v>10.580722714794693</v>
      </c>
      <c r="H12">
        <v>7.0841306116619664</v>
      </c>
    </row>
    <row r="13" spans="1:9" x14ac:dyDescent="0.2">
      <c r="A13" t="s">
        <v>36</v>
      </c>
      <c r="B13" t="s">
        <v>43</v>
      </c>
      <c r="C13" t="s">
        <v>42</v>
      </c>
      <c r="D13">
        <v>0</v>
      </c>
      <c r="E13">
        <v>0</v>
      </c>
      <c r="F13">
        <v>0</v>
      </c>
      <c r="G13">
        <v>0</v>
      </c>
      <c r="H13">
        <v>0.4276835889198824</v>
      </c>
    </row>
    <row r="14" spans="1:9" x14ac:dyDescent="0.2">
      <c r="A14" t="s">
        <v>34</v>
      </c>
      <c r="B14" t="s">
        <v>44</v>
      </c>
      <c r="C14" t="s">
        <v>45</v>
      </c>
      <c r="D14" s="5">
        <f>D11/SUM(D$11:D$13)</f>
        <v>0.83485850269196005</v>
      </c>
      <c r="E14" s="5">
        <f t="shared" ref="E14:H14" si="0">E11/SUM(E$11:E$13)</f>
        <v>0.85354763591136185</v>
      </c>
      <c r="F14" s="5">
        <f t="shared" si="0"/>
        <v>0.85645114519951249</v>
      </c>
      <c r="G14" s="5">
        <f t="shared" si="0"/>
        <v>0.84519767913807209</v>
      </c>
      <c r="H14" s="5">
        <f t="shared" si="0"/>
        <v>0.81725667237757849</v>
      </c>
    </row>
    <row r="15" spans="1:9" x14ac:dyDescent="0.2">
      <c r="A15" t="s">
        <v>35</v>
      </c>
      <c r="B15" t="s">
        <v>44</v>
      </c>
      <c r="C15" t="s">
        <v>45</v>
      </c>
      <c r="D15" s="5">
        <f t="shared" ref="D15:H16" si="1">D12/SUM(D$11:D$13)</f>
        <v>0.16514149730803987</v>
      </c>
      <c r="E15" s="5">
        <f t="shared" si="1"/>
        <v>0.14645236408863818</v>
      </c>
      <c r="F15" s="5">
        <f t="shared" si="1"/>
        <v>0.14354885480048754</v>
      </c>
      <c r="G15" s="5">
        <f t="shared" si="1"/>
        <v>0.15480232086192799</v>
      </c>
      <c r="H15" s="5">
        <f t="shared" si="1"/>
        <v>0.1723388740348093</v>
      </c>
    </row>
    <row r="16" spans="1:9" x14ac:dyDescent="0.2">
      <c r="A16" t="s">
        <v>36</v>
      </c>
      <c r="B16" t="s">
        <v>44</v>
      </c>
      <c r="C16" t="s">
        <v>45</v>
      </c>
      <c r="D16" s="5">
        <f t="shared" si="1"/>
        <v>0</v>
      </c>
      <c r="E16" s="5">
        <f t="shared" si="1"/>
        <v>0</v>
      </c>
      <c r="F16" s="5">
        <f t="shared" si="1"/>
        <v>0</v>
      </c>
      <c r="G16" s="5">
        <f t="shared" si="1"/>
        <v>0</v>
      </c>
      <c r="H16" s="5">
        <f t="shared" si="1"/>
        <v>1.0404453587612062E-2</v>
      </c>
    </row>
    <row r="18" spans="1:9" x14ac:dyDescent="0.2">
      <c r="A18" t="s">
        <v>34</v>
      </c>
      <c r="B18" t="s">
        <v>46</v>
      </c>
      <c r="C18" t="s">
        <v>42</v>
      </c>
      <c r="D18">
        <v>24.171503413251159</v>
      </c>
      <c r="E18">
        <v>24.170798818981297</v>
      </c>
      <c r="F18">
        <v>20.875066591853784</v>
      </c>
      <c r="G18">
        <v>15.381470812006231</v>
      </c>
      <c r="H18">
        <v>37.355583164320372</v>
      </c>
    </row>
    <row r="19" spans="1:9" x14ac:dyDescent="0.2">
      <c r="A19" t="s">
        <v>34</v>
      </c>
      <c r="B19" t="s">
        <v>47</v>
      </c>
      <c r="C19" t="s">
        <v>42</v>
      </c>
      <c r="D19">
        <v>42.378109111683557</v>
      </c>
      <c r="E19">
        <v>33.778324658401338</v>
      </c>
      <c r="F19">
        <v>31.020275388472626</v>
      </c>
      <c r="G19">
        <v>31.494892254980741</v>
      </c>
      <c r="H19">
        <v>43.068980122171816</v>
      </c>
    </row>
    <row r="20" spans="1:9" x14ac:dyDescent="0.2">
      <c r="A20" t="s">
        <v>34</v>
      </c>
      <c r="B20" t="s">
        <v>48</v>
      </c>
      <c r="C20" t="s">
        <v>42</v>
      </c>
      <c r="D20">
        <v>58.249243869531284</v>
      </c>
      <c r="E20">
        <v>127.07845316705482</v>
      </c>
      <c r="F20">
        <v>147.84735031075877</v>
      </c>
      <c r="G20">
        <v>112.04605533091133</v>
      </c>
      <c r="H20">
        <v>16.060038291744064</v>
      </c>
    </row>
    <row r="21" spans="1:9" x14ac:dyDescent="0.2">
      <c r="A21" t="s">
        <v>35</v>
      </c>
      <c r="B21" t="s">
        <v>49</v>
      </c>
      <c r="C21" t="s">
        <v>42</v>
      </c>
      <c r="D21">
        <v>0</v>
      </c>
      <c r="E21">
        <v>7.6853415225444479</v>
      </c>
      <c r="F21">
        <v>5.4235568154357949</v>
      </c>
      <c r="G21">
        <v>8.5261059892484283</v>
      </c>
      <c r="H21">
        <v>0</v>
      </c>
    </row>
    <row r="22" spans="1:9" x14ac:dyDescent="0.2">
      <c r="A22" t="s">
        <v>35</v>
      </c>
      <c r="B22" t="s">
        <v>50</v>
      </c>
      <c r="C22" t="s">
        <v>42</v>
      </c>
      <c r="D22">
        <v>22.033767227791532</v>
      </c>
      <c r="E22">
        <v>21.386004466975034</v>
      </c>
      <c r="F22">
        <v>25.277601219303829</v>
      </c>
      <c r="G22">
        <v>18.211588425147998</v>
      </c>
      <c r="H22">
        <v>17.725070492293337</v>
      </c>
    </row>
    <row r="23" spans="1:9" x14ac:dyDescent="0.2">
      <c r="A23" t="s">
        <v>34</v>
      </c>
      <c r="B23" t="s">
        <v>52</v>
      </c>
      <c r="C23" t="s">
        <v>51</v>
      </c>
      <c r="I23">
        <f>SUM(D18:H18)/SUM(D$18:H$20)*H$8/(H$2*H$14)</f>
        <v>1.0395439252025432E-3</v>
      </c>
    </row>
    <row r="24" spans="1:9" x14ac:dyDescent="0.2">
      <c r="A24" t="s">
        <v>34</v>
      </c>
      <c r="B24" t="s">
        <v>53</v>
      </c>
      <c r="C24" t="s">
        <v>51</v>
      </c>
      <c r="I24">
        <f>SUM(D19:H19)/SUM(D$18:H$20)*H$8/(H$2*H$14)</f>
        <v>1.549163311669459E-3</v>
      </c>
    </row>
    <row r="25" spans="1:9" x14ac:dyDescent="0.2">
      <c r="A25" t="s">
        <v>34</v>
      </c>
      <c r="B25" t="s">
        <v>54</v>
      </c>
      <c r="C25" t="s">
        <v>51</v>
      </c>
      <c r="I25">
        <f>SUM(D20:H20)/SUM(D$18:H$20)*H$8/(H$2*H$14)</f>
        <v>3.9319771837273499E-3</v>
      </c>
    </row>
    <row r="26" spans="1:9" x14ac:dyDescent="0.2">
      <c r="A26" t="s">
        <v>35</v>
      </c>
      <c r="B26" t="s">
        <v>55</v>
      </c>
      <c r="C26" t="s">
        <v>51</v>
      </c>
      <c r="I26">
        <f>0</f>
        <v>0</v>
      </c>
    </row>
    <row r="27" spans="1:9" x14ac:dyDescent="0.2">
      <c r="A27" t="s">
        <v>35</v>
      </c>
      <c r="B27" t="s">
        <v>56</v>
      </c>
      <c r="C27" t="s">
        <v>51</v>
      </c>
      <c r="I27">
        <f>H22/(H2*H15)</f>
        <v>5.680654411842425E-3</v>
      </c>
    </row>
    <row r="28" spans="1:9" x14ac:dyDescent="0.2">
      <c r="A28" t="s">
        <v>36</v>
      </c>
      <c r="B28" t="s">
        <v>57</v>
      </c>
      <c r="C28" t="s">
        <v>51</v>
      </c>
      <c r="I28">
        <f>H10/(H2*H16)</f>
        <v>5.3085311764005791E-3</v>
      </c>
    </row>
    <row r="29" spans="1:9" x14ac:dyDescent="0.2">
      <c r="A29" t="s">
        <v>34</v>
      </c>
      <c r="B29" t="s">
        <v>52</v>
      </c>
      <c r="C29" t="s">
        <v>59</v>
      </c>
      <c r="I29">
        <f>I23*11.63</f>
        <v>1.2089895850105579E-2</v>
      </c>
    </row>
    <row r="30" spans="1:9" x14ac:dyDescent="0.2">
      <c r="A30" t="s">
        <v>34</v>
      </c>
      <c r="B30" t="s">
        <v>53</v>
      </c>
      <c r="C30" t="s">
        <v>59</v>
      </c>
      <c r="I30">
        <f t="shared" ref="I30:I34" si="2">I24*11.63</f>
        <v>1.8016769314715811E-2</v>
      </c>
    </row>
    <row r="31" spans="1:9" x14ac:dyDescent="0.2">
      <c r="A31" t="s">
        <v>34</v>
      </c>
      <c r="B31" t="s">
        <v>54</v>
      </c>
      <c r="C31" t="s">
        <v>59</v>
      </c>
      <c r="I31">
        <f t="shared" si="2"/>
        <v>4.5728894646749084E-2</v>
      </c>
    </row>
    <row r="32" spans="1:9" x14ac:dyDescent="0.2">
      <c r="A32" t="s">
        <v>35</v>
      </c>
      <c r="B32" t="s">
        <v>55</v>
      </c>
      <c r="C32" t="s">
        <v>59</v>
      </c>
      <c r="I32">
        <f t="shared" si="2"/>
        <v>0</v>
      </c>
    </row>
    <row r="33" spans="1:9" x14ac:dyDescent="0.2">
      <c r="A33" t="s">
        <v>35</v>
      </c>
      <c r="B33" t="s">
        <v>56</v>
      </c>
      <c r="C33" t="s">
        <v>59</v>
      </c>
      <c r="I33">
        <f t="shared" si="2"/>
        <v>6.6066010809727405E-2</v>
      </c>
    </row>
    <row r="34" spans="1:9" x14ac:dyDescent="0.2">
      <c r="A34" t="s">
        <v>36</v>
      </c>
      <c r="B34" t="s">
        <v>57</v>
      </c>
      <c r="C34" t="s">
        <v>59</v>
      </c>
      <c r="I34">
        <f t="shared" si="2"/>
        <v>6.1738217581538739E-2</v>
      </c>
    </row>
    <row r="36" spans="1:9" x14ac:dyDescent="0.2">
      <c r="A36" t="s">
        <v>76</v>
      </c>
      <c r="B36" t="s">
        <v>77</v>
      </c>
      <c r="I36">
        <v>3</v>
      </c>
    </row>
    <row r="37" spans="1:9" x14ac:dyDescent="0.2">
      <c r="A37" t="s">
        <v>76</v>
      </c>
      <c r="B37" t="s">
        <v>57</v>
      </c>
      <c r="C37" t="s">
        <v>59</v>
      </c>
      <c r="I37">
        <f>I34/I36</f>
        <v>2.0579405860512913E-2</v>
      </c>
    </row>
    <row r="39" spans="1:9" x14ac:dyDescent="0.2">
      <c r="A39" t="s">
        <v>37</v>
      </c>
    </row>
    <row r="40" spans="1:9" x14ac:dyDescent="0.2">
      <c r="A40" t="s">
        <v>34</v>
      </c>
      <c r="B40" t="s">
        <v>32</v>
      </c>
      <c r="C40" t="s">
        <v>42</v>
      </c>
      <c r="D40">
        <v>672.02990044764169</v>
      </c>
      <c r="E40">
        <v>886.67605268034458</v>
      </c>
      <c r="F40">
        <v>936.38532005955813</v>
      </c>
      <c r="G40">
        <v>815.49967963909091</v>
      </c>
      <c r="H40">
        <v>540.61465001494673</v>
      </c>
    </row>
    <row r="41" spans="1:9" x14ac:dyDescent="0.2">
      <c r="A41" t="s">
        <v>60</v>
      </c>
      <c r="B41" t="s">
        <v>32</v>
      </c>
      <c r="C41" t="s">
        <v>42</v>
      </c>
      <c r="D41">
        <v>56.302909046693266</v>
      </c>
      <c r="E41">
        <v>64.663822333256888</v>
      </c>
      <c r="F41">
        <v>66.237792249168308</v>
      </c>
      <c r="G41">
        <v>64.78888414785466</v>
      </c>
      <c r="H41">
        <v>46.827488569298232</v>
      </c>
    </row>
    <row r="42" spans="1:9" x14ac:dyDescent="0.2">
      <c r="A42" t="s">
        <v>34</v>
      </c>
      <c r="B42" t="s">
        <v>43</v>
      </c>
      <c r="C42" t="s">
        <v>42</v>
      </c>
      <c r="D42">
        <v>310.94476197979947</v>
      </c>
      <c r="E42">
        <v>437.12750360199021</v>
      </c>
      <c r="F42">
        <v>472.30607008438523</v>
      </c>
      <c r="G42">
        <v>411.78638310031585</v>
      </c>
      <c r="H42">
        <v>272.98324811018944</v>
      </c>
    </row>
    <row r="43" spans="1:9" x14ac:dyDescent="0.2">
      <c r="A43" t="s">
        <v>60</v>
      </c>
      <c r="B43" t="s">
        <v>43</v>
      </c>
      <c r="C43" t="s">
        <v>42</v>
      </c>
      <c r="D43">
        <v>28.518928233385896</v>
      </c>
      <c r="E43">
        <v>34.898940551557565</v>
      </c>
      <c r="F43">
        <v>36.574845167397704</v>
      </c>
      <c r="G43">
        <v>35.814294768394241</v>
      </c>
      <c r="H43">
        <v>25.885512629869734</v>
      </c>
    </row>
    <row r="44" spans="1:9" x14ac:dyDescent="0.2">
      <c r="A44" t="s">
        <v>34</v>
      </c>
      <c r="B44" t="s">
        <v>44</v>
      </c>
      <c r="C44" t="s">
        <v>45</v>
      </c>
      <c r="D44" s="5">
        <f>D42/SUM(D$42:D$43)</f>
        <v>0.91598828076288263</v>
      </c>
      <c r="E44" s="5">
        <f t="shared" ref="E44:H44" si="3">E42/SUM(E$42:E$43)</f>
        <v>0.92606570885209738</v>
      </c>
      <c r="F44" s="5">
        <f t="shared" si="3"/>
        <v>0.92812690735454029</v>
      </c>
      <c r="G44" s="5">
        <f t="shared" si="3"/>
        <v>0.91998605779837705</v>
      </c>
      <c r="H44" s="5">
        <f t="shared" si="3"/>
        <v>0.91338836295311698</v>
      </c>
    </row>
    <row r="45" spans="1:9" x14ac:dyDescent="0.2">
      <c r="A45" t="s">
        <v>60</v>
      </c>
      <c r="B45" t="s">
        <v>44</v>
      </c>
      <c r="C45" t="s">
        <v>45</v>
      </c>
      <c r="D45" s="5">
        <f>D43/SUM(D$42:D$43)</f>
        <v>8.401171923711731E-2</v>
      </c>
      <c r="E45" s="5">
        <f t="shared" ref="E45:H45" si="4">E43/SUM(E$42:E$43)</f>
        <v>7.3934291147902551E-2</v>
      </c>
      <c r="F45" s="5">
        <f t="shared" si="4"/>
        <v>7.1873092645459671E-2</v>
      </c>
      <c r="G45" s="5">
        <f t="shared" si="4"/>
        <v>8.0013942201623001E-2</v>
      </c>
      <c r="H45" s="5">
        <f t="shared" si="4"/>
        <v>8.6611637046883058E-2</v>
      </c>
    </row>
    <row r="47" spans="1:9" x14ac:dyDescent="0.2">
      <c r="A47" t="s">
        <v>34</v>
      </c>
      <c r="B47" t="s">
        <v>54</v>
      </c>
      <c r="C47" t="s">
        <v>59</v>
      </c>
      <c r="I47">
        <f>H40/(H$2*H44)*11.63</f>
        <v>0.3801943866268454</v>
      </c>
    </row>
    <row r="48" spans="1:9" x14ac:dyDescent="0.2">
      <c r="A48" t="s">
        <v>60</v>
      </c>
      <c r="B48" t="s">
        <v>57</v>
      </c>
      <c r="C48" t="s">
        <v>59</v>
      </c>
      <c r="I48">
        <f>H41/(H$2*H45)*11.63</f>
        <v>0.34729456228906602</v>
      </c>
    </row>
    <row r="50" spans="1:9" x14ac:dyDescent="0.2">
      <c r="A50" t="s">
        <v>67</v>
      </c>
    </row>
    <row r="51" spans="1:9" x14ac:dyDescent="0.2">
      <c r="A51" t="s">
        <v>34</v>
      </c>
      <c r="B51" t="s">
        <v>32</v>
      </c>
      <c r="C51" t="s">
        <v>42</v>
      </c>
      <c r="D51">
        <v>63.86443146501837</v>
      </c>
      <c r="E51">
        <v>94.68581146606644</v>
      </c>
      <c r="F51">
        <v>102.2161087930284</v>
      </c>
      <c r="G51">
        <v>81.326786088062363</v>
      </c>
      <c r="H51">
        <v>49.374925403532089</v>
      </c>
    </row>
    <row r="52" spans="1:9" x14ac:dyDescent="0.2">
      <c r="A52" t="s">
        <v>60</v>
      </c>
      <c r="B52" t="s">
        <v>32</v>
      </c>
      <c r="C52" t="s">
        <v>42</v>
      </c>
      <c r="D52">
        <v>63.340772677529934</v>
      </c>
      <c r="E52">
        <v>72.746800124914017</v>
      </c>
      <c r="F52">
        <v>74.517516280314354</v>
      </c>
      <c r="G52">
        <v>72.887494666336508</v>
      </c>
      <c r="H52">
        <v>52.680924640460518</v>
      </c>
    </row>
    <row r="53" spans="1:9" x14ac:dyDescent="0.2">
      <c r="A53" t="s">
        <v>34</v>
      </c>
      <c r="B53" t="s">
        <v>43</v>
      </c>
      <c r="C53" t="s">
        <v>42</v>
      </c>
      <c r="D53">
        <v>23.043786447272247</v>
      </c>
      <c r="E53">
        <v>36.402247791481258</v>
      </c>
      <c r="F53">
        <v>40.205773090389634</v>
      </c>
      <c r="G53">
        <v>32.024469129939511</v>
      </c>
      <c r="H53">
        <v>19.442619712849794</v>
      </c>
    </row>
    <row r="54" spans="1:9" x14ac:dyDescent="0.2">
      <c r="A54" t="s">
        <v>60</v>
      </c>
      <c r="B54" t="s">
        <v>43</v>
      </c>
      <c r="C54" t="s">
        <v>42</v>
      </c>
      <c r="D54">
        <v>28.371523110117263</v>
      </c>
      <c r="E54">
        <v>34.718559206513724</v>
      </c>
      <c r="F54">
        <v>36.385801613014742</v>
      </c>
      <c r="G54">
        <v>35.629182253228457</v>
      </c>
      <c r="H54">
        <v>25.751718780786334</v>
      </c>
    </row>
    <row r="55" spans="1:9" x14ac:dyDescent="0.2">
      <c r="A55" t="s">
        <v>34</v>
      </c>
      <c r="B55" t="s">
        <v>44</v>
      </c>
      <c r="C55" t="s">
        <v>45</v>
      </c>
      <c r="D55" s="5">
        <f>D53/SUM(D$53:D$54)</f>
        <v>0.4481891997859293</v>
      </c>
      <c r="E55" s="5">
        <f t="shared" ref="E55:H55" si="5">E53/SUM(E$53:E$54)</f>
        <v>0.51183682143127962</v>
      </c>
      <c r="F55" s="5">
        <f t="shared" si="5"/>
        <v>0.52493728254163374</v>
      </c>
      <c r="G55" s="5">
        <f t="shared" si="5"/>
        <v>0.47335906451764859</v>
      </c>
      <c r="H55" s="5">
        <f t="shared" si="5"/>
        <v>0.43020033838060345</v>
      </c>
    </row>
    <row r="56" spans="1:9" x14ac:dyDescent="0.2">
      <c r="A56" t="s">
        <v>60</v>
      </c>
      <c r="B56" t="s">
        <v>44</v>
      </c>
      <c r="C56" t="s">
        <v>45</v>
      </c>
      <c r="D56" s="5">
        <f>D54/SUM(D$53:D$54)</f>
        <v>0.5518108002140707</v>
      </c>
      <c r="E56" s="5">
        <f t="shared" ref="E56:H56" si="6">E54/SUM(E$53:E$54)</f>
        <v>0.48816317856872044</v>
      </c>
      <c r="F56" s="5">
        <f t="shared" si="6"/>
        <v>0.4750627174583662</v>
      </c>
      <c r="G56" s="5">
        <f t="shared" si="6"/>
        <v>0.52664093548235147</v>
      </c>
      <c r="H56" s="5">
        <f t="shared" si="6"/>
        <v>0.56979966161939655</v>
      </c>
    </row>
    <row r="58" spans="1:9" x14ac:dyDescent="0.2">
      <c r="A58" t="s">
        <v>34</v>
      </c>
      <c r="B58" t="s">
        <v>54</v>
      </c>
      <c r="C58" t="s">
        <v>59</v>
      </c>
      <c r="I58">
        <f>H51/(H$2*H55)*11.63</f>
        <v>7.3724030321516948E-2</v>
      </c>
    </row>
    <row r="59" spans="1:9" x14ac:dyDescent="0.2">
      <c r="A59" t="s">
        <v>60</v>
      </c>
      <c r="B59" t="s">
        <v>57</v>
      </c>
      <c r="C59" t="s">
        <v>59</v>
      </c>
      <c r="I59">
        <f>H52/(H$2*H56)*11.63</f>
        <v>5.9388802203444238E-2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7440-527F-2642-8FC5-DF615953768C}">
  <dimension ref="A1:T45"/>
  <sheetViews>
    <sheetView workbookViewId="0">
      <selection activeCell="C44" sqref="C44"/>
    </sheetView>
  </sheetViews>
  <sheetFormatPr baseColWidth="10" defaultRowHeight="16" x14ac:dyDescent="0.2"/>
  <sheetData>
    <row r="1" spans="1:18" x14ac:dyDescent="0.2">
      <c r="A1" t="s">
        <v>119</v>
      </c>
      <c r="B1" t="s">
        <v>31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</row>
    <row r="2" spans="1:18" x14ac:dyDescent="0.2">
      <c r="A2" t="s">
        <v>26</v>
      </c>
      <c r="B2" t="s">
        <v>42</v>
      </c>
      <c r="C2">
        <v>37.800263613355938</v>
      </c>
      <c r="D2">
        <v>54.568329893727025</v>
      </c>
      <c r="E2">
        <v>55.735365422964826</v>
      </c>
      <c r="F2">
        <v>48.168248312778509</v>
      </c>
      <c r="G2">
        <v>48.772251257807909</v>
      </c>
      <c r="H2">
        <v>49.531214446004128</v>
      </c>
      <c r="I2">
        <v>48.15014829786746</v>
      </c>
      <c r="J2">
        <v>46.558462875797559</v>
      </c>
      <c r="K2">
        <v>68.399733074863093</v>
      </c>
      <c r="L2">
        <v>63.596591631031316</v>
      </c>
      <c r="M2">
        <v>64.694394992621923</v>
      </c>
      <c r="N2">
        <v>60.525627225195258</v>
      </c>
      <c r="O2">
        <v>69.513609008251152</v>
      </c>
      <c r="P2">
        <v>71.205626667855938</v>
      </c>
      <c r="Q2">
        <v>69.648050458943757</v>
      </c>
      <c r="R2">
        <v>50.339550211995601</v>
      </c>
    </row>
    <row r="3" spans="1:18" x14ac:dyDescent="0.2">
      <c r="A3" t="s">
        <v>33</v>
      </c>
      <c r="B3" t="s">
        <v>42</v>
      </c>
      <c r="C3">
        <v>109.3913185819667</v>
      </c>
      <c r="D3">
        <v>184.0447972047767</v>
      </c>
      <c r="E3">
        <v>188.9061363948899</v>
      </c>
      <c r="F3">
        <v>157.91784686554595</v>
      </c>
      <c r="G3">
        <v>145.23766777392629</v>
      </c>
      <c r="H3">
        <v>154.89898298207945</v>
      </c>
      <c r="I3">
        <v>144.29843338155422</v>
      </c>
      <c r="J3">
        <v>133.21615023346072</v>
      </c>
      <c r="K3">
        <v>164.53721792578736</v>
      </c>
      <c r="L3">
        <v>155.0907384603513</v>
      </c>
      <c r="M3">
        <v>153.87418163555594</v>
      </c>
      <c r="N3">
        <v>146.83262362225753</v>
      </c>
      <c r="O3">
        <v>214.09892263395696</v>
      </c>
      <c r="P3">
        <v>230.4438503258248</v>
      </c>
      <c r="Q3">
        <v>185.66011281229473</v>
      </c>
      <c r="R3">
        <v>115.20967207052959</v>
      </c>
    </row>
    <row r="4" spans="1:18" x14ac:dyDescent="0.2">
      <c r="A4" t="s">
        <v>118</v>
      </c>
      <c r="B4" t="s">
        <v>42</v>
      </c>
      <c r="C4">
        <v>94.16528545779201</v>
      </c>
      <c r="D4">
        <v>159.90038428573882</v>
      </c>
      <c r="E4">
        <v>164.16871790991087</v>
      </c>
      <c r="F4">
        <v>136.98136814036195</v>
      </c>
      <c r="G4">
        <v>125.25297261142452</v>
      </c>
      <c r="H4">
        <v>133.99025769224164</v>
      </c>
      <c r="I4">
        <v>124.49299903459226</v>
      </c>
      <c r="J4">
        <v>114.58826045214443</v>
      </c>
      <c r="K4">
        <v>139.75272625743037</v>
      </c>
      <c r="L4">
        <v>131.87208302707111</v>
      </c>
      <c r="M4">
        <v>130.57724278565445</v>
      </c>
      <c r="N4">
        <v>124.798856394466</v>
      </c>
      <c r="O4">
        <v>185.02757664443746</v>
      </c>
      <c r="P4">
        <v>199.74269229108518</v>
      </c>
      <c r="Q4">
        <v>158.9224183978983</v>
      </c>
      <c r="R4">
        <v>96.484601578236251</v>
      </c>
    </row>
    <row r="5" spans="1:18" x14ac:dyDescent="0.2">
      <c r="A5" t="s">
        <v>120</v>
      </c>
      <c r="B5" t="s">
        <v>42</v>
      </c>
      <c r="C5">
        <v>15.226033124174691</v>
      </c>
      <c r="D5">
        <v>24.144412919037883</v>
      </c>
      <c r="E5">
        <v>24.73741848497902</v>
      </c>
      <c r="F5">
        <v>20.936478725184013</v>
      </c>
      <c r="G5">
        <v>19.984695162501758</v>
      </c>
      <c r="H5">
        <v>20.908725289837808</v>
      </c>
      <c r="I5">
        <v>19.80543434696197</v>
      </c>
      <c r="J5">
        <v>18.627889781316302</v>
      </c>
      <c r="K5">
        <v>24.784491668356992</v>
      </c>
      <c r="L5">
        <v>23.218655433280183</v>
      </c>
      <c r="M5">
        <v>23.29693884990149</v>
      </c>
      <c r="N5">
        <v>22.033767227791536</v>
      </c>
      <c r="O5">
        <v>29.071345989519489</v>
      </c>
      <c r="P5">
        <v>30.701158034739624</v>
      </c>
      <c r="Q5">
        <v>26.737694414396426</v>
      </c>
      <c r="R5">
        <v>17.725070492293337</v>
      </c>
    </row>
    <row r="6" spans="1:18" x14ac:dyDescent="0.2">
      <c r="A6" t="s">
        <v>121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x14ac:dyDescent="0.2">
      <c r="A7" t="s">
        <v>37</v>
      </c>
      <c r="B7" t="s">
        <v>42</v>
      </c>
      <c r="C7">
        <v>499.55704620672896</v>
      </c>
      <c r="D7">
        <v>787.16583114109926</v>
      </c>
      <c r="E7">
        <v>806.33811534810661</v>
      </c>
      <c r="F7">
        <v>683.37027396720873</v>
      </c>
      <c r="G7">
        <v>654.90273851007828</v>
      </c>
      <c r="H7">
        <v>683.79166966191747</v>
      </c>
      <c r="I7">
        <v>648.85658320826337</v>
      </c>
      <c r="J7">
        <v>611.46083635414493</v>
      </c>
      <c r="K7">
        <v>819.55465455917977</v>
      </c>
      <c r="L7">
        <v>767.32861083693524</v>
      </c>
      <c r="M7">
        <v>770.73746747327175</v>
      </c>
      <c r="N7">
        <v>728.33280949433492</v>
      </c>
      <c r="O7">
        <v>951.3398750136015</v>
      </c>
      <c r="P7">
        <v>1002.6231123087264</v>
      </c>
      <c r="Q7">
        <v>880.28856378694559</v>
      </c>
      <c r="R7">
        <v>587.44213858424496</v>
      </c>
    </row>
    <row r="8" spans="1:18" x14ac:dyDescent="0.2">
      <c r="A8" t="s">
        <v>122</v>
      </c>
      <c r="B8" t="s">
        <v>42</v>
      </c>
      <c r="C8">
        <v>464.39401028732811</v>
      </c>
      <c r="D8">
        <v>736.40459403065552</v>
      </c>
      <c r="E8">
        <v>754.49126379186032</v>
      </c>
      <c r="F8">
        <v>638.56260111811241</v>
      </c>
      <c r="G8">
        <v>609.53320245630346</v>
      </c>
      <c r="H8">
        <v>637.71612134005318</v>
      </c>
      <c r="I8">
        <v>604.06574758234012</v>
      </c>
      <c r="J8">
        <v>568.15063833014722</v>
      </c>
      <c r="K8">
        <v>755.92699588488847</v>
      </c>
      <c r="L8">
        <v>708.16899071504565</v>
      </c>
      <c r="M8">
        <v>710.55663492199551</v>
      </c>
      <c r="N8">
        <v>672.02990044764169</v>
      </c>
      <c r="O8">
        <v>886.67605268034458</v>
      </c>
      <c r="P8">
        <v>936.38532005955813</v>
      </c>
      <c r="Q8">
        <v>815.49967963909091</v>
      </c>
      <c r="R8">
        <v>540.61465001494673</v>
      </c>
    </row>
    <row r="9" spans="1:18" x14ac:dyDescent="0.2">
      <c r="A9" t="s">
        <v>123</v>
      </c>
      <c r="B9" t="s">
        <v>42</v>
      </c>
      <c r="C9">
        <v>35.163035919400869</v>
      </c>
      <c r="D9">
        <v>50.761237110443744</v>
      </c>
      <c r="E9">
        <v>51.846851556246349</v>
      </c>
      <c r="F9">
        <v>44.807672849096285</v>
      </c>
      <c r="G9">
        <v>45.369536053774802</v>
      </c>
      <c r="H9">
        <v>46.075548321864304</v>
      </c>
      <c r="I9">
        <v>44.790835625923222</v>
      </c>
      <c r="J9">
        <v>43.310198023997728</v>
      </c>
      <c r="K9">
        <v>63.627658674291254</v>
      </c>
      <c r="L9">
        <v>59.159620121889596</v>
      </c>
      <c r="M9">
        <v>60.180832551276211</v>
      </c>
      <c r="N9">
        <v>56.302909046693266</v>
      </c>
      <c r="O9">
        <v>64.663822333256888</v>
      </c>
      <c r="P9">
        <v>66.237792249168308</v>
      </c>
      <c r="Q9">
        <v>64.78888414785466</v>
      </c>
      <c r="R9">
        <v>46.827488569298232</v>
      </c>
    </row>
    <row r="10" spans="1:18" x14ac:dyDescent="0.2">
      <c r="A10" t="s">
        <v>67</v>
      </c>
      <c r="B10" t="s">
        <v>42</v>
      </c>
      <c r="C10">
        <v>87.74645649597268</v>
      </c>
      <c r="D10">
        <v>138.93364104044943</v>
      </c>
      <c r="E10">
        <v>142.3392297131056</v>
      </c>
      <c r="F10">
        <v>120.50732877287919</v>
      </c>
      <c r="G10">
        <v>115.13754846603089</v>
      </c>
      <c r="H10">
        <v>120.40302106196884</v>
      </c>
      <c r="I10">
        <v>114.09760243044919</v>
      </c>
      <c r="J10">
        <v>107.3632449447684</v>
      </c>
      <c r="K10">
        <v>143.09802462435971</v>
      </c>
      <c r="L10">
        <v>134.03864943035717</v>
      </c>
      <c r="M10">
        <v>134.52489327213374</v>
      </c>
      <c r="N10">
        <v>127.2052041425483</v>
      </c>
      <c r="O10">
        <v>167.43261159098046</v>
      </c>
      <c r="P10">
        <v>176.73362507334275</v>
      </c>
      <c r="Q10">
        <v>154.21428075439889</v>
      </c>
      <c r="R10">
        <v>102.05585004399261</v>
      </c>
    </row>
    <row r="11" spans="1:18" x14ac:dyDescent="0.2">
      <c r="A11" t="s">
        <v>124</v>
      </c>
      <c r="B11" t="s">
        <v>42</v>
      </c>
      <c r="C11">
        <v>48.188041086646699</v>
      </c>
      <c r="D11">
        <v>81.827249291200218</v>
      </c>
      <c r="E11">
        <v>84.011521712328445</v>
      </c>
      <c r="F11">
        <v>70.098696817645859</v>
      </c>
      <c r="G11">
        <v>64.096820405534231</v>
      </c>
      <c r="H11">
        <v>68.568029199871503</v>
      </c>
      <c r="I11">
        <v>63.70791235128555</v>
      </c>
      <c r="J11">
        <v>58.639272167770947</v>
      </c>
      <c r="K11">
        <v>71.516908615782057</v>
      </c>
      <c r="L11">
        <v>67.484076793231353</v>
      </c>
      <c r="M11">
        <v>66.821456651947997</v>
      </c>
      <c r="N11">
        <v>63.86443146501837</v>
      </c>
      <c r="O11">
        <v>94.68581146606644</v>
      </c>
      <c r="P11">
        <v>102.2161087930284</v>
      </c>
      <c r="Q11">
        <v>81.326786088062363</v>
      </c>
      <c r="R11">
        <v>49.374925403532089</v>
      </c>
    </row>
    <row r="12" spans="1:18" x14ac:dyDescent="0.2">
      <c r="A12" t="s">
        <v>125</v>
      </c>
      <c r="B12" t="s">
        <v>42</v>
      </c>
      <c r="C12">
        <v>39.558415409325981</v>
      </c>
      <c r="D12">
        <v>57.106391749249219</v>
      </c>
      <c r="E12">
        <v>58.32770800077715</v>
      </c>
      <c r="F12">
        <v>50.408631955233325</v>
      </c>
      <c r="G12">
        <v>51.040728060496662</v>
      </c>
      <c r="H12">
        <v>51.834991862097347</v>
      </c>
      <c r="I12">
        <v>50.389690079163636</v>
      </c>
      <c r="J12">
        <v>48.723972776997449</v>
      </c>
      <c r="K12">
        <v>71.581116008577666</v>
      </c>
      <c r="L12">
        <v>66.554572637125801</v>
      </c>
      <c r="M12">
        <v>67.703436620185755</v>
      </c>
      <c r="N12">
        <v>63.340772677529934</v>
      </c>
      <c r="O12">
        <v>72.746800124914017</v>
      </c>
      <c r="P12">
        <v>74.517516280314354</v>
      </c>
      <c r="Q12">
        <v>72.887494666336508</v>
      </c>
      <c r="R12">
        <v>52.680924640460518</v>
      </c>
    </row>
    <row r="13" spans="1:18" x14ac:dyDescent="0.2">
      <c r="A13" t="s">
        <v>129</v>
      </c>
      <c r="B13" t="s">
        <v>42</v>
      </c>
      <c r="C13">
        <f>C2+C3+C7+C10</f>
        <v>734.49508489802429</v>
      </c>
      <c r="D13">
        <f t="shared" ref="D13:R13" si="0">D2+D3+D7+D10</f>
        <v>1164.7125992800525</v>
      </c>
      <c r="E13">
        <f t="shared" si="0"/>
        <v>1193.318846879067</v>
      </c>
      <c r="F13">
        <f t="shared" si="0"/>
        <v>1009.9636979184124</v>
      </c>
      <c r="G13">
        <f t="shared" si="0"/>
        <v>964.05020600784337</v>
      </c>
      <c r="H13">
        <f t="shared" si="0"/>
        <v>1008.6248881519699</v>
      </c>
      <c r="I13">
        <f t="shared" si="0"/>
        <v>955.40276731813435</v>
      </c>
      <c r="J13">
        <f t="shared" si="0"/>
        <v>898.5986944081717</v>
      </c>
      <c r="K13">
        <f t="shared" si="0"/>
        <v>1195.5896301841899</v>
      </c>
      <c r="L13">
        <f t="shared" si="0"/>
        <v>1120.0545903586749</v>
      </c>
      <c r="M13">
        <f t="shared" si="0"/>
        <v>1123.8309373735833</v>
      </c>
      <c r="N13">
        <f t="shared" si="0"/>
        <v>1062.8962644843361</v>
      </c>
      <c r="O13">
        <f t="shared" si="0"/>
        <v>1402.3850182467902</v>
      </c>
      <c r="P13">
        <f t="shared" si="0"/>
        <v>1481.00621437575</v>
      </c>
      <c r="Q13">
        <f t="shared" si="0"/>
        <v>1289.8110078125831</v>
      </c>
      <c r="R13">
        <f t="shared" si="0"/>
        <v>855.04721091076271</v>
      </c>
    </row>
    <row r="15" spans="1:18" x14ac:dyDescent="0.2">
      <c r="A15" t="s">
        <v>126</v>
      </c>
      <c r="B15" t="s">
        <v>31</v>
      </c>
      <c r="C15">
        <v>2000</v>
      </c>
      <c r="D15">
        <v>2001</v>
      </c>
      <c r="E15">
        <v>2002</v>
      </c>
      <c r="F15">
        <v>2003</v>
      </c>
      <c r="G15">
        <v>2004</v>
      </c>
      <c r="H15">
        <v>2005</v>
      </c>
      <c r="I15">
        <v>2006</v>
      </c>
      <c r="J15">
        <v>2007</v>
      </c>
      <c r="K15">
        <v>2008</v>
      </c>
      <c r="L15">
        <v>2009</v>
      </c>
      <c r="M15">
        <v>2010</v>
      </c>
      <c r="N15">
        <v>2011</v>
      </c>
      <c r="O15">
        <v>2012</v>
      </c>
      <c r="P15">
        <v>2013</v>
      </c>
      <c r="Q15">
        <v>2014</v>
      </c>
      <c r="R15">
        <v>2015</v>
      </c>
    </row>
    <row r="16" spans="1:18" x14ac:dyDescent="0.2">
      <c r="A16" t="s">
        <v>26</v>
      </c>
      <c r="B16" t="s">
        <v>42</v>
      </c>
      <c r="C16">
        <v>16.915532599008621</v>
      </c>
      <c r="D16">
        <v>24.612706415536678</v>
      </c>
      <c r="E16">
        <v>25.139090545554414</v>
      </c>
      <c r="F16">
        <v>21.725989352834748</v>
      </c>
      <c r="G16">
        <v>21.998421131287198</v>
      </c>
      <c r="H16">
        <v>22.340746765361999</v>
      </c>
      <c r="I16">
        <v>21.717825453481584</v>
      </c>
      <c r="J16">
        <v>20.999905625706177</v>
      </c>
      <c r="K16">
        <v>31.634970689816122</v>
      </c>
      <c r="L16">
        <v>29.413511161189685</v>
      </c>
      <c r="M16">
        <v>30.131897629065854</v>
      </c>
      <c r="N16">
        <v>28.190262907514235</v>
      </c>
      <c r="O16">
        <v>34.496749011430687</v>
      </c>
      <c r="P16">
        <v>36.15333972696618</v>
      </c>
      <c r="Q16">
        <v>35.401554262699555</v>
      </c>
      <c r="R16">
        <v>25.587196004005389</v>
      </c>
    </row>
    <row r="17" spans="1:20" x14ac:dyDescent="0.2">
      <c r="A17" t="s">
        <v>33</v>
      </c>
      <c r="B17" t="s">
        <v>42</v>
      </c>
      <c r="C17">
        <v>33.829880826034149</v>
      </c>
      <c r="D17">
        <v>57.294441568924512</v>
      </c>
      <c r="E17">
        <v>59.33330063114532</v>
      </c>
      <c r="F17">
        <v>50.69871674972083</v>
      </c>
      <c r="G17">
        <v>46.623258284261588</v>
      </c>
      <c r="H17">
        <v>49.667690467442476</v>
      </c>
      <c r="I17">
        <v>45.872403234064642</v>
      </c>
      <c r="J17">
        <v>42.568476268950015</v>
      </c>
      <c r="K17">
        <v>54.446723185293564</v>
      </c>
      <c r="L17">
        <v>51.466807450990103</v>
      </c>
      <c r="M17">
        <v>51.473420191958247</v>
      </c>
      <c r="N17">
        <v>48.862714528600506</v>
      </c>
      <c r="O17">
        <v>76.823577494904669</v>
      </c>
      <c r="P17">
        <v>84.916772900225638</v>
      </c>
      <c r="Q17">
        <v>68.349897184241186</v>
      </c>
      <c r="R17">
        <v>41.105819283878468</v>
      </c>
    </row>
    <row r="18" spans="1:20" x14ac:dyDescent="0.2">
      <c r="A18" t="s">
        <v>118</v>
      </c>
      <c r="B18" t="s">
        <v>42</v>
      </c>
      <c r="C18">
        <v>28.472372659403629</v>
      </c>
      <c r="D18">
        <v>48.731547277382099</v>
      </c>
      <c r="E18">
        <v>50.56009499376578</v>
      </c>
      <c r="F18">
        <v>43.273526716646245</v>
      </c>
      <c r="G18">
        <v>39.535621376334625</v>
      </c>
      <c r="H18">
        <v>42.252343280159735</v>
      </c>
      <c r="I18">
        <v>38.848341755336563</v>
      </c>
      <c r="J18">
        <v>35.962034786741022</v>
      </c>
      <c r="K18">
        <v>45.433538523137727</v>
      </c>
      <c r="L18">
        <v>43.023058358717705</v>
      </c>
      <c r="M18">
        <v>42.941556452911371</v>
      </c>
      <c r="N18">
        <v>40.793452688812103</v>
      </c>
      <c r="O18">
        <v>65.572582953029183</v>
      </c>
      <c r="P18">
        <v>72.727067397045175</v>
      </c>
      <c r="Q18">
        <v>57.769174469446497</v>
      </c>
      <c r="R18">
        <v>33.594005083296615</v>
      </c>
    </row>
    <row r="19" spans="1:20" x14ac:dyDescent="0.2">
      <c r="A19" t="s">
        <v>120</v>
      </c>
      <c r="B19" t="s">
        <v>42</v>
      </c>
      <c r="C19">
        <v>5.3575081666305211</v>
      </c>
      <c r="D19">
        <v>8.5628942915424098</v>
      </c>
      <c r="E19">
        <v>8.7732056373795402</v>
      </c>
      <c r="F19">
        <v>7.4251900330745837</v>
      </c>
      <c r="G19">
        <v>7.0876369079269637</v>
      </c>
      <c r="H19">
        <v>7.4153471872827383</v>
      </c>
      <c r="I19">
        <v>7.0240614787280808</v>
      </c>
      <c r="J19">
        <v>6.6064414822089912</v>
      </c>
      <c r="K19">
        <v>9.0131846621558367</v>
      </c>
      <c r="L19">
        <v>8.4437490922723999</v>
      </c>
      <c r="M19">
        <v>8.5318637390468748</v>
      </c>
      <c r="N19">
        <v>8.0692618397884015</v>
      </c>
      <c r="O19">
        <v>11.250994541875489</v>
      </c>
      <c r="P19">
        <v>12.189705503180464</v>
      </c>
      <c r="Q19">
        <v>10.580722714794693</v>
      </c>
      <c r="R19">
        <v>7.0841306116619664</v>
      </c>
    </row>
    <row r="20" spans="1:20" x14ac:dyDescent="0.2">
      <c r="A20" t="s">
        <v>121</v>
      </c>
      <c r="B20" t="s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0.4276835889198824</v>
      </c>
    </row>
    <row r="21" spans="1:20" x14ac:dyDescent="0.2">
      <c r="A21" t="s">
        <v>37</v>
      </c>
      <c r="B21" t="s">
        <v>42</v>
      </c>
      <c r="C21">
        <v>223.56150791519255</v>
      </c>
      <c r="D21">
        <v>354.86629058242988</v>
      </c>
      <c r="E21">
        <v>363.50304885755503</v>
      </c>
      <c r="F21">
        <v>308.10508242515357</v>
      </c>
      <c r="G21">
        <v>295.37325825405634</v>
      </c>
      <c r="H21">
        <v>308.34771829944225</v>
      </c>
      <c r="I21">
        <v>292.63954542585367</v>
      </c>
      <c r="J21">
        <v>275.82048852585945</v>
      </c>
      <c r="K21">
        <v>379.32212886081425</v>
      </c>
      <c r="L21">
        <v>353.04685029721583</v>
      </c>
      <c r="M21">
        <v>359.23347171712737</v>
      </c>
      <c r="N21">
        <v>339.46369021318537</v>
      </c>
      <c r="O21">
        <v>472.0264441535478</v>
      </c>
      <c r="P21">
        <v>508.88091525178294</v>
      </c>
      <c r="Q21">
        <v>447.60067786871008</v>
      </c>
      <c r="R21">
        <v>298.86876074005914</v>
      </c>
    </row>
    <row r="22" spans="1:20" x14ac:dyDescent="0.2">
      <c r="A22" t="s">
        <v>122</v>
      </c>
      <c r="B22" t="s">
        <v>42</v>
      </c>
      <c r="C22">
        <v>206.4487600914737</v>
      </c>
      <c r="D22">
        <v>329.9666289440496</v>
      </c>
      <c r="E22">
        <v>338.07086606900242</v>
      </c>
      <c r="F22">
        <v>286.12579357688804</v>
      </c>
      <c r="G22">
        <v>273.11836139306428</v>
      </c>
      <c r="H22">
        <v>285.74650468990984</v>
      </c>
      <c r="I22">
        <v>270.66851565841057</v>
      </c>
      <c r="J22">
        <v>254.57574868741852</v>
      </c>
      <c r="K22">
        <v>347.31833160188029</v>
      </c>
      <c r="L22">
        <v>323.29041217353068</v>
      </c>
      <c r="M22">
        <v>328.75027158386428</v>
      </c>
      <c r="N22">
        <v>310.94476197979947</v>
      </c>
      <c r="O22">
        <v>437.12750360199021</v>
      </c>
      <c r="P22">
        <v>472.30607008438523</v>
      </c>
      <c r="Q22">
        <v>411.78638310031585</v>
      </c>
      <c r="R22">
        <v>272.98324811018944</v>
      </c>
    </row>
    <row r="23" spans="1:20" x14ac:dyDescent="0.2">
      <c r="A23" t="s">
        <v>123</v>
      </c>
      <c r="B23" t="s">
        <v>42</v>
      </c>
      <c r="C23">
        <v>17.112747823718852</v>
      </c>
      <c r="D23">
        <v>24.899661638380291</v>
      </c>
      <c r="E23">
        <v>25.432182788552598</v>
      </c>
      <c r="F23">
        <v>21.979288848265501</v>
      </c>
      <c r="G23">
        <v>22.254896860992055</v>
      </c>
      <c r="H23">
        <v>22.601213609532397</v>
      </c>
      <c r="I23">
        <v>21.971029767443117</v>
      </c>
      <c r="J23">
        <v>21.244739838440925</v>
      </c>
      <c r="K23">
        <v>32.003797258933979</v>
      </c>
      <c r="L23">
        <v>29.75643812368514</v>
      </c>
      <c r="M23">
        <v>30.4832001332631</v>
      </c>
      <c r="N23">
        <v>28.518928233385896</v>
      </c>
      <c r="O23">
        <v>34.898940551557565</v>
      </c>
      <c r="P23">
        <v>36.574845167397704</v>
      </c>
      <c r="Q23">
        <v>35.814294768394241</v>
      </c>
      <c r="R23">
        <v>25.885512629869734</v>
      </c>
    </row>
    <row r="24" spans="1:20" x14ac:dyDescent="0.2">
      <c r="A24" t="s">
        <v>67</v>
      </c>
      <c r="B24" t="s">
        <v>42</v>
      </c>
      <c r="C24">
        <v>32.451802270858067</v>
      </c>
      <c r="D24">
        <v>52.535692860154285</v>
      </c>
      <c r="E24">
        <v>54.656437718028116</v>
      </c>
      <c r="F24">
        <v>46.359905195446864</v>
      </c>
      <c r="G24">
        <v>44.536884465180421</v>
      </c>
      <c r="H24">
        <v>46.443762266341032</v>
      </c>
      <c r="I24">
        <v>44.118590486066935</v>
      </c>
      <c r="J24">
        <v>41.624946144290149</v>
      </c>
      <c r="K24">
        <v>57.462958270161373</v>
      </c>
      <c r="L24">
        <v>53.782247422093782</v>
      </c>
      <c r="M24">
        <v>54.436392890778976</v>
      </c>
      <c r="N24">
        <v>51.415309557389506</v>
      </c>
      <c r="O24">
        <v>71.120806997994976</v>
      </c>
      <c r="P24">
        <v>76.591574703404376</v>
      </c>
      <c r="Q24">
        <v>67.653651383167968</v>
      </c>
      <c r="R24">
        <v>45.194338493636124</v>
      </c>
    </row>
    <row r="25" spans="1:20" x14ac:dyDescent="0.2">
      <c r="A25" t="s">
        <v>124</v>
      </c>
      <c r="B25" t="s">
        <v>42</v>
      </c>
      <c r="C25">
        <v>15.42750471012867</v>
      </c>
      <c r="D25">
        <v>27.764729525690477</v>
      </c>
      <c r="E25">
        <v>29.355705663116638</v>
      </c>
      <c r="F25">
        <v>24.494220187954138</v>
      </c>
      <c r="G25">
        <v>22.397015973707699</v>
      </c>
      <c r="H25">
        <v>23.959367025678258</v>
      </c>
      <c r="I25">
        <v>22.261121870876988</v>
      </c>
      <c r="J25">
        <v>20.490013500182339</v>
      </c>
      <c r="K25">
        <v>25.624578296246369</v>
      </c>
      <c r="L25">
        <v>24.179610710360812</v>
      </c>
      <c r="M25">
        <v>24.110750567420027</v>
      </c>
      <c r="N25">
        <v>23.043786447272247</v>
      </c>
      <c r="O25">
        <v>36.402247791481258</v>
      </c>
      <c r="P25">
        <v>40.205773090389634</v>
      </c>
      <c r="Q25">
        <v>32.024469129939511</v>
      </c>
      <c r="R25">
        <v>19.442619712849794</v>
      </c>
    </row>
    <row r="26" spans="1:20" x14ac:dyDescent="0.2">
      <c r="A26" t="s">
        <v>125</v>
      </c>
      <c r="B26" t="s">
        <v>42</v>
      </c>
      <c r="C26">
        <v>17.024297560729394</v>
      </c>
      <c r="D26">
        <v>24.770963334463804</v>
      </c>
      <c r="E26">
        <v>25.300732054911474</v>
      </c>
      <c r="F26">
        <v>21.865685007492726</v>
      </c>
      <c r="G26">
        <v>22.139868491472726</v>
      </c>
      <c r="H26">
        <v>22.484395240662774</v>
      </c>
      <c r="I26">
        <v>21.857468615189944</v>
      </c>
      <c r="J26">
        <v>21.13493264410781</v>
      </c>
      <c r="K26">
        <v>31.838379973915004</v>
      </c>
      <c r="L26">
        <v>29.60263671173297</v>
      </c>
      <c r="M26">
        <v>30.325642323358945</v>
      </c>
      <c r="N26">
        <v>28.371523110117263</v>
      </c>
      <c r="O26">
        <v>34.718559206513724</v>
      </c>
      <c r="P26">
        <v>36.385801613014742</v>
      </c>
      <c r="Q26">
        <v>35.629182253228457</v>
      </c>
      <c r="R26">
        <v>25.751718780786334</v>
      </c>
    </row>
    <row r="27" spans="1:20" x14ac:dyDescent="0.2">
      <c r="A27" t="s">
        <v>129</v>
      </c>
      <c r="B27" t="s">
        <v>42</v>
      </c>
      <c r="C27">
        <f>C16+C17+C21+C24</f>
        <v>306.75872361109339</v>
      </c>
      <c r="D27">
        <f t="shared" ref="D27:R27" si="1">D16+D17+D21+D24</f>
        <v>489.30913142704537</v>
      </c>
      <c r="E27">
        <f t="shared" si="1"/>
        <v>502.63187775228289</v>
      </c>
      <c r="F27">
        <f t="shared" si="1"/>
        <v>426.88969372315597</v>
      </c>
      <c r="G27">
        <f t="shared" si="1"/>
        <v>408.53182213478556</v>
      </c>
      <c r="H27">
        <f t="shared" si="1"/>
        <v>426.79991779858773</v>
      </c>
      <c r="I27">
        <f t="shared" si="1"/>
        <v>404.34836459946683</v>
      </c>
      <c r="J27">
        <f t="shared" si="1"/>
        <v>381.01381656480578</v>
      </c>
      <c r="K27">
        <f t="shared" si="1"/>
        <v>522.86678100608526</v>
      </c>
      <c r="L27">
        <f t="shared" si="1"/>
        <v>487.70941633148942</v>
      </c>
      <c r="M27">
        <f t="shared" si="1"/>
        <v>495.27518242893041</v>
      </c>
      <c r="N27">
        <f t="shared" si="1"/>
        <v>467.93197720668962</v>
      </c>
      <c r="O27">
        <f t="shared" si="1"/>
        <v>654.46757765787811</v>
      </c>
      <c r="P27">
        <f t="shared" si="1"/>
        <v>706.54260258237912</v>
      </c>
      <c r="Q27">
        <f t="shared" si="1"/>
        <v>619.00578069881874</v>
      </c>
      <c r="R27">
        <f t="shared" si="1"/>
        <v>410.75611452157909</v>
      </c>
    </row>
    <row r="29" spans="1:20" x14ac:dyDescent="0.2">
      <c r="A29" t="s">
        <v>127</v>
      </c>
      <c r="B29" t="s">
        <v>31</v>
      </c>
      <c r="C29">
        <v>2000</v>
      </c>
      <c r="D29">
        <v>2001</v>
      </c>
      <c r="E29">
        <v>2002</v>
      </c>
      <c r="F29">
        <v>2003</v>
      </c>
      <c r="G29">
        <v>2004</v>
      </c>
      <c r="H29">
        <v>2005</v>
      </c>
      <c r="I29">
        <v>2006</v>
      </c>
      <c r="J29">
        <v>2007</v>
      </c>
      <c r="K29">
        <v>2008</v>
      </c>
      <c r="L29">
        <v>2009</v>
      </c>
      <c r="M29">
        <v>2010</v>
      </c>
      <c r="N29">
        <v>2011</v>
      </c>
      <c r="O29">
        <v>2012</v>
      </c>
      <c r="P29">
        <v>2013</v>
      </c>
      <c r="Q29">
        <v>2014</v>
      </c>
      <c r="R29">
        <v>2015</v>
      </c>
      <c r="S29" t="s">
        <v>128</v>
      </c>
      <c r="T29" t="s">
        <v>130</v>
      </c>
    </row>
    <row r="30" spans="1:20" x14ac:dyDescent="0.2">
      <c r="A30" t="s">
        <v>26</v>
      </c>
      <c r="B30" t="s">
        <v>45</v>
      </c>
      <c r="C30" s="5">
        <f t="shared" ref="C30:C40" si="2">C16/MAX(C2,1)</f>
        <v>0.44749774160389372</v>
      </c>
      <c r="D30" s="5">
        <f t="shared" ref="D30:R30" si="3">D16/MAX(D2,1)</f>
        <v>0.45104379158149871</v>
      </c>
      <c r="E30" s="5">
        <f t="shared" si="3"/>
        <v>0.45104379158149865</v>
      </c>
      <c r="F30" s="5">
        <f t="shared" si="3"/>
        <v>0.45104379158149877</v>
      </c>
      <c r="G30" s="5">
        <f t="shared" si="3"/>
        <v>0.45104379158149871</v>
      </c>
      <c r="H30" s="5">
        <f t="shared" si="3"/>
        <v>0.4510437915814986</v>
      </c>
      <c r="I30" s="5">
        <f t="shared" si="3"/>
        <v>0.45104379158149865</v>
      </c>
      <c r="J30" s="5">
        <f t="shared" si="3"/>
        <v>0.45104379158149865</v>
      </c>
      <c r="K30" s="5">
        <f t="shared" si="3"/>
        <v>0.46250137636051647</v>
      </c>
      <c r="L30" s="5">
        <f t="shared" si="3"/>
        <v>0.46250137636051647</v>
      </c>
      <c r="M30" s="5">
        <f t="shared" si="3"/>
        <v>0.46575746836340687</v>
      </c>
      <c r="N30" s="5">
        <f t="shared" si="3"/>
        <v>0.46575746836340681</v>
      </c>
      <c r="O30" s="5">
        <f t="shared" si="3"/>
        <v>0.49625892690071638</v>
      </c>
      <c r="P30" s="5">
        <f t="shared" si="3"/>
        <v>0.50773150127034461</v>
      </c>
      <c r="Q30" s="5">
        <f t="shared" si="3"/>
        <v>0.50829210623157528</v>
      </c>
      <c r="R30" s="5">
        <f t="shared" si="3"/>
        <v>0.50829210623157528</v>
      </c>
      <c r="S30" s="14">
        <f>R30-C30</f>
        <v>6.0794364627681563E-2</v>
      </c>
      <c r="T30" s="14">
        <f>(R30/J30)^(1/(R$29-J$29))-1</f>
        <v>1.5048589339845764E-2</v>
      </c>
    </row>
    <row r="31" spans="1:20" x14ac:dyDescent="0.2">
      <c r="A31" t="s">
        <v>33</v>
      </c>
      <c r="B31" t="s">
        <v>45</v>
      </c>
      <c r="C31" s="5">
        <f t="shared" si="2"/>
        <v>0.30925562708786153</v>
      </c>
      <c r="D31" s="5">
        <f t="shared" ref="D31:R31" si="4">D17/MAX(D3,1)</f>
        <v>0.31130704284553118</v>
      </c>
      <c r="E31" s="5">
        <f t="shared" si="4"/>
        <v>0.31408879437942039</v>
      </c>
      <c r="F31" s="5">
        <f t="shared" si="4"/>
        <v>0.32104488350127147</v>
      </c>
      <c r="G31" s="5">
        <f t="shared" si="4"/>
        <v>0.32101354282853339</v>
      </c>
      <c r="H31" s="5">
        <f t="shared" si="4"/>
        <v>0.32064568476339594</v>
      </c>
      <c r="I31" s="5">
        <f t="shared" si="4"/>
        <v>0.31789952364048707</v>
      </c>
      <c r="J31" s="5">
        <f t="shared" si="4"/>
        <v>0.31954441105188031</v>
      </c>
      <c r="K31" s="5">
        <f t="shared" si="4"/>
        <v>0.33090825207614205</v>
      </c>
      <c r="L31" s="5">
        <f t="shared" si="4"/>
        <v>0.33184965112631476</v>
      </c>
      <c r="M31" s="5">
        <f t="shared" si="4"/>
        <v>0.33451628885910645</v>
      </c>
      <c r="N31" s="5">
        <f t="shared" si="4"/>
        <v>0.33277832489260023</v>
      </c>
      <c r="O31" s="5">
        <f t="shared" si="4"/>
        <v>0.35882281213646861</v>
      </c>
      <c r="P31" s="5">
        <f t="shared" si="4"/>
        <v>0.36849224997829938</v>
      </c>
      <c r="Q31" s="5">
        <f t="shared" si="4"/>
        <v>0.36814529598688761</v>
      </c>
      <c r="R31" s="5">
        <f t="shared" si="4"/>
        <v>0.35679139212126321</v>
      </c>
      <c r="S31" s="14">
        <f t="shared" ref="S31:S41" si="5">R31-C31</f>
        <v>4.7535765033401678E-2</v>
      </c>
      <c r="T31" s="14">
        <f t="shared" ref="T31:T41" si="6">(R31/J31)^(1/(R$29-J$29))-1</f>
        <v>1.3877284014816693E-2</v>
      </c>
    </row>
    <row r="32" spans="1:20" x14ac:dyDescent="0.2">
      <c r="A32" t="s">
        <v>118</v>
      </c>
      <c r="B32" t="s">
        <v>45</v>
      </c>
      <c r="C32" s="5">
        <f t="shared" si="2"/>
        <v>0.30236591458288403</v>
      </c>
      <c r="D32" s="5">
        <f t="shared" ref="D32:R32" si="7">D18/MAX(D4,1)</f>
        <v>0.30476191470747055</v>
      </c>
      <c r="E32" s="5">
        <f t="shared" si="7"/>
        <v>0.30797642594438185</v>
      </c>
      <c r="F32" s="5">
        <f t="shared" si="7"/>
        <v>0.3159081216965563</v>
      </c>
      <c r="G32" s="5">
        <f t="shared" si="7"/>
        <v>0.31564617231869607</v>
      </c>
      <c r="H32" s="5">
        <f t="shared" si="7"/>
        <v>0.31533892096250704</v>
      </c>
      <c r="I32" s="5">
        <f t="shared" si="7"/>
        <v>0.31205242107262565</v>
      </c>
      <c r="J32" s="5">
        <f t="shared" si="7"/>
        <v>0.31383699032380258</v>
      </c>
      <c r="K32" s="5">
        <f t="shared" si="7"/>
        <v>0.32509947920047905</v>
      </c>
      <c r="L32" s="5">
        <f t="shared" si="7"/>
        <v>0.32624841718687192</v>
      </c>
      <c r="M32" s="5">
        <f t="shared" si="7"/>
        <v>0.3288594209589869</v>
      </c>
      <c r="N32" s="5">
        <f t="shared" si="7"/>
        <v>0.32687360980193264</v>
      </c>
      <c r="O32" s="5">
        <f t="shared" si="7"/>
        <v>0.35439356739259609</v>
      </c>
      <c r="P32" s="5">
        <f t="shared" si="7"/>
        <v>0.36410377052022491</v>
      </c>
      <c r="Q32" s="5">
        <f t="shared" si="7"/>
        <v>0.36350550823363559</v>
      </c>
      <c r="R32" s="5">
        <f t="shared" si="7"/>
        <v>0.34817996378475297</v>
      </c>
      <c r="S32" s="14">
        <f t="shared" si="5"/>
        <v>4.5814049201868934E-2</v>
      </c>
      <c r="T32" s="14">
        <f t="shared" si="6"/>
        <v>1.3065336716087117E-2</v>
      </c>
    </row>
    <row r="33" spans="1:20" x14ac:dyDescent="0.2">
      <c r="A33" t="s">
        <v>120</v>
      </c>
      <c r="B33" t="s">
        <v>45</v>
      </c>
      <c r="C33" s="5">
        <f t="shared" si="2"/>
        <v>0.35186500140501425</v>
      </c>
      <c r="D33" s="5">
        <f t="shared" ref="D33:R33" si="8">D19/MAX(D5,1)</f>
        <v>0.35465324090736383</v>
      </c>
      <c r="E33" s="5">
        <f t="shared" si="8"/>
        <v>0.35465324090736383</v>
      </c>
      <c r="F33" s="5">
        <f t="shared" si="8"/>
        <v>0.35465324090736383</v>
      </c>
      <c r="G33" s="5">
        <f t="shared" si="8"/>
        <v>0.35465324090736378</v>
      </c>
      <c r="H33" s="5">
        <f t="shared" si="8"/>
        <v>0.35465324090736383</v>
      </c>
      <c r="I33" s="5">
        <f t="shared" si="8"/>
        <v>0.35465324090736378</v>
      </c>
      <c r="J33" s="5">
        <f t="shared" si="8"/>
        <v>0.35465324090736383</v>
      </c>
      <c r="K33" s="5">
        <f t="shared" si="8"/>
        <v>0.36366227650588473</v>
      </c>
      <c r="L33" s="5">
        <f t="shared" si="8"/>
        <v>0.36366227650588467</v>
      </c>
      <c r="M33" s="5">
        <f t="shared" si="8"/>
        <v>0.36622252365498875</v>
      </c>
      <c r="N33" s="5">
        <f t="shared" si="8"/>
        <v>0.36622252365498875</v>
      </c>
      <c r="O33" s="5">
        <f t="shared" si="8"/>
        <v>0.38701319663463757</v>
      </c>
      <c r="P33" s="5">
        <f t="shared" si="8"/>
        <v>0.39704383428753115</v>
      </c>
      <c r="Q33" s="5">
        <f t="shared" si="8"/>
        <v>0.39572307734573009</v>
      </c>
      <c r="R33" s="5">
        <f t="shared" si="8"/>
        <v>0.39966727436949079</v>
      </c>
      <c r="S33" s="14">
        <f t="shared" si="5"/>
        <v>4.7802272964476533E-2</v>
      </c>
      <c r="T33" s="14">
        <f t="shared" si="6"/>
        <v>1.5048589339845764E-2</v>
      </c>
    </row>
    <row r="34" spans="1:20" x14ac:dyDescent="0.2">
      <c r="A34" t="s">
        <v>121</v>
      </c>
      <c r="B34" t="s">
        <v>45</v>
      </c>
      <c r="C34" s="5">
        <f t="shared" si="2"/>
        <v>0</v>
      </c>
      <c r="D34" s="5">
        <f t="shared" ref="D34:R34" si="9">D20/MAX(D6,1)</f>
        <v>0</v>
      </c>
      <c r="E34" s="5">
        <f t="shared" si="9"/>
        <v>0</v>
      </c>
      <c r="F34" s="5">
        <f t="shared" si="9"/>
        <v>0</v>
      </c>
      <c r="G34" s="5">
        <f t="shared" si="9"/>
        <v>0</v>
      </c>
      <c r="H34" s="5">
        <f t="shared" si="9"/>
        <v>0</v>
      </c>
      <c r="I34" s="5">
        <f t="shared" si="9"/>
        <v>0</v>
      </c>
      <c r="J34" s="5">
        <f t="shared" si="9"/>
        <v>0</v>
      </c>
      <c r="K34" s="5">
        <f t="shared" si="9"/>
        <v>0</v>
      </c>
      <c r="L34" s="5">
        <f t="shared" si="9"/>
        <v>0</v>
      </c>
      <c r="M34" s="5">
        <f t="shared" si="9"/>
        <v>0</v>
      </c>
      <c r="N34" s="5">
        <f t="shared" si="9"/>
        <v>0</v>
      </c>
      <c r="O34" s="5">
        <f t="shared" si="9"/>
        <v>0</v>
      </c>
      <c r="P34" s="5">
        <f t="shared" si="9"/>
        <v>0</v>
      </c>
      <c r="Q34" s="5">
        <f t="shared" si="9"/>
        <v>0</v>
      </c>
      <c r="R34" s="5">
        <f t="shared" si="9"/>
        <v>0.4276835889198824</v>
      </c>
      <c r="S34" s="14">
        <v>0</v>
      </c>
      <c r="T34" s="14">
        <v>0</v>
      </c>
    </row>
    <row r="35" spans="1:20" x14ac:dyDescent="0.2">
      <c r="A35" t="s">
        <v>37</v>
      </c>
      <c r="B35" t="s">
        <v>45</v>
      </c>
      <c r="C35" s="5">
        <f t="shared" si="2"/>
        <v>0.44751947672994552</v>
      </c>
      <c r="D35" s="5">
        <f t="shared" ref="D35:R35" si="10">D21/MAX(D7,1)</f>
        <v>0.45081516059710702</v>
      </c>
      <c r="E35" s="5">
        <f t="shared" si="10"/>
        <v>0.4508072258256402</v>
      </c>
      <c r="F35" s="5">
        <f t="shared" si="10"/>
        <v>0.45086111316562461</v>
      </c>
      <c r="G35" s="5">
        <f t="shared" si="10"/>
        <v>0.45101851142971033</v>
      </c>
      <c r="H35" s="5">
        <f t="shared" si="10"/>
        <v>0.45093810290478759</v>
      </c>
      <c r="I35" s="5">
        <f t="shared" si="10"/>
        <v>0.45100805478292449</v>
      </c>
      <c r="J35" s="5">
        <f t="shared" si="10"/>
        <v>0.45108447201696195</v>
      </c>
      <c r="K35" s="5">
        <f t="shared" si="10"/>
        <v>0.46283933200872757</v>
      </c>
      <c r="L35" s="5">
        <f t="shared" si="10"/>
        <v>0.46009864002352663</v>
      </c>
      <c r="M35" s="5">
        <f t="shared" si="10"/>
        <v>0.46609057802108883</v>
      </c>
      <c r="N35" s="5">
        <f t="shared" si="10"/>
        <v>0.46608320507882567</v>
      </c>
      <c r="O35" s="5">
        <f t="shared" si="10"/>
        <v>0.49617014544544258</v>
      </c>
      <c r="P35" s="5">
        <f t="shared" si="10"/>
        <v>0.50754955576476779</v>
      </c>
      <c r="Q35" s="5">
        <f t="shared" si="10"/>
        <v>0.50847039968707575</v>
      </c>
      <c r="R35" s="5">
        <f t="shared" si="10"/>
        <v>0.50876289103186023</v>
      </c>
      <c r="S35" s="14">
        <f t="shared" si="5"/>
        <v>6.1243414301914711E-2</v>
      </c>
      <c r="T35" s="14">
        <f t="shared" si="6"/>
        <v>1.5154615786852066E-2</v>
      </c>
    </row>
    <row r="36" spans="1:20" x14ac:dyDescent="0.2">
      <c r="A36" t="s">
        <v>122</v>
      </c>
      <c r="B36" t="s">
        <v>45</v>
      </c>
      <c r="C36" s="5">
        <f t="shared" si="2"/>
        <v>0.44455517409395634</v>
      </c>
      <c r="D36" s="5">
        <f t="shared" ref="D36:R36" si="11">D22/MAX(D8,1)</f>
        <v>0.44807790665454966</v>
      </c>
      <c r="E36" s="5">
        <f t="shared" si="11"/>
        <v>0.44807790665454972</v>
      </c>
      <c r="F36" s="5">
        <f t="shared" si="11"/>
        <v>0.44807790665454972</v>
      </c>
      <c r="G36" s="5">
        <f t="shared" si="11"/>
        <v>0.44807790665454966</v>
      </c>
      <c r="H36" s="5">
        <f t="shared" si="11"/>
        <v>0.44807790665454972</v>
      </c>
      <c r="I36" s="5">
        <f t="shared" si="11"/>
        <v>0.44807790665454966</v>
      </c>
      <c r="J36" s="5">
        <f t="shared" si="11"/>
        <v>0.44807790665454966</v>
      </c>
      <c r="K36" s="5">
        <f t="shared" si="11"/>
        <v>0.45946015090426728</v>
      </c>
      <c r="L36" s="5">
        <f t="shared" si="11"/>
        <v>0.45651591133226682</v>
      </c>
      <c r="M36" s="5">
        <f t="shared" si="11"/>
        <v>0.46266582482894453</v>
      </c>
      <c r="N36" s="5">
        <f t="shared" si="11"/>
        <v>0.46269483213868606</v>
      </c>
      <c r="O36" s="5">
        <f t="shared" si="11"/>
        <v>0.49299572519252299</v>
      </c>
      <c r="P36" s="5">
        <f t="shared" si="11"/>
        <v>0.50439286046725351</v>
      </c>
      <c r="Q36" s="5">
        <f t="shared" si="11"/>
        <v>0.50494977911279726</v>
      </c>
      <c r="R36" s="5">
        <f t="shared" si="11"/>
        <v>0.50494977911279704</v>
      </c>
      <c r="S36" s="14">
        <f t="shared" si="5"/>
        <v>6.0394605018840697E-2</v>
      </c>
      <c r="T36" s="14">
        <f t="shared" si="6"/>
        <v>1.5048589339845764E-2</v>
      </c>
    </row>
    <row r="37" spans="1:20" x14ac:dyDescent="0.2">
      <c r="A37" t="s">
        <v>123</v>
      </c>
      <c r="B37" t="s">
        <v>45</v>
      </c>
      <c r="C37" s="5">
        <f t="shared" si="2"/>
        <v>0.48666866714648654</v>
      </c>
      <c r="D37" s="5">
        <f t="shared" ref="D37:R37" si="12">D23/MAX(D9,1)</f>
        <v>0.49052511435457846</v>
      </c>
      <c r="E37" s="5">
        <f t="shared" si="12"/>
        <v>0.49052511435457852</v>
      </c>
      <c r="F37" s="5">
        <f t="shared" si="12"/>
        <v>0.49052511435457857</v>
      </c>
      <c r="G37" s="5">
        <f t="shared" si="12"/>
        <v>0.49052511435457846</v>
      </c>
      <c r="H37" s="5">
        <f t="shared" si="12"/>
        <v>0.49052511435457857</v>
      </c>
      <c r="I37" s="5">
        <f t="shared" si="12"/>
        <v>0.49052511435457852</v>
      </c>
      <c r="J37" s="5">
        <f t="shared" si="12"/>
        <v>0.49052511435457846</v>
      </c>
      <c r="K37" s="5">
        <f t="shared" si="12"/>
        <v>0.50298561860905167</v>
      </c>
      <c r="L37" s="5">
        <f t="shared" si="12"/>
        <v>0.50298561860905167</v>
      </c>
      <c r="M37" s="5">
        <f t="shared" si="12"/>
        <v>0.50652672688252243</v>
      </c>
      <c r="N37" s="5">
        <f t="shared" si="12"/>
        <v>0.50652672688252232</v>
      </c>
      <c r="O37" s="5">
        <f t="shared" si="12"/>
        <v>0.53969807679631843</v>
      </c>
      <c r="P37" s="5">
        <f t="shared" si="12"/>
        <v>0.55217488272877846</v>
      </c>
      <c r="Q37" s="5">
        <f t="shared" si="12"/>
        <v>0.55278455925653025</v>
      </c>
      <c r="R37" s="5">
        <f t="shared" si="12"/>
        <v>0.55278455925653025</v>
      </c>
      <c r="S37" s="14">
        <f t="shared" si="5"/>
        <v>6.6115892110043706E-2</v>
      </c>
      <c r="T37" s="14">
        <f t="shared" si="6"/>
        <v>1.5048589339845764E-2</v>
      </c>
    </row>
    <row r="38" spans="1:20" x14ac:dyDescent="0.2">
      <c r="A38" t="s">
        <v>67</v>
      </c>
      <c r="B38" t="s">
        <v>45</v>
      </c>
      <c r="C38" s="5">
        <f t="shared" si="2"/>
        <v>0.36983604314947482</v>
      </c>
      <c r="D38" s="5">
        <f t="shared" ref="D38:R38" si="13">D24/MAX(D10,1)</f>
        <v>0.37813514759077632</v>
      </c>
      <c r="E38" s="5">
        <f t="shared" si="13"/>
        <v>0.38398716803647093</v>
      </c>
      <c r="F38" s="5">
        <f t="shared" si="13"/>
        <v>0.38470610598979937</v>
      </c>
      <c r="G38" s="5">
        <f t="shared" si="13"/>
        <v>0.38681459748398384</v>
      </c>
      <c r="H38" s="5">
        <f t="shared" si="13"/>
        <v>0.38573585493704038</v>
      </c>
      <c r="I38" s="5">
        <f t="shared" si="13"/>
        <v>0.38667412413823887</v>
      </c>
      <c r="J38" s="5">
        <f t="shared" si="13"/>
        <v>0.38770201259941012</v>
      </c>
      <c r="K38" s="5">
        <f t="shared" si="13"/>
        <v>0.40156360243969014</v>
      </c>
      <c r="L38" s="5">
        <f t="shared" si="13"/>
        <v>0.40124432505594271</v>
      </c>
      <c r="M38" s="5">
        <f t="shared" si="13"/>
        <v>0.40465665176673471</v>
      </c>
      <c r="N38" s="5">
        <f t="shared" si="13"/>
        <v>0.40419187173956062</v>
      </c>
      <c r="O38" s="5">
        <f t="shared" si="13"/>
        <v>0.42477272690302009</v>
      </c>
      <c r="P38" s="5">
        <f t="shared" si="13"/>
        <v>0.43337296268109482</v>
      </c>
      <c r="Q38" s="5">
        <f t="shared" si="13"/>
        <v>0.43869900408842766</v>
      </c>
      <c r="R38" s="5">
        <f t="shared" si="13"/>
        <v>0.44283927353654368</v>
      </c>
      <c r="S38" s="14">
        <f t="shared" si="5"/>
        <v>7.3003230387068851E-2</v>
      </c>
      <c r="T38" s="14">
        <f t="shared" si="6"/>
        <v>1.6760133018414836E-2</v>
      </c>
    </row>
    <row r="39" spans="1:20" x14ac:dyDescent="0.2">
      <c r="A39" t="s">
        <v>124</v>
      </c>
      <c r="B39" t="s">
        <v>45</v>
      </c>
      <c r="C39" s="5">
        <f t="shared" si="2"/>
        <v>0.3201521448524654</v>
      </c>
      <c r="D39" s="5">
        <f t="shared" ref="D39:R39" si="14">D25/MAX(D11,1)</f>
        <v>0.33930909038483742</v>
      </c>
      <c r="E39" s="5">
        <f t="shared" si="14"/>
        <v>0.34942475823299812</v>
      </c>
      <c r="F39" s="5">
        <f t="shared" si="14"/>
        <v>0.34942475823299812</v>
      </c>
      <c r="G39" s="5">
        <f t="shared" si="14"/>
        <v>0.34942475823299812</v>
      </c>
      <c r="H39" s="5">
        <f t="shared" si="14"/>
        <v>0.34942475823299818</v>
      </c>
      <c r="I39" s="5">
        <f t="shared" si="14"/>
        <v>0.34942475823299812</v>
      </c>
      <c r="J39" s="5">
        <f t="shared" si="14"/>
        <v>0.34942475823299812</v>
      </c>
      <c r="K39" s="5">
        <f t="shared" si="14"/>
        <v>0.35830097793952526</v>
      </c>
      <c r="L39" s="5">
        <f t="shared" si="14"/>
        <v>0.3583009779395252</v>
      </c>
      <c r="M39" s="5">
        <f t="shared" si="14"/>
        <v>0.36082348059254921</v>
      </c>
      <c r="N39" s="5">
        <f t="shared" si="14"/>
        <v>0.36082348059254926</v>
      </c>
      <c r="O39" s="5">
        <f t="shared" si="14"/>
        <v>0.38445303713246537</v>
      </c>
      <c r="P39" s="5">
        <f t="shared" si="14"/>
        <v>0.39334086931248796</v>
      </c>
      <c r="Q39" s="5">
        <f t="shared" si="14"/>
        <v>0.39377517138403501</v>
      </c>
      <c r="R39" s="5">
        <f t="shared" si="14"/>
        <v>0.39377517138403506</v>
      </c>
      <c r="S39" s="14">
        <f t="shared" si="5"/>
        <v>7.3623026531569657E-2</v>
      </c>
      <c r="T39" s="14">
        <f t="shared" si="6"/>
        <v>1.5048589339845764E-2</v>
      </c>
    </row>
    <row r="40" spans="1:20" x14ac:dyDescent="0.2">
      <c r="A40" t="s">
        <v>125</v>
      </c>
      <c r="B40" t="s">
        <v>45</v>
      </c>
      <c r="C40" s="5">
        <f t="shared" si="2"/>
        <v>0.43035843030041793</v>
      </c>
      <c r="D40" s="5">
        <f t="shared" ref="D40:R40" si="15">D26/MAX(D12,1)</f>
        <v>0.43376866539268732</v>
      </c>
      <c r="E40" s="5">
        <f t="shared" si="15"/>
        <v>0.43376866539268732</v>
      </c>
      <c r="F40" s="5">
        <f t="shared" si="15"/>
        <v>0.43376866539268721</v>
      </c>
      <c r="G40" s="5">
        <f t="shared" si="15"/>
        <v>0.43376866539268738</v>
      </c>
      <c r="H40" s="5">
        <f t="shared" si="15"/>
        <v>0.43376866539268732</v>
      </c>
      <c r="I40" s="5">
        <f t="shared" si="15"/>
        <v>0.43376866539268727</v>
      </c>
      <c r="J40" s="5">
        <f t="shared" si="15"/>
        <v>0.43376866539268727</v>
      </c>
      <c r="K40" s="5">
        <f t="shared" si="15"/>
        <v>0.44478742089044498</v>
      </c>
      <c r="L40" s="5">
        <f t="shared" si="15"/>
        <v>0.44478742089044504</v>
      </c>
      <c r="M40" s="5">
        <f t="shared" si="15"/>
        <v>0.4479188034941991</v>
      </c>
      <c r="N40" s="5">
        <f t="shared" si="15"/>
        <v>0.44791880349419905</v>
      </c>
      <c r="O40" s="5">
        <f t="shared" si="15"/>
        <v>0.47725204609547434</v>
      </c>
      <c r="P40" s="5">
        <f t="shared" si="15"/>
        <v>0.48828521707757122</v>
      </c>
      <c r="Q40" s="5">
        <f t="shared" si="15"/>
        <v>0.48882435068362956</v>
      </c>
      <c r="R40" s="5">
        <f t="shared" si="15"/>
        <v>0.48882435068362956</v>
      </c>
      <c r="S40" s="14">
        <f t="shared" si="5"/>
        <v>5.8465920383211634E-2</v>
      </c>
      <c r="T40" s="14">
        <f t="shared" si="6"/>
        <v>1.5048589339845764E-2</v>
      </c>
    </row>
    <row r="41" spans="1:20" x14ac:dyDescent="0.2">
      <c r="A41" t="s">
        <v>129</v>
      </c>
      <c r="B41" t="s">
        <v>45</v>
      </c>
      <c r="C41" s="5">
        <f>C27/C13</f>
        <v>0.41764571325032501</v>
      </c>
      <c r="D41" s="5">
        <f t="shared" ref="D41:R41" si="16">D27/D13</f>
        <v>0.42011147791266584</v>
      </c>
      <c r="E41" s="5">
        <f t="shared" si="16"/>
        <v>0.42120501077045375</v>
      </c>
      <c r="F41" s="5">
        <f t="shared" si="16"/>
        <v>0.42267825527095454</v>
      </c>
      <c r="G41" s="5">
        <f t="shared" si="16"/>
        <v>0.42376612710506678</v>
      </c>
      <c r="H41" s="5">
        <f t="shared" si="16"/>
        <v>0.42315029384272107</v>
      </c>
      <c r="I41" s="5">
        <f t="shared" si="16"/>
        <v>0.42322293636901837</v>
      </c>
      <c r="J41" s="5">
        <f t="shared" si="16"/>
        <v>0.42400886951627081</v>
      </c>
      <c r="K41" s="5">
        <f t="shared" si="16"/>
        <v>0.43732963870348524</v>
      </c>
      <c r="L41" s="5">
        <f t="shared" si="16"/>
        <v>0.43543361237000988</v>
      </c>
      <c r="M41" s="5">
        <f t="shared" si="16"/>
        <v>0.44070257007375058</v>
      </c>
      <c r="N41" s="5">
        <f t="shared" si="16"/>
        <v>0.44024237627150448</v>
      </c>
      <c r="O41" s="5">
        <f t="shared" si="16"/>
        <v>0.46668180930517156</v>
      </c>
      <c r="P41" s="5">
        <f t="shared" si="16"/>
        <v>0.47706930310227608</v>
      </c>
      <c r="Q41" s="5">
        <f t="shared" si="16"/>
        <v>0.47991975331998704</v>
      </c>
      <c r="R41" s="5">
        <f t="shared" si="16"/>
        <v>0.48038998230759422</v>
      </c>
      <c r="S41" s="14">
        <f t="shared" si="5"/>
        <v>6.2744269057269209E-2</v>
      </c>
      <c r="T41" s="14">
        <f t="shared" si="6"/>
        <v>1.5727884367311429E-2</v>
      </c>
    </row>
    <row r="42" spans="1:20" x14ac:dyDescent="0.2">
      <c r="T42" s="14"/>
    </row>
    <row r="43" spans="1:20" x14ac:dyDescent="0.2">
      <c r="A43" t="s">
        <v>131</v>
      </c>
    </row>
    <row r="44" spans="1:20" x14ac:dyDescent="0.2">
      <c r="A44" t="s">
        <v>132</v>
      </c>
      <c r="B44" t="s">
        <v>134</v>
      </c>
      <c r="C44" s="15">
        <v>1.4999999999999999E-2</v>
      </c>
    </row>
    <row r="45" spans="1:20" x14ac:dyDescent="0.2">
      <c r="A45" t="s">
        <v>133</v>
      </c>
      <c r="B45" t="s">
        <v>134</v>
      </c>
      <c r="C4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F8BF-D0F2-6A44-B7D7-0246C40D5B40}">
  <dimension ref="A1:G12"/>
  <sheetViews>
    <sheetView workbookViewId="0">
      <selection activeCell="A10" sqref="A10"/>
    </sheetView>
  </sheetViews>
  <sheetFormatPr baseColWidth="10" defaultRowHeight="16" x14ac:dyDescent="0.2"/>
  <sheetData>
    <row r="1" spans="1:7" x14ac:dyDescent="0.2">
      <c r="A1" t="s">
        <v>41</v>
      </c>
      <c r="B1" t="s">
        <v>31</v>
      </c>
      <c r="C1">
        <v>2011</v>
      </c>
      <c r="D1">
        <v>2012</v>
      </c>
      <c r="E1">
        <v>2013</v>
      </c>
      <c r="F1">
        <v>2014</v>
      </c>
      <c r="G1">
        <v>2015</v>
      </c>
    </row>
    <row r="2" spans="1:7" x14ac:dyDescent="0.2">
      <c r="A2" t="s">
        <v>68</v>
      </c>
      <c r="B2" t="s">
        <v>69</v>
      </c>
      <c r="C2">
        <v>1301.073307271507</v>
      </c>
      <c r="D2">
        <v>1243.3565588729175</v>
      </c>
      <c r="E2">
        <v>1302.6525461417734</v>
      </c>
      <c r="F2">
        <v>1327.15641020575</v>
      </c>
      <c r="G2">
        <v>1266.5912175333433</v>
      </c>
    </row>
    <row r="3" spans="1:7" x14ac:dyDescent="0.2">
      <c r="A3" t="s">
        <v>71</v>
      </c>
      <c r="B3" t="s">
        <v>70</v>
      </c>
      <c r="C3">
        <f>C2/Processes!D2</f>
        <v>7.0229459983452203E-2</v>
      </c>
      <c r="D3">
        <f>D2/Processes!E2</f>
        <v>4.9455860971309516E-2</v>
      </c>
      <c r="E3">
        <f>E2/Processes!F2</f>
        <v>4.7101811804907287E-2</v>
      </c>
      <c r="F3">
        <f>F2/Processes!G2</f>
        <v>4.8893079869833336E-2</v>
      </c>
      <c r="G3">
        <f>G2/Processes!H2</f>
        <v>6.9956830007287418E-2</v>
      </c>
    </row>
    <row r="5" spans="1:7" x14ac:dyDescent="0.2">
      <c r="A5" t="s">
        <v>72</v>
      </c>
    </row>
    <row r="6" spans="1:7" x14ac:dyDescent="0.2">
      <c r="A6" t="s">
        <v>3</v>
      </c>
      <c r="B6" t="s">
        <v>73</v>
      </c>
    </row>
    <row r="7" spans="1:7" x14ac:dyDescent="0.2">
      <c r="A7" t="s">
        <v>4</v>
      </c>
      <c r="B7" t="s">
        <v>73</v>
      </c>
      <c r="C7">
        <v>0.22700000000000001</v>
      </c>
    </row>
    <row r="8" spans="1:7" x14ac:dyDescent="0.2">
      <c r="A8" t="s">
        <v>74</v>
      </c>
      <c r="B8" t="s">
        <v>73</v>
      </c>
      <c r="C8">
        <v>4.41E-2</v>
      </c>
    </row>
    <row r="9" spans="1:7" x14ac:dyDescent="0.2">
      <c r="A9" t="s">
        <v>5</v>
      </c>
      <c r="B9" t="s">
        <v>73</v>
      </c>
      <c r="C9">
        <v>0.374</v>
      </c>
    </row>
    <row r="10" spans="1:7" x14ac:dyDescent="0.2">
      <c r="A10" t="s">
        <v>6</v>
      </c>
      <c r="B10" t="s">
        <v>73</v>
      </c>
      <c r="C10">
        <v>1.6400000000000001E-2</v>
      </c>
    </row>
    <row r="11" spans="1:7" x14ac:dyDescent="0.2">
      <c r="A11" t="s">
        <v>7</v>
      </c>
      <c r="B11" t="s">
        <v>73</v>
      </c>
      <c r="C11">
        <v>0.32700000000000001</v>
      </c>
    </row>
    <row r="12" spans="1:7" x14ac:dyDescent="0.2">
      <c r="A12" t="s">
        <v>8</v>
      </c>
      <c r="B12" t="s">
        <v>73</v>
      </c>
      <c r="C12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8485-6730-9848-8C0F-3D2589ACED10}">
  <dimension ref="A1:G34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96</v>
      </c>
    </row>
    <row r="2" spans="1:3" x14ac:dyDescent="0.2">
      <c r="A2" t="s">
        <v>99</v>
      </c>
      <c r="B2" t="s">
        <v>97</v>
      </c>
      <c r="C2" t="s">
        <v>98</v>
      </c>
    </row>
    <row r="3" spans="1:3" x14ac:dyDescent="0.2">
      <c r="A3" t="s">
        <v>100</v>
      </c>
      <c r="B3" t="s">
        <v>102</v>
      </c>
      <c r="C3" t="s">
        <v>101</v>
      </c>
    </row>
    <row r="5" spans="1:3" x14ac:dyDescent="0.2">
      <c r="A5" t="s">
        <v>99</v>
      </c>
    </row>
    <row r="6" spans="1:3" x14ac:dyDescent="0.2">
      <c r="A6" t="s">
        <v>80</v>
      </c>
      <c r="B6" t="s">
        <v>31</v>
      </c>
      <c r="C6" t="s">
        <v>81</v>
      </c>
    </row>
    <row r="7" spans="1:3" x14ac:dyDescent="0.2">
      <c r="A7" t="s">
        <v>78</v>
      </c>
      <c r="B7" t="s">
        <v>79</v>
      </c>
      <c r="C7">
        <v>57600</v>
      </c>
    </row>
    <row r="8" spans="1:3" x14ac:dyDescent="0.2">
      <c r="A8" t="s">
        <v>87</v>
      </c>
      <c r="B8" t="s">
        <v>82</v>
      </c>
      <c r="C8">
        <v>2.2799999999999998</v>
      </c>
    </row>
    <row r="9" spans="1:3" x14ac:dyDescent="0.2">
      <c r="A9" t="s">
        <v>83</v>
      </c>
      <c r="B9" t="s">
        <v>84</v>
      </c>
      <c r="C9">
        <v>52</v>
      </c>
    </row>
    <row r="10" spans="1:3" x14ac:dyDescent="0.2">
      <c r="A10" t="s">
        <v>85</v>
      </c>
      <c r="B10" t="s">
        <v>86</v>
      </c>
      <c r="C10">
        <v>4.17</v>
      </c>
    </row>
    <row r="12" spans="1:3" x14ac:dyDescent="0.2">
      <c r="A12" t="s">
        <v>88</v>
      </c>
      <c r="B12">
        <f>1000000000/(3600*1000000)</f>
        <v>0.27777777777777779</v>
      </c>
    </row>
    <row r="14" spans="1:3" x14ac:dyDescent="0.2">
      <c r="A14" t="s">
        <v>80</v>
      </c>
      <c r="B14" t="s">
        <v>31</v>
      </c>
      <c r="C14" t="s">
        <v>81</v>
      </c>
    </row>
    <row r="15" spans="1:3" x14ac:dyDescent="0.2">
      <c r="A15" t="s">
        <v>87</v>
      </c>
      <c r="B15" t="s">
        <v>89</v>
      </c>
      <c r="C15">
        <f>C8/(C$7*B$12)</f>
        <v>1.4249999999999999E-4</v>
      </c>
    </row>
    <row r="16" spans="1:3" x14ac:dyDescent="0.2">
      <c r="A16" t="s">
        <v>83</v>
      </c>
      <c r="B16" t="s">
        <v>90</v>
      </c>
      <c r="C16">
        <f>C9/(C$7*B$12)</f>
        <v>3.2499999999999999E-3</v>
      </c>
    </row>
    <row r="17" spans="1:7" x14ac:dyDescent="0.2">
      <c r="A17" t="s">
        <v>85</v>
      </c>
      <c r="B17" t="s">
        <v>91</v>
      </c>
      <c r="C17">
        <f>C10/B12</f>
        <v>15.011999999999999</v>
      </c>
    </row>
    <row r="19" spans="1:7" x14ac:dyDescent="0.2">
      <c r="A19" t="s">
        <v>100</v>
      </c>
    </row>
    <row r="20" spans="1:7" x14ac:dyDescent="0.2">
      <c r="A20" t="s">
        <v>103</v>
      </c>
      <c r="B20" t="s">
        <v>104</v>
      </c>
      <c r="C20">
        <v>20</v>
      </c>
    </row>
    <row r="21" spans="1:7" x14ac:dyDescent="0.2">
      <c r="A21" t="s">
        <v>105</v>
      </c>
      <c r="B21" t="s">
        <v>45</v>
      </c>
      <c r="C21" s="7">
        <v>0.5</v>
      </c>
    </row>
    <row r="22" spans="1:7" x14ac:dyDescent="0.2">
      <c r="A22" t="s">
        <v>106</v>
      </c>
      <c r="C22">
        <v>68</v>
      </c>
    </row>
    <row r="23" spans="1:7" x14ac:dyDescent="0.2">
      <c r="A23" t="s">
        <v>107</v>
      </c>
      <c r="C23">
        <v>138</v>
      </c>
    </row>
    <row r="24" spans="1:7" x14ac:dyDescent="0.2">
      <c r="A24" t="s">
        <v>108</v>
      </c>
      <c r="B24" t="s">
        <v>45</v>
      </c>
      <c r="C24" s="7">
        <v>0.6</v>
      </c>
    </row>
    <row r="25" spans="1:7" x14ac:dyDescent="0.2">
      <c r="A25" t="s">
        <v>111</v>
      </c>
      <c r="B25" t="s">
        <v>112</v>
      </c>
      <c r="C25" s="9">
        <v>40</v>
      </c>
    </row>
    <row r="27" spans="1:7" x14ac:dyDescent="0.2">
      <c r="A27" t="s">
        <v>109</v>
      </c>
      <c r="B27">
        <v>2011</v>
      </c>
      <c r="C27">
        <v>2012</v>
      </c>
      <c r="D27">
        <v>2013</v>
      </c>
      <c r="E27">
        <v>2014</v>
      </c>
      <c r="F27">
        <v>2015</v>
      </c>
      <c r="G27" t="s">
        <v>110</v>
      </c>
    </row>
    <row r="28" spans="1:7" x14ac:dyDescent="0.2">
      <c r="A28" t="s">
        <v>38</v>
      </c>
      <c r="B28" s="8">
        <v>58436.4</v>
      </c>
      <c r="C28" s="8">
        <v>64966.6</v>
      </c>
      <c r="D28" s="8">
        <v>60500.5</v>
      </c>
      <c r="E28" s="8">
        <v>61059</v>
      </c>
      <c r="F28" s="8">
        <v>52717.1</v>
      </c>
      <c r="G28" s="8">
        <f>AVERAGE(B28:F28)</f>
        <v>59535.92</v>
      </c>
    </row>
    <row r="30" spans="1:7" x14ac:dyDescent="0.2">
      <c r="A30" t="s">
        <v>113</v>
      </c>
    </row>
    <row r="31" spans="1:7" x14ac:dyDescent="0.2">
      <c r="A31" t="s">
        <v>114</v>
      </c>
      <c r="B31" t="s">
        <v>115</v>
      </c>
      <c r="C31">
        <v>1.25</v>
      </c>
    </row>
    <row r="33" spans="1:3" x14ac:dyDescent="0.2">
      <c r="A33" t="s">
        <v>116</v>
      </c>
    </row>
    <row r="34" spans="1:3" x14ac:dyDescent="0.2">
      <c r="A34" t="s">
        <v>103</v>
      </c>
      <c r="B34" t="s">
        <v>117</v>
      </c>
      <c r="C34">
        <f>C20*1000000*C31*C21*C22/(C24*G28*1000)</f>
        <v>23.795158732184991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Technologies</vt:lpstr>
      <vt:lpstr>Processes</vt:lpstr>
      <vt:lpstr>Energy efficiency</vt:lpstr>
      <vt:lpstr>Emissions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2022-07-30T15:42:40Z</dcterms:created>
  <dcterms:modified xsi:type="dcterms:W3CDTF">2022-08-04T23:46:37Z</dcterms:modified>
</cp:coreProperties>
</file>