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ierrickdartois/Documents/Corps des Mines/3A/Mémoire 3A/Modèle/Energy-Alternatives-Planing/Models/Industry_model/Integrated_model/Data/"/>
    </mc:Choice>
  </mc:AlternateContent>
  <xr:revisionPtr revIDLastSave="0" documentId="13_ncr:1_{144EA0E0-086E-CD4F-A631-478CF95789CC}" xr6:coauthVersionLast="47" xr6:coauthVersionMax="47" xr10:uidLastSave="{00000000-0000-0000-0000-000000000000}"/>
  <bookViews>
    <workbookView xWindow="1360" yWindow="460" windowWidth="24240" windowHeight="13500" xr2:uid="{45C880F8-EFD7-2446-BACC-29B1DC638959}"/>
  </bookViews>
  <sheets>
    <sheet name="Input" sheetId="1" r:id="rId1"/>
    <sheet name="Steam methane reforming" sheetId="2" r:id="rId2"/>
    <sheet name="H2 electrolysis" sheetId="3" r:id="rId3"/>
    <sheet name="Energy price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60" i="1" l="1"/>
  <c r="L58" i="1"/>
  <c r="L59" i="1" s="1"/>
  <c r="L57" i="1"/>
  <c r="L56" i="1"/>
  <c r="L51" i="1"/>
  <c r="L49" i="1"/>
  <c r="L45" i="1"/>
  <c r="L43" i="1"/>
  <c r="L44" i="1" s="1"/>
  <c r="L42" i="1"/>
  <c r="L41" i="1"/>
  <c r="L36" i="1"/>
  <c r="L34" i="1"/>
  <c r="L30" i="1"/>
  <c r="L28" i="1"/>
  <c r="L29" i="1" s="1"/>
  <c r="L27" i="1"/>
  <c r="L26" i="1"/>
  <c r="L21" i="1"/>
  <c r="L19" i="1"/>
  <c r="L15" i="1"/>
  <c r="L14" i="1"/>
  <c r="L11" i="1"/>
  <c r="L6" i="1"/>
  <c r="C35" i="4"/>
  <c r="C34" i="4"/>
  <c r="C20" i="4"/>
  <c r="E45" i="4" s="1"/>
  <c r="J16" i="1"/>
  <c r="J46" i="1" s="1"/>
  <c r="C21" i="2"/>
  <c r="K16" i="1"/>
  <c r="K31" i="1" s="1"/>
  <c r="E60" i="1"/>
  <c r="E45" i="1"/>
  <c r="E30" i="1"/>
  <c r="E15" i="1"/>
  <c r="C38" i="4"/>
  <c r="E43" i="4" s="1"/>
  <c r="F30" i="1" s="1"/>
  <c r="F7" i="4"/>
  <c r="F8" i="4"/>
  <c r="F6" i="4"/>
  <c r="K61" i="1" l="1"/>
  <c r="K46" i="1"/>
  <c r="J61" i="1"/>
  <c r="J31" i="1"/>
  <c r="D45" i="4"/>
  <c r="I15" i="1" s="1"/>
  <c r="G45" i="4"/>
  <c r="I60" i="1" s="1"/>
  <c r="F45" i="4"/>
  <c r="I45" i="1" s="1"/>
  <c r="I30" i="1"/>
  <c r="F41" i="4"/>
  <c r="H45" i="1" s="1"/>
  <c r="G41" i="4"/>
  <c r="H60" i="1" s="1"/>
  <c r="G42" i="4"/>
  <c r="D60" i="1" s="1"/>
  <c r="F43" i="4"/>
  <c r="F45" i="1" s="1"/>
  <c r="C43" i="4"/>
  <c r="F42" i="4"/>
  <c r="D45" i="1" s="1"/>
  <c r="D43" i="4"/>
  <c r="F15" i="1" s="1"/>
  <c r="G43" i="4"/>
  <c r="F60" i="1" s="1"/>
  <c r="E41" i="4"/>
  <c r="H30" i="1" s="1"/>
  <c r="E42" i="4"/>
  <c r="D30" i="1" s="1"/>
  <c r="C41" i="4"/>
  <c r="D41" i="4"/>
  <c r="H15" i="1" s="1"/>
  <c r="C42" i="4"/>
  <c r="D42" i="4"/>
  <c r="D15" i="1" s="1"/>
  <c r="K53" i="1" l="1"/>
  <c r="K38" i="1"/>
  <c r="K23" i="1"/>
  <c r="K8" i="1"/>
  <c r="K57" i="1"/>
  <c r="K42" i="1"/>
  <c r="K27" i="1"/>
  <c r="K12" i="1"/>
  <c r="C23" i="3" l="1"/>
  <c r="C31" i="3" l="1"/>
  <c r="C35" i="3" s="1"/>
  <c r="K56" i="1" s="1"/>
  <c r="K60" i="1" s="1"/>
  <c r="C29" i="3"/>
  <c r="C28" i="3"/>
  <c r="C32" i="3" s="1"/>
  <c r="K11" i="1" s="1"/>
  <c r="K15" i="1" s="1"/>
  <c r="C33" i="3" l="1"/>
  <c r="K26" i="1" s="1"/>
  <c r="K30" i="1" s="1"/>
  <c r="C30" i="3"/>
  <c r="C34" i="3" s="1"/>
  <c r="K41" i="1" s="1"/>
  <c r="K45" i="1" s="1"/>
  <c r="J58" i="1" l="1"/>
  <c r="J43" i="1"/>
  <c r="J12" i="1"/>
  <c r="J57" i="1" s="1"/>
  <c r="C36" i="2"/>
  <c r="J15" i="1" s="1"/>
  <c r="C35" i="2"/>
  <c r="J11" i="1" s="1"/>
  <c r="K59" i="1"/>
  <c r="K44" i="1"/>
  <c r="K29" i="1"/>
  <c r="C20" i="2"/>
  <c r="C19" i="2"/>
  <c r="C9" i="2"/>
  <c r="J27" i="1" l="1"/>
  <c r="J29" i="1" s="1"/>
  <c r="J42" i="1"/>
  <c r="J44" i="1" s="1"/>
  <c r="J14" i="1"/>
  <c r="J26" i="1"/>
  <c r="J56" i="1"/>
  <c r="J41" i="1"/>
  <c r="J45" i="1"/>
  <c r="J60" i="1"/>
  <c r="J30" i="1"/>
  <c r="J59" i="1"/>
  <c r="J3" i="1"/>
  <c r="K14" i="1"/>
  <c r="J48" i="1" l="1"/>
  <c r="J33" i="1"/>
  <c r="J18" i="1"/>
</calcChain>
</file>

<file path=xl/sharedStrings.xml><?xml version="1.0" encoding="utf-8"?>
<sst xmlns="http://schemas.openxmlformats.org/spreadsheetml/2006/main" count="306" uniqueCount="127">
  <si>
    <t>Resource</t>
  </si>
  <si>
    <t>unit</t>
  </si>
  <si>
    <t>Coal</t>
  </si>
  <si>
    <t>Biomass</t>
  </si>
  <si>
    <t>Oil</t>
  </si>
  <si>
    <t>Electricity</t>
  </si>
  <si>
    <t>Gas</t>
  </si>
  <si>
    <t>Biogas</t>
  </si>
  <si>
    <t>SMR</t>
  </si>
  <si>
    <t>Electrolyser</t>
  </si>
  <si>
    <t>CO2</t>
  </si>
  <si>
    <t>Water</t>
  </si>
  <si>
    <t>hydrogen</t>
  </si>
  <si>
    <t>t</t>
  </si>
  <si>
    <t>gas</t>
  </si>
  <si>
    <t>coal</t>
  </si>
  <si>
    <t>biomass</t>
  </si>
  <si>
    <t>oil</t>
  </si>
  <si>
    <t>electricity</t>
  </si>
  <si>
    <t>MWh</t>
  </si>
  <si>
    <t>Emissions</t>
  </si>
  <si>
    <t>tCO2</t>
  </si>
  <si>
    <t>capex</t>
  </si>
  <si>
    <t>€</t>
  </si>
  <si>
    <t>lifetime</t>
  </si>
  <si>
    <t>yrs</t>
  </si>
  <si>
    <t>discount_rate</t>
  </si>
  <si>
    <t>CRF</t>
  </si>
  <si>
    <t>flow_cost</t>
  </si>
  <si>
    <t>water</t>
  </si>
  <si>
    <t>Inputs steam</t>
  </si>
  <si>
    <t>Energy</t>
  </si>
  <si>
    <t>Unit</t>
  </si>
  <si>
    <t>Value</t>
  </si>
  <si>
    <t>Input main process</t>
  </si>
  <si>
    <t>Energy (gas)</t>
  </si>
  <si>
    <t>kg/kg H2</t>
  </si>
  <si>
    <t>Inefficient boiling process (50 %) because flue gas is reused in the main process</t>
  </si>
  <si>
    <t>Source</t>
  </si>
  <si>
    <t>https://www.researchgate.net/publication/316889324_Life_Cycle_Assessment_of_Simulated_Hydrogen_Production_by_Methane_Steam_Reforming</t>
  </si>
  <si>
    <t>kg oil eq/kg H2</t>
  </si>
  <si>
    <t>Values to be set</t>
  </si>
  <si>
    <t>Steam</t>
  </si>
  <si>
    <t>t/MWh H2</t>
  </si>
  <si>
    <t>MWh/MWh H2</t>
  </si>
  <si>
    <t>MWh/t steam</t>
  </si>
  <si>
    <t>Year</t>
  </si>
  <si>
    <t>Sources</t>
  </si>
  <si>
    <t>Physical data</t>
  </si>
  <si>
    <t>Economic data</t>
  </si>
  <si>
    <t>Lee, S.; Kim, H.S.; Park, J.; Kang, B.M.; Cho, C.-H.; Lim, H.; Won, W. Scenario-Based Techno-Economic Analysis of Steam Methane Reforming Process for Hydrogen Production. Appl. Sci. 2021, 11, 6021. https://doi.org/10.3390/app11136021</t>
  </si>
  <si>
    <t>Data</t>
  </si>
  <si>
    <t>kg/day</t>
  </si>
  <si>
    <t>CAPEX</t>
  </si>
  <si>
    <t>$</t>
  </si>
  <si>
    <t>Plant H2 production</t>
  </si>
  <si>
    <t>Plant CAPEX</t>
  </si>
  <si>
    <t>Plant OPEX</t>
  </si>
  <si>
    <t>Plant lifetime</t>
  </si>
  <si>
    <t>years</t>
  </si>
  <si>
    <t>Dollar-Euro rate</t>
  </si>
  <si>
    <t>€/$</t>
  </si>
  <si>
    <t>€/MWh H2</t>
  </si>
  <si>
    <t>OPEX</t>
  </si>
  <si>
    <t>Assumptions</t>
  </si>
  <si>
    <t>Load factor</t>
  </si>
  <si>
    <t>%</t>
  </si>
  <si>
    <t>Results</t>
  </si>
  <si>
    <t>€/(MWh H2/year)</t>
  </si>
  <si>
    <t>$/year</t>
  </si>
  <si>
    <t>IEA, Future of hydrogen p. 45</t>
  </si>
  <si>
    <t>https://iea.blob.core.windows.net/assets/9e3a3493-b9a6-4b7d-b499-7ca48e357561/The_Future_of_Hydrogen.pdf</t>
  </si>
  <si>
    <t>PEM electrolysis cost</t>
  </si>
  <si>
    <t>€/kW</t>
  </si>
  <si>
    <t>Value min</t>
  </si>
  <si>
    <t>Value max</t>
  </si>
  <si>
    <t>$/kW</t>
  </si>
  <si>
    <t>PEM electrolysis efficiency</t>
  </si>
  <si>
    <t>Assumed</t>
  </si>
  <si>
    <t>hour/year</t>
  </si>
  <si>
    <t>Assumed costs</t>
  </si>
  <si>
    <t>% CAPEX</t>
  </si>
  <si>
    <t>Source PEPS 4</t>
  </si>
  <si>
    <t>PEM electrolyser lifetime</t>
  </si>
  <si>
    <t>hour</t>
  </si>
  <si>
    <t>Assumed lifetime</t>
  </si>
  <si>
    <t>year</t>
  </si>
  <si>
    <t>IEA</t>
  </si>
  <si>
    <t>https://www.iea.org/reports/world-energy-model/macro-drivers</t>
  </si>
  <si>
    <t>Scenario announced pledges</t>
  </si>
  <si>
    <t>Gaz</t>
  </si>
  <si>
    <t>$/Mbtu</t>
  </si>
  <si>
    <t>$/t</t>
  </si>
  <si>
    <t>$/barrel</t>
  </si>
  <si>
    <t>Crude oil</t>
  </si>
  <si>
    <t>Prices</t>
  </si>
  <si>
    <t>€/MWh</t>
  </si>
  <si>
    <t>For biomass</t>
  </si>
  <si>
    <t>MTES, SDES</t>
  </si>
  <si>
    <t>https://www.statistiques.developpement-durable.gouv.fr/edition-numerique/bilan-energetique-2020/6-15-le-prix-du-bois</t>
  </si>
  <si>
    <t>Water use</t>
  </si>
  <si>
    <t>Water cooling</t>
  </si>
  <si>
    <t>Process</t>
  </si>
  <si>
    <t>Parameter</t>
  </si>
  <si>
    <t>Green gas production per year</t>
  </si>
  <si>
    <t>Investment costs</t>
  </si>
  <si>
    <t>Fixed O&amp;M costs per year</t>
  </si>
  <si>
    <t>Feedstock (waste) costs</t>
  </si>
  <si>
    <t>GJ</t>
  </si>
  <si>
    <t>M€2019</t>
  </si>
  <si>
    <t>€2019/GJ</t>
  </si>
  <si>
    <t>https://www.pbl.nl/en/publications/decarbonisation-options-for-the-dutch-ceramic-industry</t>
  </si>
  <si>
    <t>Assumptions biogas</t>
  </si>
  <si>
    <t>Lifetime plant</t>
  </si>
  <si>
    <t>Discount rate</t>
  </si>
  <si>
    <t>Biogas cost</t>
  </si>
  <si>
    <t>General assumption</t>
  </si>
  <si>
    <t>For biogas and biomass gasification</t>
  </si>
  <si>
    <t>Biomass gasification</t>
  </si>
  <si>
    <t>Assumptions biomass</t>
  </si>
  <si>
    <t>Efficiency</t>
  </si>
  <si>
    <t>O&amp;M</t>
  </si>
  <si>
    <t>€/(MWh/year)</t>
  </si>
  <si>
    <t>Assumed values</t>
  </si>
  <si>
    <t>Gasifier</t>
  </si>
  <si>
    <t>syngas</t>
  </si>
  <si>
    <t>TNO (Netherlands), PNL (Dutch environment agency)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</si>
</sst>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9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1" fillId="2" borderId="0" xfId="0" applyFont="1" applyFill="1"/>
    <xf numFmtId="0" fontId="0" fillId="3" borderId="1" xfId="0" applyFill="1" applyBorder="1"/>
    <xf numFmtId="0" fontId="0" fillId="3" borderId="1" xfId="0" applyNumberFormat="1" applyFill="1" applyBorder="1"/>
    <xf numFmtId="0" fontId="0" fillId="3" borderId="0" xfId="0" applyNumberFormat="1" applyFill="1"/>
    <xf numFmtId="0" fontId="0" fillId="4" borderId="1" xfId="0" applyNumberFormat="1" applyFill="1" applyBorder="1"/>
    <xf numFmtId="0" fontId="0" fillId="5" borderId="1" xfId="0" applyNumberFormat="1" applyFill="1" applyBorder="1"/>
    <xf numFmtId="0" fontId="0" fillId="6" borderId="1" xfId="0" applyNumberFormat="1" applyFill="1" applyBorder="1"/>
    <xf numFmtId="0" fontId="0" fillId="6" borderId="0" xfId="0" applyNumberFormat="1" applyFill="1"/>
    <xf numFmtId="9" fontId="0" fillId="0" borderId="0" xfId="0" applyNumberFormat="1"/>
    <xf numFmtId="0" fontId="2" fillId="0" borderId="0" xfId="1"/>
    <xf numFmtId="0" fontId="0" fillId="0" borderId="0" xfId="0" applyNumberFormat="1"/>
    <xf numFmtId="0" fontId="4" fillId="0" borderId="0" xfId="0" applyFont="1"/>
    <xf numFmtId="0" fontId="0" fillId="3" borderId="0" xfId="0" applyNumberFormat="1" applyFill="1" applyBorder="1"/>
    <xf numFmtId="0" fontId="0" fillId="6" borderId="0" xfId="0" applyNumberFormat="1" applyFill="1" applyBorder="1"/>
    <xf numFmtId="0" fontId="0" fillId="4" borderId="0" xfId="0" applyNumberFormat="1" applyFill="1" applyBorder="1"/>
  </cellXfs>
  <cellStyles count="2">
    <cellStyle name="Lien hypertexte" xfId="1" builtinId="8"/>
    <cellStyle name="Normal" xfId="0" builtinId="0"/>
  </cellStyles>
  <dxfs count="16">
    <dxf>
      <numFmt numFmtId="0" formatCode="General"/>
      <fill>
        <patternFill patternType="solid">
          <fgColor indexed="64"/>
          <bgColor theme="9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/>
        </top>
        <bottom/>
        <vertical/>
        <horizontal/>
      </border>
    </dxf>
    <dxf>
      <border outline="0">
        <left style="thin">
          <color theme="9"/>
        </left>
        <right style="thin">
          <color theme="9"/>
        </right>
        <top style="thin">
          <color theme="9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FB8FA86-0062-9D44-A741-D7733BAF5D9A}" name="Tableau3" displayName="Tableau3" ref="B1:N16" totalsRowShown="0" headerRowDxfId="15" dataDxfId="14" tableBorderDxfId="13">
  <autoFilter ref="B1:N16" xr:uid="{BFB8FA86-0062-9D44-A741-D7733BAF5D9A}"/>
  <tableColumns count="13">
    <tableColumn id="1" xr3:uid="{8EAC2659-2596-834B-8707-5C1FF7141ACC}" name="Resource" dataDxfId="12"/>
    <tableColumn id="4" xr3:uid="{34817525-0B91-854D-A12A-54CEDC23A972}" name="unit" dataDxfId="11"/>
    <tableColumn id="31" xr3:uid="{CBDF9CF0-AA18-B14A-9356-77A662682386}" name="Coal" dataDxfId="10"/>
    <tableColumn id="30" xr3:uid="{76F59FCF-48C0-7B4A-8CAB-165DC6C4718E}" name="Biomass" dataDxfId="9"/>
    <tableColumn id="29" xr3:uid="{F2624750-5C07-2A40-84E7-D3B113C83AD3}" name="Oil" dataDxfId="8"/>
    <tableColumn id="33" xr3:uid="{52D8B3A4-7F6A-8749-8007-4E27E1A6B214}" name="Electricity" dataDxfId="7"/>
    <tableColumn id="32" xr3:uid="{2D0C4BC1-9A0C-7947-B35D-C0663B1ACA43}" name="Gas" dataDxfId="6"/>
    <tableColumn id="34" xr3:uid="{A911930A-A8F7-514A-B548-26EADD2FC039}" name="Biogas" dataDxfId="5"/>
    <tableColumn id="26" xr3:uid="{AECCD544-B8AD-6145-9FCC-107F8758FBE6}" name="SMR" dataDxfId="4"/>
    <tableColumn id="5" xr3:uid="{A697C6B7-8168-1647-91CD-DE61DBF1E347}" name="Electrolyser" dataDxfId="3"/>
    <tableColumn id="6" xr3:uid="{80496743-8CAF-BB4A-A90D-F7F08F1BADA2}" name="Gasifier" dataDxfId="0"/>
    <tableColumn id="2" xr3:uid="{CF1444B7-7F83-EA4F-9DFC-3A5DE9EAEA72}" name="CO2" dataDxfId="2"/>
    <tableColumn id="3" xr3:uid="{B092CC01-61CD-E341-A57D-A9C430CCB318}" name="Water" dataDxfId="1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iea.blob.core.windows.net/assets/9e3a3493-b9a6-4b7d-b499-7ca48e357561/The_Future_of_Hydrogen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6795A-4862-7E43-B968-F8A4B88FDB40}">
  <dimension ref="A1:N61"/>
  <sheetViews>
    <sheetView tabSelected="1" workbookViewId="0">
      <selection activeCell="P12" sqref="P12"/>
    </sheetView>
  </sheetViews>
  <sheetFormatPr baseColWidth="10" defaultRowHeight="16" x14ac:dyDescent="0.2"/>
  <sheetData>
    <row r="1" spans="1:14" x14ac:dyDescent="0.2">
      <c r="A1" s="1" t="s">
        <v>46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124</v>
      </c>
      <c r="M1" s="1" t="s">
        <v>10</v>
      </c>
      <c r="N1" s="1" t="s">
        <v>11</v>
      </c>
    </row>
    <row r="2" spans="1:14" x14ac:dyDescent="0.2">
      <c r="A2" s="2">
        <v>2015</v>
      </c>
      <c r="B2" s="2" t="s">
        <v>12</v>
      </c>
      <c r="C2" s="2" t="s">
        <v>19</v>
      </c>
      <c r="D2" s="3"/>
      <c r="E2" s="3"/>
      <c r="F2" s="3"/>
      <c r="G2" s="3"/>
      <c r="H2" s="3"/>
      <c r="I2" s="3"/>
      <c r="J2" s="3">
        <v>-1</v>
      </c>
      <c r="K2" s="3">
        <v>-1</v>
      </c>
      <c r="L2" s="13"/>
      <c r="M2" s="4"/>
      <c r="N2" s="4"/>
    </row>
    <row r="3" spans="1:14" x14ac:dyDescent="0.2">
      <c r="A3" s="2">
        <v>2015</v>
      </c>
      <c r="B3" s="2" t="s">
        <v>14</v>
      </c>
      <c r="C3" s="2" t="s">
        <v>19</v>
      </c>
      <c r="D3" s="3"/>
      <c r="E3" s="3"/>
      <c r="F3" s="3"/>
      <c r="G3" s="3"/>
      <c r="H3" s="3">
        <v>-1</v>
      </c>
      <c r="I3" s="3">
        <v>-1</v>
      </c>
      <c r="J3" s="3">
        <f>'Steam methane reforming'!C20+'Steam methane reforming'!C19*'Steam methane reforming'!C9</f>
        <v>1.2026760267602676</v>
      </c>
      <c r="K3" s="3"/>
      <c r="L3" s="13"/>
      <c r="M3" s="4"/>
      <c r="N3" s="4"/>
    </row>
    <row r="4" spans="1:14" x14ac:dyDescent="0.2">
      <c r="A4" s="2">
        <v>2015</v>
      </c>
      <c r="B4" s="2" t="s">
        <v>125</v>
      </c>
      <c r="C4" s="2" t="s">
        <v>19</v>
      </c>
      <c r="D4" s="3"/>
      <c r="E4" s="3"/>
      <c r="F4" s="3"/>
      <c r="G4" s="3"/>
      <c r="H4" s="3"/>
      <c r="I4" s="3"/>
      <c r="J4" s="3"/>
      <c r="K4" s="3"/>
      <c r="L4" s="13">
        <v>-1</v>
      </c>
      <c r="M4" s="4"/>
      <c r="N4" s="4"/>
    </row>
    <row r="5" spans="1:14" x14ac:dyDescent="0.2">
      <c r="A5" s="2">
        <v>2015</v>
      </c>
      <c r="B5" s="2" t="s">
        <v>15</v>
      </c>
      <c r="C5" s="2" t="s">
        <v>19</v>
      </c>
      <c r="D5" s="3">
        <v>-1</v>
      </c>
      <c r="E5" s="3"/>
      <c r="F5" s="3"/>
      <c r="G5" s="3"/>
      <c r="H5" s="3"/>
      <c r="I5" s="3"/>
      <c r="J5" s="3"/>
      <c r="K5" s="3"/>
      <c r="L5" s="13"/>
      <c r="M5" s="4"/>
      <c r="N5" s="4"/>
    </row>
    <row r="6" spans="1:14" x14ac:dyDescent="0.2">
      <c r="A6" s="2">
        <v>2015</v>
      </c>
      <c r="B6" s="2" t="s">
        <v>16</v>
      </c>
      <c r="C6" s="2" t="s">
        <v>19</v>
      </c>
      <c r="D6" s="3"/>
      <c r="E6" s="3">
        <v>-1</v>
      </c>
      <c r="F6" s="3"/>
      <c r="G6" s="3"/>
      <c r="H6" s="3"/>
      <c r="I6" s="3"/>
      <c r="J6" s="3"/>
      <c r="K6" s="3"/>
      <c r="L6" s="13">
        <f>-L4/'Energy prices'!C28</f>
        <v>1.5384615384615383</v>
      </c>
      <c r="M6" s="4"/>
      <c r="N6" s="4"/>
    </row>
    <row r="7" spans="1:14" x14ac:dyDescent="0.2">
      <c r="A7" s="2">
        <v>2015</v>
      </c>
      <c r="B7" s="2" t="s">
        <v>17</v>
      </c>
      <c r="C7" s="2" t="s">
        <v>19</v>
      </c>
      <c r="D7" s="3"/>
      <c r="E7" s="3"/>
      <c r="F7" s="3">
        <v>-1</v>
      </c>
      <c r="G7" s="3"/>
      <c r="H7" s="3"/>
      <c r="I7" s="3"/>
      <c r="J7" s="3"/>
      <c r="K7" s="3"/>
      <c r="L7" s="13"/>
      <c r="M7" s="4"/>
      <c r="N7" s="4"/>
    </row>
    <row r="8" spans="1:14" x14ac:dyDescent="0.2">
      <c r="A8" s="2">
        <v>2015</v>
      </c>
      <c r="B8" s="2" t="s">
        <v>18</v>
      </c>
      <c r="C8" s="2" t="s">
        <v>19</v>
      </c>
      <c r="D8" s="3"/>
      <c r="E8" s="3"/>
      <c r="F8" s="3"/>
      <c r="G8" s="3">
        <v>-1</v>
      </c>
      <c r="H8" s="3"/>
      <c r="I8" s="3"/>
      <c r="J8" s="3"/>
      <c r="K8" s="3">
        <f>-K2/'H2 electrolysis'!E12</f>
        <v>1.6666666666666667</v>
      </c>
      <c r="L8" s="13"/>
      <c r="M8" s="4"/>
      <c r="N8" s="4"/>
    </row>
    <row r="9" spans="1:14" x14ac:dyDescent="0.2">
      <c r="A9" s="2">
        <v>2015</v>
      </c>
      <c r="B9" s="2" t="s">
        <v>10</v>
      </c>
      <c r="C9" s="2" t="s">
        <v>13</v>
      </c>
      <c r="D9" s="3"/>
      <c r="E9" s="3"/>
      <c r="F9" s="3"/>
      <c r="G9" s="3"/>
      <c r="H9" s="3"/>
      <c r="I9" s="3"/>
      <c r="J9" s="3"/>
      <c r="K9" s="3"/>
      <c r="L9" s="13"/>
      <c r="M9" s="4">
        <v>-1</v>
      </c>
      <c r="N9" s="4"/>
    </row>
    <row r="10" spans="1:14" x14ac:dyDescent="0.2">
      <c r="A10" s="2">
        <v>2015</v>
      </c>
      <c r="B10" s="2" t="s">
        <v>20</v>
      </c>
      <c r="C10" s="2" t="s">
        <v>21</v>
      </c>
      <c r="D10" s="3">
        <v>0.374</v>
      </c>
      <c r="E10" s="3">
        <v>1.6400000000000001E-2</v>
      </c>
      <c r="F10" s="4">
        <v>0.32700000000000001</v>
      </c>
      <c r="G10" s="3">
        <v>0.06</v>
      </c>
      <c r="H10" s="4">
        <v>0.22700000000000001</v>
      </c>
      <c r="I10" s="3">
        <v>4.41E-2</v>
      </c>
      <c r="J10" s="3"/>
      <c r="K10" s="3"/>
      <c r="L10" s="13"/>
      <c r="M10" s="4">
        <v>-1</v>
      </c>
      <c r="N10" s="4"/>
    </row>
    <row r="11" spans="1:14" x14ac:dyDescent="0.2">
      <c r="A11" s="2">
        <v>2015</v>
      </c>
      <c r="B11" s="2" t="s">
        <v>22</v>
      </c>
      <c r="C11" s="2" t="s">
        <v>23</v>
      </c>
      <c r="D11" s="3"/>
      <c r="E11" s="3"/>
      <c r="F11" s="3"/>
      <c r="G11" s="3"/>
      <c r="H11" s="3"/>
      <c r="I11" s="3"/>
      <c r="J11" s="6">
        <f>'Steam methane reforming'!C35</f>
        <v>148.45234275371266</v>
      </c>
      <c r="K11" s="7">
        <f>'H2 electrolysis'!C32</f>
        <v>540</v>
      </c>
      <c r="L11" s="14">
        <f>'Energy prices'!C34</f>
        <v>361.01083032490976</v>
      </c>
      <c r="M11" s="4"/>
      <c r="N11" s="4"/>
    </row>
    <row r="12" spans="1:14" x14ac:dyDescent="0.2">
      <c r="A12" s="2">
        <v>2015</v>
      </c>
      <c r="B12" s="2" t="s">
        <v>24</v>
      </c>
      <c r="C12" s="2" t="s">
        <v>25</v>
      </c>
      <c r="D12" s="3"/>
      <c r="E12" s="3"/>
      <c r="F12" s="3"/>
      <c r="G12" s="3"/>
      <c r="H12" s="3"/>
      <c r="I12" s="3"/>
      <c r="J12" s="6">
        <f>'Steam methane reforming'!C28</f>
        <v>20</v>
      </c>
      <c r="K12" s="5">
        <f>'H2 electrolysis'!C38</f>
        <v>10</v>
      </c>
      <c r="L12" s="15">
        <v>20</v>
      </c>
      <c r="M12" s="4"/>
      <c r="N12" s="4"/>
    </row>
    <row r="13" spans="1:14" x14ac:dyDescent="0.2">
      <c r="A13" s="2">
        <v>2015</v>
      </c>
      <c r="B13" s="2" t="s">
        <v>26</v>
      </c>
      <c r="C13" s="2"/>
      <c r="D13" s="3"/>
      <c r="E13" s="3"/>
      <c r="F13" s="3"/>
      <c r="G13" s="3"/>
      <c r="H13" s="3"/>
      <c r="I13" s="3"/>
      <c r="J13" s="5">
        <v>0.1</v>
      </c>
      <c r="K13" s="5">
        <v>0.1</v>
      </c>
      <c r="L13" s="15">
        <v>0.1</v>
      </c>
      <c r="M13" s="4"/>
      <c r="N13" s="4"/>
    </row>
    <row r="14" spans="1:14" x14ac:dyDescent="0.2">
      <c r="A14" s="2">
        <v>2015</v>
      </c>
      <c r="B14" s="2" t="s">
        <v>27</v>
      </c>
      <c r="C14" s="2"/>
      <c r="D14" s="3"/>
      <c r="E14" s="3"/>
      <c r="F14" s="3"/>
      <c r="G14" s="3"/>
      <c r="H14" s="3"/>
      <c r="I14" s="3"/>
      <c r="J14" s="6">
        <f>(J13*(1+J13)^J12/((1+J13)^J12-1))</f>
        <v>0.11745962477254576</v>
      </c>
      <c r="K14" s="3">
        <f>(K13*(1+K13)^K12/((1+K13)^K12-1))</f>
        <v>0.16274539488251155</v>
      </c>
      <c r="L14" s="3">
        <f>(L13*(1+L13)^L12/((1+L13)^L12-1))</f>
        <v>0.11745962477254576</v>
      </c>
      <c r="M14" s="4"/>
      <c r="N14" s="4"/>
    </row>
    <row r="15" spans="1:14" x14ac:dyDescent="0.2">
      <c r="A15" s="2">
        <v>2015</v>
      </c>
      <c r="B15" s="2" t="s">
        <v>28</v>
      </c>
      <c r="C15" s="2" t="s">
        <v>23</v>
      </c>
      <c r="D15" s="3">
        <f>'Energy prices'!D42</f>
        <v>4.8648648648648658</v>
      </c>
      <c r="E15" s="5">
        <f>'Energy prices'!D44</f>
        <v>15</v>
      </c>
      <c r="F15" s="3">
        <f>'Energy prices'!D43</f>
        <v>23.215821152192603</v>
      </c>
      <c r="G15" s="3">
        <v>60</v>
      </c>
      <c r="H15" s="3">
        <f>'Energy prices'!D41</f>
        <v>12.901023890784984</v>
      </c>
      <c r="I15" s="3">
        <f>'Energy prices'!D45</f>
        <v>63.47704960121699</v>
      </c>
      <c r="J15" s="6">
        <f>'Steam methane reforming'!C36</f>
        <v>29.793574396314131</v>
      </c>
      <c r="K15" s="3">
        <f>K11*0.04</f>
        <v>21.6</v>
      </c>
      <c r="L15" s="13">
        <f>'Energy prices'!C35</f>
        <v>25.404465837678835</v>
      </c>
      <c r="M15" s="4"/>
      <c r="N15" s="8">
        <v>1.5</v>
      </c>
    </row>
    <row r="16" spans="1:14" x14ac:dyDescent="0.2">
      <c r="A16" s="2">
        <v>2015</v>
      </c>
      <c r="B16" s="2" t="s">
        <v>29</v>
      </c>
      <c r="C16" s="2" t="s">
        <v>13</v>
      </c>
      <c r="D16" s="3"/>
      <c r="E16" s="3"/>
      <c r="F16" s="3"/>
      <c r="G16" s="3"/>
      <c r="H16" s="3"/>
      <c r="I16" s="3"/>
      <c r="J16" s="3">
        <f>'Steam methane reforming'!C21</f>
        <v>14.226142261422615</v>
      </c>
      <c r="K16" s="3">
        <f>9/33.333</f>
        <v>0.27000270002700028</v>
      </c>
      <c r="L16" s="13"/>
      <c r="M16" s="4"/>
      <c r="N16" s="4">
        <v>-1</v>
      </c>
    </row>
    <row r="17" spans="1:14" x14ac:dyDescent="0.2">
      <c r="A17" s="2">
        <v>2030</v>
      </c>
      <c r="B17" s="2" t="s">
        <v>12</v>
      </c>
      <c r="C17" s="2" t="s">
        <v>19</v>
      </c>
      <c r="D17" s="3"/>
      <c r="E17" s="3"/>
      <c r="F17" s="3"/>
      <c r="G17" s="3"/>
      <c r="H17" s="3"/>
      <c r="I17" s="3"/>
      <c r="J17" s="3">
        <v>-1</v>
      </c>
      <c r="K17" s="3">
        <v>-1</v>
      </c>
      <c r="L17" s="13"/>
      <c r="M17" s="4"/>
      <c r="N17" s="4"/>
    </row>
    <row r="18" spans="1:14" x14ac:dyDescent="0.2">
      <c r="A18" s="2">
        <v>2030</v>
      </c>
      <c r="B18" s="2" t="s">
        <v>14</v>
      </c>
      <c r="C18" s="2" t="s">
        <v>19</v>
      </c>
      <c r="D18" s="3"/>
      <c r="E18" s="3"/>
      <c r="F18" s="3"/>
      <c r="G18" s="3"/>
      <c r="H18" s="3">
        <v>-1</v>
      </c>
      <c r="I18" s="3">
        <v>-1</v>
      </c>
      <c r="J18" s="3">
        <f>J3</f>
        <v>1.2026760267602676</v>
      </c>
      <c r="K18" s="3"/>
      <c r="L18" s="13"/>
      <c r="M18" s="4"/>
      <c r="N18" s="4"/>
    </row>
    <row r="19" spans="1:14" x14ac:dyDescent="0.2">
      <c r="A19" s="2">
        <v>2030</v>
      </c>
      <c r="B19" s="2" t="s">
        <v>125</v>
      </c>
      <c r="C19" s="2" t="s">
        <v>19</v>
      </c>
      <c r="D19" s="3"/>
      <c r="E19" s="3"/>
      <c r="F19" s="3"/>
      <c r="G19" s="3"/>
      <c r="H19" s="3"/>
      <c r="I19" s="3"/>
      <c r="J19" s="3"/>
      <c r="K19" s="3"/>
      <c r="L19" s="13">
        <f>L$4</f>
        <v>-1</v>
      </c>
      <c r="M19" s="4"/>
      <c r="N19" s="4"/>
    </row>
    <row r="20" spans="1:14" x14ac:dyDescent="0.2">
      <c r="A20" s="2">
        <v>2030</v>
      </c>
      <c r="B20" s="2" t="s">
        <v>15</v>
      </c>
      <c r="C20" s="2" t="s">
        <v>19</v>
      </c>
      <c r="D20" s="3">
        <v>-1</v>
      </c>
      <c r="E20" s="3"/>
      <c r="F20" s="3"/>
      <c r="G20" s="3"/>
      <c r="H20" s="3"/>
      <c r="I20" s="3"/>
      <c r="J20" s="3"/>
      <c r="K20" s="3"/>
      <c r="L20" s="13"/>
      <c r="M20" s="4"/>
      <c r="N20" s="4"/>
    </row>
    <row r="21" spans="1:14" x14ac:dyDescent="0.2">
      <c r="A21" s="2">
        <v>2030</v>
      </c>
      <c r="B21" s="2" t="s">
        <v>16</v>
      </c>
      <c r="C21" s="2" t="s">
        <v>19</v>
      </c>
      <c r="D21" s="3"/>
      <c r="E21" s="3">
        <v>-1</v>
      </c>
      <c r="F21" s="3"/>
      <c r="G21" s="3"/>
      <c r="H21" s="3"/>
      <c r="I21" s="3"/>
      <c r="J21" s="3"/>
      <c r="K21" s="3"/>
      <c r="L21" s="13">
        <f>L$6</f>
        <v>1.5384615384615383</v>
      </c>
      <c r="M21" s="4"/>
      <c r="N21" s="4"/>
    </row>
    <row r="22" spans="1:14" x14ac:dyDescent="0.2">
      <c r="A22" s="2">
        <v>2030</v>
      </c>
      <c r="B22" s="2" t="s">
        <v>17</v>
      </c>
      <c r="C22" s="2" t="s">
        <v>19</v>
      </c>
      <c r="D22" s="3"/>
      <c r="E22" s="3"/>
      <c r="F22" s="3">
        <v>-1</v>
      </c>
      <c r="G22" s="3"/>
      <c r="H22" s="3"/>
      <c r="I22" s="3"/>
      <c r="J22" s="3"/>
      <c r="K22" s="3"/>
      <c r="L22" s="13"/>
      <c r="M22" s="4"/>
      <c r="N22" s="4"/>
    </row>
    <row r="23" spans="1:14" x14ac:dyDescent="0.2">
      <c r="A23" s="2">
        <v>2030</v>
      </c>
      <c r="B23" s="2" t="s">
        <v>18</v>
      </c>
      <c r="C23" s="2" t="s">
        <v>19</v>
      </c>
      <c r="D23" s="3"/>
      <c r="E23" s="3"/>
      <c r="F23" s="3"/>
      <c r="G23" s="3">
        <v>-1</v>
      </c>
      <c r="H23" s="3"/>
      <c r="I23" s="3"/>
      <c r="J23" s="3"/>
      <c r="K23" s="3">
        <f>-K17/'H2 electrolysis'!E13</f>
        <v>1.5384615384615383</v>
      </c>
      <c r="L23" s="13"/>
      <c r="M23" s="4"/>
      <c r="N23" s="4"/>
    </row>
    <row r="24" spans="1:14" x14ac:dyDescent="0.2">
      <c r="A24" s="2">
        <v>2030</v>
      </c>
      <c r="B24" s="2" t="s">
        <v>10</v>
      </c>
      <c r="C24" s="2" t="s">
        <v>13</v>
      </c>
      <c r="D24" s="3"/>
      <c r="E24" s="3"/>
      <c r="F24" s="3"/>
      <c r="G24" s="3"/>
      <c r="H24" s="3"/>
      <c r="I24" s="3"/>
      <c r="J24" s="3"/>
      <c r="K24" s="3"/>
      <c r="L24" s="13"/>
      <c r="M24" s="4">
        <v>-1</v>
      </c>
      <c r="N24" s="4"/>
    </row>
    <row r="25" spans="1:14" x14ac:dyDescent="0.2">
      <c r="A25" s="2">
        <v>2030</v>
      </c>
      <c r="B25" s="2" t="s">
        <v>20</v>
      </c>
      <c r="C25" s="2" t="s">
        <v>21</v>
      </c>
      <c r="D25" s="3">
        <v>0.374</v>
      </c>
      <c r="E25" s="3">
        <v>1.6400000000000001E-2</v>
      </c>
      <c r="F25" s="4">
        <v>0.32700000000000001</v>
      </c>
      <c r="G25" s="3">
        <v>0.06</v>
      </c>
      <c r="H25" s="4">
        <v>0.22700000000000001</v>
      </c>
      <c r="I25" s="3">
        <v>4.41E-2</v>
      </c>
      <c r="J25" s="3"/>
      <c r="K25" s="3"/>
      <c r="L25" s="13"/>
      <c r="M25" s="4">
        <v>-1</v>
      </c>
      <c r="N25" s="4"/>
    </row>
    <row r="26" spans="1:14" x14ac:dyDescent="0.2">
      <c r="A26" s="2">
        <v>2030</v>
      </c>
      <c r="B26" s="2" t="s">
        <v>22</v>
      </c>
      <c r="C26" s="2" t="s">
        <v>23</v>
      </c>
      <c r="D26" s="3"/>
      <c r="E26" s="3"/>
      <c r="F26" s="3"/>
      <c r="G26" s="3"/>
      <c r="H26" s="3"/>
      <c r="I26" s="3"/>
      <c r="J26" s="6">
        <f>J11</f>
        <v>148.45234275371266</v>
      </c>
      <c r="K26" s="7">
        <f>'H2 electrolysis'!C33</f>
        <v>415.38461538461536</v>
      </c>
      <c r="L26" s="14">
        <f>L$11</f>
        <v>361.01083032490976</v>
      </c>
      <c r="M26" s="4"/>
      <c r="N26" s="4"/>
    </row>
    <row r="27" spans="1:14" x14ac:dyDescent="0.2">
      <c r="A27" s="2">
        <v>2030</v>
      </c>
      <c r="B27" s="2" t="s">
        <v>24</v>
      </c>
      <c r="C27" s="2" t="s">
        <v>25</v>
      </c>
      <c r="D27" s="3"/>
      <c r="E27" s="3"/>
      <c r="F27" s="3"/>
      <c r="G27" s="3"/>
      <c r="H27" s="3"/>
      <c r="I27" s="3"/>
      <c r="J27" s="6">
        <f>J12</f>
        <v>20</v>
      </c>
      <c r="K27" s="5">
        <f>'H2 electrolysis'!C39</f>
        <v>15</v>
      </c>
      <c r="L27" s="15">
        <f>L$12</f>
        <v>20</v>
      </c>
      <c r="M27" s="4"/>
      <c r="N27" s="4"/>
    </row>
    <row r="28" spans="1:14" x14ac:dyDescent="0.2">
      <c r="A28" s="2">
        <v>2030</v>
      </c>
      <c r="B28" s="2" t="s">
        <v>26</v>
      </c>
      <c r="C28" s="2"/>
      <c r="D28" s="3"/>
      <c r="E28" s="3"/>
      <c r="F28" s="3"/>
      <c r="G28" s="3"/>
      <c r="H28" s="3"/>
      <c r="I28" s="3"/>
      <c r="J28" s="5">
        <v>0.1</v>
      </c>
      <c r="K28" s="5">
        <v>0.1</v>
      </c>
      <c r="L28" s="15">
        <f>L$13</f>
        <v>0.1</v>
      </c>
      <c r="M28" s="4"/>
      <c r="N28" s="4"/>
    </row>
    <row r="29" spans="1:14" x14ac:dyDescent="0.2">
      <c r="A29" s="2">
        <v>2030</v>
      </c>
      <c r="B29" s="2" t="s">
        <v>27</v>
      </c>
      <c r="C29" s="2"/>
      <c r="D29" s="3"/>
      <c r="E29" s="3"/>
      <c r="F29" s="3"/>
      <c r="G29" s="3"/>
      <c r="H29" s="3"/>
      <c r="I29" s="3"/>
      <c r="J29" s="6">
        <f>(J28*(1+J28)^J27/((1+J28)^J27-1))</f>
        <v>0.11745962477254576</v>
      </c>
      <c r="K29" s="3">
        <f>(K28*(1+K28)^K27/((1+K28)^K27-1))</f>
        <v>0.13147377688737219</v>
      </c>
      <c r="L29" s="3">
        <f>(L28*(1+L28)^L27/((1+L28)^L27-1))</f>
        <v>0.11745962477254576</v>
      </c>
      <c r="M29" s="4"/>
      <c r="N29" s="4"/>
    </row>
    <row r="30" spans="1:14" x14ac:dyDescent="0.2">
      <c r="A30" s="2">
        <v>2030</v>
      </c>
      <c r="B30" s="2" t="s">
        <v>28</v>
      </c>
      <c r="C30" s="2" t="s">
        <v>23</v>
      </c>
      <c r="D30" s="3">
        <f>'Energy prices'!E42</f>
        <v>6.4216216216216235</v>
      </c>
      <c r="E30" s="5">
        <f>'Energy prices'!E44</f>
        <v>15</v>
      </c>
      <c r="F30" s="3">
        <f>'Energy prices'!E43</f>
        <v>37.034762314212017</v>
      </c>
      <c r="G30" s="3">
        <v>60</v>
      </c>
      <c r="H30" s="3">
        <f>'Energy prices'!E41</f>
        <v>19.96587030716724</v>
      </c>
      <c r="I30" s="3">
        <f>'Energy prices'!E45</f>
        <v>63.47704960121699</v>
      </c>
      <c r="J30" s="6">
        <f>J15</f>
        <v>29.793574396314131</v>
      </c>
      <c r="K30" s="3">
        <f>Input!K26*0.04</f>
        <v>16.615384615384613</v>
      </c>
      <c r="L30" s="13">
        <f>L15</f>
        <v>25.404465837678835</v>
      </c>
      <c r="M30" s="4"/>
      <c r="N30" s="8">
        <v>1.5</v>
      </c>
    </row>
    <row r="31" spans="1:14" x14ac:dyDescent="0.2">
      <c r="A31" s="2">
        <v>2030</v>
      </c>
      <c r="B31" s="2" t="s">
        <v>29</v>
      </c>
      <c r="C31" s="2" t="s">
        <v>13</v>
      </c>
      <c r="D31" s="3"/>
      <c r="E31" s="3"/>
      <c r="F31" s="3"/>
      <c r="G31" s="3"/>
      <c r="H31" s="3"/>
      <c r="I31" s="3"/>
      <c r="J31" s="3">
        <f>J16</f>
        <v>14.226142261422615</v>
      </c>
      <c r="K31" s="3">
        <f>K16</f>
        <v>0.27000270002700028</v>
      </c>
      <c r="L31" s="13"/>
      <c r="M31" s="4"/>
      <c r="N31" s="4">
        <v>-1</v>
      </c>
    </row>
    <row r="32" spans="1:14" x14ac:dyDescent="0.2">
      <c r="A32" s="2">
        <v>2040</v>
      </c>
      <c r="B32" s="2" t="s">
        <v>12</v>
      </c>
      <c r="C32" s="2" t="s">
        <v>19</v>
      </c>
      <c r="D32" s="3"/>
      <c r="E32" s="3"/>
      <c r="F32" s="3"/>
      <c r="G32" s="3"/>
      <c r="H32" s="3"/>
      <c r="I32" s="3"/>
      <c r="J32" s="3">
        <v>-1</v>
      </c>
      <c r="K32" s="3">
        <v>-1</v>
      </c>
      <c r="L32" s="13"/>
      <c r="M32" s="4"/>
      <c r="N32" s="4"/>
    </row>
    <row r="33" spans="1:14" x14ac:dyDescent="0.2">
      <c r="A33" s="2">
        <v>2040</v>
      </c>
      <c r="B33" s="2" t="s">
        <v>14</v>
      </c>
      <c r="C33" s="2" t="s">
        <v>19</v>
      </c>
      <c r="D33" s="3"/>
      <c r="E33" s="3"/>
      <c r="F33" s="3"/>
      <c r="G33" s="3"/>
      <c r="H33" s="3">
        <v>-1</v>
      </c>
      <c r="I33" s="3">
        <v>-1</v>
      </c>
      <c r="J33" s="3">
        <f>J3</f>
        <v>1.2026760267602676</v>
      </c>
      <c r="K33" s="3"/>
      <c r="L33" s="13"/>
      <c r="M33" s="4"/>
      <c r="N33" s="4"/>
    </row>
    <row r="34" spans="1:14" x14ac:dyDescent="0.2">
      <c r="A34" s="2">
        <v>2040</v>
      </c>
      <c r="B34" s="2" t="s">
        <v>125</v>
      </c>
      <c r="C34" s="2" t="s">
        <v>19</v>
      </c>
      <c r="D34" s="3"/>
      <c r="E34" s="3"/>
      <c r="F34" s="3"/>
      <c r="G34" s="3"/>
      <c r="H34" s="3"/>
      <c r="I34" s="3"/>
      <c r="J34" s="3"/>
      <c r="K34" s="3"/>
      <c r="L34" s="13">
        <f>L$4</f>
        <v>-1</v>
      </c>
      <c r="M34" s="4"/>
      <c r="N34" s="4"/>
    </row>
    <row r="35" spans="1:14" x14ac:dyDescent="0.2">
      <c r="A35" s="2">
        <v>2040</v>
      </c>
      <c r="B35" s="2" t="s">
        <v>15</v>
      </c>
      <c r="C35" s="2" t="s">
        <v>19</v>
      </c>
      <c r="D35" s="3">
        <v>-1</v>
      </c>
      <c r="E35" s="3"/>
      <c r="F35" s="3"/>
      <c r="G35" s="3"/>
      <c r="H35" s="3"/>
      <c r="I35" s="3"/>
      <c r="J35" s="3"/>
      <c r="K35" s="3"/>
      <c r="L35" s="13"/>
      <c r="M35" s="4"/>
      <c r="N35" s="4"/>
    </row>
    <row r="36" spans="1:14" x14ac:dyDescent="0.2">
      <c r="A36" s="2">
        <v>2040</v>
      </c>
      <c r="B36" s="2" t="s">
        <v>16</v>
      </c>
      <c r="C36" s="2" t="s">
        <v>19</v>
      </c>
      <c r="D36" s="3"/>
      <c r="E36" s="3">
        <v>-1</v>
      </c>
      <c r="F36" s="3"/>
      <c r="G36" s="3"/>
      <c r="H36" s="3"/>
      <c r="I36" s="3"/>
      <c r="J36" s="3"/>
      <c r="K36" s="3"/>
      <c r="L36" s="13">
        <f>L$6</f>
        <v>1.5384615384615383</v>
      </c>
      <c r="M36" s="4"/>
      <c r="N36" s="4"/>
    </row>
    <row r="37" spans="1:14" x14ac:dyDescent="0.2">
      <c r="A37" s="2">
        <v>2040</v>
      </c>
      <c r="B37" s="2" t="s">
        <v>17</v>
      </c>
      <c r="C37" s="2" t="s">
        <v>19</v>
      </c>
      <c r="D37" s="3"/>
      <c r="E37" s="3"/>
      <c r="F37" s="3">
        <v>-1</v>
      </c>
      <c r="G37" s="3"/>
      <c r="H37" s="3"/>
      <c r="I37" s="3"/>
      <c r="J37" s="3"/>
      <c r="K37" s="3"/>
      <c r="L37" s="13"/>
      <c r="M37" s="4"/>
      <c r="N37" s="4"/>
    </row>
    <row r="38" spans="1:14" x14ac:dyDescent="0.2">
      <c r="A38" s="2">
        <v>2040</v>
      </c>
      <c r="B38" s="2" t="s">
        <v>18</v>
      </c>
      <c r="C38" s="2" t="s">
        <v>19</v>
      </c>
      <c r="D38" s="3"/>
      <c r="E38" s="3"/>
      <c r="F38" s="3"/>
      <c r="G38" s="3">
        <v>-1</v>
      </c>
      <c r="H38" s="3"/>
      <c r="I38" s="3"/>
      <c r="J38" s="3"/>
      <c r="K38" s="3">
        <f>-K32/'H2 electrolysis'!E14</f>
        <v>1.4285714285714286</v>
      </c>
      <c r="L38" s="13"/>
      <c r="M38" s="4"/>
      <c r="N38" s="4"/>
    </row>
    <row r="39" spans="1:14" x14ac:dyDescent="0.2">
      <c r="A39" s="2">
        <v>2040</v>
      </c>
      <c r="B39" s="2" t="s">
        <v>10</v>
      </c>
      <c r="C39" s="2" t="s">
        <v>13</v>
      </c>
      <c r="D39" s="3"/>
      <c r="E39" s="3"/>
      <c r="F39" s="3"/>
      <c r="G39" s="3"/>
      <c r="H39" s="3"/>
      <c r="I39" s="3"/>
      <c r="J39" s="3"/>
      <c r="K39" s="3"/>
      <c r="L39" s="13"/>
      <c r="M39" s="4">
        <v>-1</v>
      </c>
      <c r="N39" s="4"/>
    </row>
    <row r="40" spans="1:14" x14ac:dyDescent="0.2">
      <c r="A40" s="2">
        <v>2040</v>
      </c>
      <c r="B40" s="2" t="s">
        <v>20</v>
      </c>
      <c r="C40" s="2" t="s">
        <v>21</v>
      </c>
      <c r="D40" s="3">
        <v>0.374</v>
      </c>
      <c r="E40" s="3">
        <v>1.6400000000000001E-2</v>
      </c>
      <c r="F40" s="4">
        <v>0.32700000000000001</v>
      </c>
      <c r="G40" s="3">
        <v>0.06</v>
      </c>
      <c r="H40" s="4">
        <v>0.22700000000000001</v>
      </c>
      <c r="I40" s="3">
        <v>4.41E-2</v>
      </c>
      <c r="J40" s="3"/>
      <c r="K40" s="3"/>
      <c r="L40" s="13"/>
      <c r="M40" s="4">
        <v>-1</v>
      </c>
      <c r="N40" s="4"/>
    </row>
    <row r="41" spans="1:14" x14ac:dyDescent="0.2">
      <c r="A41" s="2">
        <v>2040</v>
      </c>
      <c r="B41" s="2" t="s">
        <v>22</v>
      </c>
      <c r="C41" s="2" t="s">
        <v>23</v>
      </c>
      <c r="D41" s="3"/>
      <c r="E41" s="3"/>
      <c r="F41" s="3"/>
      <c r="G41" s="3"/>
      <c r="H41" s="3"/>
      <c r="I41" s="3"/>
      <c r="J41" s="6">
        <f>J11</f>
        <v>148.45234275371266</v>
      </c>
      <c r="K41" s="7">
        <f>'H2 electrolysis'!C34</f>
        <v>308.57142857142856</v>
      </c>
      <c r="L41" s="14">
        <f>L$11</f>
        <v>361.01083032490976</v>
      </c>
      <c r="M41" s="4"/>
      <c r="N41" s="4"/>
    </row>
    <row r="42" spans="1:14" x14ac:dyDescent="0.2">
      <c r="A42" s="2">
        <v>2040</v>
      </c>
      <c r="B42" s="2" t="s">
        <v>24</v>
      </c>
      <c r="C42" s="2" t="s">
        <v>25</v>
      </c>
      <c r="D42" s="3"/>
      <c r="E42" s="3"/>
      <c r="F42" s="3"/>
      <c r="G42" s="3"/>
      <c r="H42" s="3"/>
      <c r="I42" s="3"/>
      <c r="J42" s="6">
        <f>J12</f>
        <v>20</v>
      </c>
      <c r="K42" s="5">
        <f>'H2 electrolysis'!C40</f>
        <v>15</v>
      </c>
      <c r="L42" s="15">
        <f>L$12</f>
        <v>20</v>
      </c>
      <c r="M42" s="4"/>
      <c r="N42" s="4"/>
    </row>
    <row r="43" spans="1:14" x14ac:dyDescent="0.2">
      <c r="A43" s="2">
        <v>2040</v>
      </c>
      <c r="B43" s="2" t="s">
        <v>26</v>
      </c>
      <c r="C43" s="2"/>
      <c r="D43" s="3"/>
      <c r="E43" s="3"/>
      <c r="F43" s="3"/>
      <c r="G43" s="3"/>
      <c r="H43" s="3"/>
      <c r="I43" s="3"/>
      <c r="J43" s="5">
        <f>J13</f>
        <v>0.1</v>
      </c>
      <c r="K43" s="5">
        <v>0.1</v>
      </c>
      <c r="L43" s="15">
        <f>L$13</f>
        <v>0.1</v>
      </c>
      <c r="M43" s="4"/>
      <c r="N43" s="4"/>
    </row>
    <row r="44" spans="1:14" x14ac:dyDescent="0.2">
      <c r="A44" s="2">
        <v>2040</v>
      </c>
      <c r="B44" s="2" t="s">
        <v>27</v>
      </c>
      <c r="C44" s="2"/>
      <c r="D44" s="3"/>
      <c r="E44" s="3"/>
      <c r="F44" s="3"/>
      <c r="G44" s="3"/>
      <c r="H44" s="3"/>
      <c r="I44" s="3"/>
      <c r="J44" s="6">
        <f>(J43*(1+J43)^J42/((1+J43)^J42-1))</f>
        <v>0.11745962477254576</v>
      </c>
      <c r="K44" s="3">
        <f>(K43*(1+K43)^K42/((1+K43)^K42-1))</f>
        <v>0.13147377688737219</v>
      </c>
      <c r="L44" s="3">
        <f>(L43*(1+L43)^L42/((1+L43)^L42-1))</f>
        <v>0.11745962477254576</v>
      </c>
      <c r="M44" s="4"/>
      <c r="N44" s="4"/>
    </row>
    <row r="45" spans="1:14" x14ac:dyDescent="0.2">
      <c r="A45" s="2">
        <v>2040</v>
      </c>
      <c r="B45" s="2" t="s">
        <v>28</v>
      </c>
      <c r="C45" s="2" t="s">
        <v>23</v>
      </c>
      <c r="D45" s="3">
        <f>'Energy prices'!F42</f>
        <v>5.9351351351351358</v>
      </c>
      <c r="E45" s="5">
        <f>'Energy prices'!F44</f>
        <v>15</v>
      </c>
      <c r="F45" s="3">
        <f>'Energy prices'!F43</f>
        <v>36.205625844490847</v>
      </c>
      <c r="G45" s="3">
        <v>60</v>
      </c>
      <c r="H45" s="3">
        <f>'Energy prices'!F41</f>
        <v>19.96587030716724</v>
      </c>
      <c r="I45" s="3">
        <f>'Energy prices'!F45</f>
        <v>63.47704960121699</v>
      </c>
      <c r="J45" s="6">
        <f>J15</f>
        <v>29.793574396314131</v>
      </c>
      <c r="K45" s="3">
        <f>Input!K41*0.04</f>
        <v>12.342857142857142</v>
      </c>
      <c r="L45" s="13">
        <f>L30</f>
        <v>25.404465837678835</v>
      </c>
      <c r="M45" s="4"/>
      <c r="N45" s="8">
        <v>1.5</v>
      </c>
    </row>
    <row r="46" spans="1:14" x14ac:dyDescent="0.2">
      <c r="A46" s="2">
        <v>2040</v>
      </c>
      <c r="B46" s="2" t="s">
        <v>29</v>
      </c>
      <c r="C46" s="2" t="s">
        <v>13</v>
      </c>
      <c r="D46" s="3"/>
      <c r="E46" s="3"/>
      <c r="F46" s="3"/>
      <c r="G46" s="3"/>
      <c r="H46" s="3"/>
      <c r="I46" s="3"/>
      <c r="J46" s="3">
        <f>J16</f>
        <v>14.226142261422615</v>
      </c>
      <c r="K46" s="3">
        <f>K16</f>
        <v>0.27000270002700028</v>
      </c>
      <c r="L46" s="13"/>
      <c r="M46" s="4"/>
      <c r="N46" s="4">
        <v>-1</v>
      </c>
    </row>
    <row r="47" spans="1:14" x14ac:dyDescent="0.2">
      <c r="A47" s="2">
        <v>2050</v>
      </c>
      <c r="B47" s="2" t="s">
        <v>12</v>
      </c>
      <c r="C47" s="2" t="s">
        <v>19</v>
      </c>
      <c r="D47" s="3"/>
      <c r="E47" s="3"/>
      <c r="F47" s="3"/>
      <c r="G47" s="3"/>
      <c r="H47" s="3"/>
      <c r="I47" s="3"/>
      <c r="J47" s="3">
        <v>-1</v>
      </c>
      <c r="K47" s="3">
        <v>-1</v>
      </c>
      <c r="L47" s="13"/>
      <c r="M47" s="4"/>
      <c r="N47" s="4"/>
    </row>
    <row r="48" spans="1:14" x14ac:dyDescent="0.2">
      <c r="A48" s="2">
        <v>2050</v>
      </c>
      <c r="B48" s="2" t="s">
        <v>14</v>
      </c>
      <c r="C48" s="2" t="s">
        <v>19</v>
      </c>
      <c r="D48" s="3"/>
      <c r="E48" s="3"/>
      <c r="F48" s="3"/>
      <c r="G48" s="3"/>
      <c r="H48" s="3">
        <v>-1</v>
      </c>
      <c r="I48" s="3">
        <v>-1</v>
      </c>
      <c r="J48" s="3">
        <f>J3</f>
        <v>1.2026760267602676</v>
      </c>
      <c r="K48" s="3"/>
      <c r="L48" s="13"/>
      <c r="M48" s="4"/>
      <c r="N48" s="4"/>
    </row>
    <row r="49" spans="1:14" x14ac:dyDescent="0.2">
      <c r="A49" s="2">
        <v>2050</v>
      </c>
      <c r="B49" s="2" t="s">
        <v>125</v>
      </c>
      <c r="C49" s="2" t="s">
        <v>19</v>
      </c>
      <c r="D49" s="3"/>
      <c r="E49" s="3"/>
      <c r="F49" s="3"/>
      <c r="G49" s="3"/>
      <c r="H49" s="3"/>
      <c r="I49" s="3"/>
      <c r="J49" s="3"/>
      <c r="K49" s="3"/>
      <c r="L49" s="13">
        <f>L$4</f>
        <v>-1</v>
      </c>
      <c r="M49" s="4"/>
      <c r="N49" s="4"/>
    </row>
    <row r="50" spans="1:14" x14ac:dyDescent="0.2">
      <c r="A50" s="2">
        <v>2050</v>
      </c>
      <c r="B50" s="2" t="s">
        <v>15</v>
      </c>
      <c r="C50" s="2" t="s">
        <v>19</v>
      </c>
      <c r="D50" s="3">
        <v>-1</v>
      </c>
      <c r="E50" s="3"/>
      <c r="F50" s="3"/>
      <c r="G50" s="3"/>
      <c r="H50" s="3"/>
      <c r="I50" s="3"/>
      <c r="J50" s="3"/>
      <c r="K50" s="3"/>
      <c r="L50" s="13"/>
      <c r="M50" s="4"/>
      <c r="N50" s="4"/>
    </row>
    <row r="51" spans="1:14" x14ac:dyDescent="0.2">
      <c r="A51" s="2">
        <v>2050</v>
      </c>
      <c r="B51" s="2" t="s">
        <v>16</v>
      </c>
      <c r="C51" s="2" t="s">
        <v>19</v>
      </c>
      <c r="D51" s="3"/>
      <c r="E51" s="3">
        <v>-1</v>
      </c>
      <c r="F51" s="3"/>
      <c r="G51" s="3"/>
      <c r="H51" s="3"/>
      <c r="I51" s="3"/>
      <c r="J51" s="3"/>
      <c r="K51" s="3"/>
      <c r="L51" s="13">
        <f>L$6</f>
        <v>1.5384615384615383</v>
      </c>
      <c r="M51" s="4"/>
      <c r="N51" s="4"/>
    </row>
    <row r="52" spans="1:14" x14ac:dyDescent="0.2">
      <c r="A52" s="2">
        <v>2050</v>
      </c>
      <c r="B52" s="2" t="s">
        <v>17</v>
      </c>
      <c r="C52" s="2" t="s">
        <v>19</v>
      </c>
      <c r="D52" s="3"/>
      <c r="E52" s="3"/>
      <c r="F52" s="3">
        <v>-1</v>
      </c>
      <c r="G52" s="3"/>
      <c r="H52" s="3"/>
      <c r="I52" s="3"/>
      <c r="J52" s="3"/>
      <c r="K52" s="3"/>
      <c r="L52" s="13"/>
      <c r="M52" s="4"/>
      <c r="N52" s="4"/>
    </row>
    <row r="53" spans="1:14" x14ac:dyDescent="0.2">
      <c r="A53" s="2">
        <v>2050</v>
      </c>
      <c r="B53" s="2" t="s">
        <v>18</v>
      </c>
      <c r="C53" s="2" t="s">
        <v>19</v>
      </c>
      <c r="D53" s="3"/>
      <c r="E53" s="3"/>
      <c r="F53" s="3"/>
      <c r="G53" s="3">
        <v>-1</v>
      </c>
      <c r="H53" s="3"/>
      <c r="I53" s="3"/>
      <c r="J53" s="3"/>
      <c r="K53" s="3">
        <f>-K47/'H2 electrolysis'!E14</f>
        <v>1.4285714285714286</v>
      </c>
      <c r="L53" s="13"/>
      <c r="M53" s="4"/>
      <c r="N53" s="4"/>
    </row>
    <row r="54" spans="1:14" x14ac:dyDescent="0.2">
      <c r="A54" s="2">
        <v>2050</v>
      </c>
      <c r="B54" s="2" t="s">
        <v>10</v>
      </c>
      <c r="C54" s="2" t="s">
        <v>13</v>
      </c>
      <c r="D54" s="3"/>
      <c r="E54" s="3"/>
      <c r="F54" s="3"/>
      <c r="G54" s="3"/>
      <c r="H54" s="3"/>
      <c r="I54" s="3"/>
      <c r="J54" s="3"/>
      <c r="K54" s="3"/>
      <c r="L54" s="13"/>
      <c r="M54" s="4">
        <v>-1</v>
      </c>
      <c r="N54" s="4"/>
    </row>
    <row r="55" spans="1:14" x14ac:dyDescent="0.2">
      <c r="A55" s="2">
        <v>2050</v>
      </c>
      <c r="B55" s="2" t="s">
        <v>20</v>
      </c>
      <c r="C55" s="2" t="s">
        <v>21</v>
      </c>
      <c r="D55" s="3">
        <v>0.374</v>
      </c>
      <c r="E55" s="3">
        <v>1.6400000000000001E-2</v>
      </c>
      <c r="F55" s="4">
        <v>0.32700000000000001</v>
      </c>
      <c r="G55" s="3">
        <v>0.06</v>
      </c>
      <c r="H55" s="4">
        <v>0.22700000000000001</v>
      </c>
      <c r="I55" s="3">
        <v>4.41E-2</v>
      </c>
      <c r="J55" s="3"/>
      <c r="K55" s="3"/>
      <c r="L55" s="13"/>
      <c r="M55" s="4">
        <v>-1</v>
      </c>
      <c r="N55" s="4"/>
    </row>
    <row r="56" spans="1:14" x14ac:dyDescent="0.2">
      <c r="A56" s="2">
        <v>2050</v>
      </c>
      <c r="B56" s="2" t="s">
        <v>22</v>
      </c>
      <c r="C56" s="2" t="s">
        <v>23</v>
      </c>
      <c r="D56" s="3"/>
      <c r="E56" s="3"/>
      <c r="F56" s="3"/>
      <c r="G56" s="3"/>
      <c r="H56" s="3"/>
      <c r="I56" s="3"/>
      <c r="J56" s="6">
        <f>J11</f>
        <v>148.45234275371266</v>
      </c>
      <c r="K56" s="7">
        <f>'H2 electrolysis'!C35</f>
        <v>231.42857142857142</v>
      </c>
      <c r="L56" s="14">
        <f>L$11</f>
        <v>361.01083032490976</v>
      </c>
      <c r="M56" s="4"/>
      <c r="N56" s="4"/>
    </row>
    <row r="57" spans="1:14" x14ac:dyDescent="0.2">
      <c r="A57" s="2">
        <v>2050</v>
      </c>
      <c r="B57" s="2" t="s">
        <v>24</v>
      </c>
      <c r="C57" s="2" t="s">
        <v>25</v>
      </c>
      <c r="D57" s="3"/>
      <c r="E57" s="3"/>
      <c r="F57" s="3"/>
      <c r="G57" s="3"/>
      <c r="H57" s="3"/>
      <c r="I57" s="3"/>
      <c r="J57" s="6">
        <f>J12</f>
        <v>20</v>
      </c>
      <c r="K57" s="5">
        <f>'H2 electrolysis'!C41</f>
        <v>15</v>
      </c>
      <c r="L57" s="15">
        <f>L$12</f>
        <v>20</v>
      </c>
      <c r="M57" s="4"/>
      <c r="N57" s="4"/>
    </row>
    <row r="58" spans="1:14" x14ac:dyDescent="0.2">
      <c r="A58" s="2">
        <v>2050</v>
      </c>
      <c r="B58" s="2" t="s">
        <v>26</v>
      </c>
      <c r="C58" s="2"/>
      <c r="D58" s="3"/>
      <c r="E58" s="3"/>
      <c r="F58" s="3"/>
      <c r="G58" s="3"/>
      <c r="H58" s="3"/>
      <c r="I58" s="3"/>
      <c r="J58" s="5">
        <f>J13</f>
        <v>0.1</v>
      </c>
      <c r="K58" s="5">
        <v>0.1</v>
      </c>
      <c r="L58" s="15">
        <f>L$13</f>
        <v>0.1</v>
      </c>
      <c r="M58" s="4"/>
      <c r="N58" s="4"/>
    </row>
    <row r="59" spans="1:14" x14ac:dyDescent="0.2">
      <c r="A59" s="2">
        <v>2050</v>
      </c>
      <c r="B59" s="2" t="s">
        <v>27</v>
      </c>
      <c r="C59" s="2"/>
      <c r="D59" s="3"/>
      <c r="E59" s="3"/>
      <c r="F59" s="3"/>
      <c r="G59" s="3"/>
      <c r="H59" s="3"/>
      <c r="I59" s="3"/>
      <c r="J59" s="6">
        <f>(J58*(1+J58)^J57/((1+J58)^J57-1))</f>
        <v>0.11745962477254576</v>
      </c>
      <c r="K59" s="3">
        <f>(K58*(1+K58)^K57/((1+K58)^K57-1))</f>
        <v>0.13147377688737219</v>
      </c>
      <c r="L59" s="3">
        <f>(L58*(1+L58)^L57/((1+L58)^L57-1))</f>
        <v>0.11745962477254576</v>
      </c>
      <c r="M59" s="4"/>
      <c r="N59" s="4"/>
    </row>
    <row r="60" spans="1:14" x14ac:dyDescent="0.2">
      <c r="A60" s="2">
        <v>2050</v>
      </c>
      <c r="B60" s="2" t="s">
        <v>28</v>
      </c>
      <c r="C60" s="2" t="s">
        <v>23</v>
      </c>
      <c r="D60" s="3">
        <f>'Energy prices'!G42</f>
        <v>5.4486486486486498</v>
      </c>
      <c r="E60" s="5">
        <f>'Energy prices'!G44</f>
        <v>15</v>
      </c>
      <c r="F60" s="3">
        <f>'Energy prices'!G43</f>
        <v>35.376489374769683</v>
      </c>
      <c r="G60" s="3">
        <v>60</v>
      </c>
      <c r="H60" s="3">
        <f>'Energy prices'!G41</f>
        <v>19.96587030716724</v>
      </c>
      <c r="I60" s="3">
        <f>'Energy prices'!G45</f>
        <v>63.47704960121699</v>
      </c>
      <c r="J60" s="6">
        <f>J15</f>
        <v>29.793574396314131</v>
      </c>
      <c r="K60" s="3">
        <f>Input!K56*0.04</f>
        <v>9.2571428571428562</v>
      </c>
      <c r="L60" s="13">
        <f>L45</f>
        <v>25.404465837678835</v>
      </c>
      <c r="M60" s="4"/>
      <c r="N60" s="8">
        <v>1.5</v>
      </c>
    </row>
    <row r="61" spans="1:14" x14ac:dyDescent="0.2">
      <c r="A61" s="2">
        <v>2050</v>
      </c>
      <c r="B61" s="2" t="s">
        <v>29</v>
      </c>
      <c r="C61" s="2" t="s">
        <v>13</v>
      </c>
      <c r="D61" s="3"/>
      <c r="E61" s="3"/>
      <c r="F61" s="3"/>
      <c r="G61" s="3"/>
      <c r="H61" s="3"/>
      <c r="I61" s="3"/>
      <c r="J61" s="3">
        <f>J16</f>
        <v>14.226142261422615</v>
      </c>
      <c r="K61" s="3">
        <f>K16</f>
        <v>0.27000270002700028</v>
      </c>
      <c r="L61" s="13"/>
      <c r="M61" s="4"/>
      <c r="N61" s="4">
        <v>-1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BC158-4AD0-634F-B817-8D81FC7990D9}">
  <dimension ref="A1:D36"/>
  <sheetViews>
    <sheetView topLeftCell="A5" workbookViewId="0">
      <selection activeCell="C22" sqref="C22"/>
    </sheetView>
  </sheetViews>
  <sheetFormatPr baseColWidth="10" defaultRowHeight="16" x14ac:dyDescent="0.2"/>
  <sheetData>
    <row r="1" spans="1:4" x14ac:dyDescent="0.2">
      <c r="A1" t="s">
        <v>47</v>
      </c>
    </row>
    <row r="2" spans="1:4" x14ac:dyDescent="0.2">
      <c r="A2" t="s">
        <v>48</v>
      </c>
      <c r="B2" t="s">
        <v>39</v>
      </c>
    </row>
    <row r="3" spans="1:4" x14ac:dyDescent="0.2">
      <c r="A3" t="s">
        <v>49</v>
      </c>
      <c r="B3" t="s">
        <v>50</v>
      </c>
    </row>
    <row r="5" spans="1:4" x14ac:dyDescent="0.2">
      <c r="A5" t="s">
        <v>48</v>
      </c>
    </row>
    <row r="6" spans="1:4" x14ac:dyDescent="0.2">
      <c r="A6" t="s">
        <v>30</v>
      </c>
      <c r="B6" t="s">
        <v>32</v>
      </c>
      <c r="C6" t="s">
        <v>33</v>
      </c>
    </row>
    <row r="7" spans="1:4" x14ac:dyDescent="0.2">
      <c r="A7" t="s">
        <v>35</v>
      </c>
      <c r="B7" t="s">
        <v>40</v>
      </c>
      <c r="C7">
        <v>1.4</v>
      </c>
      <c r="D7" t="s">
        <v>37</v>
      </c>
    </row>
    <row r="8" spans="1:4" x14ac:dyDescent="0.2">
      <c r="A8" t="s">
        <v>11</v>
      </c>
      <c r="B8" t="s">
        <v>36</v>
      </c>
      <c r="C8">
        <v>6.4</v>
      </c>
    </row>
    <row r="9" spans="1:4" x14ac:dyDescent="0.2">
      <c r="A9" t="s">
        <v>31</v>
      </c>
      <c r="B9" t="s">
        <v>45</v>
      </c>
      <c r="C9">
        <f>C7*11.63/C8</f>
        <v>2.5440624999999999</v>
      </c>
    </row>
    <row r="11" spans="1:4" x14ac:dyDescent="0.2">
      <c r="A11" t="s">
        <v>34</v>
      </c>
      <c r="B11" t="s">
        <v>32</v>
      </c>
    </row>
    <row r="12" spans="1:4" x14ac:dyDescent="0.2">
      <c r="A12" t="s">
        <v>6</v>
      </c>
      <c r="B12" t="s">
        <v>36</v>
      </c>
      <c r="C12">
        <v>2.04</v>
      </c>
    </row>
    <row r="14" spans="1:4" x14ac:dyDescent="0.2">
      <c r="A14" t="s">
        <v>100</v>
      </c>
    </row>
    <row r="15" spans="1:4" x14ac:dyDescent="0.2">
      <c r="A15" t="s">
        <v>101</v>
      </c>
      <c r="B15" t="s">
        <v>36</v>
      </c>
      <c r="C15">
        <v>386</v>
      </c>
    </row>
    <row r="16" spans="1:4" x14ac:dyDescent="0.2">
      <c r="A16" t="s">
        <v>102</v>
      </c>
      <c r="B16" t="s">
        <v>36</v>
      </c>
      <c r="C16">
        <v>88.2</v>
      </c>
    </row>
    <row r="18" spans="1:3" x14ac:dyDescent="0.2">
      <c r="A18" t="s">
        <v>41</v>
      </c>
      <c r="B18" t="s">
        <v>32</v>
      </c>
    </row>
    <row r="19" spans="1:3" x14ac:dyDescent="0.2">
      <c r="A19" t="s">
        <v>42</v>
      </c>
      <c r="B19" t="s">
        <v>43</v>
      </c>
      <c r="C19">
        <f>C8/33.333</f>
        <v>0.19200192001920022</v>
      </c>
    </row>
    <row r="20" spans="1:3" x14ac:dyDescent="0.2">
      <c r="A20" t="s">
        <v>6</v>
      </c>
      <c r="B20" t="s">
        <v>44</v>
      </c>
      <c r="C20">
        <f>C12*11.67/33.333</f>
        <v>0.71421114211142112</v>
      </c>
    </row>
    <row r="21" spans="1:3" x14ac:dyDescent="0.2">
      <c r="A21" t="s">
        <v>100</v>
      </c>
      <c r="B21" t="s">
        <v>43</v>
      </c>
      <c r="C21">
        <f>(C15+C16)/33.333</f>
        <v>14.226142261422615</v>
      </c>
    </row>
    <row r="23" spans="1:3" x14ac:dyDescent="0.2">
      <c r="A23" t="s">
        <v>49</v>
      </c>
    </row>
    <row r="24" spans="1:3" x14ac:dyDescent="0.2">
      <c r="A24" t="s">
        <v>51</v>
      </c>
      <c r="B24" t="s">
        <v>32</v>
      </c>
      <c r="C24" t="s">
        <v>33</v>
      </c>
    </row>
    <row r="25" spans="1:3" x14ac:dyDescent="0.2">
      <c r="A25" t="s">
        <v>55</v>
      </c>
      <c r="B25" t="s">
        <v>52</v>
      </c>
      <c r="C25">
        <v>500</v>
      </c>
    </row>
    <row r="26" spans="1:3" x14ac:dyDescent="0.2">
      <c r="A26" t="s">
        <v>56</v>
      </c>
      <c r="B26" t="s">
        <v>54</v>
      </c>
      <c r="C26">
        <v>902182</v>
      </c>
    </row>
    <row r="27" spans="1:3" x14ac:dyDescent="0.2">
      <c r="A27" t="s">
        <v>57</v>
      </c>
      <c r="B27" t="s">
        <v>69</v>
      </c>
      <c r="C27">
        <v>181063</v>
      </c>
    </row>
    <row r="28" spans="1:3" x14ac:dyDescent="0.2">
      <c r="A28" t="s">
        <v>58</v>
      </c>
      <c r="B28" t="s">
        <v>59</v>
      </c>
      <c r="C28">
        <v>20</v>
      </c>
    </row>
    <row r="30" spans="1:3" x14ac:dyDescent="0.2">
      <c r="A30" t="s">
        <v>64</v>
      </c>
    </row>
    <row r="31" spans="1:3" x14ac:dyDescent="0.2">
      <c r="A31" t="s">
        <v>60</v>
      </c>
      <c r="B31" t="s">
        <v>61</v>
      </c>
      <c r="C31">
        <v>0.9</v>
      </c>
    </row>
    <row r="32" spans="1:3" x14ac:dyDescent="0.2">
      <c r="A32" t="s">
        <v>65</v>
      </c>
      <c r="B32" t="s">
        <v>66</v>
      </c>
      <c r="C32" s="9">
        <v>0.9</v>
      </c>
    </row>
    <row r="33" spans="1:3" x14ac:dyDescent="0.2">
      <c r="C33" s="9"/>
    </row>
    <row r="34" spans="1:3" x14ac:dyDescent="0.2">
      <c r="A34" t="s">
        <v>67</v>
      </c>
      <c r="C34" s="9"/>
    </row>
    <row r="35" spans="1:3" x14ac:dyDescent="0.2">
      <c r="A35" t="s">
        <v>53</v>
      </c>
      <c r="B35" t="s">
        <v>68</v>
      </c>
      <c r="C35">
        <f>C26*C31/(C25*365*C32*33.3)*1000</f>
        <v>148.45234275371266</v>
      </c>
    </row>
    <row r="36" spans="1:3" x14ac:dyDescent="0.2">
      <c r="A36" t="s">
        <v>63</v>
      </c>
      <c r="B36" t="s">
        <v>62</v>
      </c>
      <c r="C36">
        <f>C27*C31/(C25*365*C32*33.3)*1000</f>
        <v>29.793574396314131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9B5DC-854B-9341-B836-B2D555C44BDC}">
  <dimension ref="A1:E41"/>
  <sheetViews>
    <sheetView topLeftCell="A10" workbookViewId="0">
      <selection activeCell="F39" sqref="F39"/>
    </sheetView>
  </sheetViews>
  <sheetFormatPr baseColWidth="10" defaultRowHeight="16" x14ac:dyDescent="0.2"/>
  <sheetData>
    <row r="1" spans="1:5" x14ac:dyDescent="0.2">
      <c r="A1" t="s">
        <v>38</v>
      </c>
    </row>
    <row r="2" spans="1:5" x14ac:dyDescent="0.2">
      <c r="A2" t="s">
        <v>70</v>
      </c>
      <c r="B2" s="10" t="s">
        <v>71</v>
      </c>
    </row>
    <row r="4" spans="1:5" x14ac:dyDescent="0.2">
      <c r="A4" t="s">
        <v>72</v>
      </c>
    </row>
    <row r="5" spans="1:5" x14ac:dyDescent="0.2">
      <c r="A5" t="s">
        <v>46</v>
      </c>
      <c r="B5" t="s">
        <v>32</v>
      </c>
      <c r="C5" t="s">
        <v>74</v>
      </c>
      <c r="D5" t="s">
        <v>75</v>
      </c>
    </row>
    <row r="6" spans="1:5" x14ac:dyDescent="0.2">
      <c r="A6">
        <v>2020</v>
      </c>
      <c r="B6" t="s">
        <v>76</v>
      </c>
      <c r="C6">
        <v>1100</v>
      </c>
      <c r="D6">
        <v>1800</v>
      </c>
    </row>
    <row r="7" spans="1:5" x14ac:dyDescent="0.2">
      <c r="A7">
        <v>2030</v>
      </c>
      <c r="B7" t="s">
        <v>76</v>
      </c>
      <c r="C7">
        <v>650</v>
      </c>
      <c r="D7">
        <v>1500</v>
      </c>
    </row>
    <row r="8" spans="1:5" x14ac:dyDescent="0.2">
      <c r="A8">
        <v>2050</v>
      </c>
      <c r="B8" t="s">
        <v>76</v>
      </c>
      <c r="C8">
        <v>200</v>
      </c>
      <c r="D8">
        <v>900</v>
      </c>
    </row>
    <row r="10" spans="1:5" x14ac:dyDescent="0.2">
      <c r="A10" t="s">
        <v>77</v>
      </c>
    </row>
    <row r="11" spans="1:5" x14ac:dyDescent="0.2">
      <c r="A11" t="s">
        <v>46</v>
      </c>
      <c r="B11" t="s">
        <v>32</v>
      </c>
      <c r="C11" t="s">
        <v>74</v>
      </c>
      <c r="D11" t="s">
        <v>75</v>
      </c>
      <c r="E11" t="s">
        <v>78</v>
      </c>
    </row>
    <row r="12" spans="1:5" x14ac:dyDescent="0.2">
      <c r="A12">
        <v>2020</v>
      </c>
      <c r="B12" t="s">
        <v>66</v>
      </c>
      <c r="C12" s="9">
        <v>0.56000000000000005</v>
      </c>
      <c r="D12" s="9">
        <v>0.6</v>
      </c>
      <c r="E12" s="9">
        <v>0.6</v>
      </c>
    </row>
    <row r="13" spans="1:5" x14ac:dyDescent="0.2">
      <c r="A13">
        <v>2030</v>
      </c>
      <c r="B13" t="s">
        <v>66</v>
      </c>
      <c r="C13" s="9">
        <v>0.63</v>
      </c>
      <c r="D13" s="9">
        <v>0.68</v>
      </c>
      <c r="E13" s="9">
        <v>0.65</v>
      </c>
    </row>
    <row r="14" spans="1:5" x14ac:dyDescent="0.2">
      <c r="A14">
        <v>2050</v>
      </c>
      <c r="B14" t="s">
        <v>66</v>
      </c>
      <c r="C14" s="9">
        <v>0.67</v>
      </c>
      <c r="D14" s="9">
        <v>0.74</v>
      </c>
      <c r="E14" s="9">
        <v>0.7</v>
      </c>
    </row>
    <row r="15" spans="1:5" x14ac:dyDescent="0.2">
      <c r="C15" s="9"/>
      <c r="D15" s="9"/>
      <c r="E15" s="9"/>
    </row>
    <row r="16" spans="1:5" x14ac:dyDescent="0.2">
      <c r="A16" t="s">
        <v>83</v>
      </c>
      <c r="E16" s="9"/>
    </row>
    <row r="17" spans="1:5" x14ac:dyDescent="0.2">
      <c r="A17" t="s">
        <v>46</v>
      </c>
      <c r="B17" t="s">
        <v>32</v>
      </c>
      <c r="C17" t="s">
        <v>74</v>
      </c>
      <c r="D17" t="s">
        <v>75</v>
      </c>
      <c r="E17" s="9"/>
    </row>
    <row r="18" spans="1:5" x14ac:dyDescent="0.2">
      <c r="A18">
        <v>2020</v>
      </c>
      <c r="B18" t="s">
        <v>84</v>
      </c>
      <c r="C18" s="11">
        <v>30000</v>
      </c>
      <c r="D18" s="11">
        <v>90000</v>
      </c>
      <c r="E18" s="9"/>
    </row>
    <row r="19" spans="1:5" x14ac:dyDescent="0.2">
      <c r="A19">
        <v>2030</v>
      </c>
      <c r="B19" t="s">
        <v>84</v>
      </c>
      <c r="C19" s="11">
        <v>60000</v>
      </c>
      <c r="D19" s="11">
        <v>90000</v>
      </c>
      <c r="E19" s="9"/>
    </row>
    <row r="20" spans="1:5" x14ac:dyDescent="0.2">
      <c r="A20">
        <v>2050</v>
      </c>
      <c r="B20" t="s">
        <v>84</v>
      </c>
      <c r="C20" s="11">
        <v>100000</v>
      </c>
      <c r="D20" s="11">
        <v>150000</v>
      </c>
    </row>
    <row r="21" spans="1:5" x14ac:dyDescent="0.2">
      <c r="C21" s="9"/>
      <c r="D21" s="9"/>
    </row>
    <row r="22" spans="1:5" x14ac:dyDescent="0.2">
      <c r="A22" t="s">
        <v>64</v>
      </c>
    </row>
    <row r="23" spans="1:5" x14ac:dyDescent="0.2">
      <c r="A23" t="s">
        <v>60</v>
      </c>
      <c r="B23" t="s">
        <v>61</v>
      </c>
      <c r="C23">
        <f>'Steam methane reforming'!C31</f>
        <v>0.9</v>
      </c>
    </row>
    <row r="24" spans="1:5" x14ac:dyDescent="0.2">
      <c r="A24" t="s">
        <v>65</v>
      </c>
      <c r="B24" t="s">
        <v>79</v>
      </c>
      <c r="C24">
        <v>5000</v>
      </c>
    </row>
    <row r="25" spans="1:5" x14ac:dyDescent="0.2">
      <c r="A25" t="s">
        <v>63</v>
      </c>
      <c r="B25" t="s">
        <v>81</v>
      </c>
      <c r="C25" s="9">
        <v>0.04</v>
      </c>
      <c r="D25" t="s">
        <v>82</v>
      </c>
    </row>
    <row r="27" spans="1:5" x14ac:dyDescent="0.2">
      <c r="A27" t="s">
        <v>80</v>
      </c>
    </row>
    <row r="28" spans="1:5" x14ac:dyDescent="0.2">
      <c r="A28">
        <v>2020</v>
      </c>
      <c r="B28" t="s">
        <v>73</v>
      </c>
      <c r="C28">
        <f>D6*C$23</f>
        <v>1620</v>
      </c>
    </row>
    <row r="29" spans="1:5" x14ac:dyDescent="0.2">
      <c r="A29">
        <v>2030</v>
      </c>
      <c r="B29" t="s">
        <v>73</v>
      </c>
      <c r="C29">
        <f>D7*C$23</f>
        <v>1350</v>
      </c>
    </row>
    <row r="30" spans="1:5" x14ac:dyDescent="0.2">
      <c r="A30">
        <v>2040</v>
      </c>
      <c r="B30" t="s">
        <v>73</v>
      </c>
      <c r="C30">
        <f>(C29+C31)/2</f>
        <v>1080</v>
      </c>
    </row>
    <row r="31" spans="1:5" x14ac:dyDescent="0.2">
      <c r="A31">
        <v>2050</v>
      </c>
      <c r="B31" t="s">
        <v>73</v>
      </c>
      <c r="C31">
        <f>D8*C$23</f>
        <v>810</v>
      </c>
    </row>
    <row r="32" spans="1:5" x14ac:dyDescent="0.2">
      <c r="A32">
        <v>2020</v>
      </c>
      <c r="B32" t="s">
        <v>68</v>
      </c>
      <c r="C32">
        <f>C28*1000/(C$24*E12)</f>
        <v>540</v>
      </c>
    </row>
    <row r="33" spans="1:3" x14ac:dyDescent="0.2">
      <c r="A33">
        <v>2030</v>
      </c>
      <c r="B33" t="s">
        <v>68</v>
      </c>
      <c r="C33">
        <f>C29*1000/(C$24*E13)</f>
        <v>415.38461538461536</v>
      </c>
    </row>
    <row r="34" spans="1:3" x14ac:dyDescent="0.2">
      <c r="A34">
        <v>2040</v>
      </c>
      <c r="B34" t="s">
        <v>68</v>
      </c>
      <c r="C34">
        <f>C30*1000/(C$24*E14)</f>
        <v>308.57142857142856</v>
      </c>
    </row>
    <row r="35" spans="1:3" x14ac:dyDescent="0.2">
      <c r="A35">
        <v>2050</v>
      </c>
      <c r="B35" t="s">
        <v>68</v>
      </c>
      <c r="C35">
        <f>C31*1000/(C$24*E14)</f>
        <v>231.42857142857142</v>
      </c>
    </row>
    <row r="37" spans="1:3" x14ac:dyDescent="0.2">
      <c r="A37" t="s">
        <v>85</v>
      </c>
    </row>
    <row r="38" spans="1:3" x14ac:dyDescent="0.2">
      <c r="A38">
        <v>2020</v>
      </c>
      <c r="B38" t="s">
        <v>86</v>
      </c>
      <c r="C38">
        <v>10</v>
      </c>
    </row>
    <row r="39" spans="1:3" x14ac:dyDescent="0.2">
      <c r="A39">
        <v>2030</v>
      </c>
      <c r="B39" t="s">
        <v>86</v>
      </c>
      <c r="C39">
        <v>15</v>
      </c>
    </row>
    <row r="40" spans="1:3" x14ac:dyDescent="0.2">
      <c r="A40">
        <v>2040</v>
      </c>
      <c r="B40" t="s">
        <v>86</v>
      </c>
      <c r="C40">
        <v>15</v>
      </c>
    </row>
    <row r="41" spans="1:3" x14ac:dyDescent="0.2">
      <c r="A41">
        <v>2050</v>
      </c>
      <c r="B41" t="s">
        <v>86</v>
      </c>
      <c r="C41">
        <v>15</v>
      </c>
    </row>
  </sheetData>
  <phoneticPr fontId="3" type="noConversion"/>
  <hyperlinks>
    <hyperlink ref="B2" r:id="rId1" xr:uid="{884A19D5-2831-5D40-8867-E9A0D1A02F04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EFC32-3996-0D4C-9EAD-A72C55271493}">
  <dimension ref="A1:G45"/>
  <sheetViews>
    <sheetView topLeftCell="A28" workbookViewId="0">
      <selection activeCell="H37" sqref="H37"/>
    </sheetView>
  </sheetViews>
  <sheetFormatPr baseColWidth="10" defaultRowHeight="16" x14ac:dyDescent="0.2"/>
  <sheetData>
    <row r="1" spans="1:7" x14ac:dyDescent="0.2">
      <c r="A1" t="s">
        <v>38</v>
      </c>
      <c r="B1" t="s">
        <v>87</v>
      </c>
      <c r="C1" t="s">
        <v>88</v>
      </c>
      <c r="D1" t="s">
        <v>89</v>
      </c>
    </row>
    <row r="2" spans="1:7" x14ac:dyDescent="0.2">
      <c r="A2" t="s">
        <v>97</v>
      </c>
      <c r="B2" t="s">
        <v>98</v>
      </c>
      <c r="C2" t="s">
        <v>99</v>
      </c>
    </row>
    <row r="3" spans="1:7" x14ac:dyDescent="0.2">
      <c r="A3" t="s">
        <v>117</v>
      </c>
      <c r="B3" t="s">
        <v>126</v>
      </c>
      <c r="C3" t="s">
        <v>111</v>
      </c>
    </row>
    <row r="5" spans="1:7" x14ac:dyDescent="0.2">
      <c r="A5" s="12" t="s">
        <v>95</v>
      </c>
      <c r="B5" s="12" t="s">
        <v>32</v>
      </c>
      <c r="C5" s="12">
        <v>2010</v>
      </c>
      <c r="D5" s="12">
        <v>2020</v>
      </c>
      <c r="E5" s="12">
        <v>2030</v>
      </c>
      <c r="F5" s="12">
        <v>2040</v>
      </c>
      <c r="G5" s="12">
        <v>2050</v>
      </c>
    </row>
    <row r="6" spans="1:7" x14ac:dyDescent="0.2">
      <c r="A6" s="12" t="s">
        <v>90</v>
      </c>
      <c r="B6" s="12" t="s">
        <v>91</v>
      </c>
      <c r="C6" s="12">
        <v>8.8000000000000007</v>
      </c>
      <c r="D6" s="12">
        <v>4.2</v>
      </c>
      <c r="E6" s="12">
        <v>6.5</v>
      </c>
      <c r="F6" s="12">
        <f>(E6+G6)/2</f>
        <v>6.5</v>
      </c>
      <c r="G6" s="12">
        <v>6.5</v>
      </c>
    </row>
    <row r="7" spans="1:7" x14ac:dyDescent="0.2">
      <c r="A7" s="12" t="s">
        <v>2</v>
      </c>
      <c r="B7" s="12" t="s">
        <v>92</v>
      </c>
      <c r="C7" s="12">
        <v>109</v>
      </c>
      <c r="D7" s="12">
        <v>50</v>
      </c>
      <c r="E7" s="12">
        <v>66</v>
      </c>
      <c r="F7" s="12">
        <f t="shared" ref="F7:F8" si="0">(E7+G7)/2</f>
        <v>61</v>
      </c>
      <c r="G7" s="12">
        <v>56</v>
      </c>
    </row>
    <row r="8" spans="1:7" x14ac:dyDescent="0.2">
      <c r="A8" s="12" t="s">
        <v>94</v>
      </c>
      <c r="B8" s="12" t="s">
        <v>93</v>
      </c>
      <c r="C8" s="12">
        <v>92</v>
      </c>
      <c r="D8" s="12">
        <v>42</v>
      </c>
      <c r="E8" s="12">
        <v>67</v>
      </c>
      <c r="F8" s="12">
        <f t="shared" si="0"/>
        <v>65.5</v>
      </c>
      <c r="G8" s="12">
        <v>64</v>
      </c>
    </row>
    <row r="9" spans="1:7" x14ac:dyDescent="0.2">
      <c r="A9" s="12"/>
      <c r="B9" s="12"/>
      <c r="C9" s="12"/>
      <c r="D9" s="12"/>
      <c r="E9" s="12"/>
      <c r="F9" s="12"/>
      <c r="G9" s="12"/>
    </row>
    <row r="10" spans="1:7" x14ac:dyDescent="0.2">
      <c r="A10" s="12" t="s">
        <v>7</v>
      </c>
      <c r="B10" s="12"/>
      <c r="C10" s="12"/>
      <c r="D10" s="12"/>
      <c r="E10" s="12"/>
      <c r="F10" s="12"/>
      <c r="G10" s="12"/>
    </row>
    <row r="11" spans="1:7" x14ac:dyDescent="0.2">
      <c r="A11" s="12" t="s">
        <v>103</v>
      </c>
      <c r="B11" s="12" t="s">
        <v>32</v>
      </c>
      <c r="C11" s="12" t="s">
        <v>33</v>
      </c>
      <c r="D11" s="12"/>
      <c r="E11" s="12"/>
      <c r="F11" s="12"/>
      <c r="G11" s="12"/>
    </row>
    <row r="12" spans="1:7" x14ac:dyDescent="0.2">
      <c r="A12" s="12" t="s">
        <v>104</v>
      </c>
      <c r="B12" s="12" t="s">
        <v>108</v>
      </c>
      <c r="C12" s="12">
        <v>150000</v>
      </c>
      <c r="D12" s="12"/>
      <c r="E12" s="12"/>
      <c r="F12" s="12"/>
      <c r="G12" s="12"/>
    </row>
    <row r="13" spans="1:7" x14ac:dyDescent="0.2">
      <c r="A13" s="12" t="s">
        <v>105</v>
      </c>
      <c r="B13" s="12" t="s">
        <v>109</v>
      </c>
      <c r="C13" s="12">
        <v>6.9</v>
      </c>
      <c r="D13" s="12"/>
      <c r="E13" s="12"/>
      <c r="F13" s="12"/>
      <c r="G13" s="12"/>
    </row>
    <row r="14" spans="1:7" x14ac:dyDescent="0.2">
      <c r="A14" s="12" t="s">
        <v>106</v>
      </c>
      <c r="B14" s="12" t="s">
        <v>109</v>
      </c>
      <c r="C14" s="12">
        <v>0.6</v>
      </c>
      <c r="D14" s="12"/>
      <c r="E14" s="12"/>
      <c r="F14" s="12"/>
      <c r="G14" s="12"/>
    </row>
    <row r="15" spans="1:7" x14ac:dyDescent="0.2">
      <c r="A15" s="12" t="s">
        <v>107</v>
      </c>
      <c r="B15" s="12" t="s">
        <v>110</v>
      </c>
      <c r="C15" s="12">
        <v>8.18</v>
      </c>
      <c r="D15" s="12"/>
      <c r="E15" s="12"/>
      <c r="F15" s="12"/>
      <c r="G15" s="12"/>
    </row>
    <row r="16" spans="1:7" x14ac:dyDescent="0.2">
      <c r="A16" s="12" t="s">
        <v>112</v>
      </c>
      <c r="B16" s="12"/>
      <c r="C16" s="12"/>
      <c r="D16" s="12"/>
      <c r="E16" s="12"/>
      <c r="F16" s="12"/>
      <c r="G16" s="12"/>
    </row>
    <row r="17" spans="1:7" x14ac:dyDescent="0.2">
      <c r="A17" s="12" t="s">
        <v>113</v>
      </c>
      <c r="B17" s="12" t="s">
        <v>59</v>
      </c>
      <c r="C17" s="12">
        <v>20</v>
      </c>
      <c r="D17" s="12"/>
      <c r="E17" s="12"/>
      <c r="F17" s="12"/>
      <c r="G17" s="12"/>
    </row>
    <row r="18" spans="1:7" x14ac:dyDescent="0.2">
      <c r="A18" s="12" t="s">
        <v>114</v>
      </c>
      <c r="B18" s="12" t="s">
        <v>66</v>
      </c>
      <c r="C18" s="9">
        <v>0.1</v>
      </c>
      <c r="D18" s="9"/>
    </row>
    <row r="19" spans="1:7" x14ac:dyDescent="0.2">
      <c r="A19" s="12"/>
      <c r="B19" s="12"/>
      <c r="C19" s="9"/>
    </row>
    <row r="20" spans="1:7" x14ac:dyDescent="0.2">
      <c r="A20" s="12" t="s">
        <v>115</v>
      </c>
      <c r="B20" s="12" t="s">
        <v>96</v>
      </c>
      <c r="C20" s="11">
        <f>(C13*C18/(1-1/(1+C18)^C17)+C14)*1000000/(C12*0.277)+C15/0.277</f>
        <v>63.47704960121699</v>
      </c>
      <c r="D20" s="11"/>
    </row>
    <row r="21" spans="1:7" x14ac:dyDescent="0.2">
      <c r="A21" s="12"/>
      <c r="B21" s="12"/>
      <c r="C21" s="11"/>
      <c r="D21" s="11"/>
    </row>
    <row r="22" spans="1:7" x14ac:dyDescent="0.2">
      <c r="A22" s="12" t="s">
        <v>118</v>
      </c>
      <c r="B22" s="12"/>
      <c r="C22" s="11"/>
    </row>
    <row r="23" spans="1:7" x14ac:dyDescent="0.2">
      <c r="A23" s="12" t="s">
        <v>103</v>
      </c>
      <c r="B23" s="12" t="s">
        <v>32</v>
      </c>
      <c r="C23" s="12" t="s">
        <v>33</v>
      </c>
      <c r="D23" s="12"/>
    </row>
    <row r="24" spans="1:7" x14ac:dyDescent="0.2">
      <c r="A24" s="12" t="s">
        <v>104</v>
      </c>
      <c r="B24" s="12" t="s">
        <v>108</v>
      </c>
      <c r="C24" s="12">
        <v>567000</v>
      </c>
    </row>
    <row r="25" spans="1:7" x14ac:dyDescent="0.2">
      <c r="A25" s="12" t="s">
        <v>105</v>
      </c>
      <c r="B25" s="12" t="s">
        <v>109</v>
      </c>
      <c r="C25" s="12">
        <v>56.7</v>
      </c>
    </row>
    <row r="26" spans="1:7" x14ac:dyDescent="0.2">
      <c r="A26" s="12" t="s">
        <v>106</v>
      </c>
      <c r="B26" s="12" t="s">
        <v>109</v>
      </c>
      <c r="C26" s="12">
        <v>3.99</v>
      </c>
    </row>
    <row r="27" spans="1:7" x14ac:dyDescent="0.2">
      <c r="A27" s="12" t="s">
        <v>107</v>
      </c>
      <c r="B27" s="12" t="s">
        <v>110</v>
      </c>
      <c r="C27" s="12">
        <v>5</v>
      </c>
    </row>
    <row r="28" spans="1:7" x14ac:dyDescent="0.2">
      <c r="A28" s="12" t="s">
        <v>120</v>
      </c>
      <c r="B28" s="12" t="s">
        <v>66</v>
      </c>
      <c r="C28" s="9">
        <v>0.65</v>
      </c>
    </row>
    <row r="29" spans="1:7" x14ac:dyDescent="0.2">
      <c r="A29" s="12" t="s">
        <v>119</v>
      </c>
      <c r="B29" s="12"/>
      <c r="C29" s="12"/>
    </row>
    <row r="30" spans="1:7" x14ac:dyDescent="0.2">
      <c r="A30" s="12" t="s">
        <v>113</v>
      </c>
      <c r="B30" s="12" t="s">
        <v>59</v>
      </c>
      <c r="C30" s="12">
        <v>20</v>
      </c>
    </row>
    <row r="31" spans="1:7" x14ac:dyDescent="0.2">
      <c r="A31" s="12" t="s">
        <v>114</v>
      </c>
      <c r="B31" s="12" t="s">
        <v>66</v>
      </c>
      <c r="C31" s="9">
        <v>0.1</v>
      </c>
    </row>
    <row r="32" spans="1:7" x14ac:dyDescent="0.2">
      <c r="A32" s="12"/>
      <c r="B32" s="12"/>
      <c r="C32" s="9"/>
    </row>
    <row r="33" spans="1:7" x14ac:dyDescent="0.2">
      <c r="A33" s="12" t="s">
        <v>123</v>
      </c>
      <c r="B33" s="12"/>
      <c r="C33" s="9"/>
    </row>
    <row r="34" spans="1:7" x14ac:dyDescent="0.2">
      <c r="A34" s="12" t="s">
        <v>53</v>
      </c>
      <c r="B34" s="12" t="s">
        <v>122</v>
      </c>
      <c r="C34" s="11">
        <f>C25*1000000/(C24*0.277)</f>
        <v>361.01083032490976</v>
      </c>
    </row>
    <row r="35" spans="1:7" x14ac:dyDescent="0.2">
      <c r="A35" s="12" t="s">
        <v>121</v>
      </c>
      <c r="B35" s="12" t="s">
        <v>96</v>
      </c>
      <c r="C35" s="11">
        <f>C26*1000000/(C24*0.277)</f>
        <v>25.404465837678835</v>
      </c>
    </row>
    <row r="36" spans="1:7" x14ac:dyDescent="0.2">
      <c r="A36" s="12"/>
      <c r="B36" s="12"/>
      <c r="C36" s="9"/>
    </row>
    <row r="37" spans="1:7" x14ac:dyDescent="0.2">
      <c r="A37" s="12" t="s">
        <v>116</v>
      </c>
    </row>
    <row r="38" spans="1:7" x14ac:dyDescent="0.2">
      <c r="A38" t="s">
        <v>60</v>
      </c>
      <c r="B38" t="s">
        <v>61</v>
      </c>
      <c r="C38">
        <f>'Steam methane reforming'!C31</f>
        <v>0.9</v>
      </c>
    </row>
    <row r="40" spans="1:7" x14ac:dyDescent="0.2">
      <c r="A40" s="12" t="s">
        <v>95</v>
      </c>
      <c r="B40" s="12" t="s">
        <v>32</v>
      </c>
      <c r="C40" s="12">
        <v>2010</v>
      </c>
      <c r="D40" s="12">
        <v>2020</v>
      </c>
      <c r="E40" s="12">
        <v>2030</v>
      </c>
      <c r="F40" s="12">
        <v>2040</v>
      </c>
      <c r="G40" s="12">
        <v>2050</v>
      </c>
    </row>
    <row r="41" spans="1:7" x14ac:dyDescent="0.2">
      <c r="A41" s="12" t="s">
        <v>90</v>
      </c>
      <c r="B41" s="12" t="s">
        <v>96</v>
      </c>
      <c r="C41" s="12">
        <f>C6*$C$38/0.293</f>
        <v>27.030716723549492</v>
      </c>
      <c r="D41" s="12">
        <f t="shared" ref="D41:G41" si="1">D6*$C$38/0.293</f>
        <v>12.901023890784984</v>
      </c>
      <c r="E41" s="12">
        <f t="shared" si="1"/>
        <v>19.96587030716724</v>
      </c>
      <c r="F41" s="12">
        <f t="shared" si="1"/>
        <v>19.96587030716724</v>
      </c>
      <c r="G41" s="12">
        <f t="shared" si="1"/>
        <v>19.96587030716724</v>
      </c>
    </row>
    <row r="42" spans="1:7" x14ac:dyDescent="0.2">
      <c r="A42" s="12" t="s">
        <v>2</v>
      </c>
      <c r="B42" s="12" t="s">
        <v>96</v>
      </c>
      <c r="C42" s="12">
        <f>C7/(33.3/3.6)*$C38</f>
        <v>10.605405405405408</v>
      </c>
      <c r="D42" s="12">
        <f>D7/(33.3/3.6)*$C38</f>
        <v>4.8648648648648658</v>
      </c>
      <c r="E42" s="12">
        <f>E7/(33.3/3.6)*$C38</f>
        <v>6.4216216216216235</v>
      </c>
      <c r="F42" s="12">
        <f>F7/(33.3/3.6)*$C38</f>
        <v>5.9351351351351358</v>
      </c>
      <c r="G42" s="12">
        <f>G7/(33.3/3.6)*$C38</f>
        <v>5.4486486486486498</v>
      </c>
    </row>
    <row r="43" spans="1:7" x14ac:dyDescent="0.2">
      <c r="A43" s="12" t="s">
        <v>94</v>
      </c>
      <c r="B43" s="12" t="s">
        <v>96</v>
      </c>
      <c r="C43" s="12">
        <f>C8/1.6282*$C38</f>
        <v>50.853703476231424</v>
      </c>
      <c r="D43" s="12">
        <f>D8/1.6282*$C38</f>
        <v>23.215821152192603</v>
      </c>
      <c r="E43" s="12">
        <f>E8/1.6282*$C38</f>
        <v>37.034762314212017</v>
      </c>
      <c r="F43" s="12">
        <f>F8/1.6282*$C38</f>
        <v>36.205625844490847</v>
      </c>
      <c r="G43" s="12">
        <f>G8/1.6282*$C38</f>
        <v>35.376489374769683</v>
      </c>
    </row>
    <row r="44" spans="1:7" x14ac:dyDescent="0.2">
      <c r="A44" s="12" t="s">
        <v>3</v>
      </c>
      <c r="B44" s="12" t="s">
        <v>96</v>
      </c>
      <c r="D44">
        <v>15</v>
      </c>
      <c r="E44">
        <v>15</v>
      </c>
      <c r="F44">
        <v>15</v>
      </c>
      <c r="G44">
        <v>15</v>
      </c>
    </row>
    <row r="45" spans="1:7" x14ac:dyDescent="0.2">
      <c r="A45" s="12" t="s">
        <v>7</v>
      </c>
      <c r="D45">
        <f>$C20</f>
        <v>63.47704960121699</v>
      </c>
      <c r="E45">
        <f t="shared" ref="E45:G45" si="2">$C20</f>
        <v>63.47704960121699</v>
      </c>
      <c r="F45">
        <f t="shared" si="2"/>
        <v>63.47704960121699</v>
      </c>
      <c r="G45">
        <f t="shared" si="2"/>
        <v>63.47704960121699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Input</vt:lpstr>
      <vt:lpstr>Steam methane reforming</vt:lpstr>
      <vt:lpstr>H2 electrolysis</vt:lpstr>
      <vt:lpstr>Energy prices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2022-07-30T14:46:37Z</dcterms:created>
  <dcterms:modified xsi:type="dcterms:W3CDTF">2022-08-03T15:18:00Z</dcterms:modified>
</cp:coreProperties>
</file>