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v2\"/>
    </mc:Choice>
  </mc:AlternateContent>
  <xr:revisionPtr revIDLastSave="0" documentId="13_ncr:1_{4A6667E7-419C-481F-A3A3-C10FF7F1B559}" xr6:coauthVersionLast="36" xr6:coauthVersionMax="36" xr10:uidLastSave="{00000000-0000-0000-0000-000000000000}"/>
  <bookViews>
    <workbookView xWindow="0" yWindow="0" windowWidth="21570" windowHeight="7350" xr2:uid="{00000000-000D-0000-FFFF-FFFF00000000}"/>
  </bookViews>
  <sheets>
    <sheet name="Technologies" sheetId="4" r:id="rId1"/>
    <sheet name="Conversion table" sheetId="5" r:id="rId2"/>
    <sheet name="Sources" sheetId="2" r:id="rId3"/>
    <sheet name="Commen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D13" i="4" l="1"/>
  <c r="E13" i="4"/>
  <c r="G13" i="4"/>
  <c r="J13" i="4"/>
  <c r="K13" i="4"/>
  <c r="L13" i="4"/>
  <c r="E6" i="4" l="1"/>
  <c r="F6" i="4" s="1"/>
  <c r="G6" i="4" s="1"/>
  <c r="F11" i="4"/>
  <c r="G11" i="4"/>
  <c r="E11" i="4"/>
  <c r="L11" i="4" s="1"/>
  <c r="J6" i="4" l="1"/>
  <c r="I6" i="4"/>
  <c r="L6" i="4" s="1"/>
  <c r="K6" i="4"/>
  <c r="H11" i="4"/>
  <c r="I11" i="4"/>
  <c r="J11" i="4"/>
  <c r="K11" i="4"/>
  <c r="D19" i="4"/>
  <c r="L19" i="4"/>
  <c r="K19" i="4" s="1"/>
  <c r="J19" i="4"/>
  <c r="H19" i="4"/>
  <c r="E19" i="4"/>
  <c r="G19" i="4"/>
  <c r="H14" i="4"/>
  <c r="F14" i="4"/>
  <c r="G14" i="4"/>
  <c r="E14" i="4"/>
  <c r="J14" i="4"/>
  <c r="K14" i="4"/>
  <c r="L14" i="4"/>
  <c r="I14" i="4"/>
  <c r="E17" i="4" l="1"/>
  <c r="F17" i="4"/>
  <c r="G17" i="4"/>
  <c r="H17" i="4"/>
  <c r="I17" i="4"/>
  <c r="J17" i="4"/>
  <c r="K17" i="4"/>
  <c r="L17" i="4"/>
  <c r="G7" i="4"/>
  <c r="G8" i="4"/>
  <c r="K8" i="4"/>
  <c r="L7" i="4"/>
  <c r="E7" i="4"/>
  <c r="F5" i="4" s="1"/>
  <c r="C11" i="4"/>
  <c r="C6" i="4"/>
  <c r="D6" i="4"/>
  <c r="B6" i="5"/>
  <c r="B5" i="5"/>
  <c r="B4" i="5"/>
  <c r="B3" i="5"/>
  <c r="B2" i="5"/>
  <c r="F7" i="4" l="1"/>
  <c r="F19" i="4" l="1"/>
  <c r="F13" i="4"/>
</calcChain>
</file>

<file path=xl/sharedStrings.xml><?xml version="1.0" encoding="utf-8"?>
<sst xmlns="http://schemas.openxmlformats.org/spreadsheetml/2006/main" count="81" uniqueCount="61">
  <si>
    <t>coal</t>
  </si>
  <si>
    <t>biomass</t>
  </si>
  <si>
    <t>hydrogen</t>
  </si>
  <si>
    <t>oil</t>
  </si>
  <si>
    <t>electricity</t>
  </si>
  <si>
    <t>unit</t>
  </si>
  <si>
    <t>t</t>
  </si>
  <si>
    <t>MWh</t>
  </si>
  <si>
    <t>gas</t>
  </si>
  <si>
    <t>€</t>
  </si>
  <si>
    <t>tCO2</t>
  </si>
  <si>
    <t>steam</t>
  </si>
  <si>
    <t>water</t>
  </si>
  <si>
    <t>CO2</t>
  </si>
  <si>
    <t>Emissions</t>
  </si>
  <si>
    <t>Resource</t>
  </si>
  <si>
    <t>Name</t>
  </si>
  <si>
    <t>About</t>
  </si>
  <si>
    <t>Link</t>
  </si>
  <si>
    <t>steel</t>
  </si>
  <si>
    <t>BF-BOF</t>
  </si>
  <si>
    <t>H2-BF-BOF</t>
  </si>
  <si>
    <t>BioBF-BOF</t>
  </si>
  <si>
    <t>EAF</t>
  </si>
  <si>
    <t>Scrap</t>
  </si>
  <si>
    <t>scrap_steel</t>
  </si>
  <si>
    <t>to fill</t>
  </si>
  <si>
    <t>https://france.arcelormittal.com/news/2022/fev/vers-une-production-dacier-sans-co2-en-france.aspx</t>
  </si>
  <si>
    <t>https://france.arcelormittal.com/developpement-durable/co2.aspx</t>
  </si>
  <si>
    <t>https://www.entreprises.gouv.fr/files/files/directions_services/semaine-industrie/img/evenement/presentation_arcelormittal_france_16mars16.pdf</t>
  </si>
  <si>
    <t>https://france.arcelormittal.com/news/2022/mars/arcelormittal-investit-300-millions-deuros-a-mardyck.aspx</t>
  </si>
  <si>
    <t>https://corporate.arcelormittal.com/media/news-articles/arcelormittal-europe-to-produce-green-steel-starting-in-2020</t>
  </si>
  <si>
    <t>10.1016/J.JCLEPRO.2018.08.279</t>
  </si>
  <si>
    <t>https://www.eclairerlavenir.fr/rapport-2021-du-groupe-de-travail-n4/</t>
  </si>
  <si>
    <t>https://www.senat.fr/rap/r18-649-1/r18-649-117.html</t>
  </si>
  <si>
    <t>10.1016/J.JOULE.2021.02.018</t>
  </si>
  <si>
    <t>https://irena.org/-/media/Files/IRENA/Agency/Publication/2020/Dec/IRENA_Green_hydrogen_cost_2020.pdf</t>
  </si>
  <si>
    <t>https://data.jrc.ec.europa.eu/dataset/jrc-10110-10001</t>
  </si>
  <si>
    <t>Arcelor Mittal</t>
  </si>
  <si>
    <t>(Vogl et al, 2018)</t>
  </si>
  <si>
    <t>CRE</t>
  </si>
  <si>
    <t>Sénat</t>
  </si>
  <si>
    <t>(Fan et al, 2021)</t>
  </si>
  <si>
    <t>IRENA</t>
  </si>
  <si>
    <t>JRC-IDEES 2015</t>
  </si>
  <si>
    <t>H-DRI-EAF</t>
  </si>
  <si>
    <t>CH4-DRI-EAF</t>
  </si>
  <si>
    <t>BioDRI-EAF</t>
  </si>
  <si>
    <t>Coal-DRI-EAF</t>
  </si>
  <si>
    <t>ore_pellet</t>
  </si>
  <si>
    <t>Pellet_making</t>
  </si>
  <si>
    <t>t to MWh</t>
  </si>
  <si>
    <t>10.1016/J.JCLEPRO.2014.05.063</t>
  </si>
  <si>
    <t>costs</t>
  </si>
  <si>
    <t>(Fischedick et al, 2014)</t>
  </si>
  <si>
    <t>capex</t>
  </si>
  <si>
    <t>flow_cost</t>
  </si>
  <si>
    <t>lifetime</t>
  </si>
  <si>
    <t>yrs</t>
  </si>
  <si>
    <t>CRF</t>
  </si>
  <si>
    <t>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</si>
</sst>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2" borderId="1" xfId="0" applyFont="1" applyFill="1" applyBorder="1"/>
    <xf numFmtId="0" fontId="1" fillId="3" borderId="0" xfId="0" applyFont="1" applyFill="1" applyBorder="1"/>
    <xf numFmtId="0" fontId="0" fillId="4" borderId="1" xfId="0" applyFont="1" applyFill="1" applyBorder="1"/>
    <xf numFmtId="2" fontId="0" fillId="4" borderId="1" xfId="0" applyNumberFormat="1" applyFont="1" applyFill="1" applyBorder="1"/>
    <xf numFmtId="164" fontId="0" fillId="4" borderId="1" xfId="0" applyNumberFormat="1" applyFont="1" applyFill="1" applyBorder="1"/>
    <xf numFmtId="0" fontId="1" fillId="3" borderId="0" xfId="0" applyFont="1" applyFill="1"/>
    <xf numFmtId="0" fontId="0" fillId="0" borderId="0" xfId="0" applyFont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4" borderId="2" xfId="0" applyFont="1" applyFill="1" applyBorder="1"/>
    <xf numFmtId="2" fontId="0" fillId="0" borderId="2" xfId="0" applyNumberFormat="1" applyBorder="1"/>
    <xf numFmtId="0" fontId="0" fillId="4" borderId="2" xfId="0" applyFill="1" applyBorder="1"/>
    <xf numFmtId="0" fontId="0" fillId="6" borderId="1" xfId="0" applyFont="1" applyFill="1" applyBorder="1"/>
    <xf numFmtId="2" fontId="0" fillId="0" borderId="1" xfId="0" applyNumberFormat="1" applyFont="1" applyFill="1" applyBorder="1"/>
    <xf numFmtId="164" fontId="0" fillId="0" borderId="0" xfId="0" applyNumberFormat="1" applyFont="1"/>
    <xf numFmtId="0" fontId="0" fillId="7" borderId="1" xfId="0" applyFont="1" applyFill="1" applyBorder="1"/>
    <xf numFmtId="0" fontId="0" fillId="7" borderId="0" xfId="0" applyFill="1"/>
    <xf numFmtId="0" fontId="0" fillId="2" borderId="0" xfId="0" applyFont="1" applyFill="1"/>
    <xf numFmtId="2" fontId="0" fillId="2" borderId="1" xfId="1" applyNumberFormat="1" applyFont="1" applyFill="1" applyBorder="1"/>
    <xf numFmtId="0" fontId="0" fillId="8" borderId="0" xfId="0" applyFill="1"/>
    <xf numFmtId="0" fontId="0" fillId="8" borderId="1" xfId="0" applyFont="1" applyFill="1" applyBorder="1"/>
    <xf numFmtId="0" fontId="0" fillId="8" borderId="0" xfId="0" applyFont="1" applyFill="1"/>
    <xf numFmtId="1" fontId="4" fillId="8" borderId="1" xfId="0" applyNumberFormat="1" applyFont="1" applyFill="1" applyBorder="1"/>
    <xf numFmtId="0" fontId="0" fillId="9" borderId="0" xfId="0" applyFill="1"/>
    <xf numFmtId="0" fontId="0" fillId="9" borderId="1" xfId="0" applyFont="1" applyFill="1" applyBorder="1"/>
    <xf numFmtId="2" fontId="0" fillId="9" borderId="1" xfId="0" applyNumberFormat="1" applyFont="1" applyFill="1" applyBorder="1"/>
    <xf numFmtId="0" fontId="0" fillId="2" borderId="0" xfId="0" applyFont="1" applyFill="1" applyBorder="1"/>
    <xf numFmtId="0" fontId="0" fillId="9" borderId="0" xfId="0" applyFont="1" applyFill="1" applyBorder="1"/>
    <xf numFmtId="0" fontId="0" fillId="8" borderId="0" xfId="0" applyFont="1" applyFill="1" applyBorder="1"/>
    <xf numFmtId="0" fontId="0" fillId="9" borderId="0" xfId="0" applyFont="1" applyFill="1"/>
  </cellXfs>
  <cellStyles count="2">
    <cellStyle name="Millier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CB58D-7F5B-4EF4-A405-5ECDD25301A7}" name="Tableau3" displayName="Tableau3" ref="A1:L19" totalsRowShown="0" headerRowDxfId="14" dataDxfId="13" tableBorderDxfId="12">
  <autoFilter ref="A1:L19" xr:uid="{87FB60C7-DCAA-43CC-AAD9-BB44B0181513}"/>
  <tableColumns count="12">
    <tableColumn id="1" xr3:uid="{42A5F6EE-6AFE-476D-8B1C-92974D7ECF5E}" name="Resource" dataDxfId="11"/>
    <tableColumn id="4" xr3:uid="{9D816E12-F9ED-4134-84FD-E84CE7055F94}" name="unit" dataDxfId="10"/>
    <tableColumn id="12" xr3:uid="{DB97F9EF-90E4-4C9C-991F-8DAD126D2235}" name="Scrap" dataDxfId="9"/>
    <tableColumn id="13" xr3:uid="{E1370907-462D-42E0-BEE5-5C402344A846}" name="Pellet_making" dataDxfId="8"/>
    <tableColumn id="23" xr3:uid="{9C579E2B-EFB9-4CDF-90A8-B8E4B9421C12}" name="BF-BOF" dataDxfId="7"/>
    <tableColumn id="24" xr3:uid="{B0DEE251-5BB2-4367-BFBD-103A29B0561A}" name="H2-BF-BOF" dataDxfId="6"/>
    <tableColumn id="6" xr3:uid="{2E6C1B91-C3DE-4354-BCF7-60140C2C1CA3}" name="BioBF-BOF" dataDxfId="5"/>
    <tableColumn id="7" xr3:uid="{559435F3-4582-467F-8C76-B10399D7D78A}" name="EAF" dataDxfId="4"/>
    <tableColumn id="8" xr3:uid="{E1E290F6-88F7-451F-9364-C275A967D90D}" name="H-DRI-EAF" dataDxfId="3"/>
    <tableColumn id="9" xr3:uid="{1F484475-C8B0-425E-87D5-19B30AEACB25}" name="CH4-DRI-EAF" dataDxfId="2"/>
    <tableColumn id="10" xr3:uid="{D0015D03-4CF5-4EF1-9804-DE585190B1D4}" name="BioDRI-EAF" dataDxfId="1"/>
    <tableColumn id="11" xr3:uid="{7F11CCD2-8961-4412-87AE-60BC0FD4F71A}" name="Coal-DRI-EAF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A324C-91D6-4E2E-BBB0-429EC5DA63B5}" name="Tableau2" displayName="Tableau2" ref="A1:C1048576" totalsRowShown="0">
  <autoFilter ref="A1:C1048576" xr:uid="{A4DB52C6-C72E-419E-94E1-402E072AFA9D}"/>
  <tableColumns count="3">
    <tableColumn id="1" xr3:uid="{B00E869B-4749-4997-968B-712B16B60D42}" name="Name"/>
    <tableColumn id="2" xr3:uid="{8A746971-D955-4701-BD9F-9613B6E8A947}" name="About"/>
    <tableColumn id="3" xr3:uid="{2DDA0A64-ECC1-464B-9FE9-23943C30F038}" name="Lin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EE37-33A3-4179-A627-9FAA023AC5EF}">
  <dimension ref="A1:L19"/>
  <sheetViews>
    <sheetView tabSelected="1" workbookViewId="0">
      <selection activeCell="H6" sqref="H6"/>
    </sheetView>
  </sheetViews>
  <sheetFormatPr baseColWidth="10" defaultRowHeight="15" x14ac:dyDescent="0.25"/>
  <cols>
    <col min="3" max="3" width="12" bestFit="1" customWidth="1"/>
    <col min="4" max="4" width="16" bestFit="1" customWidth="1"/>
  </cols>
  <sheetData>
    <row r="1" spans="1:12" x14ac:dyDescent="0.25">
      <c r="A1" s="4" t="s">
        <v>15</v>
      </c>
      <c r="B1" s="4" t="s">
        <v>5</v>
      </c>
      <c r="C1" s="4" t="s">
        <v>24</v>
      </c>
      <c r="D1" s="4" t="s">
        <v>50</v>
      </c>
      <c r="E1" s="4" t="s">
        <v>20</v>
      </c>
      <c r="F1" s="4" t="s">
        <v>21</v>
      </c>
      <c r="G1" s="8" t="s">
        <v>22</v>
      </c>
      <c r="H1" s="8" t="s">
        <v>23</v>
      </c>
      <c r="I1" s="8" t="s">
        <v>45</v>
      </c>
      <c r="J1" s="8" t="s">
        <v>46</v>
      </c>
      <c r="K1" s="8" t="s">
        <v>47</v>
      </c>
      <c r="L1" s="8" t="s">
        <v>48</v>
      </c>
    </row>
    <row r="2" spans="1:12" x14ac:dyDescent="0.25">
      <c r="A2" s="1" t="s">
        <v>19</v>
      </c>
      <c r="B2" s="1" t="s">
        <v>6</v>
      </c>
      <c r="C2" s="5"/>
      <c r="D2" s="5"/>
      <c r="E2" s="1">
        <v>-1</v>
      </c>
      <c r="F2" s="1">
        <v>-1</v>
      </c>
      <c r="G2" s="9">
        <v>-1</v>
      </c>
      <c r="H2" s="9">
        <v>-1</v>
      </c>
      <c r="I2" s="9">
        <v>-1</v>
      </c>
      <c r="J2" s="9">
        <v>-1</v>
      </c>
      <c r="K2" s="9">
        <v>-1</v>
      </c>
      <c r="L2" s="9">
        <v>-1</v>
      </c>
    </row>
    <row r="3" spans="1:12" x14ac:dyDescent="0.25">
      <c r="A3" s="17" t="s">
        <v>49</v>
      </c>
      <c r="B3" s="17" t="s">
        <v>6</v>
      </c>
      <c r="C3" s="17"/>
      <c r="D3" s="17">
        <v>-1</v>
      </c>
      <c r="E3" s="1">
        <v>1</v>
      </c>
      <c r="F3" s="1">
        <v>1</v>
      </c>
      <c r="G3" s="9">
        <v>1</v>
      </c>
      <c r="H3" s="9"/>
      <c r="I3" s="9">
        <v>1</v>
      </c>
      <c r="J3" s="9">
        <v>1</v>
      </c>
      <c r="K3" s="9">
        <v>1</v>
      </c>
      <c r="L3" s="9">
        <v>1</v>
      </c>
    </row>
    <row r="4" spans="1:12" x14ac:dyDescent="0.25">
      <c r="A4" s="17" t="s">
        <v>25</v>
      </c>
      <c r="B4" s="17" t="s">
        <v>6</v>
      </c>
      <c r="C4" s="17">
        <v>-1</v>
      </c>
      <c r="D4" s="17"/>
      <c r="E4" s="1"/>
      <c r="F4" s="1"/>
      <c r="G4" s="9"/>
      <c r="H4" s="9">
        <v>1</v>
      </c>
      <c r="I4" s="9"/>
      <c r="J4" s="9"/>
      <c r="K4" s="9"/>
      <c r="L4" s="9"/>
    </row>
    <row r="5" spans="1:12" x14ac:dyDescent="0.25">
      <c r="A5" s="5" t="s">
        <v>2</v>
      </c>
      <c r="B5" s="5" t="s">
        <v>6</v>
      </c>
      <c r="C5" s="5"/>
      <c r="D5" s="5"/>
      <c r="E5" s="1"/>
      <c r="F5" s="2">
        <f>E7*0.15*27.5/120</f>
        <v>1.8334529055985125E-2</v>
      </c>
      <c r="G5" s="19"/>
      <c r="H5" s="9"/>
      <c r="I5" s="9">
        <v>0.05</v>
      </c>
      <c r="J5" s="9"/>
      <c r="K5" s="9"/>
      <c r="L5" s="9"/>
    </row>
    <row r="6" spans="1:12" x14ac:dyDescent="0.25">
      <c r="A6" s="5" t="s">
        <v>8</v>
      </c>
      <c r="B6" s="5" t="s">
        <v>6</v>
      </c>
      <c r="C6" s="7">
        <f>0.22/'Conversion table'!B3</f>
        <v>1.8856992001206843E-2</v>
      </c>
      <c r="D6" s="7">
        <f>0.556/'Conversion table'!B3</f>
        <v>4.7656761603050032E-2</v>
      </c>
      <c r="E6" s="2">
        <f>(0.153+0.036)/'Conversion table'!B3</f>
        <v>1.6199870401036789E-2</v>
      </c>
      <c r="F6" s="2">
        <f>Tableau3[[#This Row],[BF-BOF]]</f>
        <v>1.6199870401036789E-2</v>
      </c>
      <c r="G6" s="2">
        <f>Tableau3[[#This Row],[H2-BF-BOF]]</f>
        <v>1.6199870401036789E-2</v>
      </c>
      <c r="H6" s="2">
        <f>Tableau3[[#This Row],[BioBF-BOF]]</f>
        <v>1.6199870401036789E-2</v>
      </c>
      <c r="I6" s="2">
        <f>Tableau3[[#This Row],[EAF]]</f>
        <v>1.6199870401036789E-2</v>
      </c>
      <c r="J6" s="19">
        <f>1.972/'Conversion table'!B3+Tableau3[[#This Row],[BF-BOF]]</f>
        <v>0.1852270896118545</v>
      </c>
      <c r="K6" s="19">
        <f>Tableau3[[#This Row],[EAF]]</f>
        <v>1.6199870401036789E-2</v>
      </c>
      <c r="L6" s="19">
        <f>Tableau3[[#This Row],[H-DRI-EAF]]</f>
        <v>1.6199870401036789E-2</v>
      </c>
    </row>
    <row r="7" spans="1:12" x14ac:dyDescent="0.25">
      <c r="A7" s="5" t="s">
        <v>0</v>
      </c>
      <c r="B7" s="5" t="s">
        <v>6</v>
      </c>
      <c r="C7" s="5"/>
      <c r="D7" s="7"/>
      <c r="E7" s="2">
        <f>3.541/'Conversion table'!B4</f>
        <v>0.53336811799229455</v>
      </c>
      <c r="F7" s="2">
        <f>0.85*Tableau3[[#This Row],[BF-BOF]]</f>
        <v>0.45336290029345033</v>
      </c>
      <c r="G7" s="19">
        <f>1.644/'Conversion table'!B4</f>
        <v>0.24762981812463489</v>
      </c>
      <c r="H7" s="9"/>
      <c r="I7" s="9"/>
      <c r="J7" s="9"/>
      <c r="K7" s="9"/>
      <c r="L7" s="19">
        <f>0.853/'Conversion table'!B4</f>
        <v>0.12848432777391336</v>
      </c>
    </row>
    <row r="8" spans="1:12" x14ac:dyDescent="0.25">
      <c r="A8" s="5" t="s">
        <v>1</v>
      </c>
      <c r="B8" s="5" t="s">
        <v>6</v>
      </c>
      <c r="C8" s="5"/>
      <c r="D8" s="7"/>
      <c r="E8" s="1"/>
      <c r="F8" s="2"/>
      <c r="G8" s="19">
        <f>1.897/'Conversion table'!B5</f>
        <v>0.42682158542731652</v>
      </c>
      <c r="H8" s="9"/>
      <c r="I8" s="9"/>
      <c r="J8" s="9"/>
      <c r="K8" s="19">
        <f>0.853/'Conversion table'!B5</f>
        <v>0.19192346461228307</v>
      </c>
      <c r="L8" s="9"/>
    </row>
    <row r="9" spans="1:12" x14ac:dyDescent="0.25">
      <c r="A9" s="5" t="s">
        <v>3</v>
      </c>
      <c r="B9" s="5" t="s">
        <v>6</v>
      </c>
      <c r="C9" s="5"/>
      <c r="D9" s="7"/>
      <c r="E9" s="1"/>
      <c r="F9" s="1"/>
      <c r="G9" s="9"/>
      <c r="H9" s="9"/>
      <c r="I9" s="9"/>
      <c r="J9" s="9"/>
      <c r="K9" s="9"/>
      <c r="L9" s="9"/>
    </row>
    <row r="10" spans="1:12" x14ac:dyDescent="0.25">
      <c r="A10" s="5" t="s">
        <v>11</v>
      </c>
      <c r="B10" s="5" t="s">
        <v>6</v>
      </c>
      <c r="C10" s="5"/>
      <c r="D10" s="5"/>
      <c r="E10" s="1"/>
      <c r="F10" s="1"/>
      <c r="G10" s="9"/>
      <c r="H10" s="9"/>
      <c r="I10" s="9"/>
      <c r="J10" s="9"/>
      <c r="K10" s="9"/>
      <c r="L10" s="9"/>
    </row>
    <row r="11" spans="1:12" x14ac:dyDescent="0.25">
      <c r="A11" s="5" t="s">
        <v>4</v>
      </c>
      <c r="B11" s="5" t="s">
        <v>7</v>
      </c>
      <c r="C11" s="5">
        <f>0.004</f>
        <v>4.0000000000000001E-3</v>
      </c>
      <c r="D11" s="5">
        <v>0.14000000000000001</v>
      </c>
      <c r="E11" s="1">
        <f>0.085+0.109</f>
        <v>0.19400000000000001</v>
      </c>
      <c r="F11" s="1">
        <f t="shared" ref="F11:G11" si="0">0.085+0.109</f>
        <v>0.19400000000000001</v>
      </c>
      <c r="G11" s="1">
        <f t="shared" si="0"/>
        <v>0.19400000000000001</v>
      </c>
      <c r="H11" s="9">
        <f>0.686+Tableau3[[#This Row],[BF-BOF]]</f>
        <v>0.88000000000000012</v>
      </c>
      <c r="I11" s="9">
        <f>0.313+0.753+Tableau3[[#This Row],[BF-BOF]]</f>
        <v>1.26</v>
      </c>
      <c r="J11" s="9">
        <f>0.313+0.753+Tableau3[[#This Row],[BF-BOF]]</f>
        <v>1.26</v>
      </c>
      <c r="K11" s="9">
        <f>0.38+0.753+Tableau3[[#This Row],[BF-BOF]]</f>
        <v>1.327</v>
      </c>
      <c r="L11" s="9">
        <f>0.38+0.753+Tableau3[[#This Row],[BF-BOF]]</f>
        <v>1.327</v>
      </c>
    </row>
    <row r="12" spans="1:12" x14ac:dyDescent="0.25">
      <c r="A12" s="5" t="s">
        <v>13</v>
      </c>
      <c r="B12" s="5" t="s">
        <v>6</v>
      </c>
      <c r="C12" s="5"/>
      <c r="D12" s="5"/>
      <c r="E12" s="1"/>
      <c r="F12" s="1"/>
      <c r="G12" s="9"/>
      <c r="H12" s="9"/>
      <c r="I12" s="9"/>
      <c r="J12" s="9"/>
      <c r="K12" s="9"/>
      <c r="L12" s="9"/>
    </row>
    <row r="13" spans="1:12" x14ac:dyDescent="0.25">
      <c r="A13" s="5" t="s">
        <v>14</v>
      </c>
      <c r="B13" s="5" t="s">
        <v>10</v>
      </c>
      <c r="C13" s="5"/>
      <c r="D13" s="5">
        <f>0.26</f>
        <v>0.26</v>
      </c>
      <c r="E13" s="1">
        <f>0.097+1.476+0.193</f>
        <v>1.766</v>
      </c>
      <c r="F13" s="1">
        <f>(0.097+1.476)*F7/E7+0.193</f>
        <v>1.5300499999999999</v>
      </c>
      <c r="G13" s="1">
        <f>0.097+1.476+0.193</f>
        <v>1.766</v>
      </c>
      <c r="H13" s="9"/>
      <c r="I13" s="9"/>
      <c r="J13" s="9">
        <f>0.307+0.522</f>
        <v>0.82899999999999996</v>
      </c>
      <c r="K13" s="9">
        <f>1.048+0.307</f>
        <v>1.355</v>
      </c>
      <c r="L13" s="9">
        <f>1.048+0.307</f>
        <v>1.355</v>
      </c>
    </row>
    <row r="14" spans="1:12" x14ac:dyDescent="0.25">
      <c r="A14" s="5" t="s">
        <v>55</v>
      </c>
      <c r="B14" s="5" t="s">
        <v>9</v>
      </c>
      <c r="C14" s="5"/>
      <c r="D14" s="5"/>
      <c r="E14" s="25">
        <f>170+48.3</f>
        <v>218.3</v>
      </c>
      <c r="F14" s="25">
        <f t="shared" ref="F14:G14" si="1">170+48.3</f>
        <v>218.3</v>
      </c>
      <c r="G14" s="25">
        <f t="shared" si="1"/>
        <v>218.3</v>
      </c>
      <c r="H14" s="26">
        <f>184</f>
        <v>184</v>
      </c>
      <c r="I14" s="26">
        <f>184+230</f>
        <v>414</v>
      </c>
      <c r="J14" s="26">
        <f t="shared" ref="J14:L14" si="2">184+230</f>
        <v>414</v>
      </c>
      <c r="K14" s="26">
        <f t="shared" si="2"/>
        <v>414</v>
      </c>
      <c r="L14" s="26">
        <f t="shared" si="2"/>
        <v>414</v>
      </c>
    </row>
    <row r="15" spans="1:12" x14ac:dyDescent="0.25">
      <c r="A15" s="5" t="s">
        <v>57</v>
      </c>
      <c r="B15" s="5" t="s">
        <v>58</v>
      </c>
      <c r="C15" s="5"/>
      <c r="D15" s="5"/>
      <c r="E15" s="3">
        <v>20</v>
      </c>
      <c r="F15" s="3">
        <v>20</v>
      </c>
      <c r="G15" s="22">
        <v>20</v>
      </c>
      <c r="H15" s="22">
        <v>20</v>
      </c>
      <c r="I15" s="22">
        <v>20</v>
      </c>
      <c r="J15" s="22">
        <v>20</v>
      </c>
      <c r="K15" s="22">
        <v>20</v>
      </c>
      <c r="L15" s="22">
        <v>20</v>
      </c>
    </row>
    <row r="16" spans="1:12" x14ac:dyDescent="0.25">
      <c r="A16" s="5" t="s">
        <v>60</v>
      </c>
      <c r="B16" s="5"/>
      <c r="C16" s="6"/>
      <c r="D16" s="6"/>
      <c r="E16" s="23">
        <v>0.1</v>
      </c>
      <c r="F16" s="23">
        <v>0.1</v>
      </c>
      <c r="G16" s="23">
        <v>0.1</v>
      </c>
      <c r="H16" s="23">
        <v>0.1</v>
      </c>
      <c r="I16" s="23">
        <v>0.1</v>
      </c>
      <c r="J16" s="23">
        <v>0.1</v>
      </c>
      <c r="K16" s="23">
        <v>0.1</v>
      </c>
      <c r="L16" s="23">
        <v>0.1</v>
      </c>
    </row>
    <row r="17" spans="1:12" x14ac:dyDescent="0.25">
      <c r="A17" s="5" t="s">
        <v>59</v>
      </c>
      <c r="B17" s="5"/>
      <c r="C17" s="6"/>
      <c r="D17" s="6"/>
      <c r="E17" s="18">
        <f t="shared" ref="E17:L17" si="3">(E16*(1+E16)^E15/((1+E16)^E15-1))</f>
        <v>0.11745962477254576</v>
      </c>
      <c r="F17" s="18">
        <f t="shared" si="3"/>
        <v>0.11745962477254576</v>
      </c>
      <c r="G17" s="18">
        <f t="shared" si="3"/>
        <v>0.11745962477254576</v>
      </c>
      <c r="H17" s="18">
        <f t="shared" si="3"/>
        <v>0.11745962477254576</v>
      </c>
      <c r="I17" s="18">
        <f t="shared" si="3"/>
        <v>0.11745962477254576</v>
      </c>
      <c r="J17" s="18">
        <f t="shared" si="3"/>
        <v>0.11745962477254576</v>
      </c>
      <c r="K17" s="18">
        <f t="shared" si="3"/>
        <v>0.11745962477254576</v>
      </c>
      <c r="L17" s="18">
        <f t="shared" si="3"/>
        <v>0.11745962477254576</v>
      </c>
    </row>
    <row r="18" spans="1:12" x14ac:dyDescent="0.25">
      <c r="A18" s="5" t="s">
        <v>56</v>
      </c>
      <c r="B18" s="5" t="s">
        <v>9</v>
      </c>
      <c r="C18" s="25">
        <v>180</v>
      </c>
      <c r="D18" s="20">
        <v>114</v>
      </c>
      <c r="E18" s="27">
        <v>53.2</v>
      </c>
      <c r="F18" s="27">
        <v>53.2</v>
      </c>
      <c r="G18" s="27">
        <v>53.2</v>
      </c>
      <c r="H18" s="27">
        <v>53.2</v>
      </c>
      <c r="I18" s="27">
        <v>53.2</v>
      </c>
      <c r="J18" s="27">
        <v>53.2</v>
      </c>
      <c r="K18" s="27">
        <v>53.2</v>
      </c>
      <c r="L18" s="27">
        <v>53.2</v>
      </c>
    </row>
    <row r="19" spans="1:12" x14ac:dyDescent="0.25">
      <c r="A19" s="5" t="s">
        <v>12</v>
      </c>
      <c r="B19" s="5" t="s">
        <v>6</v>
      </c>
      <c r="C19" s="5"/>
      <c r="D19" s="29">
        <f>0.26+0.035</f>
        <v>0.29500000000000004</v>
      </c>
      <c r="E19" s="30">
        <f>0.097+1.476+0.193</f>
        <v>1.766</v>
      </c>
      <c r="F19" s="3">
        <f>Tableau3[[#This Row],[BF-BOF]]*F7/E7</f>
        <v>1.5010999999999999</v>
      </c>
      <c r="G19" s="31">
        <f>Tableau3[[#This Row],[BF-BOF]]</f>
        <v>1.766</v>
      </c>
      <c r="H19" s="32">
        <f>0.42</f>
        <v>0.42</v>
      </c>
      <c r="I19" s="33">
        <v>5.2999999999999999E-2</v>
      </c>
      <c r="J19" s="34">
        <f>0.522</f>
        <v>0.52200000000000002</v>
      </c>
      <c r="K19" s="22">
        <f>Tableau3[[#This Row],[Coal-DRI-EAF]]</f>
        <v>1.048</v>
      </c>
      <c r="L19" s="34">
        <f>1.048</f>
        <v>1.048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A207-36C8-455B-8B01-DF3AD48E0882}">
  <dimension ref="A1:B6"/>
  <sheetViews>
    <sheetView workbookViewId="0">
      <selection activeCell="E20" sqref="E20"/>
    </sheetView>
  </sheetViews>
  <sheetFormatPr baseColWidth="10" defaultRowHeight="15" x14ac:dyDescent="0.25"/>
  <sheetData>
    <row r="1" spans="1:2" x14ac:dyDescent="0.25">
      <c r="A1" s="13"/>
      <c r="B1" s="16" t="s">
        <v>51</v>
      </c>
    </row>
    <row r="2" spans="1:2" x14ac:dyDescent="0.25">
      <c r="A2" s="14" t="s">
        <v>2</v>
      </c>
      <c r="B2" s="15">
        <f>0.27778*120</f>
        <v>33.333600000000004</v>
      </c>
    </row>
    <row r="3" spans="1:2" x14ac:dyDescent="0.25">
      <c r="A3" s="14" t="s">
        <v>8</v>
      </c>
      <c r="B3" s="15">
        <f>0.27778*42</f>
        <v>11.666760000000002</v>
      </c>
    </row>
    <row r="4" spans="1:2" x14ac:dyDescent="0.25">
      <c r="A4" s="14" t="s">
        <v>0</v>
      </c>
      <c r="B4" s="15">
        <f>0.27778*23.9</f>
        <v>6.6389420000000001</v>
      </c>
    </row>
    <row r="5" spans="1:2" x14ac:dyDescent="0.25">
      <c r="A5" s="14" t="s">
        <v>1</v>
      </c>
      <c r="B5" s="15">
        <f>0.27778*16</f>
        <v>4.4444800000000004</v>
      </c>
    </row>
    <row r="6" spans="1:2" x14ac:dyDescent="0.25">
      <c r="A6" s="14" t="s">
        <v>3</v>
      </c>
      <c r="B6" s="15">
        <f>0.27778*42</f>
        <v>11.666760000000002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D17-6166-40A9-953F-A236C50591E1}">
  <dimension ref="A1:C13"/>
  <sheetViews>
    <sheetView workbookViewId="0">
      <selection activeCell="A10" sqref="A10:C10"/>
    </sheetView>
  </sheetViews>
  <sheetFormatPr baseColWidth="10" defaultRowHeight="15" x14ac:dyDescent="0.25"/>
  <cols>
    <col min="1" max="1" width="16.140625" bestFit="1" customWidth="1"/>
    <col min="2" max="2" width="30.28515625" bestFit="1" customWidth="1"/>
    <col min="3" max="3" width="148.5703125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2" t="s">
        <v>38</v>
      </c>
      <c r="C2" t="s">
        <v>27</v>
      </c>
    </row>
    <row r="3" spans="1:3" x14ac:dyDescent="0.25">
      <c r="A3" s="12" t="s">
        <v>38</v>
      </c>
      <c r="C3" t="s">
        <v>28</v>
      </c>
    </row>
    <row r="4" spans="1:3" x14ac:dyDescent="0.25">
      <c r="A4" s="12" t="s">
        <v>38</v>
      </c>
      <c r="C4" t="s">
        <v>29</v>
      </c>
    </row>
    <row r="5" spans="1:3" x14ac:dyDescent="0.25">
      <c r="A5" s="12" t="s">
        <v>38</v>
      </c>
      <c r="C5" t="s">
        <v>30</v>
      </c>
    </row>
    <row r="6" spans="1:3" x14ac:dyDescent="0.25">
      <c r="A6" s="12" t="s">
        <v>38</v>
      </c>
      <c r="C6" t="s">
        <v>31</v>
      </c>
    </row>
    <row r="7" spans="1:3" x14ac:dyDescent="0.25">
      <c r="A7" s="24" t="s">
        <v>39</v>
      </c>
      <c r="B7" s="24"/>
      <c r="C7" s="24" t="s">
        <v>32</v>
      </c>
    </row>
    <row r="8" spans="1:3" x14ac:dyDescent="0.25">
      <c r="A8" t="s">
        <v>40</v>
      </c>
      <c r="C8" t="s">
        <v>33</v>
      </c>
    </row>
    <row r="9" spans="1:3" x14ac:dyDescent="0.25">
      <c r="A9" t="s">
        <v>41</v>
      </c>
      <c r="C9" t="s">
        <v>34</v>
      </c>
    </row>
    <row r="10" spans="1:3" x14ac:dyDescent="0.25">
      <c r="A10" s="28" t="s">
        <v>42</v>
      </c>
      <c r="B10" s="28"/>
      <c r="C10" s="28" t="s">
        <v>35</v>
      </c>
    </row>
    <row r="11" spans="1:3" x14ac:dyDescent="0.25">
      <c r="A11" t="s">
        <v>43</v>
      </c>
      <c r="C11" t="s">
        <v>36</v>
      </c>
    </row>
    <row r="12" spans="1:3" x14ac:dyDescent="0.25">
      <c r="A12" t="s">
        <v>44</v>
      </c>
      <c r="C12" t="s">
        <v>37</v>
      </c>
    </row>
    <row r="13" spans="1:3" x14ac:dyDescent="0.25">
      <c r="A13" s="21" t="s">
        <v>54</v>
      </c>
      <c r="B13" s="21" t="s">
        <v>53</v>
      </c>
      <c r="C13" s="21" t="s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7DC7-3FA9-4644-A7FC-535374C66D32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10"/>
      <c r="B1" s="1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Technologies</vt:lpstr>
      <vt:lpstr>Conversion table</vt:lpstr>
      <vt:lpstr>Sources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2022-06-28T16:44:25Z</dcterms:created>
  <dcterms:modified xsi:type="dcterms:W3CDTF">2022-07-26T12:14:54Z</dcterms:modified>
</cp:coreProperties>
</file>