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433E8D83-E7F5-EB48-B56E-EB4D3FE8146D}" xr6:coauthVersionLast="47" xr6:coauthVersionMax="47" xr10:uidLastSave="{00000000-0000-0000-0000-000000000000}"/>
  <bookViews>
    <workbookView xWindow="7440" yWindow="660" windowWidth="41320" windowHeight="20960" activeTab="4" xr2:uid="{26D4EB12-4743-9048-9A76-D4D7675E8AA2}"/>
  </bookViews>
  <sheets>
    <sheet name="Transport_B_base" sheetId="1" r:id="rId1"/>
    <sheet name="Transport_B_trainavion" sheetId="2" r:id="rId2"/>
    <sheet name="Transport_C_base" sheetId="3" r:id="rId3"/>
    <sheet name="Transport_C_trainavion" sheetId="4" r:id="rId4"/>
    <sheet name="preparation" sheetId="6" r:id="rId5"/>
    <sheet name="liens bbli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8" i="6" l="1"/>
  <c r="H28" i="6"/>
  <c r="M36" i="6" l="1"/>
  <c r="M35" i="6"/>
  <c r="M34" i="6"/>
  <c r="L26" i="6"/>
  <c r="L25" i="6"/>
  <c r="V25" i="6" s="1"/>
  <c r="Q23" i="6"/>
  <c r="V23" i="6" s="1"/>
  <c r="C24" i="6"/>
  <c r="C25" i="6"/>
  <c r="C26" i="6"/>
  <c r="C23" i="6"/>
  <c r="I23" i="6" s="1"/>
  <c r="I24" i="6"/>
  <c r="E23" i="6"/>
  <c r="E24" i="6"/>
  <c r="E25" i="6"/>
  <c r="E26" i="6"/>
  <c r="E22" i="6"/>
  <c r="L22" i="6"/>
  <c r="V22" i="6" s="1"/>
  <c r="L6" i="6"/>
  <c r="M6" i="6" s="1"/>
  <c r="V24" i="6"/>
  <c r="V27" i="6"/>
  <c r="V28" i="6"/>
  <c r="V29" i="6"/>
  <c r="U18" i="6"/>
  <c r="L18" i="6"/>
  <c r="S18" i="6" s="1"/>
  <c r="I18" i="6"/>
  <c r="P17" i="6"/>
  <c r="Q17" i="6" s="1"/>
  <c r="L17" i="6"/>
  <c r="M17" i="6" s="1"/>
  <c r="I17" i="6"/>
  <c r="P16" i="6"/>
  <c r="Q16" i="6" s="1"/>
  <c r="L16" i="6"/>
  <c r="M16" i="6" s="1"/>
  <c r="I16" i="6"/>
  <c r="U21" i="6"/>
  <c r="L21" i="6"/>
  <c r="S21" i="6" s="1"/>
  <c r="D21" i="6"/>
  <c r="I21" i="6" s="1"/>
  <c r="U20" i="6"/>
  <c r="L20" i="6"/>
  <c r="S20" i="6" s="1"/>
  <c r="D20" i="6"/>
  <c r="I20" i="6" s="1"/>
  <c r="P19" i="6"/>
  <c r="Q19" i="6" s="1"/>
  <c r="L19" i="6"/>
  <c r="M19" i="6" s="1"/>
  <c r="D19" i="6"/>
  <c r="I19" i="6" s="1"/>
  <c r="U15" i="6"/>
  <c r="L15" i="6"/>
  <c r="M15" i="6" s="1"/>
  <c r="D15" i="6"/>
  <c r="I15" i="6" s="1"/>
  <c r="U14" i="6"/>
  <c r="L14" i="6"/>
  <c r="S14" i="6" s="1"/>
  <c r="D14" i="6"/>
  <c r="I14" i="6" s="1"/>
  <c r="U13" i="6"/>
  <c r="L13" i="6"/>
  <c r="S13" i="6" s="1"/>
  <c r="I13" i="6"/>
  <c r="P12" i="6"/>
  <c r="Q12" i="6" s="1"/>
  <c r="L12" i="6"/>
  <c r="M12" i="6" s="1"/>
  <c r="D12" i="6"/>
  <c r="I12" i="6" s="1"/>
  <c r="P11" i="6"/>
  <c r="Q11" i="6" s="1"/>
  <c r="L11" i="6"/>
  <c r="M11" i="6" s="1"/>
  <c r="D11" i="6"/>
  <c r="I11" i="6" s="1"/>
  <c r="U10" i="6"/>
  <c r="L10" i="6"/>
  <c r="M10" i="6" s="1"/>
  <c r="I10" i="6"/>
  <c r="Q9" i="6"/>
  <c r="U9" i="6" s="1"/>
  <c r="L9" i="6"/>
  <c r="M9" i="6" s="1"/>
  <c r="I9" i="6"/>
  <c r="Q8" i="6"/>
  <c r="U8" i="6" s="1"/>
  <c r="L8" i="6"/>
  <c r="M8" i="6" s="1"/>
  <c r="I8" i="6"/>
  <c r="P7" i="6"/>
  <c r="Q7" i="6" s="1"/>
  <c r="L7" i="6"/>
  <c r="M7" i="6" s="1"/>
  <c r="I7" i="6"/>
  <c r="P6" i="6"/>
  <c r="Q6" i="6" s="1"/>
  <c r="I6" i="6"/>
  <c r="P2" i="6"/>
  <c r="Q2" i="6" s="1"/>
  <c r="L2" i="6"/>
  <c r="M2" i="6" s="1"/>
  <c r="I2" i="6"/>
  <c r="V26" i="6" l="1"/>
  <c r="M22" i="6"/>
  <c r="M33" i="6" s="1"/>
  <c r="U19" i="6"/>
  <c r="S19" i="6"/>
  <c r="S10" i="6"/>
  <c r="S15" i="6"/>
  <c r="U17" i="6"/>
  <c r="S17" i="6"/>
  <c r="S12" i="6"/>
  <c r="U12" i="6"/>
  <c r="S6" i="6"/>
  <c r="U6" i="6"/>
  <c r="U7" i="6"/>
  <c r="S7" i="6"/>
  <c r="S11" i="6"/>
  <c r="U11" i="6"/>
  <c r="U16" i="6"/>
  <c r="S16" i="6"/>
  <c r="S9" i="6"/>
  <c r="M13" i="6"/>
  <c r="M21" i="6"/>
  <c r="S8" i="6"/>
  <c r="M14" i="6"/>
  <c r="M20" i="6"/>
  <c r="M18" i="6"/>
  <c r="U2" i="6"/>
  <c r="S2" i="6"/>
  <c r="C7" i="3"/>
  <c r="C8" i="3"/>
  <c r="C10" i="3"/>
  <c r="D10" i="3" s="1"/>
  <c r="C11" i="3"/>
  <c r="C12" i="3"/>
  <c r="C13" i="3"/>
  <c r="C14" i="3"/>
  <c r="C15" i="3"/>
  <c r="L3" i="3"/>
  <c r="L2" i="3"/>
  <c r="G3" i="3"/>
  <c r="I3" i="3" s="1"/>
  <c r="J3" i="3" s="1"/>
  <c r="G2" i="3"/>
  <c r="I2" i="3" s="1"/>
  <c r="J2" i="3" s="1"/>
  <c r="K2" i="3" l="1"/>
  <c r="K3" i="3"/>
  <c r="C8" i="4"/>
  <c r="B8" i="4"/>
  <c r="B7" i="4"/>
  <c r="D18" i="3"/>
  <c r="D17" i="3"/>
  <c r="D16" i="3"/>
  <c r="D15" i="3"/>
  <c r="D14" i="3"/>
  <c r="D13" i="3"/>
  <c r="D12" i="3"/>
  <c r="D11" i="3"/>
  <c r="D8" i="3"/>
  <c r="D7" i="3"/>
  <c r="D6" i="3"/>
  <c r="D5" i="3"/>
  <c r="D4" i="3"/>
  <c r="D3" i="3"/>
  <c r="D2" i="3"/>
  <c r="C4" i="2"/>
  <c r="D10" i="1"/>
  <c r="B6" i="1" s="1"/>
  <c r="B10" i="1"/>
  <c r="D9" i="1"/>
  <c r="D8" i="1"/>
  <c r="B8" i="1"/>
  <c r="D7" i="1"/>
  <c r="D6" i="1"/>
  <c r="D5" i="1"/>
  <c r="D4" i="1"/>
  <c r="B4" i="1"/>
  <c r="D3" i="1"/>
  <c r="B3" i="1"/>
  <c r="C2" i="1"/>
  <c r="D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7A63FA2D-720F-2A43-AF1C-822C0381463D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ID#AAAARSFltn4
</t>
        </r>
        <r>
          <rPr>
            <sz val="11"/>
            <color rgb="FF000000"/>
            <rFont val="Arial"/>
            <family val="2"/>
          </rPr>
          <t xml:space="preserve">Marie Gruet    (2021-10-27 08:29:01)
</t>
        </r>
        <r>
          <rPr>
            <sz val="11"/>
            <color rgb="FF000000"/>
            <rFont val="Arial"/>
            <family val="2"/>
          </rPr>
          <t>https://www.oui.sncf/aide/calcul-des-emissions-de-co2-sur-votre-trajet-en-train</t>
        </r>
      </text>
    </comment>
    <comment ref="B3" authorId="0" shapeId="0" xr:uid="{83F2FBE0-9A71-C64A-9F2A-87437D6EE747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ID#AAAARSFltoA
</t>
        </r>
        <r>
          <rPr>
            <sz val="11"/>
            <color rgb="FF000000"/>
            <rFont val="Arial"/>
            <family val="2"/>
          </rPr>
          <t xml:space="preserve">Marie Gruet    (2021-10-27 08:31:24)
</t>
        </r>
        <r>
          <rPr>
            <sz val="11"/>
            <color rgb="FF000000"/>
            <rFont val="Arial"/>
            <family val="2"/>
          </rPr>
          <t>https://www.oui.sncf/aide/calcul-des-emissions-de-co2-sur-votre-trajet-en-train</t>
        </r>
      </text>
    </comment>
    <comment ref="B4" authorId="0" shapeId="0" xr:uid="{CFC126CE-23A5-4441-9118-7A0861F85DF8}">
      <text>
        <r>
          <rPr>
            <sz val="11"/>
            <color theme="1"/>
            <rFont val="Arial"/>
            <family val="2"/>
          </rPr>
          <t>======
ID#AAAARSFltoE
Marie Gruet    (2021-10-27 08:31:30)
https://www.oui.sncf/aide/calcul-des-emissions-de-co2-sur-votre-trajet-en-train</t>
        </r>
      </text>
    </comment>
    <comment ref="B5" authorId="0" shapeId="0" xr:uid="{7ACAC4D1-27D1-F540-A2BD-A05204475B1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ID#AAAARSFltoI
</t>
        </r>
        <r>
          <rPr>
            <sz val="11"/>
            <color rgb="FF000000"/>
            <rFont val="Arial"/>
            <family val="2"/>
          </rPr>
          <t xml:space="preserve">Marie Gruet    (2021-10-27 08:31:35)
</t>
        </r>
        <r>
          <rPr>
            <sz val="11"/>
            <color rgb="FF000000"/>
            <rFont val="Arial"/>
            <family val="2"/>
          </rPr>
          <t>https://www.oui.sncf/aide/calcul-des-emissions-de-co2-sur-votre-trajet-en-train</t>
        </r>
      </text>
    </comment>
    <comment ref="B6" authorId="0" shapeId="0" xr:uid="{79326D8D-5993-3E44-A44E-D0C3258C3906}">
      <text>
        <r>
          <rPr>
            <sz val="11"/>
            <color theme="1"/>
            <rFont val="Arial"/>
            <family val="2"/>
          </rPr>
          <t>======
ID#AAAARSFltn8
Marie Gruet    (2021-10-27 08:31:08)
https://www.transilien.com/fr/page-corporate/calcul-emissions-co2</t>
        </r>
      </text>
    </comment>
  </commentList>
</comments>
</file>

<file path=xl/sharedStrings.xml><?xml version="1.0" encoding="utf-8"?>
<sst xmlns="http://schemas.openxmlformats.org/spreadsheetml/2006/main" count="184" uniqueCount="115">
  <si>
    <t>Véhicule</t>
  </si>
  <si>
    <t>gC02e/km (scope 1+2)</t>
  </si>
  <si>
    <t>Mds véh.km</t>
  </si>
  <si>
    <t>Mds voy.km</t>
  </si>
  <si>
    <t>Taux de remplissage</t>
  </si>
  <si>
    <t>2RM petrole</t>
  </si>
  <si>
    <t>2RM Gaz</t>
  </si>
  <si>
    <t>2RM Elec Batt</t>
  </si>
  <si>
    <t>Bus et cars pétrole</t>
  </si>
  <si>
    <t>Bus et cars Gaz</t>
  </si>
  <si>
    <t>Bus et cars électriques batt</t>
  </si>
  <si>
    <t>Bus et cars H2</t>
  </si>
  <si>
    <t>Deux roues pétrole</t>
  </si>
  <si>
    <t>Deux roues électtrique batt</t>
  </si>
  <si>
    <t>gC02e/voy.km</t>
  </si>
  <si>
    <t>Train-metro-Tram</t>
  </si>
  <si>
    <t>Transport aérien Métropole-Métropole</t>
  </si>
  <si>
    <t>Transport aérien Métropole-Outre mer</t>
  </si>
  <si>
    <t>gC02e/km</t>
  </si>
  <si>
    <t>VP diesel</t>
  </si>
  <si>
    <t>VP essence</t>
  </si>
  <si>
    <t>VP GPL</t>
  </si>
  <si>
    <t>VP GNV</t>
  </si>
  <si>
    <t>VP électriques</t>
  </si>
  <si>
    <t>VUL diesel</t>
  </si>
  <si>
    <t>VUL essence</t>
  </si>
  <si>
    <t>VUL électriques</t>
  </si>
  <si>
    <t>Bus et cars diesel</t>
  </si>
  <si>
    <t>Bus et cars essence</t>
  </si>
  <si>
    <t xml:space="preserve">Bus et cars GNV </t>
  </si>
  <si>
    <t>Bus et cars électriques</t>
  </si>
  <si>
    <t>Deux roues essence</t>
  </si>
  <si>
    <t>Deux roues diesel</t>
  </si>
  <si>
    <t>Deux roues électriques</t>
  </si>
  <si>
    <t>TGV</t>
  </si>
  <si>
    <t>TER</t>
  </si>
  <si>
    <t>Intercité</t>
  </si>
  <si>
    <t>Transilien/RER</t>
  </si>
  <si>
    <t>Métro/Tram</t>
  </si>
  <si>
    <t>https://www.notre-environnement.gouv.fr/rapport-sur-l-etat-de-l-environnement/themes-ree/defis-environnementaux/changement-climatique/emissions-de-gaz-a-effet-de-serre/article/les-emissions-de-gaz-a-effet-de-serre-du-secteur-des-transports</t>
  </si>
  <si>
    <t>conso l/100km</t>
  </si>
  <si>
    <t>conso kWh/100km</t>
  </si>
  <si>
    <t>facteur d'émission gCO2/kWh</t>
  </si>
  <si>
    <t>https://fr.statista.com/statistiques/486554/consommation-de-carburant-moyenne-voiture-france/#:~:text=En%202020%2C%20une%20voiture%20particuli%C3%A8re,9%20pour%20les%20voitures%20diesel.</t>
  </si>
  <si>
    <t xml:space="preserve">conso VP </t>
  </si>
  <si>
    <t>facteur d'émission gCO2/km</t>
  </si>
  <si>
    <t>Total MTCO2</t>
  </si>
  <si>
    <t>conso totale TWh</t>
  </si>
  <si>
    <t>conso totale m^3</t>
  </si>
  <si>
    <t>CITEPA 2018</t>
  </si>
  <si>
    <t xml:space="preserve">Milliers véhicules </t>
  </si>
  <si>
    <t>VUL GPL</t>
  </si>
  <si>
    <t>VUL GNV</t>
  </si>
  <si>
    <t>CITEPA 2018 Vkm</t>
  </si>
  <si>
    <t>VP</t>
  </si>
  <si>
    <t>VUL</t>
  </si>
  <si>
    <t>Categorie</t>
  </si>
  <si>
    <t>Moteur</t>
  </si>
  <si>
    <t>Nb_vehicules</t>
  </si>
  <si>
    <t>Mds_veh_km</t>
  </si>
  <si>
    <t>Taux remplissage</t>
  </si>
  <si>
    <t>2 roues 2012</t>
  </si>
  <si>
    <t>https://www.statistiques.developpement-durable.gouv.fr/sites/default/files/2018-11/chiffres-stats400-deux-roues-motorises-au-01012012-mars2013.pdf</t>
  </si>
  <si>
    <t xml:space="preserve">VUL </t>
  </si>
  <si>
    <t>https://www.statistiques.developpement-durable.gouv.fr/6-millions-de-vehicules-utilitaires-legers-en-circulation-au-1er-janvier-2020</t>
  </si>
  <si>
    <t xml:space="preserve">distance </t>
  </si>
  <si>
    <t>https://www.statistiques.developpement-durable.gouv.fr/sites/default/files/2020-12/datalab_78_comptes_transports_2019_circulation_novembre2020.pdf</t>
  </si>
  <si>
    <t>1000 km/an/vehicule</t>
  </si>
  <si>
    <t>Mds vehicule km</t>
  </si>
  <si>
    <t>Mds voy km</t>
  </si>
  <si>
    <t>PCI</t>
  </si>
  <si>
    <t>conso Mwh/100</t>
  </si>
  <si>
    <t xml:space="preserve">Emissions calculées </t>
  </si>
  <si>
    <t>facteur d'émission par km</t>
  </si>
  <si>
    <t>poids lourd</t>
  </si>
  <si>
    <t>diesel</t>
  </si>
  <si>
    <t>essence</t>
  </si>
  <si>
    <t>GPL</t>
  </si>
  <si>
    <t>GNV</t>
  </si>
  <si>
    <t>électrique</t>
  </si>
  <si>
    <t>Bus et cars</t>
  </si>
  <si>
    <t>deux roues</t>
  </si>
  <si>
    <t xml:space="preserve">TGV </t>
  </si>
  <si>
    <t>https://www.autorite-transports.fr/wp-content/uploads/2021/01/bilan-ferroviaire-2019.pdf</t>
  </si>
  <si>
    <t xml:space="preserve">Figure 40 </t>
  </si>
  <si>
    <t>700 place/train</t>
  </si>
  <si>
    <t>70% d'occupation</t>
  </si>
  <si>
    <t>environ 500 pers/train</t>
  </si>
  <si>
    <t>intercite</t>
  </si>
  <si>
    <t>Transilien_RER</t>
  </si>
  <si>
    <t>Metro_tram</t>
  </si>
  <si>
    <t>aerien_interne</t>
  </si>
  <si>
    <t>aerien_outre_mer</t>
  </si>
  <si>
    <t>conso totale</t>
  </si>
  <si>
    <t>1000 km/an/vehicule arrondi</t>
  </si>
  <si>
    <t>distance moyenne par passager</t>
  </si>
  <si>
    <t>Capacité d'emport</t>
  </si>
  <si>
    <t>taux d'occupation</t>
  </si>
  <si>
    <t>passager par vehicule</t>
  </si>
  <si>
    <t>Mds Siege.km</t>
  </si>
  <si>
    <t xml:space="preserve">rapport intéressant </t>
  </si>
  <si>
    <t>https://www.statistiques.developpement-durable.gouv.fr/sites/default/files/2018-11/ed148-transport-interieur-voyageurs-mai-2016.pdf</t>
  </si>
  <si>
    <t>transport collectif</t>
  </si>
  <si>
    <t>transport particulier</t>
  </si>
  <si>
    <t>transport ferré</t>
  </si>
  <si>
    <t>transport routier collectif</t>
  </si>
  <si>
    <t>https://www.statistiques.developpement-durable.gouv.fr/sites/default/files/2021-12/08_partie_g_bilan_circulation_2020_0.pdf</t>
  </si>
  <si>
    <t>aerien</t>
  </si>
  <si>
    <t>https://www.ecologie.gouv.fr/sites/default/files/bulletin_stat_trafic_aerien_2019.pdf</t>
  </si>
  <si>
    <t>https://www.ecologie.gouv.fr/sites/default/files/Observatoire_sp%C3%A9cial_s%C3%A9ries_longues-1986-2013_Flux-trafic-commercial.pdf</t>
  </si>
  <si>
    <t>(emport moyen France : 80 pour les vols internes)</t>
  </si>
  <si>
    <t>https://www.statistiques.developpement-durable.gouv.fr/bilan-annuel-des-transports-en-2020#:~:text=Dans%20le%20contexte%20de%20la,de%20tonnes%20kilom%C3%A8tres%20en%202020.</t>
  </si>
  <si>
    <t>https://www.ecologie.gouv.fr/sites/default/files/Notes_thematiques_N01_aout_2005.pdf</t>
  </si>
  <si>
    <t>conso moyenne : 1l/</t>
  </si>
  <si>
    <t>/365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</si>
</sst>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3" x14ac:knownFonts="1">
    <font>
      <sz val="12"/>
      <color theme="1"/>
      <name val="Calibri"/>
      <family val="2"/>
      <scheme val="minor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  <font>
      <sz val="12"/>
      <color theme="1"/>
      <name val="Calibri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8"/>
      <name val="Trebuchet MS"/>
      <family val="2"/>
    </font>
    <font>
      <sz val="8"/>
      <color theme="1" tint="0.499984740745262"/>
      <name val="Trebuchet MS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2F6"/>
        <bgColor rgb="FFEEE2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EEE2F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2" fontId="1" fillId="3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/>
    <xf numFmtId="1" fontId="3" fillId="0" borderId="4" xfId="0" applyNumberFormat="1" applyFont="1" applyBorder="1" applyAlignment="1">
      <alignment horizontal="right" vertical="center"/>
    </xf>
    <xf numFmtId="1" fontId="3" fillId="0" borderId="0" xfId="0" applyNumberFormat="1" applyFont="1"/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/>
    <xf numFmtId="2" fontId="1" fillId="3" borderId="2" xfId="0" applyNumberFormat="1" applyFont="1" applyFill="1" applyBorder="1" applyAlignment="1">
      <alignment horizontal="center"/>
    </xf>
    <xf numFmtId="2" fontId="3" fillId="0" borderId="0" xfId="0" applyNumberFormat="1" applyFont="1"/>
    <xf numFmtId="2" fontId="2" fillId="3" borderId="7" xfId="0" applyNumberFormat="1" applyFont="1" applyFill="1" applyBorder="1" applyAlignment="1">
      <alignment horizontal="center"/>
    </xf>
    <xf numFmtId="2" fontId="2" fillId="3" borderId="8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vertical="center" wrapText="1"/>
    </xf>
    <xf numFmtId="2" fontId="4" fillId="4" borderId="7" xfId="0" applyNumberFormat="1" applyFont="1" applyFill="1" applyBorder="1" applyAlignment="1">
      <alignment horizontal="center"/>
    </xf>
    <xf numFmtId="0" fontId="4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5" fillId="2" borderId="7" xfId="0" applyFont="1" applyFill="1" applyBorder="1" applyAlignment="1">
      <alignment vertical="center" wrapText="1"/>
    </xf>
    <xf numFmtId="2" fontId="5" fillId="4" borderId="7" xfId="0" applyNumberFormat="1" applyFont="1" applyFill="1" applyBorder="1" applyAlignment="1">
      <alignment horizontal="center"/>
    </xf>
    <xf numFmtId="2" fontId="5" fillId="4" borderId="9" xfId="0" applyNumberFormat="1" applyFont="1" applyFill="1" applyBorder="1" applyAlignment="1">
      <alignment horizontal="center"/>
    </xf>
    <xf numFmtId="0" fontId="7" fillId="0" borderId="0" xfId="1"/>
    <xf numFmtId="2" fontId="5" fillId="4" borderId="10" xfId="0" applyNumberFormat="1" applyFont="1" applyFill="1" applyBorder="1" applyAlignment="1">
      <alignment horizontal="center"/>
    </xf>
    <xf numFmtId="0" fontId="8" fillId="0" borderId="0" xfId="0" applyFont="1"/>
    <xf numFmtId="2" fontId="5" fillId="4" borderId="11" xfId="0" applyNumberFormat="1" applyFont="1" applyFill="1" applyBorder="1" applyAlignment="1">
      <alignment horizontal="center"/>
    </xf>
    <xf numFmtId="1" fontId="9" fillId="5" borderId="12" xfId="0" applyNumberFormat="1" applyFont="1" applyFill="1" applyBorder="1" applyAlignment="1">
      <alignment horizontal="center"/>
    </xf>
    <xf numFmtId="167" fontId="9" fillId="5" borderId="12" xfId="0" applyNumberFormat="1" applyFont="1" applyFill="1" applyBorder="1" applyAlignment="1">
      <alignment horizontal="center"/>
    </xf>
    <xf numFmtId="0" fontId="9" fillId="6" borderId="12" xfId="0" applyFont="1" applyFill="1" applyBorder="1" applyAlignment="1">
      <alignment vertical="center" wrapText="1"/>
    </xf>
    <xf numFmtId="2" fontId="9" fillId="5" borderId="12" xfId="0" applyNumberFormat="1" applyFont="1" applyFill="1" applyBorder="1" applyAlignment="1">
      <alignment horizontal="center"/>
    </xf>
    <xf numFmtId="167" fontId="10" fillId="5" borderId="12" xfId="0" applyNumberFormat="1" applyFont="1" applyFill="1" applyBorder="1" applyAlignment="1">
      <alignment horizontal="center"/>
    </xf>
    <xf numFmtId="1" fontId="9" fillId="5" borderId="13" xfId="0" applyNumberFormat="1" applyFont="1" applyFill="1" applyBorder="1" applyAlignment="1">
      <alignment horizontal="center"/>
    </xf>
    <xf numFmtId="0" fontId="4" fillId="4" borderId="0" xfId="0" applyFont="1" applyFill="1" applyBorder="1"/>
    <xf numFmtId="2" fontId="5" fillId="4" borderId="0" xfId="0" applyNumberFormat="1" applyFont="1" applyFill="1" applyBorder="1" applyAlignment="1">
      <alignment horizontal="center"/>
    </xf>
    <xf numFmtId="0" fontId="1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ologie.gouv.fr/sites/default/files/Observatoire_sp%C3%A9cial_s%C3%A9ries_longues-1986-2013_Flux-trafic-commercial.pdf" TargetMode="External"/><Relationship Id="rId2" Type="http://schemas.openxmlformats.org/officeDocument/2006/relationships/hyperlink" Target="https://fr.statista.com/statistiques/486554/consommation-de-carburant-moyenne-voiture-france/" TargetMode="External"/><Relationship Id="rId1" Type="http://schemas.openxmlformats.org/officeDocument/2006/relationships/hyperlink" Target="https://www.notre-environnement.gouv.fr/rapport-sur-l-etat-de-l-environnement/themes-ree/defis-environnementaux/changement-climatique/emissions-de-gaz-a-effet-de-serre/article/les-emissions-de-gaz-a-effet-de-serre-du-secteur-des-transports" TargetMode="External"/><Relationship Id="rId4" Type="http://schemas.openxmlformats.org/officeDocument/2006/relationships/hyperlink" Target="https://www.statistiques.developpement-durable.gouv.fr/bilan-annuel-des-transports-en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99B9-1265-AB4A-B247-91C60532B105}">
  <dimension ref="A1:E10"/>
  <sheetViews>
    <sheetView workbookViewId="0"/>
  </sheetViews>
  <sheetFormatPr baseColWidth="10" defaultRowHeight="16" x14ac:dyDescent="0.2"/>
  <sheetData>
    <row r="1" spans="1:5" ht="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2">
      <c r="A2" s="5" t="s">
        <v>5</v>
      </c>
      <c r="B2" s="6">
        <v>170</v>
      </c>
      <c r="C2" s="6">
        <f>316+143+55+6</f>
        <v>520</v>
      </c>
      <c r="D2" s="6">
        <f>E2*C2</f>
        <v>676</v>
      </c>
      <c r="E2" s="6">
        <v>1.3</v>
      </c>
    </row>
    <row r="3" spans="1:5" x14ac:dyDescent="0.2">
      <c r="A3" s="5" t="s">
        <v>6</v>
      </c>
      <c r="B3" s="6">
        <f>120*(1-D$10)+D$10*$H$6*$H$4*$H$1</f>
        <v>108</v>
      </c>
      <c r="C3" s="6">
        <v>1.5</v>
      </c>
      <c r="D3" s="6">
        <f t="shared" ref="D3:D10" si="0">E3*C3</f>
        <v>1.9500000000000002</v>
      </c>
      <c r="E3" s="6">
        <v>1.3</v>
      </c>
    </row>
    <row r="4" spans="1:5" x14ac:dyDescent="0.2">
      <c r="A4" s="5" t="s">
        <v>7</v>
      </c>
      <c r="B4" s="7">
        <f>$H$5*$H$4</f>
        <v>0</v>
      </c>
      <c r="C4" s="8">
        <v>1</v>
      </c>
      <c r="D4" s="6">
        <f t="shared" si="0"/>
        <v>1.3</v>
      </c>
      <c r="E4" s="6">
        <v>1.3</v>
      </c>
    </row>
    <row r="5" spans="1:5" ht="24" x14ac:dyDescent="0.2">
      <c r="A5" s="5" t="s">
        <v>8</v>
      </c>
      <c r="B5" s="6">
        <v>1100</v>
      </c>
      <c r="C5" s="8">
        <v>2.9</v>
      </c>
      <c r="D5" s="6">
        <f t="shared" si="0"/>
        <v>43.5</v>
      </c>
      <c r="E5" s="6">
        <v>15</v>
      </c>
    </row>
    <row r="6" spans="1:5" x14ac:dyDescent="0.2">
      <c r="A6" s="5" t="s">
        <v>9</v>
      </c>
      <c r="B6" s="6">
        <f>1000*(1-D$10)+D$10*$H$6*$H$4*$H$3*$H$1</f>
        <v>900</v>
      </c>
      <c r="C6" s="6">
        <v>0.03</v>
      </c>
      <c r="D6" s="6">
        <f t="shared" si="0"/>
        <v>0.44999999999999996</v>
      </c>
      <c r="E6" s="6">
        <v>15</v>
      </c>
    </row>
    <row r="7" spans="1:5" ht="24" x14ac:dyDescent="0.2">
      <c r="A7" s="5" t="s">
        <v>10</v>
      </c>
      <c r="B7" s="6">
        <v>0</v>
      </c>
      <c r="C7" s="8">
        <v>0</v>
      </c>
      <c r="D7" s="6">
        <f t="shared" si="0"/>
        <v>0</v>
      </c>
      <c r="E7" s="6">
        <v>15</v>
      </c>
    </row>
    <row r="8" spans="1:5" x14ac:dyDescent="0.2">
      <c r="A8" s="5" t="s">
        <v>11</v>
      </c>
      <c r="B8" s="6">
        <f>$H$5*$H$4*$H$3*$H$1</f>
        <v>0</v>
      </c>
      <c r="C8" s="8">
        <v>0</v>
      </c>
      <c r="D8" s="6">
        <f t="shared" si="0"/>
        <v>0</v>
      </c>
      <c r="E8" s="6">
        <v>15</v>
      </c>
    </row>
    <row r="9" spans="1:5" ht="24" x14ac:dyDescent="0.2">
      <c r="A9" s="5" t="s">
        <v>12</v>
      </c>
      <c r="B9" s="6">
        <v>100</v>
      </c>
      <c r="C9" s="6">
        <v>13.5</v>
      </c>
      <c r="D9" s="6">
        <f t="shared" si="0"/>
        <v>13.5</v>
      </c>
      <c r="E9" s="6">
        <v>1</v>
      </c>
    </row>
    <row r="10" spans="1:5" ht="25" thickBot="1" x14ac:dyDescent="0.25">
      <c r="A10" s="9" t="s">
        <v>13</v>
      </c>
      <c r="B10" s="10">
        <f>$H$4*$H$2*$H$5</f>
        <v>0</v>
      </c>
      <c r="C10" s="10">
        <v>0.1</v>
      </c>
      <c r="D10" s="10">
        <f t="shared" si="0"/>
        <v>0.1</v>
      </c>
      <c r="E10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BC84-7902-2840-9F99-8EC9F477A9F3}">
  <dimension ref="A1:C4"/>
  <sheetViews>
    <sheetView workbookViewId="0">
      <selection activeCell="H25" sqref="H25"/>
    </sheetView>
  </sheetViews>
  <sheetFormatPr baseColWidth="10" defaultRowHeight="16" x14ac:dyDescent="0.2"/>
  <sheetData>
    <row r="1" spans="1:3" x14ac:dyDescent="0.2">
      <c r="A1" s="1" t="s">
        <v>0</v>
      </c>
      <c r="B1" s="11" t="s">
        <v>14</v>
      </c>
      <c r="C1" s="4" t="s">
        <v>3</v>
      </c>
    </row>
    <row r="2" spans="1:3" ht="24" x14ac:dyDescent="0.2">
      <c r="A2" s="5" t="s">
        <v>15</v>
      </c>
      <c r="B2" s="6">
        <v>5</v>
      </c>
      <c r="C2" s="12">
        <v>112</v>
      </c>
    </row>
    <row r="3" spans="1:3" ht="36" x14ac:dyDescent="0.2">
      <c r="A3" s="5" t="s">
        <v>16</v>
      </c>
      <c r="B3" s="13">
        <v>134</v>
      </c>
      <c r="C3" s="13">
        <v>15.6</v>
      </c>
    </row>
    <row r="4" spans="1:3" ht="37" thickBot="1" x14ac:dyDescent="0.25">
      <c r="A4" s="9" t="s">
        <v>17</v>
      </c>
      <c r="B4" s="14">
        <v>80</v>
      </c>
      <c r="C4" s="14">
        <f>0.004*8400</f>
        <v>33.6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ECB0-27BF-6240-8EF3-0F69D9DF7856}">
  <dimension ref="A1:Q25"/>
  <sheetViews>
    <sheetView topLeftCell="A4" workbookViewId="0">
      <selection activeCell="A22" sqref="A22:E49"/>
    </sheetView>
  </sheetViews>
  <sheetFormatPr baseColWidth="10" defaultRowHeight="16" x14ac:dyDescent="0.2"/>
  <cols>
    <col min="5" max="5" width="28.6640625" customWidth="1"/>
    <col min="7" max="7" width="23.33203125" customWidth="1"/>
    <col min="8" max="8" width="26.1640625" customWidth="1"/>
    <col min="9" max="9" width="23.33203125" customWidth="1"/>
    <col min="11" max="11" width="15.5" customWidth="1"/>
    <col min="15" max="15" width="17.83203125" customWidth="1"/>
    <col min="16" max="16" width="18.83203125" customWidth="1"/>
  </cols>
  <sheetData>
    <row r="1" spans="1:17" ht="25" x14ac:dyDescent="0.2">
      <c r="A1" s="15" t="s">
        <v>0</v>
      </c>
      <c r="B1" s="16" t="s">
        <v>18</v>
      </c>
      <c r="C1" s="17" t="s">
        <v>2</v>
      </c>
      <c r="D1" s="18" t="s">
        <v>3</v>
      </c>
      <c r="E1" s="18" t="s">
        <v>4</v>
      </c>
      <c r="F1" t="s">
        <v>40</v>
      </c>
      <c r="G1" t="s">
        <v>41</v>
      </c>
      <c r="H1" t="s">
        <v>42</v>
      </c>
      <c r="I1" t="s">
        <v>45</v>
      </c>
      <c r="J1" t="s">
        <v>46</v>
      </c>
      <c r="K1" t="s">
        <v>47</v>
      </c>
      <c r="L1" t="s">
        <v>48</v>
      </c>
      <c r="N1" t="s">
        <v>49</v>
      </c>
      <c r="O1" t="s">
        <v>50</v>
      </c>
      <c r="P1" t="s">
        <v>53</v>
      </c>
    </row>
    <row r="2" spans="1:17" x14ac:dyDescent="0.2">
      <c r="A2" s="19" t="s">
        <v>19</v>
      </c>
      <c r="B2" s="20">
        <v>165.7424412138364</v>
      </c>
      <c r="C2" s="20">
        <v>316.26114815516769</v>
      </c>
      <c r="D2" s="20">
        <f t="shared" ref="D2:D18" si="0">C2*E2</f>
        <v>379.5133777862012</v>
      </c>
      <c r="E2" s="20">
        <v>1.2</v>
      </c>
      <c r="F2" s="23">
        <v>6</v>
      </c>
      <c r="G2">
        <f>F2*9.7</f>
        <v>58.199999999999996</v>
      </c>
      <c r="H2" s="25">
        <v>330</v>
      </c>
      <c r="I2">
        <f>G2*H2/100</f>
        <v>192.06</v>
      </c>
      <c r="J2">
        <f>I2*C2/1000</f>
        <v>60.741116114681503</v>
      </c>
      <c r="K2">
        <f>G2*C2/100</f>
        <v>184.0639882263076</v>
      </c>
      <c r="L2">
        <f>F2*C2/100</f>
        <v>18.975668889310061</v>
      </c>
      <c r="N2">
        <v>50.6</v>
      </c>
      <c r="O2">
        <v>23426.6</v>
      </c>
      <c r="P2" s="27">
        <v>316.90930110606928</v>
      </c>
      <c r="Q2" s="30">
        <v>168.7341661446722</v>
      </c>
    </row>
    <row r="3" spans="1:17" x14ac:dyDescent="0.2">
      <c r="A3" s="19" t="s">
        <v>20</v>
      </c>
      <c r="B3" s="20">
        <v>155.80063510128798</v>
      </c>
      <c r="C3" s="20">
        <v>143.02161906059894</v>
      </c>
      <c r="D3" s="20">
        <f t="shared" si="0"/>
        <v>171.62594287271872</v>
      </c>
      <c r="E3" s="20">
        <v>1.2</v>
      </c>
      <c r="F3" s="23">
        <v>7.1</v>
      </c>
      <c r="G3">
        <f>F3*8.8</f>
        <v>62.480000000000004</v>
      </c>
      <c r="H3" s="25">
        <v>332</v>
      </c>
      <c r="I3">
        <f>G3*H3/100</f>
        <v>207.43360000000001</v>
      </c>
      <c r="J3">
        <f>I3*C3/1000</f>
        <v>29.667489319568656</v>
      </c>
      <c r="K3">
        <f>G3*C3/100</f>
        <v>89.359907589062217</v>
      </c>
      <c r="L3">
        <f>F3*C3/100</f>
        <v>10.154534953302523</v>
      </c>
      <c r="N3">
        <v>19.2</v>
      </c>
      <c r="O3">
        <v>14342.5</v>
      </c>
      <c r="P3" s="27">
        <v>125.22591096825003</v>
      </c>
      <c r="Q3" s="30">
        <v>162.73796518207024</v>
      </c>
    </row>
    <row r="4" spans="1:17" x14ac:dyDescent="0.2">
      <c r="A4" s="19" t="s">
        <v>21</v>
      </c>
      <c r="B4" s="20">
        <v>110.15297857651096</v>
      </c>
      <c r="C4" s="20">
        <v>1.438258794821085</v>
      </c>
      <c r="D4" s="20">
        <f t="shared" si="0"/>
        <v>1.7259105537853019</v>
      </c>
      <c r="E4" s="20">
        <v>1.2</v>
      </c>
      <c r="O4">
        <v>33</v>
      </c>
      <c r="P4" s="26">
        <v>0.22995332169336211</v>
      </c>
      <c r="Q4" s="30">
        <v>175.0385346418538</v>
      </c>
    </row>
    <row r="5" spans="1:17" x14ac:dyDescent="0.2">
      <c r="A5" s="19" t="s">
        <v>22</v>
      </c>
      <c r="B5" s="20">
        <v>139.32332715645703</v>
      </c>
      <c r="C5" s="20">
        <v>7.6668475639745687E-2</v>
      </c>
      <c r="D5" s="20">
        <f t="shared" si="0"/>
        <v>9.2002170767694819E-2</v>
      </c>
      <c r="E5" s="20">
        <v>1.2</v>
      </c>
      <c r="O5">
        <v>2</v>
      </c>
      <c r="P5" s="26">
        <v>1.7367400031428167E-2</v>
      </c>
      <c r="Q5" s="30">
        <v>168.68624650344674</v>
      </c>
    </row>
    <row r="6" spans="1:17" x14ac:dyDescent="0.2">
      <c r="A6" s="19" t="s">
        <v>23</v>
      </c>
      <c r="B6" s="20">
        <v>0</v>
      </c>
      <c r="C6" s="20">
        <v>1.0241650189542271</v>
      </c>
      <c r="D6" s="20">
        <f t="shared" si="0"/>
        <v>1.2289980227450725</v>
      </c>
      <c r="E6" s="20">
        <v>1.2</v>
      </c>
      <c r="O6" s="26">
        <v>108.175</v>
      </c>
      <c r="P6" s="26">
        <v>0.96683641072219051</v>
      </c>
      <c r="Q6" s="30">
        <v>0</v>
      </c>
    </row>
    <row r="7" spans="1:17" x14ac:dyDescent="0.2">
      <c r="A7" s="19" t="s">
        <v>24</v>
      </c>
      <c r="B7" s="20">
        <v>219.20672641734643</v>
      </c>
      <c r="C7" s="20">
        <f>91.0319547781913*0.6</f>
        <v>54.619172866914781</v>
      </c>
      <c r="D7" s="20">
        <f t="shared" si="0"/>
        <v>98.314511160446614</v>
      </c>
      <c r="E7" s="20">
        <v>1.8</v>
      </c>
      <c r="O7" s="27">
        <v>5938.509</v>
      </c>
      <c r="P7" s="27">
        <v>81.2271507602008</v>
      </c>
      <c r="Q7" s="30">
        <v>220.40639387608147</v>
      </c>
    </row>
    <row r="8" spans="1:17" ht="19" customHeight="1" x14ac:dyDescent="0.2">
      <c r="A8" s="19" t="s">
        <v>25</v>
      </c>
      <c r="B8" s="20">
        <v>189.07207216638702</v>
      </c>
      <c r="C8" s="20">
        <f>10.4229775052414*0.6</f>
        <v>6.2537865031448403</v>
      </c>
      <c r="D8" s="20">
        <f t="shared" si="0"/>
        <v>11.256815705660713</v>
      </c>
      <c r="E8" s="20">
        <v>1.8</v>
      </c>
      <c r="O8" s="27">
        <v>2350.6819999999998</v>
      </c>
      <c r="P8" s="27">
        <v>15.080389523859543</v>
      </c>
      <c r="Q8" s="30">
        <v>158.07068544243077</v>
      </c>
    </row>
    <row r="9" spans="1:17" ht="19" customHeight="1" x14ac:dyDescent="0.2">
      <c r="A9" s="28" t="s">
        <v>51</v>
      </c>
      <c r="B9" s="20"/>
      <c r="C9" s="20"/>
      <c r="D9" s="20"/>
      <c r="E9" s="20"/>
      <c r="O9" s="27">
        <v>116.66500000000001</v>
      </c>
      <c r="P9" s="27">
        <v>0.72378173143525781</v>
      </c>
      <c r="Q9" s="30">
        <v>185.0244423860907</v>
      </c>
    </row>
    <row r="10" spans="1:17" x14ac:dyDescent="0.2">
      <c r="A10" s="28" t="s">
        <v>52</v>
      </c>
      <c r="B10" s="20">
        <v>0</v>
      </c>
      <c r="C10" s="20">
        <f>0.435578638449838*0.6</f>
        <v>0.26134718306990279</v>
      </c>
      <c r="D10" s="20">
        <f t="shared" ref="D10" si="1">C10*E10</f>
        <v>0.47042492952582504</v>
      </c>
      <c r="E10" s="20">
        <v>1.8</v>
      </c>
      <c r="O10" s="27">
        <v>7.0000000000000009</v>
      </c>
      <c r="P10" s="27">
        <v>8.0949498742442103E-2</v>
      </c>
      <c r="Q10" s="30">
        <v>178.12938662178505</v>
      </c>
    </row>
    <row r="11" spans="1:17" x14ac:dyDescent="0.2">
      <c r="A11" s="19" t="s">
        <v>26</v>
      </c>
      <c r="B11" s="20">
        <v>0</v>
      </c>
      <c r="C11" s="20">
        <f>0.435578638449838*0.6</f>
        <v>0.26134718306990279</v>
      </c>
      <c r="D11" s="20">
        <f t="shared" si="0"/>
        <v>0.47042492952582504</v>
      </c>
      <c r="E11" s="20">
        <v>1.8</v>
      </c>
      <c r="O11" s="26">
        <v>3.3260000000000001</v>
      </c>
      <c r="P11" s="26">
        <v>2.5594692184850599E-2</v>
      </c>
      <c r="Q11" s="30">
        <v>0</v>
      </c>
    </row>
    <row r="12" spans="1:17" x14ac:dyDescent="0.2">
      <c r="A12" s="19" t="s">
        <v>27</v>
      </c>
      <c r="B12" s="20">
        <v>1112.9766344540224</v>
      </c>
      <c r="C12" s="20">
        <f>28.97/10</f>
        <v>2.8969999999999998</v>
      </c>
      <c r="D12" s="20">
        <f t="shared" si="0"/>
        <v>41.340189999999993</v>
      </c>
      <c r="E12" s="20">
        <v>14.27</v>
      </c>
      <c r="O12" s="27">
        <v>884.31799999999998</v>
      </c>
      <c r="P12" s="27">
        <v>32.194326777726658</v>
      </c>
      <c r="Q12" s="30">
        <v>1078.6779450911447</v>
      </c>
    </row>
    <row r="13" spans="1:17" ht="24" x14ac:dyDescent="0.2">
      <c r="A13" s="19" t="s">
        <v>28</v>
      </c>
      <c r="B13" s="20">
        <v>431.32970528073014</v>
      </c>
      <c r="C13" s="20">
        <f>0/10</f>
        <v>0</v>
      </c>
      <c r="D13" s="20">
        <f t="shared" si="0"/>
        <v>0</v>
      </c>
      <c r="E13" s="20">
        <v>14.27</v>
      </c>
      <c r="O13" s="29">
        <v>3.1890000000000001</v>
      </c>
      <c r="P13" s="29">
        <v>2.3031961637340066E-2</v>
      </c>
      <c r="Q13" s="30">
        <v>466.69419892997763</v>
      </c>
    </row>
    <row r="14" spans="1:17" x14ac:dyDescent="0.2">
      <c r="A14" s="19" t="s">
        <v>29</v>
      </c>
      <c r="B14" s="20">
        <v>1140.5937522829518</v>
      </c>
      <c r="C14" s="20">
        <f>0.327630360261145/10</f>
        <v>3.2763036026114502E-2</v>
      </c>
      <c r="D14" s="20">
        <f t="shared" si="0"/>
        <v>0.46752852409265394</v>
      </c>
      <c r="E14" s="20">
        <v>14.27</v>
      </c>
      <c r="O14" s="26">
        <v>7</v>
      </c>
      <c r="P14" s="26">
        <v>0.26187125006094797</v>
      </c>
      <c r="Q14" s="30">
        <v>1129.835502916382</v>
      </c>
    </row>
    <row r="15" spans="1:17" ht="24" x14ac:dyDescent="0.2">
      <c r="A15" s="19" t="s">
        <v>30</v>
      </c>
      <c r="B15" s="20">
        <v>0</v>
      </c>
      <c r="C15" s="20">
        <f>0.0233699210162792/10</f>
        <v>2.33699210162792E-3</v>
      </c>
      <c r="D15" s="20">
        <f t="shared" si="0"/>
        <v>3.3348877290230415E-2</v>
      </c>
      <c r="E15" s="20">
        <v>14.27</v>
      </c>
      <c r="O15" s="26">
        <v>0.504</v>
      </c>
      <c r="P15" s="26">
        <v>1.3080640913599463E-2</v>
      </c>
      <c r="Q15" s="30">
        <v>0</v>
      </c>
    </row>
    <row r="16" spans="1:17" ht="24" x14ac:dyDescent="0.2">
      <c r="A16" s="19" t="s">
        <v>31</v>
      </c>
      <c r="B16" s="20">
        <v>105.50510244538106</v>
      </c>
      <c r="C16" s="20">
        <v>12.96973188803741</v>
      </c>
      <c r="D16" s="20">
        <f t="shared" si="0"/>
        <v>13.099429206917785</v>
      </c>
      <c r="E16" s="20">
        <v>1.01</v>
      </c>
      <c r="O16" s="27">
        <v>3532.9</v>
      </c>
      <c r="P16" s="27">
        <v>12.314970088556445</v>
      </c>
      <c r="Q16" s="30">
        <v>111.17725289014417</v>
      </c>
    </row>
    <row r="17" spans="1:17" x14ac:dyDescent="0.2">
      <c r="A17" s="19" t="s">
        <v>32</v>
      </c>
      <c r="B17" s="20">
        <v>105.50510244538106</v>
      </c>
      <c r="C17" s="20">
        <v>0.92901191741603328</v>
      </c>
      <c r="D17" s="20">
        <f t="shared" si="0"/>
        <v>0.93830203659019362</v>
      </c>
      <c r="E17" s="20">
        <v>1.01</v>
      </c>
      <c r="O17" s="26">
        <v>124.85599999999999</v>
      </c>
      <c r="P17" s="26">
        <v>0.88201819041238705</v>
      </c>
      <c r="Q17" s="30">
        <v>106.0294148178522</v>
      </c>
    </row>
    <row r="18" spans="1:17" ht="24" x14ac:dyDescent="0.2">
      <c r="A18" s="19" t="s">
        <v>33</v>
      </c>
      <c r="B18" s="20">
        <v>0</v>
      </c>
      <c r="C18" s="21">
        <v>0.10112500577722081</v>
      </c>
      <c r="D18" s="21">
        <f t="shared" si="0"/>
        <v>0.10213625583499301</v>
      </c>
      <c r="E18" s="20">
        <v>1.01</v>
      </c>
      <c r="O18" s="26">
        <v>35.286999999999999</v>
      </c>
      <c r="P18" s="26">
        <v>7.8044872109981442E-2</v>
      </c>
      <c r="Q18" s="30">
        <v>0</v>
      </c>
    </row>
    <row r="23" spans="1:17" x14ac:dyDescent="0.2">
      <c r="A23" s="22"/>
    </row>
    <row r="25" spans="1:17" x14ac:dyDescent="0.2">
      <c r="B25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51E8-7FB0-0345-803C-765B79F6C06C}">
  <dimension ref="A1:C8"/>
  <sheetViews>
    <sheetView workbookViewId="0">
      <selection activeCell="C2" sqref="C2:C8"/>
    </sheetView>
  </sheetViews>
  <sheetFormatPr baseColWidth="10" defaultRowHeight="16" x14ac:dyDescent="0.2"/>
  <sheetData>
    <row r="1" spans="1:3" x14ac:dyDescent="0.2">
      <c r="A1" s="15" t="s">
        <v>0</v>
      </c>
      <c r="B1" s="16" t="s">
        <v>14</v>
      </c>
      <c r="C1" s="18" t="s">
        <v>3</v>
      </c>
    </row>
    <row r="2" spans="1:3" x14ac:dyDescent="0.2">
      <c r="A2" s="19" t="s">
        <v>34</v>
      </c>
      <c r="B2" s="20">
        <v>1.9</v>
      </c>
      <c r="C2" s="20">
        <v>61.89</v>
      </c>
    </row>
    <row r="3" spans="1:3" x14ac:dyDescent="0.2">
      <c r="A3" s="19" t="s">
        <v>35</v>
      </c>
      <c r="B3" s="20">
        <v>24.81</v>
      </c>
      <c r="C3" s="20">
        <v>15.221</v>
      </c>
    </row>
    <row r="4" spans="1:3" x14ac:dyDescent="0.2">
      <c r="A4" s="19" t="s">
        <v>36</v>
      </c>
      <c r="B4" s="20">
        <v>5.29</v>
      </c>
      <c r="C4" s="20">
        <v>5.46</v>
      </c>
    </row>
    <row r="5" spans="1:3" x14ac:dyDescent="0.2">
      <c r="A5" s="19" t="s">
        <v>37</v>
      </c>
      <c r="B5" s="20">
        <v>4.5</v>
      </c>
      <c r="C5" s="20">
        <v>19.5</v>
      </c>
    </row>
    <row r="6" spans="1:3" x14ac:dyDescent="0.2">
      <c r="A6" s="19" t="s">
        <v>38</v>
      </c>
      <c r="B6" s="20">
        <v>2.5</v>
      </c>
      <c r="C6" s="20">
        <v>10.6</v>
      </c>
    </row>
    <row r="7" spans="1:3" ht="36" x14ac:dyDescent="0.2">
      <c r="A7" s="19" t="s">
        <v>16</v>
      </c>
      <c r="B7" s="20">
        <f t="shared" ref="B7:B8" si="0">E7/C7*10^3</f>
        <v>0</v>
      </c>
      <c r="C7" s="20">
        <v>15.6</v>
      </c>
    </row>
    <row r="8" spans="1:3" ht="36" x14ac:dyDescent="0.2">
      <c r="A8" s="19" t="s">
        <v>17</v>
      </c>
      <c r="B8" s="20">
        <f t="shared" si="0"/>
        <v>0</v>
      </c>
      <c r="C8" s="20">
        <f>0.004*8400</f>
        <v>33.6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385A-E2F5-104F-92BA-4DEBA0412A20}">
  <dimension ref="A1:W40"/>
  <sheetViews>
    <sheetView tabSelected="1" workbookViewId="0">
      <selection activeCell="G28" sqref="G28"/>
    </sheetView>
  </sheetViews>
  <sheetFormatPr baseColWidth="10" defaultRowHeight="16" x14ac:dyDescent="0.2"/>
  <cols>
    <col min="3" max="3" width="16.1640625" customWidth="1"/>
    <col min="4" max="4" width="24.5" customWidth="1"/>
    <col min="5" max="5" width="15.5" customWidth="1"/>
    <col min="6" max="6" width="11.83203125" customWidth="1"/>
    <col min="7" max="7" width="12.6640625" customWidth="1"/>
    <col min="8" max="8" width="18.33203125" customWidth="1"/>
    <col min="9" max="9" width="19.5" customWidth="1"/>
    <col min="10" max="11" width="30.33203125" customWidth="1"/>
    <col min="12" max="12" width="15" customWidth="1"/>
  </cols>
  <sheetData>
    <row r="1" spans="1:23" ht="25" x14ac:dyDescent="0.2">
      <c r="A1" t="s">
        <v>56</v>
      </c>
      <c r="B1" t="s">
        <v>57</v>
      </c>
      <c r="C1" t="s">
        <v>50</v>
      </c>
      <c r="D1" s="17" t="s">
        <v>2</v>
      </c>
      <c r="E1" s="32" t="s">
        <v>98</v>
      </c>
      <c r="F1" s="32" t="s">
        <v>97</v>
      </c>
      <c r="G1" s="32" t="s">
        <v>96</v>
      </c>
      <c r="H1" s="32" t="s">
        <v>95</v>
      </c>
      <c r="I1" t="s">
        <v>67</v>
      </c>
      <c r="J1" t="s">
        <v>94</v>
      </c>
      <c r="K1" s="32" t="s">
        <v>99</v>
      </c>
      <c r="L1" t="s">
        <v>68</v>
      </c>
      <c r="M1" t="s">
        <v>69</v>
      </c>
      <c r="N1" s="18" t="s">
        <v>4</v>
      </c>
      <c r="O1" t="s">
        <v>40</v>
      </c>
      <c r="P1" t="s">
        <v>70</v>
      </c>
      <c r="Q1" t="s">
        <v>71</v>
      </c>
      <c r="R1" t="s">
        <v>42</v>
      </c>
      <c r="S1" t="s">
        <v>72</v>
      </c>
      <c r="T1" t="s">
        <v>49</v>
      </c>
      <c r="U1" t="s">
        <v>73</v>
      </c>
    </row>
    <row r="2" spans="1:23" x14ac:dyDescent="0.2">
      <c r="A2" t="s">
        <v>74</v>
      </c>
      <c r="B2" t="s">
        <v>75</v>
      </c>
      <c r="C2" s="31">
        <v>590</v>
      </c>
      <c r="D2" s="23">
        <v>300</v>
      </c>
      <c r="E2" s="33"/>
      <c r="F2" s="33"/>
      <c r="G2" s="33"/>
      <c r="H2" s="33"/>
      <c r="I2">
        <f>D2*1000/C2</f>
        <v>508.47457627118644</v>
      </c>
      <c r="J2">
        <v>44</v>
      </c>
      <c r="L2">
        <f>C2*J2/1000</f>
        <v>25.96</v>
      </c>
      <c r="M2">
        <f>L2*N2</f>
        <v>25.96</v>
      </c>
      <c r="N2" s="23">
        <v>1</v>
      </c>
      <c r="O2">
        <v>32</v>
      </c>
      <c r="P2">
        <f>35.35/3600</f>
        <v>9.8194444444444449E-3</v>
      </c>
      <c r="Q2">
        <f>O2*P2</f>
        <v>0.31422222222222224</v>
      </c>
      <c r="R2">
        <v>264</v>
      </c>
      <c r="S2">
        <f>R2*Q2*L2/100</f>
        <v>21.53503146666667</v>
      </c>
      <c r="T2">
        <v>33.496004573858905</v>
      </c>
      <c r="U2">
        <f>R2*Q2*10</f>
        <v>829.54666666666662</v>
      </c>
    </row>
    <row r="5" spans="1:23" ht="25" x14ac:dyDescent="0.2">
      <c r="A5" t="s">
        <v>56</v>
      </c>
      <c r="B5" t="s">
        <v>57</v>
      </c>
      <c r="C5" t="s">
        <v>50</v>
      </c>
      <c r="D5" s="17" t="s">
        <v>2</v>
      </c>
      <c r="E5" s="32"/>
      <c r="F5" s="32"/>
      <c r="G5" s="32"/>
      <c r="H5" s="32"/>
      <c r="I5" t="s">
        <v>67</v>
      </c>
      <c r="L5" t="s">
        <v>68</v>
      </c>
      <c r="M5" t="s">
        <v>69</v>
      </c>
      <c r="N5" s="18" t="s">
        <v>4</v>
      </c>
      <c r="O5" t="s">
        <v>40</v>
      </c>
      <c r="P5" t="s">
        <v>70</v>
      </c>
      <c r="Q5" t="s">
        <v>71</v>
      </c>
      <c r="R5" t="s">
        <v>42</v>
      </c>
      <c r="S5" t="s">
        <v>72</v>
      </c>
      <c r="T5" t="s">
        <v>49</v>
      </c>
      <c r="U5" t="s">
        <v>73</v>
      </c>
      <c r="W5" t="s">
        <v>93</v>
      </c>
    </row>
    <row r="6" spans="1:23" x14ac:dyDescent="0.2">
      <c r="A6" t="s">
        <v>54</v>
      </c>
      <c r="B6" t="s">
        <v>75</v>
      </c>
      <c r="C6">
        <v>23426.6</v>
      </c>
      <c r="D6" s="20">
        <v>316.26114815516769</v>
      </c>
      <c r="E6" s="33"/>
      <c r="F6" s="33"/>
      <c r="G6" s="33"/>
      <c r="H6" s="33"/>
      <c r="I6">
        <f>D6*1000/C6</f>
        <v>13.500087428613957</v>
      </c>
      <c r="J6">
        <v>14.3</v>
      </c>
      <c r="L6">
        <f>C6*J6/1000</f>
        <v>335.00038000000001</v>
      </c>
      <c r="M6">
        <f>L6*N6</f>
        <v>402.00045599999999</v>
      </c>
      <c r="N6" s="20">
        <v>1.2</v>
      </c>
      <c r="O6" s="23">
        <v>6</v>
      </c>
      <c r="P6" s="25">
        <f>35.35/3600</f>
        <v>9.8194444444444449E-3</v>
      </c>
      <c r="Q6" s="25">
        <f>O6*P6</f>
        <v>5.8916666666666673E-2</v>
      </c>
      <c r="R6" s="25">
        <v>264</v>
      </c>
      <c r="S6">
        <f>R6*Q6*L6/100</f>
        <v>52.105959105200007</v>
      </c>
      <c r="T6" s="27">
        <v>52.18091516130859</v>
      </c>
      <c r="U6">
        <f>R6*Q6*10</f>
        <v>155.54000000000002</v>
      </c>
    </row>
    <row r="7" spans="1:23" x14ac:dyDescent="0.2">
      <c r="A7" t="s">
        <v>54</v>
      </c>
      <c r="B7" t="s">
        <v>76</v>
      </c>
      <c r="C7">
        <v>14342.5</v>
      </c>
      <c r="D7" s="20">
        <v>143.02161906059894</v>
      </c>
      <c r="E7" s="33"/>
      <c r="F7" s="33"/>
      <c r="G7" s="33"/>
      <c r="H7" s="33"/>
      <c r="I7">
        <f>D7*1000/C7</f>
        <v>9.9718751305977982</v>
      </c>
      <c r="J7">
        <v>8.9</v>
      </c>
      <c r="L7">
        <f>C7*J7/1000</f>
        <v>127.64825</v>
      </c>
      <c r="M7">
        <f>L7*N7</f>
        <v>153.17789999999999</v>
      </c>
      <c r="N7" s="20">
        <v>1.2</v>
      </c>
      <c r="O7" s="23">
        <v>7</v>
      </c>
      <c r="P7" s="25">
        <f>32.02/3600</f>
        <v>8.8944444444444461E-3</v>
      </c>
      <c r="Q7" s="25">
        <f>O7*P7</f>
        <v>6.2261111111111121E-2</v>
      </c>
      <c r="R7" s="25">
        <v>258</v>
      </c>
      <c r="S7">
        <f>R7*Q7*L7/100</f>
        <v>20.50460644108334</v>
      </c>
      <c r="T7" s="27">
        <v>20.233306834475208</v>
      </c>
      <c r="U7">
        <f>R7*Q7*10</f>
        <v>160.6336666666667</v>
      </c>
    </row>
    <row r="8" spans="1:23" x14ac:dyDescent="0.2">
      <c r="A8" t="s">
        <v>54</v>
      </c>
      <c r="B8" t="s">
        <v>77</v>
      </c>
      <c r="C8">
        <v>33</v>
      </c>
      <c r="D8" s="20">
        <v>1.438258794821085</v>
      </c>
      <c r="E8" s="33"/>
      <c r="F8" s="33"/>
      <c r="G8" s="33"/>
      <c r="H8" s="33"/>
      <c r="I8">
        <f>D8*1000/C8</f>
        <v>43.583599843063183</v>
      </c>
      <c r="J8">
        <v>20</v>
      </c>
      <c r="L8">
        <f>C8*J8/1000</f>
        <v>0.66</v>
      </c>
      <c r="M8">
        <f>L8*N8</f>
        <v>0.79200000000000004</v>
      </c>
      <c r="N8" s="20">
        <v>1.2</v>
      </c>
      <c r="Q8">
        <f>10*11/1000</f>
        <v>0.11</v>
      </c>
      <c r="R8">
        <v>227</v>
      </c>
      <c r="S8">
        <f>R8*Q8*L8/100</f>
        <v>0.164802</v>
      </c>
      <c r="T8" s="27">
        <v>4.2245377324325172E-2</v>
      </c>
      <c r="U8">
        <f>R8*Q8*10</f>
        <v>249.7</v>
      </c>
    </row>
    <row r="9" spans="1:23" x14ac:dyDescent="0.2">
      <c r="A9" t="s">
        <v>54</v>
      </c>
      <c r="B9" t="s">
        <v>78</v>
      </c>
      <c r="C9">
        <v>2</v>
      </c>
      <c r="D9" s="20">
        <v>7.6668475639745687E-2</v>
      </c>
      <c r="E9" s="33"/>
      <c r="F9" s="33"/>
      <c r="G9" s="33"/>
      <c r="H9" s="33"/>
      <c r="I9">
        <f>D9*1000/C9</f>
        <v>38.334237819872847</v>
      </c>
      <c r="J9">
        <v>30</v>
      </c>
      <c r="L9">
        <f>C9*J9/1000</f>
        <v>0.06</v>
      </c>
      <c r="M9">
        <f>L9*N9</f>
        <v>7.1999999999999995E-2</v>
      </c>
      <c r="N9" s="20">
        <v>1.2</v>
      </c>
      <c r="Q9">
        <f>10*11/1000</f>
        <v>0.11</v>
      </c>
      <c r="R9">
        <v>227</v>
      </c>
      <c r="S9">
        <f>R9*Q9*L9/100</f>
        <v>1.4982000000000001E-2</v>
      </c>
      <c r="T9" s="27">
        <v>3.12201954858708E-3</v>
      </c>
      <c r="U9">
        <f>R9*Q9*10</f>
        <v>249.7</v>
      </c>
    </row>
    <row r="10" spans="1:23" x14ac:dyDescent="0.2">
      <c r="A10" t="s">
        <v>54</v>
      </c>
      <c r="B10" t="s">
        <v>79</v>
      </c>
      <c r="C10" s="26">
        <v>108.175</v>
      </c>
      <c r="D10" s="20">
        <v>1.0241650189542271</v>
      </c>
      <c r="E10" s="33"/>
      <c r="F10" s="33"/>
      <c r="G10" s="33"/>
      <c r="H10" s="33"/>
      <c r="I10">
        <f>D10*1000/C10</f>
        <v>9.4676683055625332</v>
      </c>
      <c r="J10">
        <v>9.5</v>
      </c>
      <c r="L10">
        <f>C10*J10/1000</f>
        <v>1.0276624999999999</v>
      </c>
      <c r="M10">
        <f>L10*N10</f>
        <v>1.2331949999999998</v>
      </c>
      <c r="N10" s="20">
        <v>1.2</v>
      </c>
      <c r="Q10">
        <v>1.4999999999999999E-2</v>
      </c>
      <c r="R10">
        <v>0</v>
      </c>
      <c r="S10">
        <f>R10*Q10*L10/100</f>
        <v>0</v>
      </c>
      <c r="T10" s="27">
        <v>0</v>
      </c>
      <c r="U10">
        <f>R10*Q10*10</f>
        <v>0</v>
      </c>
    </row>
    <row r="11" spans="1:23" x14ac:dyDescent="0.2">
      <c r="A11" t="s">
        <v>55</v>
      </c>
      <c r="B11" t="s">
        <v>75</v>
      </c>
      <c r="C11" s="27">
        <v>5938.509</v>
      </c>
      <c r="D11" s="20">
        <f>91.0319547781913*0.6</f>
        <v>54.619172866914781</v>
      </c>
      <c r="E11" s="33"/>
      <c r="F11" s="33"/>
      <c r="G11" s="33"/>
      <c r="H11" s="33"/>
      <c r="I11">
        <f>D11*1000/C11</f>
        <v>9.1974556015516313</v>
      </c>
      <c r="J11">
        <v>14.8</v>
      </c>
      <c r="L11">
        <f>C11*J11/1000</f>
        <v>87.889933200000002</v>
      </c>
      <c r="M11">
        <f>L11*N11</f>
        <v>158.20187976</v>
      </c>
      <c r="N11" s="20">
        <v>1.8</v>
      </c>
      <c r="O11">
        <v>8</v>
      </c>
      <c r="P11" s="25">
        <f>35.35/3600</f>
        <v>9.8194444444444449E-3</v>
      </c>
      <c r="Q11">
        <f>O11*P11</f>
        <v>7.8555555555555559E-2</v>
      </c>
      <c r="R11" s="25">
        <v>264</v>
      </c>
      <c r="S11">
        <f>R11*Q11*L11/100</f>
        <v>18.227200279904</v>
      </c>
      <c r="T11" s="27">
        <v>17.429742891229537</v>
      </c>
      <c r="U11">
        <f>R11*Q11*10</f>
        <v>207.38666666666666</v>
      </c>
    </row>
    <row r="12" spans="1:23" x14ac:dyDescent="0.2">
      <c r="A12" t="s">
        <v>55</v>
      </c>
      <c r="B12" t="s">
        <v>76</v>
      </c>
      <c r="C12" s="27">
        <v>230.1</v>
      </c>
      <c r="D12" s="20">
        <f>10.4229775052414*0.6</f>
        <v>6.2537865031448403</v>
      </c>
      <c r="E12" s="33"/>
      <c r="F12" s="33"/>
      <c r="G12" s="33"/>
      <c r="H12" s="33"/>
      <c r="I12">
        <f>D12*1000/C12</f>
        <v>27.178559335701173</v>
      </c>
      <c r="J12">
        <v>9.1999999999999993</v>
      </c>
      <c r="L12">
        <f>C12*J12/1000</f>
        <v>2.1169199999999995</v>
      </c>
      <c r="M12">
        <f>L12*N12</f>
        <v>3.810455999999999</v>
      </c>
      <c r="N12" s="20">
        <v>1.8</v>
      </c>
      <c r="O12">
        <v>12</v>
      </c>
      <c r="P12" s="25">
        <f>32.02/3600</f>
        <v>8.8944444444444461E-3</v>
      </c>
      <c r="Q12">
        <f>O12*P12</f>
        <v>0.10673333333333335</v>
      </c>
      <c r="R12" s="25">
        <v>258</v>
      </c>
      <c r="S12">
        <f>R12*Q12*L12/100</f>
        <v>0.58294049423999983</v>
      </c>
      <c r="T12" s="27">
        <v>2.3341187709079625</v>
      </c>
      <c r="U12">
        <f>R12*Q12*10</f>
        <v>275.37200000000001</v>
      </c>
    </row>
    <row r="13" spans="1:23" x14ac:dyDescent="0.2">
      <c r="A13" t="s">
        <v>55</v>
      </c>
      <c r="B13" t="s">
        <v>77</v>
      </c>
      <c r="C13" s="27">
        <v>116.66500000000001</v>
      </c>
      <c r="D13" s="20"/>
      <c r="E13" s="33"/>
      <c r="F13" s="33"/>
      <c r="G13" s="33"/>
      <c r="H13" s="33"/>
      <c r="I13">
        <f>D13*1000/C13</f>
        <v>0</v>
      </c>
      <c r="J13">
        <v>20</v>
      </c>
      <c r="L13">
        <f>C13*J13/1000</f>
        <v>2.3333000000000004</v>
      </c>
      <c r="M13">
        <f>L13*N13</f>
        <v>4.1999400000000007</v>
      </c>
      <c r="N13" s="20">
        <v>1.8</v>
      </c>
      <c r="Q13">
        <v>0.19</v>
      </c>
      <c r="R13">
        <v>227</v>
      </c>
      <c r="S13">
        <f>R13*Q13*L13/100</f>
        <v>1.0063522900000001</v>
      </c>
      <c r="T13" s="27">
        <v>0.14157379091743449</v>
      </c>
      <c r="U13">
        <f>R13*Q13*10</f>
        <v>431.3</v>
      </c>
    </row>
    <row r="14" spans="1:23" x14ac:dyDescent="0.2">
      <c r="A14" t="s">
        <v>55</v>
      </c>
      <c r="B14" t="s">
        <v>78</v>
      </c>
      <c r="C14" s="27">
        <v>7.0000000000000009</v>
      </c>
      <c r="D14" s="20">
        <f>0.435578638449838*0.6</f>
        <v>0.26134718306990279</v>
      </c>
      <c r="E14" s="33"/>
      <c r="F14" s="33"/>
      <c r="G14" s="33"/>
      <c r="H14" s="33"/>
      <c r="I14">
        <f>D14*1000/C14</f>
        <v>37.335311867128965</v>
      </c>
      <c r="J14">
        <v>30</v>
      </c>
      <c r="L14">
        <f>C14*J14/1000</f>
        <v>0.21000000000000002</v>
      </c>
      <c r="M14">
        <f>L14*N14</f>
        <v>0.37800000000000006</v>
      </c>
      <c r="N14" s="20">
        <v>1.8</v>
      </c>
      <c r="Q14">
        <v>0.2</v>
      </c>
      <c r="R14">
        <v>227</v>
      </c>
      <c r="S14">
        <f>R14*Q14*L14/100</f>
        <v>9.5340000000000022E-2</v>
      </c>
      <c r="T14" s="27">
        <v>1.5481164782127863E-2</v>
      </c>
      <c r="U14">
        <f>R14*Q14*10</f>
        <v>454.00000000000006</v>
      </c>
    </row>
    <row r="15" spans="1:23" x14ac:dyDescent="0.2">
      <c r="A15" t="s">
        <v>55</v>
      </c>
      <c r="B15" t="s">
        <v>79</v>
      </c>
      <c r="C15" s="26">
        <v>3.3260000000000001</v>
      </c>
      <c r="D15" s="20">
        <f>0.435578638449838*0.6</f>
        <v>0.26134718306990279</v>
      </c>
      <c r="E15" s="33"/>
      <c r="F15" s="33"/>
      <c r="G15" s="33"/>
      <c r="H15" s="33"/>
      <c r="I15">
        <f>D15*1000/C15</f>
        <v>78.577024374594941</v>
      </c>
      <c r="J15">
        <v>10</v>
      </c>
      <c r="L15">
        <f>C15*J15/1000</f>
        <v>3.3259999999999998E-2</v>
      </c>
      <c r="M15">
        <f>L15*N15</f>
        <v>5.9867999999999998E-2</v>
      </c>
      <c r="N15" s="20">
        <v>1.8</v>
      </c>
      <c r="Q15">
        <v>1.4999999999999999E-2</v>
      </c>
      <c r="R15">
        <v>0</v>
      </c>
      <c r="S15">
        <f>R15*Q15*L15/100</f>
        <v>0</v>
      </c>
      <c r="T15" s="27">
        <v>0</v>
      </c>
      <c r="U15">
        <f>R15*Q15*10</f>
        <v>0</v>
      </c>
    </row>
    <row r="16" spans="1:23" x14ac:dyDescent="0.2">
      <c r="A16" t="s">
        <v>81</v>
      </c>
      <c r="B16" t="s">
        <v>75</v>
      </c>
      <c r="C16" s="27">
        <v>3532.9</v>
      </c>
      <c r="D16" s="20">
        <v>12.96973188803741</v>
      </c>
      <c r="E16" s="33"/>
      <c r="F16" s="33"/>
      <c r="G16" s="33"/>
      <c r="H16" s="33"/>
      <c r="I16">
        <f>D16*1000/C16</f>
        <v>3.6711290690473577</v>
      </c>
      <c r="J16">
        <v>3</v>
      </c>
      <c r="L16">
        <f>C16*J16/1000</f>
        <v>10.598700000000001</v>
      </c>
      <c r="M16">
        <f>L16*N16</f>
        <v>10.704687000000002</v>
      </c>
      <c r="N16" s="20">
        <v>1.01</v>
      </c>
      <c r="O16">
        <v>4</v>
      </c>
      <c r="P16" s="25">
        <f>35.35/3600</f>
        <v>9.8194444444444449E-3</v>
      </c>
      <c r="Q16">
        <f>O16*P16</f>
        <v>3.927777777777778E-2</v>
      </c>
      <c r="R16" s="25">
        <v>264</v>
      </c>
      <c r="S16">
        <f>R16*Q16*L16/100</f>
        <v>1.099014532</v>
      </c>
      <c r="T16" s="27">
        <v>1.2873882495250246</v>
      </c>
      <c r="U16">
        <f>R16*Q16*10</f>
        <v>103.69333333333333</v>
      </c>
    </row>
    <row r="17" spans="1:22" x14ac:dyDescent="0.2">
      <c r="A17" t="s">
        <v>81</v>
      </c>
      <c r="B17" t="s">
        <v>76</v>
      </c>
      <c r="C17" s="26">
        <v>124.85599999999999</v>
      </c>
      <c r="D17" s="20">
        <v>0.92901191741603328</v>
      </c>
      <c r="E17" s="33"/>
      <c r="F17" s="33"/>
      <c r="G17" s="33"/>
      <c r="H17" s="33"/>
      <c r="I17">
        <f>D17*1000/C17</f>
        <v>7.4406669876980951</v>
      </c>
      <c r="J17">
        <v>3</v>
      </c>
      <c r="L17">
        <f>C17*J17/1000</f>
        <v>0.37456799999999996</v>
      </c>
      <c r="M17">
        <f>L17*N17</f>
        <v>0.37831367999999999</v>
      </c>
      <c r="N17" s="20">
        <v>1.01</v>
      </c>
      <c r="O17">
        <v>4</v>
      </c>
      <c r="P17" s="25">
        <f>32.02/3600</f>
        <v>8.8944444444444461E-3</v>
      </c>
      <c r="Q17">
        <f>O17*P17</f>
        <v>3.5577777777777785E-2</v>
      </c>
      <c r="R17" s="25">
        <v>258</v>
      </c>
      <c r="S17">
        <f>R17*Q17*L17/100</f>
        <v>3.4381846432000006E-2</v>
      </c>
      <c r="T17" s="27">
        <v>8.6517396576344052E-2</v>
      </c>
      <c r="U17">
        <f>R17*Q17*10</f>
        <v>91.790666666666695</v>
      </c>
    </row>
    <row r="18" spans="1:22" x14ac:dyDescent="0.2">
      <c r="A18" t="s">
        <v>81</v>
      </c>
      <c r="B18" t="s">
        <v>79</v>
      </c>
      <c r="C18" s="26">
        <v>35.286999999999999</v>
      </c>
      <c r="D18" s="21">
        <v>0.10112500577722081</v>
      </c>
      <c r="E18" s="33"/>
      <c r="F18" s="33"/>
      <c r="G18" s="33"/>
      <c r="H18" s="33"/>
      <c r="I18">
        <f>D18*1000/C18</f>
        <v>2.8657864306180976</v>
      </c>
      <c r="J18">
        <v>3</v>
      </c>
      <c r="L18">
        <f>C18*J18/1000</f>
        <v>0.105861</v>
      </c>
      <c r="M18">
        <f>L18*N18</f>
        <v>0.10691961</v>
      </c>
      <c r="N18" s="20">
        <v>1.01</v>
      </c>
      <c r="Q18">
        <v>0.01</v>
      </c>
      <c r="R18">
        <v>0</v>
      </c>
      <c r="S18">
        <f>R18*Q18*L18/100</f>
        <v>0</v>
      </c>
      <c r="T18" s="27">
        <v>0</v>
      </c>
      <c r="U18">
        <f>R18*Q18*10</f>
        <v>0</v>
      </c>
    </row>
    <row r="19" spans="1:22" x14ac:dyDescent="0.2">
      <c r="A19" t="s">
        <v>80</v>
      </c>
      <c r="B19" t="s">
        <v>75</v>
      </c>
      <c r="C19" s="27">
        <v>93</v>
      </c>
      <c r="D19" s="20">
        <f>28.97/10</f>
        <v>2.8969999999999998</v>
      </c>
      <c r="E19" s="33"/>
      <c r="F19" s="33"/>
      <c r="G19" s="33"/>
      <c r="H19" s="33"/>
      <c r="I19">
        <f>D19*1000/C19</f>
        <v>31.150537634408604</v>
      </c>
      <c r="J19">
        <v>35</v>
      </c>
      <c r="L19">
        <f>C19*J19/1000</f>
        <v>3.2549999999999999</v>
      </c>
      <c r="M19">
        <f>L19*N19</f>
        <v>46.44885</v>
      </c>
      <c r="N19" s="20">
        <v>14.27</v>
      </c>
      <c r="O19">
        <v>29</v>
      </c>
      <c r="P19" s="25">
        <f>35.35/3600</f>
        <v>9.8194444444444449E-3</v>
      </c>
      <c r="Q19">
        <f>O19*P19</f>
        <v>0.28476388888888893</v>
      </c>
      <c r="R19" s="25">
        <v>264</v>
      </c>
      <c r="S19">
        <f>R19*Q19*L19/100</f>
        <v>2.4470330500000004</v>
      </c>
      <c r="T19" s="27">
        <v>33.496004573858905</v>
      </c>
      <c r="U19">
        <f>R19*Q19*10</f>
        <v>751.77666666666687</v>
      </c>
    </row>
    <row r="20" spans="1:22" x14ac:dyDescent="0.2">
      <c r="A20" t="s">
        <v>80</v>
      </c>
      <c r="B20" t="s">
        <v>78</v>
      </c>
      <c r="C20" s="26">
        <v>2</v>
      </c>
      <c r="D20" s="20">
        <f>0.327630360261145/10</f>
        <v>3.2763036026114502E-2</v>
      </c>
      <c r="E20" s="33"/>
      <c r="F20" s="33"/>
      <c r="G20" s="33"/>
      <c r="H20" s="33"/>
      <c r="I20">
        <f>D20*1000/C20</f>
        <v>16.381518013057249</v>
      </c>
      <c r="J20">
        <v>4.5999999999999996</v>
      </c>
      <c r="L20">
        <f>C20*J20/1000</f>
        <v>9.1999999999999998E-3</v>
      </c>
      <c r="M20">
        <f>L20*N20</f>
        <v>0.13128399999999998</v>
      </c>
      <c r="N20" s="20">
        <v>14.27</v>
      </c>
      <c r="R20">
        <v>227</v>
      </c>
      <c r="S20">
        <f>R20*Q20*L20/100</f>
        <v>0</v>
      </c>
      <c r="T20" s="27">
        <v>0.32555136323910838</v>
      </c>
      <c r="U20">
        <f>R20*Q20*10</f>
        <v>0</v>
      </c>
    </row>
    <row r="21" spans="1:22" x14ac:dyDescent="0.2">
      <c r="A21" t="s">
        <v>80</v>
      </c>
      <c r="B21" t="s">
        <v>79</v>
      </c>
      <c r="C21" s="26">
        <v>0.4</v>
      </c>
      <c r="D21" s="20">
        <f>0.0233699210162792/10</f>
        <v>2.33699210162792E-3</v>
      </c>
      <c r="E21" s="33"/>
      <c r="F21" s="33"/>
      <c r="G21" s="33"/>
      <c r="H21" s="33"/>
      <c r="I21">
        <f>D21*1000/C21</f>
        <v>5.8424802540697991</v>
      </c>
      <c r="J21">
        <v>4.5999999999999996</v>
      </c>
      <c r="L21">
        <f>C21*J21/1000</f>
        <v>1.8399999999999998E-3</v>
      </c>
      <c r="M21">
        <f>L21*N21</f>
        <v>2.6256799999999997E-2</v>
      </c>
      <c r="N21" s="20">
        <v>14.27</v>
      </c>
      <c r="Q21">
        <v>1.4999999999999999E-2</v>
      </c>
      <c r="R21">
        <v>0</v>
      </c>
      <c r="S21">
        <f>R21*Q21*L21/100</f>
        <v>0</v>
      </c>
      <c r="T21" s="27">
        <v>0</v>
      </c>
      <c r="U21">
        <f>R21*Q21*10</f>
        <v>0</v>
      </c>
    </row>
    <row r="22" spans="1:22" x14ac:dyDescent="0.2">
      <c r="A22" t="s">
        <v>34</v>
      </c>
      <c r="B22" t="s">
        <v>79</v>
      </c>
      <c r="C22" s="31">
        <v>0.49</v>
      </c>
      <c r="D22">
        <v>0.1</v>
      </c>
      <c r="E22">
        <f>F22*G22</f>
        <v>489.99999999999994</v>
      </c>
      <c r="F22">
        <v>0.7</v>
      </c>
      <c r="G22">
        <v>700</v>
      </c>
      <c r="H22">
        <v>450</v>
      </c>
      <c r="I22">
        <v>430</v>
      </c>
      <c r="J22">
        <v>240</v>
      </c>
      <c r="K22">
        <v>65</v>
      </c>
      <c r="L22">
        <f>C22*J22/1000</f>
        <v>0.1176</v>
      </c>
      <c r="M22">
        <f>L22*N22</f>
        <v>58.8</v>
      </c>
      <c r="N22" s="23">
        <v>500</v>
      </c>
      <c r="Q22">
        <v>1.7</v>
      </c>
      <c r="V22">
        <f>Q22*L22/100*1000</f>
        <v>1.9992000000000001</v>
      </c>
    </row>
    <row r="23" spans="1:22" x14ac:dyDescent="0.2">
      <c r="A23" t="s">
        <v>35</v>
      </c>
      <c r="B23" t="s">
        <v>79</v>
      </c>
      <c r="C23">
        <f>K23/G23*H23</f>
        <v>8.3333333333333321</v>
      </c>
      <c r="E23">
        <f t="shared" ref="E23:E26" si="0">F23*G23</f>
        <v>75</v>
      </c>
      <c r="F23">
        <v>0.25</v>
      </c>
      <c r="G23">
        <v>300</v>
      </c>
      <c r="H23">
        <v>50</v>
      </c>
      <c r="I23">
        <f>D23*1000/C23</f>
        <v>0</v>
      </c>
      <c r="J23">
        <v>13</v>
      </c>
      <c r="K23">
        <v>50</v>
      </c>
      <c r="L23">
        <v>0.18</v>
      </c>
      <c r="M23">
        <v>13.5</v>
      </c>
      <c r="N23">
        <v>75</v>
      </c>
      <c r="Q23">
        <f>13*75/1000</f>
        <v>0.97499999999999998</v>
      </c>
      <c r="V23">
        <f t="shared" ref="V23:V29" si="1">Q23*L23/100</f>
        <v>1.7549999999999998E-3</v>
      </c>
    </row>
    <row r="24" spans="1:22" x14ac:dyDescent="0.2">
      <c r="A24" t="s">
        <v>35</v>
      </c>
      <c r="B24" t="s">
        <v>75</v>
      </c>
      <c r="C24">
        <f t="shared" ref="C24:C26" si="2">K24/G24*H24</f>
        <v>25</v>
      </c>
      <c r="E24">
        <f t="shared" si="0"/>
        <v>10</v>
      </c>
      <c r="F24">
        <v>0.1</v>
      </c>
      <c r="G24">
        <v>100</v>
      </c>
      <c r="H24">
        <v>50</v>
      </c>
      <c r="I24">
        <f>D24*1000/C24</f>
        <v>0</v>
      </c>
      <c r="J24">
        <v>1</v>
      </c>
      <c r="K24">
        <v>50</v>
      </c>
      <c r="L24">
        <v>0.18</v>
      </c>
      <c r="M24">
        <v>1</v>
      </c>
      <c r="N24">
        <v>10</v>
      </c>
      <c r="Q24">
        <v>2.9</v>
      </c>
      <c r="V24">
        <f t="shared" si="1"/>
        <v>5.2199999999999998E-3</v>
      </c>
    </row>
    <row r="25" spans="1:22" x14ac:dyDescent="0.2">
      <c r="A25" t="s">
        <v>88</v>
      </c>
      <c r="B25" t="s">
        <v>79</v>
      </c>
      <c r="C25">
        <f t="shared" si="2"/>
        <v>4</v>
      </c>
      <c r="E25">
        <f t="shared" si="0"/>
        <v>200</v>
      </c>
      <c r="F25">
        <v>0.4</v>
      </c>
      <c r="G25">
        <v>500</v>
      </c>
      <c r="H25">
        <v>250</v>
      </c>
      <c r="K25">
        <v>8</v>
      </c>
      <c r="L25">
        <f>M25/N25</f>
        <v>2.7300000000000001E-2</v>
      </c>
      <c r="M25">
        <v>5.46</v>
      </c>
      <c r="N25">
        <v>200</v>
      </c>
      <c r="Q25">
        <v>1</v>
      </c>
      <c r="V25">
        <f t="shared" si="1"/>
        <v>2.7300000000000002E-4</v>
      </c>
    </row>
    <row r="26" spans="1:22" x14ac:dyDescent="0.2">
      <c r="A26" t="s">
        <v>89</v>
      </c>
      <c r="B26" t="s">
        <v>79</v>
      </c>
      <c r="C26">
        <f t="shared" si="2"/>
        <v>6.25</v>
      </c>
      <c r="E26">
        <f t="shared" si="0"/>
        <v>240</v>
      </c>
      <c r="F26">
        <v>0.3</v>
      </c>
      <c r="G26">
        <v>800</v>
      </c>
      <c r="H26">
        <v>100</v>
      </c>
      <c r="K26">
        <v>50</v>
      </c>
      <c r="L26">
        <f>M26/N26</f>
        <v>8.1250000000000003E-2</v>
      </c>
      <c r="M26">
        <v>19.5</v>
      </c>
      <c r="N26">
        <v>240</v>
      </c>
      <c r="Q26">
        <v>0.8</v>
      </c>
      <c r="V26">
        <f t="shared" si="1"/>
        <v>6.4999999999999997E-4</v>
      </c>
    </row>
    <row r="27" spans="1:22" x14ac:dyDescent="0.2">
      <c r="A27" t="s">
        <v>90</v>
      </c>
      <c r="B27" t="s">
        <v>79</v>
      </c>
      <c r="C27">
        <v>6</v>
      </c>
      <c r="J27">
        <v>35</v>
      </c>
      <c r="M27">
        <v>10.6</v>
      </c>
      <c r="N27">
        <v>100</v>
      </c>
      <c r="V27">
        <f t="shared" si="1"/>
        <v>0</v>
      </c>
    </row>
    <row r="28" spans="1:22" x14ac:dyDescent="0.2">
      <c r="A28" t="s">
        <v>91</v>
      </c>
      <c r="B28" t="s">
        <v>75</v>
      </c>
      <c r="E28">
        <v>90</v>
      </c>
      <c r="G28">
        <v>140</v>
      </c>
      <c r="H28">
        <f>M28*1000/26.77</f>
        <v>582.7418752334703</v>
      </c>
      <c r="M28">
        <v>15.6</v>
      </c>
      <c r="O28">
        <v>220</v>
      </c>
      <c r="V28">
        <f t="shared" si="1"/>
        <v>0</v>
      </c>
    </row>
    <row r="29" spans="1:22" x14ac:dyDescent="0.2">
      <c r="A29" t="s">
        <v>92</v>
      </c>
      <c r="B29" t="s">
        <v>75</v>
      </c>
      <c r="M29">
        <v>33.6</v>
      </c>
      <c r="O29">
        <v>190</v>
      </c>
      <c r="V29">
        <f t="shared" si="1"/>
        <v>0</v>
      </c>
    </row>
    <row r="33" spans="11:17" x14ac:dyDescent="0.2">
      <c r="K33" t="s">
        <v>102</v>
      </c>
      <c r="M33">
        <f>SUM(M19:M21)+SUM(M22:M28)</f>
        <v>171.06639079999997</v>
      </c>
    </row>
    <row r="34" spans="11:17" x14ac:dyDescent="0.2">
      <c r="K34" t="s">
        <v>103</v>
      </c>
      <c r="M34">
        <f>SUM(M6:M18)</f>
        <v>735.1156150500002</v>
      </c>
    </row>
    <row r="35" spans="11:17" x14ac:dyDescent="0.2">
      <c r="K35" t="s">
        <v>104</v>
      </c>
      <c r="M35">
        <f>SUM(M22:M28)</f>
        <v>124.45999999999998</v>
      </c>
      <c r="N35">
        <v>107</v>
      </c>
    </row>
    <row r="36" spans="11:17" x14ac:dyDescent="0.2">
      <c r="K36" t="s">
        <v>105</v>
      </c>
      <c r="M36">
        <f>SUM(M19:M21)</f>
        <v>46.6063908</v>
      </c>
      <c r="N36">
        <v>60</v>
      </c>
    </row>
    <row r="38" spans="11:17" x14ac:dyDescent="0.2">
      <c r="Q38">
        <f>15000000000/(580*100)/365</f>
        <v>708.54983467170518</v>
      </c>
    </row>
    <row r="40" spans="11:17" x14ac:dyDescent="0.2">
      <c r="Q4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61E1-A5C5-5644-A864-2C6788A351C6}">
  <dimension ref="A1:E36"/>
  <sheetViews>
    <sheetView workbookViewId="0">
      <selection activeCell="B36" sqref="B36"/>
    </sheetView>
  </sheetViews>
  <sheetFormatPr baseColWidth="10" defaultRowHeight="16" x14ac:dyDescent="0.2"/>
  <sheetData>
    <row r="1" spans="1:5" x14ac:dyDescent="0.2">
      <c r="A1" s="34"/>
      <c r="B1" s="34"/>
      <c r="C1" s="34"/>
      <c r="D1" s="34"/>
      <c r="E1" s="34"/>
    </row>
    <row r="2" spans="1:5" x14ac:dyDescent="0.2">
      <c r="A2" s="22" t="s">
        <v>39</v>
      </c>
      <c r="B2" s="24"/>
      <c r="C2" s="24"/>
      <c r="D2" s="24"/>
      <c r="E2" s="24"/>
    </row>
    <row r="3" spans="1:5" x14ac:dyDescent="0.2">
      <c r="A3" s="34"/>
      <c r="B3" s="34"/>
      <c r="C3" s="34"/>
      <c r="D3" s="34"/>
      <c r="E3" s="34"/>
    </row>
    <row r="4" spans="1:5" x14ac:dyDescent="0.2">
      <c r="A4" s="34" t="s">
        <v>44</v>
      </c>
      <c r="B4" s="22" t="s">
        <v>43</v>
      </c>
      <c r="C4" s="24"/>
      <c r="D4" s="24"/>
      <c r="E4" s="24"/>
    </row>
    <row r="5" spans="1:5" x14ac:dyDescent="0.2">
      <c r="A5" s="34"/>
      <c r="B5" s="34"/>
      <c r="C5" s="34"/>
      <c r="D5" s="34"/>
      <c r="E5" s="34"/>
    </row>
    <row r="6" spans="1:5" x14ac:dyDescent="0.2">
      <c r="A6" s="34"/>
      <c r="B6" s="34"/>
      <c r="C6" s="34"/>
      <c r="D6" s="34"/>
      <c r="E6" s="34"/>
    </row>
    <row r="7" spans="1:5" x14ac:dyDescent="0.2">
      <c r="A7" s="34" t="s">
        <v>61</v>
      </c>
      <c r="B7" s="34" t="s">
        <v>62</v>
      </c>
      <c r="C7" s="34"/>
      <c r="D7" s="34"/>
      <c r="E7" s="34"/>
    </row>
    <row r="8" spans="1:5" x14ac:dyDescent="0.2">
      <c r="A8" s="34"/>
      <c r="B8" s="34"/>
      <c r="C8" s="34"/>
      <c r="D8" s="34"/>
      <c r="E8" s="34"/>
    </row>
    <row r="9" spans="1:5" x14ac:dyDescent="0.2">
      <c r="A9" s="34" t="s">
        <v>56</v>
      </c>
      <c r="B9" s="34" t="s">
        <v>57</v>
      </c>
      <c r="C9" s="34" t="s">
        <v>58</v>
      </c>
      <c r="D9" s="34" t="s">
        <v>59</v>
      </c>
      <c r="E9" s="34" t="s">
        <v>60</v>
      </c>
    </row>
    <row r="10" spans="1:5" x14ac:dyDescent="0.2">
      <c r="A10" s="34"/>
      <c r="B10" s="34"/>
      <c r="C10" s="34"/>
      <c r="D10" s="34"/>
      <c r="E10" s="34"/>
    </row>
    <row r="11" spans="1:5" x14ac:dyDescent="0.2">
      <c r="A11" s="34" t="s">
        <v>63</v>
      </c>
      <c r="B11" s="34" t="s">
        <v>64</v>
      </c>
      <c r="C11" s="34"/>
      <c r="D11" s="34"/>
      <c r="E11" s="34"/>
    </row>
    <row r="12" spans="1:5" x14ac:dyDescent="0.2">
      <c r="A12" s="34"/>
      <c r="B12" s="34"/>
      <c r="C12" s="34"/>
      <c r="D12" s="34"/>
      <c r="E12" s="34"/>
    </row>
    <row r="13" spans="1:5" x14ac:dyDescent="0.2">
      <c r="A13" s="34" t="s">
        <v>65</v>
      </c>
      <c r="B13" s="34" t="s">
        <v>66</v>
      </c>
      <c r="C13" s="34"/>
      <c r="D13" s="34"/>
      <c r="E13" s="34"/>
    </row>
    <row r="14" spans="1:5" x14ac:dyDescent="0.2">
      <c r="A14" s="34"/>
      <c r="B14" s="34"/>
      <c r="C14" s="34"/>
      <c r="D14" s="34"/>
      <c r="E14" s="34"/>
    </row>
    <row r="15" spans="1:5" x14ac:dyDescent="0.2">
      <c r="A15" s="34"/>
      <c r="B15" s="34"/>
      <c r="C15" s="34"/>
      <c r="D15" s="34"/>
      <c r="E15" s="34"/>
    </row>
    <row r="16" spans="1:5" x14ac:dyDescent="0.2">
      <c r="A16" s="34" t="s">
        <v>82</v>
      </c>
      <c r="B16" s="34" t="s">
        <v>84</v>
      </c>
      <c r="C16" s="34" t="s">
        <v>83</v>
      </c>
      <c r="D16" s="34"/>
      <c r="E16" s="34"/>
    </row>
    <row r="17" spans="1:5" x14ac:dyDescent="0.2">
      <c r="A17" s="34"/>
      <c r="B17" s="34"/>
      <c r="C17" s="34"/>
      <c r="D17" s="34"/>
      <c r="E17" s="34" t="s">
        <v>85</v>
      </c>
    </row>
    <row r="18" spans="1:5" x14ac:dyDescent="0.2">
      <c r="A18" s="34"/>
      <c r="B18" s="34"/>
      <c r="C18" s="34"/>
      <c r="D18" s="34"/>
      <c r="E18" s="34" t="s">
        <v>86</v>
      </c>
    </row>
    <row r="19" spans="1:5" x14ac:dyDescent="0.2">
      <c r="A19" s="34"/>
      <c r="B19" s="34"/>
      <c r="C19" s="34"/>
      <c r="D19" s="34"/>
      <c r="E19" s="34" t="s">
        <v>87</v>
      </c>
    </row>
    <row r="20" spans="1:5" x14ac:dyDescent="0.2">
      <c r="A20" s="34"/>
      <c r="B20" s="34"/>
      <c r="C20" s="34"/>
      <c r="D20" s="34"/>
      <c r="E20" s="34"/>
    </row>
    <row r="21" spans="1:5" x14ac:dyDescent="0.2">
      <c r="A21" s="34" t="s">
        <v>100</v>
      </c>
      <c r="B21" s="34"/>
      <c r="C21" s="34" t="s">
        <v>101</v>
      </c>
      <c r="D21" s="34"/>
      <c r="E21" s="34"/>
    </row>
    <row r="22" spans="1:5" x14ac:dyDescent="0.2">
      <c r="A22" s="34"/>
      <c r="B22" s="34"/>
      <c r="C22" s="34"/>
      <c r="D22" s="34"/>
      <c r="E22" s="34"/>
    </row>
    <row r="23" spans="1:5" x14ac:dyDescent="0.2">
      <c r="A23" s="34"/>
      <c r="B23" s="34"/>
      <c r="C23" s="34" t="s">
        <v>106</v>
      </c>
      <c r="D23" s="34"/>
      <c r="E23" s="34"/>
    </row>
    <row r="24" spans="1:5" x14ac:dyDescent="0.2">
      <c r="A24" s="34"/>
      <c r="B24" s="34"/>
      <c r="C24" s="34"/>
      <c r="D24" s="34"/>
      <c r="E24" s="34"/>
    </row>
    <row r="25" spans="1:5" x14ac:dyDescent="0.2">
      <c r="A25" s="34" t="s">
        <v>107</v>
      </c>
      <c r="B25" s="34" t="s">
        <v>108</v>
      </c>
      <c r="C25" s="34"/>
      <c r="D25" s="34"/>
      <c r="E25" s="34"/>
    </row>
    <row r="26" spans="1:5" x14ac:dyDescent="0.2">
      <c r="A26" s="34"/>
      <c r="B26" s="34"/>
      <c r="C26" s="34"/>
      <c r="D26" s="34"/>
      <c r="E26" s="34"/>
    </row>
    <row r="27" spans="1:5" x14ac:dyDescent="0.2">
      <c r="A27" s="34"/>
      <c r="B27" s="22" t="s">
        <v>109</v>
      </c>
      <c r="C27" s="34"/>
      <c r="D27" s="34"/>
      <c r="E27" s="34"/>
    </row>
    <row r="28" spans="1:5" x14ac:dyDescent="0.2">
      <c r="A28" s="34"/>
      <c r="B28" s="34" t="s">
        <v>110</v>
      </c>
      <c r="C28" s="34"/>
      <c r="D28" s="34"/>
      <c r="E28" s="34"/>
    </row>
    <row r="32" spans="1:5" x14ac:dyDescent="0.2">
      <c r="B32" s="22" t="s">
        <v>111</v>
      </c>
    </row>
    <row r="35" spans="2:2" x14ac:dyDescent="0.2">
      <c r="B35" t="s">
        <v>112</v>
      </c>
    </row>
    <row r="36" spans="2:2" x14ac:dyDescent="0.2">
      <c r="B36" t="s">
        <v>113</v>
      </c>
    </row>
  </sheetData>
  <hyperlinks>
    <hyperlink ref="A2" r:id="rId1" xr:uid="{BDDDA8C3-2B6B-3E43-8238-E8C0FBC2655A}"/>
    <hyperlink ref="B4" r:id="rId2" location=":~:text=En%202020%2C%20une%20voiture%20particuli%C3%A8re,9%20pour%20les%20voitures%20diesel." display="https://fr.statista.com/statistiques/486554/consommation-de-carburant-moyenne-voiture-france/ - :~:text=En%202020%2C%20une%20voiture%20particuli%C3%A8re,9%20pour%20les%20voitures%20diesel." xr:uid="{745E69B6-D48A-7843-9BE8-B3EEBD4AA3D0}"/>
    <hyperlink ref="B27" r:id="rId3" xr:uid="{D3EF828F-546A-E145-9A8B-3B9EED82CAFC}"/>
    <hyperlink ref="B32" r:id="rId4" location=":~:text=Dans%20le%20contexte%20de%20la,de%20tonnes%20kilom%C3%A8tres%20en%202020." xr:uid="{E46411D9-8A3C-294A-9F0D-8B88B7BDD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Transport_B_base</vt:lpstr>
      <vt:lpstr>Transport_B_trainavion</vt:lpstr>
      <vt:lpstr>Transport_C_base</vt:lpstr>
      <vt:lpstr>Transport_C_trainavion</vt:lpstr>
      <vt:lpstr>preparation</vt:lpstr>
      <vt:lpstr>liens bblio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2022-08-11T12:30:43Z</dcterms:created>
  <dcterms:modified xsi:type="dcterms:W3CDTF">2022-09-13T12:41:52Z</dcterms:modified>
</cp:coreProperties>
</file>