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ABBF88BD-5589-CB44-AF66-ECA2710B82AA}" xr6:coauthVersionLast="47" xr6:coauthVersionMax="47" xr10:uidLastSave="{00000000-0000-0000-0000-000000000000}"/>
  <bookViews>
    <workbookView xWindow="6120" yWindow="700" windowWidth="44820" windowHeight="20960" activeTab="5" xr2:uid="{26D4EB12-4743-9048-9A76-D4D7675E8AA2}"/>
  </bookViews>
  <sheets>
    <sheet name="Transport_B_base" sheetId="1" r:id="rId1"/>
    <sheet name="Transport_B_trainavion" sheetId="2" r:id="rId2"/>
    <sheet name="Transport_C_base" sheetId="3" r:id="rId3"/>
    <sheet name="Transport_C_trainavion" sheetId="4" r:id="rId4"/>
    <sheet name="preparation" sheetId="6" r:id="rId5"/>
    <sheet name="liens bbli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1" i="7" l="1"/>
  <c r="D83" i="7"/>
  <c r="Q46" i="6"/>
  <c r="L31" i="6"/>
  <c r="L30" i="6"/>
  <c r="S30" i="6"/>
  <c r="S24" i="6"/>
  <c r="S25" i="6"/>
  <c r="S26" i="6"/>
  <c r="S27" i="6"/>
  <c r="S28" i="6"/>
  <c r="S29" i="6"/>
  <c r="I41" i="7"/>
  <c r="I42" i="7"/>
  <c r="I43" i="7"/>
  <c r="I40" i="7"/>
  <c r="G44" i="7"/>
  <c r="I44" i="7" s="1"/>
  <c r="AB27" i="7"/>
  <c r="AB28" i="7"/>
  <c r="AB26" i="7"/>
  <c r="Q31" i="6"/>
  <c r="X31" i="6" s="1"/>
  <c r="Q30" i="6"/>
  <c r="P31" i="6"/>
  <c r="P30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8" i="6"/>
  <c r="W2" i="6"/>
  <c r="D40" i="7"/>
  <c r="F40" i="7"/>
  <c r="P8" i="6"/>
  <c r="P9" i="6"/>
  <c r="Z28" i="7"/>
  <c r="Z27" i="7"/>
  <c r="Z26" i="7"/>
  <c r="Q40" i="6"/>
  <c r="H30" i="6"/>
  <c r="S31" i="6" l="1"/>
  <c r="H44" i="7"/>
  <c r="L28" i="6"/>
  <c r="L27" i="6"/>
  <c r="V27" i="6" s="1"/>
  <c r="Q25" i="6"/>
  <c r="V25" i="6" s="1"/>
  <c r="C26" i="6"/>
  <c r="I26" i="6" s="1"/>
  <c r="C27" i="6"/>
  <c r="C28" i="6"/>
  <c r="C25" i="6"/>
  <c r="I25" i="6" s="1"/>
  <c r="E25" i="6"/>
  <c r="E26" i="6"/>
  <c r="E27" i="6"/>
  <c r="E28" i="6"/>
  <c r="E24" i="6"/>
  <c r="L24" i="6"/>
  <c r="V24" i="6" s="1"/>
  <c r="L8" i="6"/>
  <c r="M8" i="6" s="1"/>
  <c r="V26" i="6"/>
  <c r="V29" i="6"/>
  <c r="V30" i="6"/>
  <c r="V31" i="6"/>
  <c r="U20" i="6"/>
  <c r="L20" i="6"/>
  <c r="S20" i="6" s="1"/>
  <c r="I20" i="6"/>
  <c r="P19" i="6"/>
  <c r="Q19" i="6" s="1"/>
  <c r="L19" i="6"/>
  <c r="M19" i="6" s="1"/>
  <c r="I19" i="6"/>
  <c r="P18" i="6"/>
  <c r="Q18" i="6" s="1"/>
  <c r="L18" i="6"/>
  <c r="M18" i="6" s="1"/>
  <c r="I18" i="6"/>
  <c r="U23" i="6"/>
  <c r="L23" i="6"/>
  <c r="S23" i="6" s="1"/>
  <c r="D23" i="6"/>
  <c r="I23" i="6" s="1"/>
  <c r="U22" i="6"/>
  <c r="L22" i="6"/>
  <c r="S22" i="6" s="1"/>
  <c r="D22" i="6"/>
  <c r="I22" i="6" s="1"/>
  <c r="P21" i="6"/>
  <c r="Q21" i="6" s="1"/>
  <c r="L21" i="6"/>
  <c r="M21" i="6" s="1"/>
  <c r="D21" i="6"/>
  <c r="I21" i="6" s="1"/>
  <c r="U17" i="6"/>
  <c r="L17" i="6"/>
  <c r="M17" i="6" s="1"/>
  <c r="D17" i="6"/>
  <c r="I17" i="6" s="1"/>
  <c r="U16" i="6"/>
  <c r="L16" i="6"/>
  <c r="S16" i="6" s="1"/>
  <c r="D16" i="6"/>
  <c r="I16" i="6" s="1"/>
  <c r="U15" i="6"/>
  <c r="L15" i="6"/>
  <c r="S15" i="6" s="1"/>
  <c r="I15" i="6"/>
  <c r="P14" i="6"/>
  <c r="Q14" i="6" s="1"/>
  <c r="L14" i="6"/>
  <c r="M14" i="6" s="1"/>
  <c r="D14" i="6"/>
  <c r="I14" i="6" s="1"/>
  <c r="P13" i="6"/>
  <c r="Q13" i="6" s="1"/>
  <c r="L13" i="6"/>
  <c r="M13" i="6" s="1"/>
  <c r="D13" i="6"/>
  <c r="I13" i="6" s="1"/>
  <c r="U12" i="6"/>
  <c r="L12" i="6"/>
  <c r="M12" i="6" s="1"/>
  <c r="I12" i="6"/>
  <c r="Q11" i="6"/>
  <c r="U11" i="6" s="1"/>
  <c r="L11" i="6"/>
  <c r="M11" i="6" s="1"/>
  <c r="I11" i="6"/>
  <c r="Q10" i="6"/>
  <c r="U10" i="6" s="1"/>
  <c r="L10" i="6"/>
  <c r="M10" i="6" s="1"/>
  <c r="I10" i="6"/>
  <c r="Q9" i="6"/>
  <c r="L9" i="6"/>
  <c r="M9" i="6" s="1"/>
  <c r="I9" i="6"/>
  <c r="Q8" i="6"/>
  <c r="I8" i="6"/>
  <c r="P2" i="6"/>
  <c r="Q2" i="6" s="1"/>
  <c r="L2" i="6"/>
  <c r="M2" i="6" s="1"/>
  <c r="I2" i="6"/>
  <c r="V28" i="6" l="1"/>
  <c r="M24" i="6"/>
  <c r="U21" i="6"/>
  <c r="S21" i="6"/>
  <c r="S12" i="6"/>
  <c r="S17" i="6"/>
  <c r="U19" i="6"/>
  <c r="S19" i="6"/>
  <c r="S14" i="6"/>
  <c r="U14" i="6"/>
  <c r="S8" i="6"/>
  <c r="U8" i="6"/>
  <c r="U9" i="6"/>
  <c r="S9" i="6"/>
  <c r="S13" i="6"/>
  <c r="U13" i="6"/>
  <c r="U18" i="6"/>
  <c r="S18" i="6"/>
  <c r="S11" i="6"/>
  <c r="M15" i="6"/>
  <c r="M36" i="6" s="1"/>
  <c r="M23" i="6"/>
  <c r="S10" i="6"/>
  <c r="M16" i="6"/>
  <c r="M22" i="6"/>
  <c r="M38" i="6" s="1"/>
  <c r="M20" i="6"/>
  <c r="U2" i="6"/>
  <c r="S2" i="6"/>
  <c r="C7" i="3"/>
  <c r="C8" i="3"/>
  <c r="C10" i="3"/>
  <c r="D10" i="3" s="1"/>
  <c r="C11" i="3"/>
  <c r="C12" i="3"/>
  <c r="C13" i="3"/>
  <c r="C14" i="3"/>
  <c r="C15" i="3"/>
  <c r="L3" i="3"/>
  <c r="L2" i="3"/>
  <c r="G3" i="3"/>
  <c r="I3" i="3" s="1"/>
  <c r="J3" i="3" s="1"/>
  <c r="G2" i="3"/>
  <c r="I2" i="3" s="1"/>
  <c r="J2" i="3" s="1"/>
  <c r="M35" i="6" l="1"/>
  <c r="M37" i="6"/>
  <c r="K2" i="3"/>
  <c r="K3" i="3"/>
  <c r="C8" i="4"/>
  <c r="B8" i="4"/>
  <c r="B7" i="4"/>
  <c r="D18" i="3"/>
  <c r="D17" i="3"/>
  <c r="D16" i="3"/>
  <c r="D15" i="3"/>
  <c r="D14" i="3"/>
  <c r="D13" i="3"/>
  <c r="D12" i="3"/>
  <c r="D11" i="3"/>
  <c r="D8" i="3"/>
  <c r="D7" i="3"/>
  <c r="D6" i="3"/>
  <c r="D5" i="3"/>
  <c r="D4" i="3"/>
  <c r="D3" i="3"/>
  <c r="D2" i="3"/>
  <c r="C4" i="2"/>
  <c r="D10" i="1"/>
  <c r="B6" i="1" s="1"/>
  <c r="B10" i="1"/>
  <c r="D9" i="1"/>
  <c r="D8" i="1"/>
  <c r="B8" i="1"/>
  <c r="D7" i="1"/>
  <c r="D6" i="1"/>
  <c r="D5" i="1"/>
  <c r="D4" i="1"/>
  <c r="B4" i="1"/>
  <c r="D3" i="1"/>
  <c r="B3" i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7A63FA2D-720F-2A43-AF1C-822C0381463D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ID#AAAARSFltn4
</t>
        </r>
        <r>
          <rPr>
            <sz val="11"/>
            <color rgb="FF000000"/>
            <rFont val="Arial"/>
            <family val="2"/>
          </rPr>
          <t xml:space="preserve">Marie Gruet    (2021-10-27 08:29:01)
</t>
        </r>
        <r>
          <rPr>
            <sz val="11"/>
            <color rgb="FF000000"/>
            <rFont val="Arial"/>
            <family val="2"/>
          </rPr>
          <t>https://www.oui.sncf/aide/calcul-des-emissions-de-co2-sur-votre-trajet-en-train</t>
        </r>
      </text>
    </comment>
    <comment ref="B3" authorId="0" shapeId="0" xr:uid="{83F2FBE0-9A71-C64A-9F2A-87437D6EE747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ID#AAAARSFltoA
</t>
        </r>
        <r>
          <rPr>
            <sz val="11"/>
            <color rgb="FF000000"/>
            <rFont val="Arial"/>
            <family val="2"/>
          </rPr>
          <t xml:space="preserve">Marie Gruet    (2021-10-27 08:31:24)
</t>
        </r>
        <r>
          <rPr>
            <sz val="11"/>
            <color rgb="FF000000"/>
            <rFont val="Arial"/>
            <family val="2"/>
          </rPr>
          <t>https://www.oui.sncf/aide/calcul-des-emissions-de-co2-sur-votre-trajet-en-train</t>
        </r>
      </text>
    </comment>
    <comment ref="B4" authorId="0" shapeId="0" xr:uid="{CFC126CE-23A5-4441-9118-7A0861F85DF8}">
      <text>
        <r>
          <rPr>
            <sz val="11"/>
            <color theme="1"/>
            <rFont val="Arial"/>
            <family val="2"/>
          </rPr>
          <t>======
ID#AAAARSFltoE
Marie Gruet    (2021-10-27 08:31:30)
https://www.oui.sncf/aide/calcul-des-emissions-de-co2-sur-votre-trajet-en-train</t>
        </r>
      </text>
    </comment>
    <comment ref="B5" authorId="0" shapeId="0" xr:uid="{7ACAC4D1-27D1-F540-A2BD-A05204475B1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ID#AAAARSFltoI
</t>
        </r>
        <r>
          <rPr>
            <sz val="11"/>
            <color rgb="FF000000"/>
            <rFont val="Arial"/>
            <family val="2"/>
          </rPr>
          <t xml:space="preserve">Marie Gruet    (2021-10-27 08:31:35)
</t>
        </r>
        <r>
          <rPr>
            <sz val="11"/>
            <color rgb="FF000000"/>
            <rFont val="Arial"/>
            <family val="2"/>
          </rPr>
          <t>https://www.oui.sncf/aide/calcul-des-emissions-de-co2-sur-votre-trajet-en-train</t>
        </r>
      </text>
    </comment>
    <comment ref="B6" authorId="0" shapeId="0" xr:uid="{79326D8D-5993-3E44-A44E-D0C3258C3906}">
      <text>
        <r>
          <rPr>
            <sz val="11"/>
            <color theme="1"/>
            <rFont val="Arial"/>
            <family val="2"/>
          </rPr>
          <t>======
ID#AAAARSFltn8
Marie Gruet    (2021-10-27 08:31:08)
https://www.transilien.com/fr/page-corporate/calcul-emissions-co2</t>
        </r>
      </text>
    </comment>
  </commentList>
</comments>
</file>

<file path=xl/sharedStrings.xml><?xml version="1.0" encoding="utf-8"?>
<sst xmlns="http://schemas.openxmlformats.org/spreadsheetml/2006/main" count="456" uniqueCount="202">
  <si>
    <t>Véhicule</t>
  </si>
  <si>
    <t>gC02e/km (scope 1+2)</t>
  </si>
  <si>
    <t>Mds véh.km</t>
  </si>
  <si>
    <t>Mds voy.km</t>
  </si>
  <si>
    <t>Taux de remplissage</t>
  </si>
  <si>
    <t>2RM petrole</t>
  </si>
  <si>
    <t>2RM Gaz</t>
  </si>
  <si>
    <t>2RM Elec Batt</t>
  </si>
  <si>
    <t>Bus et cars pétrole</t>
  </si>
  <si>
    <t>Bus et cars Gaz</t>
  </si>
  <si>
    <t>Bus et cars électriques batt</t>
  </si>
  <si>
    <t>Bus et cars H2</t>
  </si>
  <si>
    <t>Deux roues pétrole</t>
  </si>
  <si>
    <t>Deux roues électtrique batt</t>
  </si>
  <si>
    <t>gC02e/voy.km</t>
  </si>
  <si>
    <t>Train-metro-Tram</t>
  </si>
  <si>
    <t>Transport aérien Métropole-Métropole</t>
  </si>
  <si>
    <t>Transport aérien Métropole-Outre mer</t>
  </si>
  <si>
    <t>gC02e/km</t>
  </si>
  <si>
    <t>VP diesel</t>
  </si>
  <si>
    <t>VP essence</t>
  </si>
  <si>
    <t>VP GPL</t>
  </si>
  <si>
    <t>VP GNV</t>
  </si>
  <si>
    <t>VP électriques</t>
  </si>
  <si>
    <t>VUL diesel</t>
  </si>
  <si>
    <t>VUL essence</t>
  </si>
  <si>
    <t>VUL électriques</t>
  </si>
  <si>
    <t>Bus et cars diesel</t>
  </si>
  <si>
    <t>Bus et cars essence</t>
  </si>
  <si>
    <t xml:space="preserve">Bus et cars GNV </t>
  </si>
  <si>
    <t>Bus et cars électriques</t>
  </si>
  <si>
    <t>Deux roues essence</t>
  </si>
  <si>
    <t>Deux roues diesel</t>
  </si>
  <si>
    <t>Deux roues électriques</t>
  </si>
  <si>
    <t>TGV</t>
  </si>
  <si>
    <t>TER</t>
  </si>
  <si>
    <t>Intercité</t>
  </si>
  <si>
    <t>Transilien/RER</t>
  </si>
  <si>
    <t>Métro/Tram</t>
  </si>
  <si>
    <t>https://www.notre-environnement.gouv.fr/rapport-sur-l-etat-de-l-environnement/themes-ree/defis-environnementaux/changement-climatique/emissions-de-gaz-a-effet-de-serre/article/les-emissions-de-gaz-a-effet-de-serre-du-secteur-des-transports</t>
  </si>
  <si>
    <t>conso l/100km</t>
  </si>
  <si>
    <t>conso kWh/100km</t>
  </si>
  <si>
    <t>facteur d'émission gCO2/kWh</t>
  </si>
  <si>
    <t>https://fr.statista.com/statistiques/486554/consommation-de-carburant-moyenne-voiture-france/#:~:text=En%202020%2C%20une%20voiture%20particuli%C3%A8re,9%20pour%20les%20voitures%20diesel.</t>
  </si>
  <si>
    <t xml:space="preserve">conso VP </t>
  </si>
  <si>
    <t>facteur d'émission gCO2/km</t>
  </si>
  <si>
    <t>Total MTCO2</t>
  </si>
  <si>
    <t>conso totale TWh</t>
  </si>
  <si>
    <t>conso totale m^3</t>
  </si>
  <si>
    <t>CITEPA 2018</t>
  </si>
  <si>
    <t xml:space="preserve">Milliers véhicules </t>
  </si>
  <si>
    <t>VUL GPL</t>
  </si>
  <si>
    <t>VUL GNV</t>
  </si>
  <si>
    <t>CITEPA 2018 Vkm</t>
  </si>
  <si>
    <t>VP</t>
  </si>
  <si>
    <t>VUL</t>
  </si>
  <si>
    <t>Categorie</t>
  </si>
  <si>
    <t>Moteur</t>
  </si>
  <si>
    <t>Nb_vehicules</t>
  </si>
  <si>
    <t>Mds_veh_km</t>
  </si>
  <si>
    <t>Taux remplissage</t>
  </si>
  <si>
    <t>2 roues 2012</t>
  </si>
  <si>
    <t>https://www.statistiques.developpement-durable.gouv.fr/sites/default/files/2018-11/chiffres-stats400-deux-roues-motorises-au-01012012-mars2013.pdf</t>
  </si>
  <si>
    <t xml:space="preserve">VUL </t>
  </si>
  <si>
    <t>https://www.statistiques.developpement-durable.gouv.fr/6-millions-de-vehicules-utilitaires-legers-en-circulation-au-1er-janvier-2020</t>
  </si>
  <si>
    <t xml:space="preserve">distance </t>
  </si>
  <si>
    <t>https://www.statistiques.developpement-durable.gouv.fr/sites/default/files/2020-12/datalab_78_comptes_transports_2019_circulation_novembre2020.pdf</t>
  </si>
  <si>
    <t>1000 km/an/vehicule</t>
  </si>
  <si>
    <t>Mds vehicule km</t>
  </si>
  <si>
    <t>Mds voy km</t>
  </si>
  <si>
    <t>PCI</t>
  </si>
  <si>
    <t>conso Mwh/100</t>
  </si>
  <si>
    <t xml:space="preserve">Emissions calculées </t>
  </si>
  <si>
    <t>facteur d'émission par km</t>
  </si>
  <si>
    <t>poids lourd</t>
  </si>
  <si>
    <t>diesel</t>
  </si>
  <si>
    <t>essence</t>
  </si>
  <si>
    <t>GPL</t>
  </si>
  <si>
    <t>GNV</t>
  </si>
  <si>
    <t>électrique</t>
  </si>
  <si>
    <t>Bus et cars</t>
  </si>
  <si>
    <t>deux roues</t>
  </si>
  <si>
    <t xml:space="preserve">TGV </t>
  </si>
  <si>
    <t>https://www.autorite-transports.fr/wp-content/uploads/2021/01/bilan-ferroviaire-2019.pdf</t>
  </si>
  <si>
    <t xml:space="preserve">Figure 40 </t>
  </si>
  <si>
    <t>700 place/train</t>
  </si>
  <si>
    <t>70% d'occupation</t>
  </si>
  <si>
    <t>environ 500 pers/train</t>
  </si>
  <si>
    <t>intercite</t>
  </si>
  <si>
    <t>Transilien_RER</t>
  </si>
  <si>
    <t>Metro_tram</t>
  </si>
  <si>
    <t>aerien_interne</t>
  </si>
  <si>
    <t>aerien_outre_mer</t>
  </si>
  <si>
    <t>conso totale</t>
  </si>
  <si>
    <t>1000 km/an/vehicule arrondi</t>
  </si>
  <si>
    <t>distance moyenne par passager</t>
  </si>
  <si>
    <t>Capacité d'emport</t>
  </si>
  <si>
    <t>taux d'occupation</t>
  </si>
  <si>
    <t>passager par vehicule</t>
  </si>
  <si>
    <t>Mds Siege.km</t>
  </si>
  <si>
    <t xml:space="preserve">rapport intéressant </t>
  </si>
  <si>
    <t>https://www.statistiques.developpement-durable.gouv.fr/sites/default/files/2018-11/ed148-transport-interieur-voyageurs-mai-2016.pdf</t>
  </si>
  <si>
    <t>transport collectif</t>
  </si>
  <si>
    <t>transport particulier</t>
  </si>
  <si>
    <t>transport ferré</t>
  </si>
  <si>
    <t>transport routier collectif</t>
  </si>
  <si>
    <t>https://www.statistiques.developpement-durable.gouv.fr/sites/default/files/2021-12/08_partie_g_bilan_circulation_2020_0.pdf</t>
  </si>
  <si>
    <t>aerien</t>
  </si>
  <si>
    <t>https://www.ecologie.gouv.fr/sites/default/files/bulletin_stat_trafic_aerien_2019.pdf</t>
  </si>
  <si>
    <t>https://www.ecologie.gouv.fr/sites/default/files/Observatoire_sp%C3%A9cial_s%C3%A9ries_longues-1986-2013_Flux-trafic-commercial.pdf</t>
  </si>
  <si>
    <t>(emport moyen France : 80 pour les vols internes)</t>
  </si>
  <si>
    <t>https://www.statistiques.developpement-durable.gouv.fr/bilan-annuel-des-transports-en-2020#:~:text=Dans%20le%20contexte%20de%20la,de%20tonnes%20kilom%C3%A8tres%20en%202020.</t>
  </si>
  <si>
    <t>https://www.ecologie.gouv.fr/sites/default/files/Notes_thematiques_N01_aout_2005.pdf</t>
  </si>
  <si>
    <t>conso moyenne : 1l/</t>
  </si>
  <si>
    <t>/365</t>
  </si>
  <si>
    <t>TRM en Franc</t>
  </si>
  <si>
    <t>Mds t.km</t>
  </si>
  <si>
    <t>TRM international entre la France et l'Europe</t>
  </si>
  <si>
    <t xml:space="preserve">fret </t>
  </si>
  <si>
    <t>https://www.insee.fr/fr/statistiques/4277912?sommaire=4318291</t>
  </si>
  <si>
    <t>routier</t>
  </si>
  <si>
    <t>Ferroviaire</t>
  </si>
  <si>
    <t>Fluvial</t>
  </si>
  <si>
    <t>Oleoduc</t>
  </si>
  <si>
    <t>Aerien</t>
  </si>
  <si>
    <t>https://www.statistiques.developpement-durable.gouv.fr/edition-numerique/chiffres-cles-transports-2022/7-transport-routier-de-marchandises</t>
  </si>
  <si>
    <t>Maritime</t>
  </si>
  <si>
    <t xml:space="preserve">17 Mtep </t>
  </si>
  <si>
    <t>mrds t/km</t>
  </si>
  <si>
    <t>Mtep</t>
  </si>
  <si>
    <t xml:space="preserve">5 ? </t>
  </si>
  <si>
    <t xml:space="preserve">18 ? 18+5 ? </t>
  </si>
  <si>
    <t>aerie</t>
  </si>
  <si>
    <t>National</t>
  </si>
  <si>
    <t>international</t>
  </si>
  <si>
    <t>350 ?</t>
  </si>
  <si>
    <t>https://www.statistiques.developpement-durable.gouv.fr/donnees-sur-les-flux-de-marchandises-sitram-annee-2015</t>
  </si>
  <si>
    <t>Tonnes-kilomètres réalisées</t>
  </si>
  <si>
    <t>Unité : million de t-km</t>
  </si>
  <si>
    <t>Division NST 2007</t>
  </si>
  <si>
    <t>Fer</t>
  </si>
  <si>
    <t>Voie navigable</t>
  </si>
  <si>
    <r>
      <t>Route
compte d'autrui</t>
    </r>
    <r>
      <rPr>
        <vertAlign val="superscript"/>
        <sz val="10"/>
        <rFont val="Arial"/>
        <family val="2"/>
      </rPr>
      <t>*</t>
    </r>
  </si>
  <si>
    <r>
      <t>Route
compte propre</t>
    </r>
    <r>
      <rPr>
        <vertAlign val="superscript"/>
        <sz val="10"/>
        <rFont val="Arial"/>
        <family val="2"/>
      </rPr>
      <t>*</t>
    </r>
  </si>
  <si>
    <t>TOTAL</t>
  </si>
  <si>
    <t>Produits de l'agriculture, de la chasse, de la forêt et de la pêche</t>
  </si>
  <si>
    <t>nd</t>
  </si>
  <si>
    <t>Houille et lignite ; pétrole brut et gaz naturel</t>
  </si>
  <si>
    <t xml:space="preserve">Minerais, tourbe et autres produits d'extraction </t>
  </si>
  <si>
    <t>Produits alimentaires, boissons et tabac</t>
  </si>
  <si>
    <t>Textiles, cuir et produits dérivés</t>
  </si>
  <si>
    <t>Bois, pâte à papier, papier et produits de l'édition</t>
  </si>
  <si>
    <t>Coke et produits pétroliers raffinés</t>
  </si>
  <si>
    <t>Produits chimiques, caoutchouc, plastique et combustible nucléaire</t>
  </si>
  <si>
    <t>Autres produits minéraux non métalliques</t>
  </si>
  <si>
    <t>Métaux de base, produits métalliques</t>
  </si>
  <si>
    <t>Machines et matériel nca, produits des TIC et instruments de précision</t>
  </si>
  <si>
    <t>Matériel de transport</t>
  </si>
  <si>
    <t>Meubles ; autres produits manufacturés nca</t>
  </si>
  <si>
    <t/>
  </si>
  <si>
    <t>Matières premières secondaires ; déchets</t>
  </si>
  <si>
    <t>Courrier, colis</t>
  </si>
  <si>
    <t>Équipement pour le transport de fret</t>
  </si>
  <si>
    <t>Déménagements ; biens non marchands ; véhicules en réparation</t>
  </si>
  <si>
    <t>Marchandises groupées</t>
  </si>
  <si>
    <t>Marchandises non identifiables</t>
  </si>
  <si>
    <t>Autres marchandises, nca</t>
  </si>
  <si>
    <t>TOTAL France métropolitaine</t>
  </si>
  <si>
    <t>Route
compte d'autrui*</t>
  </si>
  <si>
    <t>Route
compte propre*</t>
  </si>
  <si>
    <t>*  sous pavillon français</t>
  </si>
  <si>
    <t>Flux entrant</t>
  </si>
  <si>
    <t>Flux sortant</t>
  </si>
  <si>
    <t>pas terrible pour le fret</t>
  </si>
  <si>
    <t>7,4 Mrd</t>
  </si>
  <si>
    <t>4,9Mrd</t>
  </si>
  <si>
    <t>12,5 TKT mrd</t>
  </si>
  <si>
    <t>3.3.3 Répartition selon faisceau (Fret et TKT)</t>
  </si>
  <si>
    <t>compagnies internationales</t>
  </si>
  <si>
    <t xml:space="preserve">Compagnies françaises </t>
  </si>
  <si>
    <t xml:space="preserve">conso : </t>
  </si>
  <si>
    <t>737 c’est 18T et ça consomme 2T / heures</t>
  </si>
  <si>
    <t>900 km/h</t>
  </si>
  <si>
    <t>777 c’est 65 T et ça consomme 8T/heures</t>
  </si>
  <si>
    <t>2500 L</t>
  </si>
  <si>
    <t>10000 L</t>
  </si>
  <si>
    <t>220l/100km/90pass</t>
  </si>
  <si>
    <t>1 pass = 90kg</t>
  </si>
  <si>
    <t>conso unitaire (l/t/100km)</t>
  </si>
  <si>
    <t>conso unitaire (kWh/t/100km)</t>
  </si>
  <si>
    <t>TWh</t>
  </si>
  <si>
    <t>Conso_unitaire kWh/t/100km</t>
  </si>
  <si>
    <t>conso tot</t>
  </si>
  <si>
    <t>kWh/PAX</t>
  </si>
  <si>
    <t>TWh_calc</t>
  </si>
  <si>
    <t>Mtep_calc</t>
  </si>
  <si>
    <t>Emissions_calc</t>
  </si>
  <si>
    <t xml:space="preserve">135 MT </t>
  </si>
  <si>
    <t>370 milliards</t>
  </si>
  <si>
    <t>nb de passagers km</t>
  </si>
  <si>
    <t>nb de véhicules km</t>
  </si>
  <si>
    <t>370 --&gt; CITEPA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</si>
</sst>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21" x14ac:knownFonts="1">
    <font>
      <sz val="12"/>
      <color theme="1"/>
      <name val="Calibri"/>
      <family val="2"/>
      <scheme val="minor"/>
    </font>
    <font>
      <b/>
      <sz val="8"/>
      <color rgb="FF000000"/>
      <name val="Trebuchet MS"/>
      <family val="2"/>
    </font>
    <font>
      <sz val="8"/>
      <color rgb="FF000000"/>
      <name val="Trebuchet MS"/>
      <family val="2"/>
    </font>
    <font>
      <sz val="12"/>
      <color theme="1"/>
      <name val="Calibri"/>
      <family val="2"/>
    </font>
    <font>
      <b/>
      <sz val="8"/>
      <color theme="1"/>
      <name val="Trebuchet MS"/>
      <family val="2"/>
    </font>
    <font>
      <sz val="8"/>
      <color theme="1"/>
      <name val="Trebuchet MS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8"/>
      <name val="Trebuchet MS"/>
      <family val="2"/>
    </font>
    <font>
      <sz val="8"/>
      <color theme="1" tint="0.499984740745262"/>
      <name val="Trebuchet MS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EEE2F6"/>
        <bgColor rgb="FFEEE2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EEE2F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vertical="center" wrapText="1"/>
    </xf>
    <xf numFmtId="2" fontId="1" fillId="3" borderId="2" xfId="0" applyNumberFormat="1" applyFont="1" applyFill="1" applyBorder="1" applyAlignment="1">
      <alignment horizontal="center" wrapText="1"/>
    </xf>
    <xf numFmtId="0" fontId="1" fillId="3" borderId="2" xfId="0" applyFont="1" applyFill="1" applyBorder="1"/>
    <xf numFmtId="0" fontId="1" fillId="3" borderId="2" xfId="0" applyFont="1" applyFill="1" applyBorder="1" applyAlignment="1">
      <alignment wrapText="1"/>
    </xf>
    <xf numFmtId="0" fontId="2" fillId="2" borderId="3" xfId="0" applyFont="1" applyFill="1" applyBorder="1" applyAlignment="1">
      <alignment vertical="center" wrapText="1"/>
    </xf>
    <xf numFmtId="0" fontId="3" fillId="0" borderId="0" xfId="0" applyFont="1"/>
    <xf numFmtId="1" fontId="3" fillId="0" borderId="4" xfId="0" applyNumberFormat="1" applyFont="1" applyBorder="1" applyAlignment="1">
      <alignment horizontal="right" vertical="center"/>
    </xf>
    <xf numFmtId="1" fontId="3" fillId="0" borderId="0" xfId="0" applyNumberFormat="1" applyFont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2" fontId="1" fillId="3" borderId="2" xfId="0" applyNumberFormat="1" applyFont="1" applyFill="1" applyBorder="1" applyAlignment="1">
      <alignment horizontal="center"/>
    </xf>
    <xf numFmtId="2" fontId="3" fillId="0" borderId="0" xfId="0" applyNumberFormat="1" applyFont="1"/>
    <xf numFmtId="2" fontId="2" fillId="3" borderId="7" xfId="0" applyNumberFormat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2" fontId="4" fillId="4" borderId="7" xfId="0" applyNumberFormat="1" applyFont="1" applyFill="1" applyBorder="1" applyAlignment="1">
      <alignment horizontal="center"/>
    </xf>
    <xf numFmtId="0" fontId="4" fillId="4" borderId="7" xfId="0" applyFont="1" applyFill="1" applyBorder="1"/>
    <xf numFmtId="0" fontId="4" fillId="4" borderId="7" xfId="0" applyFont="1" applyFill="1" applyBorder="1" applyAlignment="1">
      <alignment wrapText="1"/>
    </xf>
    <xf numFmtId="0" fontId="5" fillId="2" borderId="7" xfId="0" applyFont="1" applyFill="1" applyBorder="1" applyAlignment="1">
      <alignment vertical="center" wrapText="1"/>
    </xf>
    <xf numFmtId="2" fontId="5" fillId="4" borderId="7" xfId="0" applyNumberFormat="1" applyFont="1" applyFill="1" applyBorder="1" applyAlignment="1">
      <alignment horizontal="center"/>
    </xf>
    <xf numFmtId="2" fontId="5" fillId="4" borderId="9" xfId="0" applyNumberFormat="1" applyFont="1" applyFill="1" applyBorder="1" applyAlignment="1">
      <alignment horizontal="center"/>
    </xf>
    <xf numFmtId="0" fontId="7" fillId="0" borderId="0" xfId="1"/>
    <xf numFmtId="2" fontId="5" fillId="4" borderId="10" xfId="0" applyNumberFormat="1" applyFont="1" applyFill="1" applyBorder="1" applyAlignment="1">
      <alignment horizontal="center"/>
    </xf>
    <xf numFmtId="0" fontId="8" fillId="0" borderId="0" xfId="0" applyFont="1"/>
    <xf numFmtId="2" fontId="5" fillId="4" borderId="11" xfId="0" applyNumberFormat="1" applyFont="1" applyFill="1" applyBorder="1" applyAlignment="1">
      <alignment horizontal="center"/>
    </xf>
    <xf numFmtId="1" fontId="9" fillId="5" borderId="12" xfId="0" applyNumberFormat="1" applyFont="1" applyFill="1" applyBorder="1" applyAlignment="1">
      <alignment horizontal="center"/>
    </xf>
    <xf numFmtId="164" fontId="9" fillId="5" borderId="12" xfId="0" applyNumberFormat="1" applyFont="1" applyFill="1" applyBorder="1" applyAlignment="1">
      <alignment horizontal="center"/>
    </xf>
    <xf numFmtId="0" fontId="9" fillId="6" borderId="12" xfId="0" applyFont="1" applyFill="1" applyBorder="1" applyAlignment="1">
      <alignment vertical="center" wrapText="1"/>
    </xf>
    <xf numFmtId="2" fontId="9" fillId="5" borderId="12" xfId="0" applyNumberFormat="1" applyFont="1" applyFill="1" applyBorder="1" applyAlignment="1">
      <alignment horizontal="center"/>
    </xf>
    <xf numFmtId="164" fontId="10" fillId="5" borderId="12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center"/>
    </xf>
    <xf numFmtId="0" fontId="4" fillId="4" borderId="0" xfId="0" applyFont="1" applyFill="1" applyBorder="1"/>
    <xf numFmtId="2" fontId="5" fillId="4" borderId="0" xfId="0" applyNumberFormat="1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horizontal="right" wrapText="1"/>
    </xf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0" fillId="0" borderId="14" xfId="0" applyBorder="1"/>
    <xf numFmtId="0" fontId="13" fillId="0" borderId="14" xfId="0" applyFont="1" applyBorder="1"/>
    <xf numFmtId="3" fontId="17" fillId="0" borderId="15" xfId="0" applyNumberFormat="1" applyFont="1" applyBorder="1"/>
    <xf numFmtId="3" fontId="17" fillId="0" borderId="14" xfId="0" applyNumberFormat="1" applyFont="1" applyBorder="1" applyAlignment="1">
      <alignment horizontal="right"/>
    </xf>
    <xf numFmtId="3" fontId="17" fillId="0" borderId="14" xfId="0" applyNumberFormat="1" applyFont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6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horizontal="right" wrapText="1"/>
    </xf>
    <xf numFmtId="165" fontId="16" fillId="0" borderId="0" xfId="0" applyNumberFormat="1" applyFont="1"/>
    <xf numFmtId="3" fontId="16" fillId="0" borderId="0" xfId="0" applyNumberFormat="1" applyFont="1"/>
    <xf numFmtId="0" fontId="16" fillId="0" borderId="14" xfId="0" applyFont="1" applyBorder="1"/>
    <xf numFmtId="0" fontId="17" fillId="0" borderId="14" xfId="0" applyFont="1" applyBorder="1"/>
    <xf numFmtId="0" fontId="0" fillId="0" borderId="15" xfId="0" applyBorder="1"/>
    <xf numFmtId="0" fontId="13" fillId="0" borderId="0" xfId="0" applyFont="1" applyAlignment="1">
      <alignment horizontal="center"/>
    </xf>
    <xf numFmtId="0" fontId="16" fillId="0" borderId="16" xfId="0" applyFont="1" applyBorder="1" applyAlignment="1">
      <alignment horizontal="right" wrapText="1"/>
    </xf>
    <xf numFmtId="0" fontId="16" fillId="0" borderId="16" xfId="0" applyFont="1" applyBorder="1"/>
    <xf numFmtId="0" fontId="17" fillId="0" borderId="16" xfId="0" applyFont="1" applyBorder="1"/>
    <xf numFmtId="0" fontId="20" fillId="0" borderId="0" xfId="0" applyFont="1"/>
    <xf numFmtId="0" fontId="20" fillId="0" borderId="15" xfId="0" applyFont="1" applyBorder="1"/>
    <xf numFmtId="3" fontId="17" fillId="0" borderId="16" xfId="0" applyNumberFormat="1" applyFont="1" applyBorder="1" applyAlignment="1">
      <alignment horizontal="right"/>
    </xf>
    <xf numFmtId="0" fontId="19" fillId="0" borderId="17" xfId="0" applyFont="1" applyBorder="1" applyAlignment="1">
      <alignment horizontal="right"/>
    </xf>
    <xf numFmtId="0" fontId="16" fillId="0" borderId="16" xfId="0" applyFont="1" applyBorder="1" applyAlignment="1">
      <alignment horizont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ques.developpement-durable.gouv.fr/donnees-sur-les-flux-de-marchandises-sitram-annee-2015" TargetMode="External"/><Relationship Id="rId3" Type="http://schemas.openxmlformats.org/officeDocument/2006/relationships/hyperlink" Target="https://www.ecologie.gouv.fr/sites/default/files/Observatoire_sp%C3%A9cial_s%C3%A9ries_longues-1986-2013_Flux-trafic-commercial.pdf" TargetMode="External"/><Relationship Id="rId7" Type="http://schemas.openxmlformats.org/officeDocument/2006/relationships/hyperlink" Target="https://www.ecologie.gouv.fr/sites/default/files/bulletin_stat_trafic_aerien_2019.pdf" TargetMode="External"/><Relationship Id="rId2" Type="http://schemas.openxmlformats.org/officeDocument/2006/relationships/hyperlink" Target="https://fr.statista.com/statistiques/486554/consommation-de-carburant-moyenne-voiture-france/" TargetMode="External"/><Relationship Id="rId1" Type="http://schemas.openxmlformats.org/officeDocument/2006/relationships/hyperlink" Target="https://www.notre-environnement.gouv.fr/rapport-sur-l-etat-de-l-environnement/themes-ree/defis-environnementaux/changement-climatique/emissions-de-gaz-a-effet-de-serre/article/les-emissions-de-gaz-a-effet-de-serre-du-secteur-des-transports" TargetMode="External"/><Relationship Id="rId6" Type="http://schemas.openxmlformats.org/officeDocument/2006/relationships/hyperlink" Target="https://www.statistiques.developpement-durable.gouv.fr/edition-numerique/chiffres-cles-transports-2022/7-transport-routier-de-marchandises" TargetMode="External"/><Relationship Id="rId5" Type="http://schemas.openxmlformats.org/officeDocument/2006/relationships/hyperlink" Target="https://www.statistiques.developpement-durable.gouv.fr/sites/default/files/2018-11/ed148-transport-interieur-voyageurs-mai-2016.pdf" TargetMode="External"/><Relationship Id="rId4" Type="http://schemas.openxmlformats.org/officeDocument/2006/relationships/hyperlink" Target="https://www.statistiques.developpement-durable.gouv.fr/bilan-annuel-des-transports-en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99B9-1265-AB4A-B247-91C60532B105}">
  <dimension ref="A1:E10"/>
  <sheetViews>
    <sheetView workbookViewId="0"/>
  </sheetViews>
  <sheetFormatPr baseColWidth="10" defaultRowHeight="16" x14ac:dyDescent="0.2"/>
  <sheetData>
    <row r="1" spans="1:5" ht="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 x14ac:dyDescent="0.2">
      <c r="A2" s="5" t="s">
        <v>5</v>
      </c>
      <c r="B2" s="6">
        <v>170</v>
      </c>
      <c r="C2" s="6">
        <f>316+143+55+6</f>
        <v>520</v>
      </c>
      <c r="D2" s="6">
        <f>E2*C2</f>
        <v>676</v>
      </c>
      <c r="E2" s="6">
        <v>1.3</v>
      </c>
    </row>
    <row r="3" spans="1:5" x14ac:dyDescent="0.2">
      <c r="A3" s="5" t="s">
        <v>6</v>
      </c>
      <c r="B3" s="6">
        <f>120*(1-D$10)+D$10*$H$6*$H$4*$H$1</f>
        <v>108</v>
      </c>
      <c r="C3" s="6">
        <v>1.5</v>
      </c>
      <c r="D3" s="6">
        <f t="shared" ref="D3:D10" si="0">E3*C3</f>
        <v>1.9500000000000002</v>
      </c>
      <c r="E3" s="6">
        <v>1.3</v>
      </c>
    </row>
    <row r="4" spans="1:5" x14ac:dyDescent="0.2">
      <c r="A4" s="5" t="s">
        <v>7</v>
      </c>
      <c r="B4" s="7">
        <f>$H$5*$H$4</f>
        <v>0</v>
      </c>
      <c r="C4" s="8">
        <v>1</v>
      </c>
      <c r="D4" s="6">
        <f t="shared" si="0"/>
        <v>1.3</v>
      </c>
      <c r="E4" s="6">
        <v>1.3</v>
      </c>
    </row>
    <row r="5" spans="1:5" ht="24" x14ac:dyDescent="0.2">
      <c r="A5" s="5" t="s">
        <v>8</v>
      </c>
      <c r="B5" s="6">
        <v>1100</v>
      </c>
      <c r="C5" s="8">
        <v>2.9</v>
      </c>
      <c r="D5" s="6">
        <f t="shared" si="0"/>
        <v>43.5</v>
      </c>
      <c r="E5" s="6">
        <v>15</v>
      </c>
    </row>
    <row r="6" spans="1:5" x14ac:dyDescent="0.2">
      <c r="A6" s="5" t="s">
        <v>9</v>
      </c>
      <c r="B6" s="6">
        <f>1000*(1-D$10)+D$10*$H$6*$H$4*$H$3*$H$1</f>
        <v>900</v>
      </c>
      <c r="C6" s="6">
        <v>0.03</v>
      </c>
      <c r="D6" s="6">
        <f t="shared" si="0"/>
        <v>0.44999999999999996</v>
      </c>
      <c r="E6" s="6">
        <v>15</v>
      </c>
    </row>
    <row r="7" spans="1:5" ht="24" x14ac:dyDescent="0.2">
      <c r="A7" s="5" t="s">
        <v>10</v>
      </c>
      <c r="B7" s="6">
        <v>0</v>
      </c>
      <c r="C7" s="8">
        <v>0</v>
      </c>
      <c r="D7" s="6">
        <f t="shared" si="0"/>
        <v>0</v>
      </c>
      <c r="E7" s="6">
        <v>15</v>
      </c>
    </row>
    <row r="8" spans="1:5" x14ac:dyDescent="0.2">
      <c r="A8" s="5" t="s">
        <v>11</v>
      </c>
      <c r="B8" s="6">
        <f>$H$5*$H$4*$H$3*$H$1</f>
        <v>0</v>
      </c>
      <c r="C8" s="8">
        <v>0</v>
      </c>
      <c r="D8" s="6">
        <f t="shared" si="0"/>
        <v>0</v>
      </c>
      <c r="E8" s="6">
        <v>15</v>
      </c>
    </row>
    <row r="9" spans="1:5" ht="24" x14ac:dyDescent="0.2">
      <c r="A9" s="5" t="s">
        <v>12</v>
      </c>
      <c r="B9" s="6">
        <v>100</v>
      </c>
      <c r="C9" s="6">
        <v>13.5</v>
      </c>
      <c r="D9" s="6">
        <f t="shared" si="0"/>
        <v>13.5</v>
      </c>
      <c r="E9" s="6">
        <v>1</v>
      </c>
    </row>
    <row r="10" spans="1:5" ht="25" thickBot="1" x14ac:dyDescent="0.25">
      <c r="A10" s="9" t="s">
        <v>13</v>
      </c>
      <c r="B10" s="10">
        <f>$H$4*$H$2*$H$5</f>
        <v>0</v>
      </c>
      <c r="C10" s="10">
        <v>0.1</v>
      </c>
      <c r="D10" s="10">
        <f t="shared" si="0"/>
        <v>0.1</v>
      </c>
      <c r="E10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BC84-7902-2840-9F99-8EC9F477A9F3}">
  <dimension ref="A1:C4"/>
  <sheetViews>
    <sheetView workbookViewId="0">
      <selection activeCell="H25" sqref="H25"/>
    </sheetView>
  </sheetViews>
  <sheetFormatPr baseColWidth="10" defaultRowHeight="16" x14ac:dyDescent="0.2"/>
  <sheetData>
    <row r="1" spans="1:3" x14ac:dyDescent="0.2">
      <c r="A1" s="1" t="s">
        <v>0</v>
      </c>
      <c r="B1" s="11" t="s">
        <v>14</v>
      </c>
      <c r="C1" s="4" t="s">
        <v>3</v>
      </c>
    </row>
    <row r="2" spans="1:3" ht="24" x14ac:dyDescent="0.2">
      <c r="A2" s="5" t="s">
        <v>15</v>
      </c>
      <c r="B2" s="6">
        <v>5</v>
      </c>
      <c r="C2" s="12">
        <v>112</v>
      </c>
    </row>
    <row r="3" spans="1:3" ht="36" x14ac:dyDescent="0.2">
      <c r="A3" s="5" t="s">
        <v>16</v>
      </c>
      <c r="B3" s="13">
        <v>134</v>
      </c>
      <c r="C3" s="13">
        <v>15.6</v>
      </c>
    </row>
    <row r="4" spans="1:3" ht="37" thickBot="1" x14ac:dyDescent="0.25">
      <c r="A4" s="9" t="s">
        <v>17</v>
      </c>
      <c r="B4" s="14">
        <v>80</v>
      </c>
      <c r="C4" s="14">
        <f>0.004*8400</f>
        <v>33.6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ECB0-27BF-6240-8EF3-0F69D9DF7856}">
  <dimension ref="A1:Q25"/>
  <sheetViews>
    <sheetView topLeftCell="A4" workbookViewId="0">
      <selection activeCell="A22" sqref="A22:E49"/>
    </sheetView>
  </sheetViews>
  <sheetFormatPr baseColWidth="10" defaultRowHeight="16" x14ac:dyDescent="0.2"/>
  <cols>
    <col min="5" max="5" width="28.6640625" customWidth="1"/>
    <col min="7" max="7" width="23.33203125" customWidth="1"/>
    <col min="8" max="8" width="26.1640625" customWidth="1"/>
    <col min="9" max="9" width="23.33203125" customWidth="1"/>
    <col min="11" max="11" width="15.5" customWidth="1"/>
    <col min="15" max="15" width="17.83203125" customWidth="1"/>
    <col min="16" max="16" width="18.83203125" customWidth="1"/>
  </cols>
  <sheetData>
    <row r="1" spans="1:17" x14ac:dyDescent="0.2">
      <c r="A1" s="15" t="s">
        <v>0</v>
      </c>
      <c r="B1" s="16" t="s">
        <v>18</v>
      </c>
      <c r="C1" s="17" t="s">
        <v>2</v>
      </c>
      <c r="D1" s="18" t="s">
        <v>3</v>
      </c>
      <c r="E1" s="18" t="s">
        <v>4</v>
      </c>
      <c r="F1" t="s">
        <v>40</v>
      </c>
      <c r="G1" t="s">
        <v>41</v>
      </c>
      <c r="H1" t="s">
        <v>42</v>
      </c>
      <c r="I1" t="s">
        <v>45</v>
      </c>
      <c r="J1" t="s">
        <v>46</v>
      </c>
      <c r="K1" t="s">
        <v>47</v>
      </c>
      <c r="L1" t="s">
        <v>48</v>
      </c>
      <c r="N1" t="s">
        <v>49</v>
      </c>
      <c r="O1" t="s">
        <v>50</v>
      </c>
      <c r="P1" t="s">
        <v>53</v>
      </c>
    </row>
    <row r="2" spans="1:17" x14ac:dyDescent="0.2">
      <c r="A2" s="19" t="s">
        <v>19</v>
      </c>
      <c r="B2" s="20">
        <v>165.7424412138364</v>
      </c>
      <c r="C2" s="20">
        <v>316.26114815516769</v>
      </c>
      <c r="D2" s="20">
        <f t="shared" ref="D2:D18" si="0">C2*E2</f>
        <v>379.5133777862012</v>
      </c>
      <c r="E2" s="20">
        <v>1.2</v>
      </c>
      <c r="F2" s="23">
        <v>6</v>
      </c>
      <c r="G2">
        <f>F2*9.7</f>
        <v>58.199999999999996</v>
      </c>
      <c r="H2" s="25">
        <v>330</v>
      </c>
      <c r="I2">
        <f>G2*H2/100</f>
        <v>192.06</v>
      </c>
      <c r="J2">
        <f>I2*C2/1000</f>
        <v>60.741116114681503</v>
      </c>
      <c r="K2">
        <f>G2*C2/100</f>
        <v>184.0639882263076</v>
      </c>
      <c r="L2">
        <f>F2*C2/100</f>
        <v>18.975668889310061</v>
      </c>
      <c r="N2">
        <v>50.6</v>
      </c>
      <c r="O2">
        <v>23426.6</v>
      </c>
      <c r="P2" s="27">
        <v>316.90930110606928</v>
      </c>
      <c r="Q2" s="30">
        <v>168.7341661446722</v>
      </c>
    </row>
    <row r="3" spans="1:17" x14ac:dyDescent="0.2">
      <c r="A3" s="19" t="s">
        <v>20</v>
      </c>
      <c r="B3" s="20">
        <v>155.80063510128798</v>
      </c>
      <c r="C3" s="20">
        <v>143.02161906059894</v>
      </c>
      <c r="D3" s="20">
        <f t="shared" si="0"/>
        <v>171.62594287271872</v>
      </c>
      <c r="E3" s="20">
        <v>1.2</v>
      </c>
      <c r="F3" s="23">
        <v>7.1</v>
      </c>
      <c r="G3">
        <f>F3*8.8</f>
        <v>62.480000000000004</v>
      </c>
      <c r="H3" s="25">
        <v>332</v>
      </c>
      <c r="I3">
        <f>G3*H3/100</f>
        <v>207.43360000000001</v>
      </c>
      <c r="J3">
        <f>I3*C3/1000</f>
        <v>29.667489319568656</v>
      </c>
      <c r="K3">
        <f>G3*C3/100</f>
        <v>89.359907589062217</v>
      </c>
      <c r="L3">
        <f>F3*C3/100</f>
        <v>10.154534953302523</v>
      </c>
      <c r="N3">
        <v>19.2</v>
      </c>
      <c r="O3">
        <v>14342.5</v>
      </c>
      <c r="P3" s="27">
        <v>125.22591096825003</v>
      </c>
      <c r="Q3" s="30">
        <v>162.73796518207024</v>
      </c>
    </row>
    <row r="4" spans="1:17" x14ac:dyDescent="0.2">
      <c r="A4" s="19" t="s">
        <v>21</v>
      </c>
      <c r="B4" s="20">
        <v>110.15297857651096</v>
      </c>
      <c r="C4" s="20">
        <v>1.438258794821085</v>
      </c>
      <c r="D4" s="20">
        <f t="shared" si="0"/>
        <v>1.7259105537853019</v>
      </c>
      <c r="E4" s="20">
        <v>1.2</v>
      </c>
      <c r="O4">
        <v>33</v>
      </c>
      <c r="P4" s="26">
        <v>0.22995332169336211</v>
      </c>
      <c r="Q4" s="30">
        <v>175.0385346418538</v>
      </c>
    </row>
    <row r="5" spans="1:17" x14ac:dyDescent="0.2">
      <c r="A5" s="19" t="s">
        <v>22</v>
      </c>
      <c r="B5" s="20">
        <v>139.32332715645703</v>
      </c>
      <c r="C5" s="20">
        <v>7.6668475639745687E-2</v>
      </c>
      <c r="D5" s="20">
        <f t="shared" si="0"/>
        <v>9.2002170767694819E-2</v>
      </c>
      <c r="E5" s="20">
        <v>1.2</v>
      </c>
      <c r="O5">
        <v>2</v>
      </c>
      <c r="P5" s="26">
        <v>1.7367400031428167E-2</v>
      </c>
      <c r="Q5" s="30">
        <v>168.68624650344674</v>
      </c>
    </row>
    <row r="6" spans="1:17" x14ac:dyDescent="0.2">
      <c r="A6" s="19" t="s">
        <v>23</v>
      </c>
      <c r="B6" s="20">
        <v>0</v>
      </c>
      <c r="C6" s="20">
        <v>1.0241650189542271</v>
      </c>
      <c r="D6" s="20">
        <f t="shared" si="0"/>
        <v>1.2289980227450725</v>
      </c>
      <c r="E6" s="20">
        <v>1.2</v>
      </c>
      <c r="O6" s="26">
        <v>108.175</v>
      </c>
      <c r="P6" s="26">
        <v>0.96683641072219051</v>
      </c>
      <c r="Q6" s="30">
        <v>0</v>
      </c>
    </row>
    <row r="7" spans="1:17" x14ac:dyDescent="0.2">
      <c r="A7" s="19" t="s">
        <v>24</v>
      </c>
      <c r="B7" s="20">
        <v>219.20672641734643</v>
      </c>
      <c r="C7" s="20">
        <f>91.0319547781913*0.6</f>
        <v>54.619172866914781</v>
      </c>
      <c r="D7" s="20">
        <f t="shared" si="0"/>
        <v>98.314511160446614</v>
      </c>
      <c r="E7" s="20">
        <v>1.8</v>
      </c>
      <c r="O7" s="27">
        <v>5938.509</v>
      </c>
      <c r="P7" s="27">
        <v>81.2271507602008</v>
      </c>
      <c r="Q7" s="30">
        <v>220.40639387608147</v>
      </c>
    </row>
    <row r="8" spans="1:17" ht="19" customHeight="1" x14ac:dyDescent="0.2">
      <c r="A8" s="19" t="s">
        <v>25</v>
      </c>
      <c r="B8" s="20">
        <v>189.07207216638702</v>
      </c>
      <c r="C8" s="20">
        <f>10.4229775052414*0.6</f>
        <v>6.2537865031448403</v>
      </c>
      <c r="D8" s="20">
        <f t="shared" si="0"/>
        <v>11.256815705660713</v>
      </c>
      <c r="E8" s="20">
        <v>1.8</v>
      </c>
      <c r="O8" s="27">
        <v>2350.6819999999998</v>
      </c>
      <c r="P8" s="27">
        <v>15.080389523859543</v>
      </c>
      <c r="Q8" s="30">
        <v>158.07068544243077</v>
      </c>
    </row>
    <row r="9" spans="1:17" ht="19" customHeight="1" x14ac:dyDescent="0.2">
      <c r="A9" s="28" t="s">
        <v>51</v>
      </c>
      <c r="B9" s="20"/>
      <c r="C9" s="20"/>
      <c r="D9" s="20"/>
      <c r="E9" s="20"/>
      <c r="O9" s="27">
        <v>116.66500000000001</v>
      </c>
      <c r="P9" s="27">
        <v>0.72378173143525781</v>
      </c>
      <c r="Q9" s="30">
        <v>185.0244423860907</v>
      </c>
    </row>
    <row r="10" spans="1:17" x14ac:dyDescent="0.2">
      <c r="A10" s="28" t="s">
        <v>52</v>
      </c>
      <c r="B10" s="20">
        <v>0</v>
      </c>
      <c r="C10" s="20">
        <f>0.435578638449838*0.6</f>
        <v>0.26134718306990279</v>
      </c>
      <c r="D10" s="20">
        <f t="shared" ref="D10" si="1">C10*E10</f>
        <v>0.47042492952582504</v>
      </c>
      <c r="E10" s="20">
        <v>1.8</v>
      </c>
      <c r="O10" s="27">
        <v>7.0000000000000009</v>
      </c>
      <c r="P10" s="27">
        <v>8.0949498742442103E-2</v>
      </c>
      <c r="Q10" s="30">
        <v>178.12938662178505</v>
      </c>
    </row>
    <row r="11" spans="1:17" x14ac:dyDescent="0.2">
      <c r="A11" s="19" t="s">
        <v>26</v>
      </c>
      <c r="B11" s="20">
        <v>0</v>
      </c>
      <c r="C11" s="20">
        <f>0.435578638449838*0.6</f>
        <v>0.26134718306990279</v>
      </c>
      <c r="D11" s="20">
        <f t="shared" si="0"/>
        <v>0.47042492952582504</v>
      </c>
      <c r="E11" s="20">
        <v>1.8</v>
      </c>
      <c r="O11" s="26">
        <v>3.3260000000000001</v>
      </c>
      <c r="P11" s="26">
        <v>2.5594692184850599E-2</v>
      </c>
      <c r="Q11" s="30">
        <v>0</v>
      </c>
    </row>
    <row r="12" spans="1:17" x14ac:dyDescent="0.2">
      <c r="A12" s="19" t="s">
        <v>27</v>
      </c>
      <c r="B12" s="20">
        <v>1112.9766344540224</v>
      </c>
      <c r="C12" s="20">
        <f>28.97/10</f>
        <v>2.8969999999999998</v>
      </c>
      <c r="D12" s="20">
        <f t="shared" si="0"/>
        <v>41.340189999999993</v>
      </c>
      <c r="E12" s="20">
        <v>14.27</v>
      </c>
      <c r="O12" s="27">
        <v>884.31799999999998</v>
      </c>
      <c r="P12" s="27">
        <v>32.194326777726658</v>
      </c>
      <c r="Q12" s="30">
        <v>1078.6779450911447</v>
      </c>
    </row>
    <row r="13" spans="1:17" ht="24" x14ac:dyDescent="0.2">
      <c r="A13" s="19" t="s">
        <v>28</v>
      </c>
      <c r="B13" s="20">
        <v>431.32970528073014</v>
      </c>
      <c r="C13" s="20">
        <f>0/10</f>
        <v>0</v>
      </c>
      <c r="D13" s="20">
        <f t="shared" si="0"/>
        <v>0</v>
      </c>
      <c r="E13" s="20">
        <v>14.27</v>
      </c>
      <c r="O13" s="29">
        <v>3.1890000000000001</v>
      </c>
      <c r="P13" s="29">
        <v>2.3031961637340066E-2</v>
      </c>
      <c r="Q13" s="30">
        <v>466.69419892997763</v>
      </c>
    </row>
    <row r="14" spans="1:17" x14ac:dyDescent="0.2">
      <c r="A14" s="19" t="s">
        <v>29</v>
      </c>
      <c r="B14" s="20">
        <v>1140.5937522829518</v>
      </c>
      <c r="C14" s="20">
        <f>0.327630360261145/10</f>
        <v>3.2763036026114502E-2</v>
      </c>
      <c r="D14" s="20">
        <f t="shared" si="0"/>
        <v>0.46752852409265394</v>
      </c>
      <c r="E14" s="20">
        <v>14.27</v>
      </c>
      <c r="O14" s="26">
        <v>7</v>
      </c>
      <c r="P14" s="26">
        <v>0.26187125006094797</v>
      </c>
      <c r="Q14" s="30">
        <v>1129.835502916382</v>
      </c>
    </row>
    <row r="15" spans="1:17" ht="24" x14ac:dyDescent="0.2">
      <c r="A15" s="19" t="s">
        <v>30</v>
      </c>
      <c r="B15" s="20">
        <v>0</v>
      </c>
      <c r="C15" s="20">
        <f>0.0233699210162792/10</f>
        <v>2.33699210162792E-3</v>
      </c>
      <c r="D15" s="20">
        <f t="shared" si="0"/>
        <v>3.3348877290230415E-2</v>
      </c>
      <c r="E15" s="20">
        <v>14.27</v>
      </c>
      <c r="O15" s="26">
        <v>0.504</v>
      </c>
      <c r="P15" s="26">
        <v>1.3080640913599463E-2</v>
      </c>
      <c r="Q15" s="30">
        <v>0</v>
      </c>
    </row>
    <row r="16" spans="1:17" ht="24" x14ac:dyDescent="0.2">
      <c r="A16" s="19" t="s">
        <v>31</v>
      </c>
      <c r="B16" s="20">
        <v>105.50510244538106</v>
      </c>
      <c r="C16" s="20">
        <v>12.96973188803741</v>
      </c>
      <c r="D16" s="20">
        <f t="shared" si="0"/>
        <v>13.099429206917785</v>
      </c>
      <c r="E16" s="20">
        <v>1.01</v>
      </c>
      <c r="O16" s="27">
        <v>3532.9</v>
      </c>
      <c r="P16" s="27">
        <v>12.314970088556445</v>
      </c>
      <c r="Q16" s="30">
        <v>111.17725289014417</v>
      </c>
    </row>
    <row r="17" spans="1:17" x14ac:dyDescent="0.2">
      <c r="A17" s="19" t="s">
        <v>32</v>
      </c>
      <c r="B17" s="20">
        <v>105.50510244538106</v>
      </c>
      <c r="C17" s="20">
        <v>0.92901191741603328</v>
      </c>
      <c r="D17" s="20">
        <f t="shared" si="0"/>
        <v>0.93830203659019362</v>
      </c>
      <c r="E17" s="20">
        <v>1.01</v>
      </c>
      <c r="O17" s="26">
        <v>124.85599999999999</v>
      </c>
      <c r="P17" s="26">
        <v>0.88201819041238705</v>
      </c>
      <c r="Q17" s="30">
        <v>106.0294148178522</v>
      </c>
    </row>
    <row r="18" spans="1:17" ht="24" x14ac:dyDescent="0.2">
      <c r="A18" s="19" t="s">
        <v>33</v>
      </c>
      <c r="B18" s="20">
        <v>0</v>
      </c>
      <c r="C18" s="21">
        <v>0.10112500577722081</v>
      </c>
      <c r="D18" s="21">
        <f t="shared" si="0"/>
        <v>0.10213625583499301</v>
      </c>
      <c r="E18" s="20">
        <v>1.01</v>
      </c>
      <c r="O18" s="26">
        <v>35.286999999999999</v>
      </c>
      <c r="P18" s="26">
        <v>7.8044872109981442E-2</v>
      </c>
      <c r="Q18" s="30">
        <v>0</v>
      </c>
    </row>
    <row r="23" spans="1:17" x14ac:dyDescent="0.2">
      <c r="A23" s="22"/>
    </row>
    <row r="25" spans="1:17" x14ac:dyDescent="0.2">
      <c r="B2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51E8-7FB0-0345-803C-765B79F6C06C}">
  <dimension ref="A1:C8"/>
  <sheetViews>
    <sheetView workbookViewId="0">
      <selection activeCell="C2" sqref="C2:C8"/>
    </sheetView>
  </sheetViews>
  <sheetFormatPr baseColWidth="10" defaultRowHeight="16" x14ac:dyDescent="0.2"/>
  <sheetData>
    <row r="1" spans="1:3" x14ac:dyDescent="0.2">
      <c r="A1" s="15" t="s">
        <v>0</v>
      </c>
      <c r="B1" s="16" t="s">
        <v>14</v>
      </c>
      <c r="C1" s="18" t="s">
        <v>3</v>
      </c>
    </row>
    <row r="2" spans="1:3" x14ac:dyDescent="0.2">
      <c r="A2" s="19" t="s">
        <v>34</v>
      </c>
      <c r="B2" s="20">
        <v>1.9</v>
      </c>
      <c r="C2" s="20">
        <v>61.89</v>
      </c>
    </row>
    <row r="3" spans="1:3" x14ac:dyDescent="0.2">
      <c r="A3" s="19" t="s">
        <v>35</v>
      </c>
      <c r="B3" s="20">
        <v>24.81</v>
      </c>
      <c r="C3" s="20">
        <v>15.221</v>
      </c>
    </row>
    <row r="4" spans="1:3" x14ac:dyDescent="0.2">
      <c r="A4" s="19" t="s">
        <v>36</v>
      </c>
      <c r="B4" s="20">
        <v>5.29</v>
      </c>
      <c r="C4" s="20">
        <v>5.46</v>
      </c>
    </row>
    <row r="5" spans="1:3" x14ac:dyDescent="0.2">
      <c r="A5" s="19" t="s">
        <v>37</v>
      </c>
      <c r="B5" s="20">
        <v>4.5</v>
      </c>
      <c r="C5" s="20">
        <v>19.5</v>
      </c>
    </row>
    <row r="6" spans="1:3" x14ac:dyDescent="0.2">
      <c r="A6" s="19" t="s">
        <v>38</v>
      </c>
      <c r="B6" s="20">
        <v>2.5</v>
      </c>
      <c r="C6" s="20">
        <v>10.6</v>
      </c>
    </row>
    <row r="7" spans="1:3" ht="36" x14ac:dyDescent="0.2">
      <c r="A7" s="19" t="s">
        <v>16</v>
      </c>
      <c r="B7" s="20">
        <f t="shared" ref="B7:B8" si="0">E7/C7*10^3</f>
        <v>0</v>
      </c>
      <c r="C7" s="20">
        <v>15.6</v>
      </c>
    </row>
    <row r="8" spans="1:3" ht="36" x14ac:dyDescent="0.2">
      <c r="A8" s="19" t="s">
        <v>17</v>
      </c>
      <c r="B8" s="20">
        <f t="shared" si="0"/>
        <v>0</v>
      </c>
      <c r="C8" s="20">
        <f>0.004*8400</f>
        <v>33.6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385A-E2F5-104F-92BA-4DEBA0412A20}">
  <dimension ref="A1:X46"/>
  <sheetViews>
    <sheetView workbookViewId="0">
      <selection activeCell="E5" sqref="E5"/>
    </sheetView>
  </sheetViews>
  <sheetFormatPr baseColWidth="10" defaultRowHeight="16" x14ac:dyDescent="0.2"/>
  <cols>
    <col min="3" max="3" width="16.1640625" customWidth="1"/>
    <col min="4" max="4" width="24.5" customWidth="1"/>
    <col min="5" max="5" width="15.5" customWidth="1"/>
    <col min="6" max="6" width="11.83203125" customWidth="1"/>
    <col min="7" max="7" width="12.6640625" customWidth="1"/>
    <col min="8" max="8" width="18.33203125" customWidth="1"/>
    <col min="9" max="9" width="19.5" customWidth="1"/>
    <col min="10" max="11" width="30.33203125" customWidth="1"/>
    <col min="12" max="12" width="15" customWidth="1"/>
    <col min="17" max="17" width="16.1640625" customWidth="1"/>
  </cols>
  <sheetData>
    <row r="1" spans="1:24" ht="25" x14ac:dyDescent="0.2">
      <c r="A1" t="s">
        <v>56</v>
      </c>
      <c r="B1" t="s">
        <v>57</v>
      </c>
      <c r="C1" t="s">
        <v>50</v>
      </c>
      <c r="D1" s="17" t="s">
        <v>116</v>
      </c>
      <c r="E1" s="32" t="s">
        <v>98</v>
      </c>
      <c r="F1" s="32" t="s">
        <v>97</v>
      </c>
      <c r="G1" s="32" t="s">
        <v>96</v>
      </c>
      <c r="H1" s="32" t="s">
        <v>95</v>
      </c>
      <c r="I1" t="s">
        <v>67</v>
      </c>
      <c r="J1" t="s">
        <v>94</v>
      </c>
      <c r="K1" s="32" t="s">
        <v>99</v>
      </c>
      <c r="L1" t="s">
        <v>68</v>
      </c>
      <c r="M1" t="s">
        <v>69</v>
      </c>
      <c r="N1" s="18" t="s">
        <v>4</v>
      </c>
      <c r="O1" t="s">
        <v>40</v>
      </c>
      <c r="P1" t="s">
        <v>70</v>
      </c>
      <c r="Q1" t="s">
        <v>71</v>
      </c>
      <c r="R1" t="s">
        <v>42</v>
      </c>
      <c r="S1" t="s">
        <v>72</v>
      </c>
      <c r="T1" t="s">
        <v>49</v>
      </c>
      <c r="U1" t="s">
        <v>73</v>
      </c>
      <c r="W1" t="s">
        <v>192</v>
      </c>
    </row>
    <row r="2" spans="1:24" x14ac:dyDescent="0.2">
      <c r="A2" t="s">
        <v>74</v>
      </c>
      <c r="B2" t="s">
        <v>75</v>
      </c>
      <c r="C2" s="31">
        <v>590</v>
      </c>
      <c r="D2" s="23">
        <v>300</v>
      </c>
      <c r="E2" s="33"/>
      <c r="F2" s="33"/>
      <c r="G2" s="33"/>
      <c r="H2" s="33"/>
      <c r="I2">
        <f>D2*1000/C2</f>
        <v>508.47457627118644</v>
      </c>
      <c r="J2">
        <v>44</v>
      </c>
      <c r="L2">
        <f>C2*J2/1000</f>
        <v>25.96</v>
      </c>
      <c r="M2">
        <f>L2*N2</f>
        <v>25.96</v>
      </c>
      <c r="N2" s="23">
        <v>1</v>
      </c>
      <c r="O2">
        <v>32</v>
      </c>
      <c r="P2">
        <f>35.35/3600</f>
        <v>9.8194444444444449E-3</v>
      </c>
      <c r="Q2">
        <f>O2*P2</f>
        <v>0.31422222222222224</v>
      </c>
      <c r="R2">
        <v>264</v>
      </c>
      <c r="S2">
        <f>R2*Q2*L2/100</f>
        <v>21.53503146666667</v>
      </c>
      <c r="T2">
        <v>33.496004573858905</v>
      </c>
      <c r="U2">
        <f>R2*Q2*10</f>
        <v>829.54666666666662</v>
      </c>
      <c r="W2">
        <f>Q2*J2*C2*10/1000</f>
        <v>81.572088888888885</v>
      </c>
    </row>
    <row r="3" spans="1:24" x14ac:dyDescent="0.2">
      <c r="A3" t="s">
        <v>115</v>
      </c>
      <c r="D3">
        <v>167</v>
      </c>
    </row>
    <row r="4" spans="1:24" x14ac:dyDescent="0.2">
      <c r="A4" t="s">
        <v>117</v>
      </c>
      <c r="D4">
        <v>137</v>
      </c>
    </row>
    <row r="7" spans="1:24" ht="25" x14ac:dyDescent="0.2">
      <c r="A7" t="s">
        <v>56</v>
      </c>
      <c r="B7" t="s">
        <v>57</v>
      </c>
      <c r="C7" t="s">
        <v>50</v>
      </c>
      <c r="D7" s="17" t="s">
        <v>2</v>
      </c>
      <c r="E7" s="32"/>
      <c r="F7" s="32"/>
      <c r="G7" s="32"/>
      <c r="H7" s="32"/>
      <c r="I7" t="s">
        <v>67</v>
      </c>
      <c r="L7" t="s">
        <v>68</v>
      </c>
      <c r="M7" t="s">
        <v>69</v>
      </c>
      <c r="N7" s="18" t="s">
        <v>4</v>
      </c>
      <c r="O7" t="s">
        <v>40</v>
      </c>
      <c r="P7" t="s">
        <v>70</v>
      </c>
      <c r="Q7" t="s">
        <v>71</v>
      </c>
      <c r="R7" t="s">
        <v>42</v>
      </c>
      <c r="S7" t="s">
        <v>72</v>
      </c>
      <c r="T7" t="s">
        <v>49</v>
      </c>
      <c r="U7" t="s">
        <v>73</v>
      </c>
      <c r="W7" t="s">
        <v>93</v>
      </c>
      <c r="X7" t="s">
        <v>193</v>
      </c>
    </row>
    <row r="8" spans="1:24" x14ac:dyDescent="0.2">
      <c r="A8" t="s">
        <v>54</v>
      </c>
      <c r="B8" t="s">
        <v>75</v>
      </c>
      <c r="C8">
        <v>23426.6</v>
      </c>
      <c r="D8" s="20">
        <v>316.26114815516769</v>
      </c>
      <c r="E8" s="33"/>
      <c r="F8" s="33"/>
      <c r="G8" s="33"/>
      <c r="H8" s="33"/>
      <c r="I8">
        <f t="shared" ref="I8:I23" si="0">D8*1000/C8</f>
        <v>13.500087428613957</v>
      </c>
      <c r="J8">
        <v>14.3</v>
      </c>
      <c r="L8">
        <f t="shared" ref="L8:L24" si="1">C8*J8/1000</f>
        <v>335.00038000000001</v>
      </c>
      <c r="M8">
        <f t="shared" ref="M8:M24" si="2">L8*N8</f>
        <v>402.00045599999999</v>
      </c>
      <c r="N8" s="20">
        <v>1.2</v>
      </c>
      <c r="O8" s="23">
        <v>6</v>
      </c>
      <c r="P8" s="25">
        <f>35.35/3600</f>
        <v>9.8194444444444449E-3</v>
      </c>
      <c r="Q8" s="25">
        <f>O8*P8</f>
        <v>5.8916666666666673E-2</v>
      </c>
      <c r="R8" s="25">
        <v>264</v>
      </c>
      <c r="S8">
        <f t="shared" ref="S8:S31" si="3">R8*Q8*L8/100</f>
        <v>52.105959105200007</v>
      </c>
      <c r="T8" s="27">
        <v>52.18091516130859</v>
      </c>
      <c r="U8">
        <f t="shared" ref="U8:U23" si="4">R8*Q8*10</f>
        <v>155.54000000000002</v>
      </c>
      <c r="X8">
        <f>Q8*10/N8</f>
        <v>0.49097222222222231</v>
      </c>
    </row>
    <row r="9" spans="1:24" x14ac:dyDescent="0.2">
      <c r="A9" t="s">
        <v>54</v>
      </c>
      <c r="B9" t="s">
        <v>76</v>
      </c>
      <c r="C9">
        <v>14342.5</v>
      </c>
      <c r="D9" s="20">
        <v>143.02161906059894</v>
      </c>
      <c r="E9" s="33"/>
      <c r="F9" s="33"/>
      <c r="G9" s="33"/>
      <c r="H9" s="33"/>
      <c r="I9">
        <f t="shared" si="0"/>
        <v>9.9718751305977982</v>
      </c>
      <c r="J9">
        <v>8.9</v>
      </c>
      <c r="L9">
        <f t="shared" si="1"/>
        <v>127.64825</v>
      </c>
      <c r="M9">
        <f t="shared" si="2"/>
        <v>153.17789999999999</v>
      </c>
      <c r="N9" s="20">
        <v>1.2</v>
      </c>
      <c r="O9" s="23">
        <v>7</v>
      </c>
      <c r="P9" s="25">
        <f>32.02/3600</f>
        <v>8.8944444444444461E-3</v>
      </c>
      <c r="Q9" s="25">
        <f>O9*P9</f>
        <v>6.2261111111111121E-2</v>
      </c>
      <c r="R9" s="25">
        <v>258</v>
      </c>
      <c r="S9">
        <f t="shared" si="3"/>
        <v>20.50460644108334</v>
      </c>
      <c r="T9" s="27">
        <v>20.233306834475208</v>
      </c>
      <c r="U9">
        <f t="shared" si="4"/>
        <v>160.6336666666667</v>
      </c>
      <c r="X9">
        <f t="shared" ref="X9:X31" si="5">Q9*10/N9</f>
        <v>0.51884259259259269</v>
      </c>
    </row>
    <row r="10" spans="1:24" x14ac:dyDescent="0.2">
      <c r="A10" t="s">
        <v>54</v>
      </c>
      <c r="B10" t="s">
        <v>77</v>
      </c>
      <c r="C10">
        <v>33</v>
      </c>
      <c r="D10" s="20">
        <v>1.438258794821085</v>
      </c>
      <c r="E10" s="33"/>
      <c r="F10" s="33"/>
      <c r="G10" s="33"/>
      <c r="H10" s="33"/>
      <c r="I10">
        <f t="shared" si="0"/>
        <v>43.583599843063183</v>
      </c>
      <c r="J10">
        <v>20</v>
      </c>
      <c r="L10">
        <f t="shared" si="1"/>
        <v>0.66</v>
      </c>
      <c r="M10">
        <f t="shared" si="2"/>
        <v>0.79200000000000004</v>
      </c>
      <c r="N10" s="20">
        <v>1.2</v>
      </c>
      <c r="Q10">
        <f>10*11/1000</f>
        <v>0.11</v>
      </c>
      <c r="R10">
        <v>227</v>
      </c>
      <c r="S10">
        <f t="shared" si="3"/>
        <v>0.164802</v>
      </c>
      <c r="T10" s="27">
        <v>4.2245377324325172E-2</v>
      </c>
      <c r="U10">
        <f t="shared" si="4"/>
        <v>249.7</v>
      </c>
      <c r="X10">
        <f t="shared" si="5"/>
        <v>0.91666666666666674</v>
      </c>
    </row>
    <row r="11" spans="1:24" x14ac:dyDescent="0.2">
      <c r="A11" t="s">
        <v>54</v>
      </c>
      <c r="B11" t="s">
        <v>78</v>
      </c>
      <c r="C11">
        <v>2</v>
      </c>
      <c r="D11" s="20">
        <v>7.6668475639745687E-2</v>
      </c>
      <c r="E11" s="33"/>
      <c r="F11" s="33"/>
      <c r="G11" s="33"/>
      <c r="H11" s="33"/>
      <c r="I11">
        <f t="shared" si="0"/>
        <v>38.334237819872847</v>
      </c>
      <c r="J11">
        <v>30</v>
      </c>
      <c r="L11">
        <f t="shared" si="1"/>
        <v>0.06</v>
      </c>
      <c r="M11">
        <f t="shared" si="2"/>
        <v>7.1999999999999995E-2</v>
      </c>
      <c r="N11" s="20">
        <v>1.2</v>
      </c>
      <c r="Q11">
        <f>10*11/1000</f>
        <v>0.11</v>
      </c>
      <c r="R11">
        <v>227</v>
      </c>
      <c r="S11">
        <f t="shared" si="3"/>
        <v>1.4982000000000001E-2</v>
      </c>
      <c r="T11" s="27">
        <v>3.12201954858708E-3</v>
      </c>
      <c r="U11">
        <f t="shared" si="4"/>
        <v>249.7</v>
      </c>
      <c r="X11">
        <f t="shared" si="5"/>
        <v>0.91666666666666674</v>
      </c>
    </row>
    <row r="12" spans="1:24" x14ac:dyDescent="0.2">
      <c r="A12" t="s">
        <v>54</v>
      </c>
      <c r="B12" t="s">
        <v>79</v>
      </c>
      <c r="C12" s="26">
        <v>108.175</v>
      </c>
      <c r="D12" s="20">
        <v>1.0241650189542271</v>
      </c>
      <c r="E12" s="33"/>
      <c r="F12" s="33"/>
      <c r="G12" s="33"/>
      <c r="H12" s="33"/>
      <c r="I12">
        <f t="shared" si="0"/>
        <v>9.4676683055625332</v>
      </c>
      <c r="J12">
        <v>9.5</v>
      </c>
      <c r="L12">
        <f t="shared" si="1"/>
        <v>1.0276624999999999</v>
      </c>
      <c r="M12">
        <f t="shared" si="2"/>
        <v>1.2331949999999998</v>
      </c>
      <c r="N12" s="20">
        <v>1.2</v>
      </c>
      <c r="Q12">
        <v>1.4999999999999999E-2</v>
      </c>
      <c r="R12">
        <v>0</v>
      </c>
      <c r="S12">
        <f t="shared" si="3"/>
        <v>0</v>
      </c>
      <c r="T12" s="27">
        <v>0</v>
      </c>
      <c r="U12">
        <f t="shared" si="4"/>
        <v>0</v>
      </c>
      <c r="X12">
        <f t="shared" si="5"/>
        <v>0.125</v>
      </c>
    </row>
    <row r="13" spans="1:24" x14ac:dyDescent="0.2">
      <c r="A13" t="s">
        <v>55</v>
      </c>
      <c r="B13" t="s">
        <v>75</v>
      </c>
      <c r="C13" s="27">
        <v>5938.509</v>
      </c>
      <c r="D13" s="20">
        <f>91.0319547781913*0.6</f>
        <v>54.619172866914781</v>
      </c>
      <c r="E13" s="33"/>
      <c r="F13" s="33"/>
      <c r="G13" s="33"/>
      <c r="H13" s="33"/>
      <c r="I13">
        <f t="shared" si="0"/>
        <v>9.1974556015516313</v>
      </c>
      <c r="J13">
        <v>14.8</v>
      </c>
      <c r="L13">
        <f t="shared" si="1"/>
        <v>87.889933200000002</v>
      </c>
      <c r="M13">
        <f t="shared" si="2"/>
        <v>158.20187976</v>
      </c>
      <c r="N13" s="20">
        <v>1.8</v>
      </c>
      <c r="O13">
        <v>8</v>
      </c>
      <c r="P13" s="25">
        <f>35.35/3600</f>
        <v>9.8194444444444449E-3</v>
      </c>
      <c r="Q13">
        <f>O13*P13</f>
        <v>7.8555555555555559E-2</v>
      </c>
      <c r="R13" s="25">
        <v>264</v>
      </c>
      <c r="S13">
        <f t="shared" si="3"/>
        <v>18.227200279904</v>
      </c>
      <c r="T13" s="27">
        <v>17.429742891229537</v>
      </c>
      <c r="U13">
        <f t="shared" si="4"/>
        <v>207.38666666666666</v>
      </c>
      <c r="X13">
        <f t="shared" si="5"/>
        <v>0.43641975308641973</v>
      </c>
    </row>
    <row r="14" spans="1:24" x14ac:dyDescent="0.2">
      <c r="A14" t="s">
        <v>55</v>
      </c>
      <c r="B14" t="s">
        <v>76</v>
      </c>
      <c r="C14" s="27">
        <v>230.1</v>
      </c>
      <c r="D14" s="20">
        <f>10.4229775052414*0.6</f>
        <v>6.2537865031448403</v>
      </c>
      <c r="E14" s="33"/>
      <c r="F14" s="33"/>
      <c r="G14" s="33"/>
      <c r="H14" s="33"/>
      <c r="I14">
        <f t="shared" si="0"/>
        <v>27.178559335701173</v>
      </c>
      <c r="J14">
        <v>9.1999999999999993</v>
      </c>
      <c r="L14">
        <f t="shared" si="1"/>
        <v>2.1169199999999995</v>
      </c>
      <c r="M14">
        <f t="shared" si="2"/>
        <v>3.810455999999999</v>
      </c>
      <c r="N14" s="20">
        <v>1.8</v>
      </c>
      <c r="O14">
        <v>12</v>
      </c>
      <c r="P14" s="25">
        <f>32.02/3600</f>
        <v>8.8944444444444461E-3</v>
      </c>
      <c r="Q14">
        <f>O14*P14</f>
        <v>0.10673333333333335</v>
      </c>
      <c r="R14" s="25">
        <v>258</v>
      </c>
      <c r="S14">
        <f t="shared" si="3"/>
        <v>0.58294049423999983</v>
      </c>
      <c r="T14" s="27">
        <v>2.3341187709079625</v>
      </c>
      <c r="U14">
        <f t="shared" si="4"/>
        <v>275.37200000000001</v>
      </c>
      <c r="X14">
        <f t="shared" si="5"/>
        <v>0.59296296296296302</v>
      </c>
    </row>
    <row r="15" spans="1:24" x14ac:dyDescent="0.2">
      <c r="A15" t="s">
        <v>55</v>
      </c>
      <c r="B15" t="s">
        <v>77</v>
      </c>
      <c r="C15" s="27">
        <v>116.66500000000001</v>
      </c>
      <c r="D15" s="20"/>
      <c r="E15" s="33"/>
      <c r="F15" s="33"/>
      <c r="G15" s="33"/>
      <c r="H15" s="33"/>
      <c r="I15">
        <f t="shared" si="0"/>
        <v>0</v>
      </c>
      <c r="J15">
        <v>20</v>
      </c>
      <c r="L15">
        <f t="shared" si="1"/>
        <v>2.3333000000000004</v>
      </c>
      <c r="M15">
        <f t="shared" si="2"/>
        <v>4.1999400000000007</v>
      </c>
      <c r="N15" s="20">
        <v>1.8</v>
      </c>
      <c r="Q15">
        <v>0.19</v>
      </c>
      <c r="R15">
        <v>227</v>
      </c>
      <c r="S15">
        <f t="shared" si="3"/>
        <v>1.0063522900000001</v>
      </c>
      <c r="T15" s="27">
        <v>0.14157379091743449</v>
      </c>
      <c r="U15">
        <f t="shared" si="4"/>
        <v>431.3</v>
      </c>
      <c r="X15">
        <f t="shared" si="5"/>
        <v>1.0555555555555556</v>
      </c>
    </row>
    <row r="16" spans="1:24" x14ac:dyDescent="0.2">
      <c r="A16" t="s">
        <v>55</v>
      </c>
      <c r="B16" t="s">
        <v>78</v>
      </c>
      <c r="C16" s="27">
        <v>7.0000000000000009</v>
      </c>
      <c r="D16" s="20">
        <f>0.435578638449838*0.6</f>
        <v>0.26134718306990279</v>
      </c>
      <c r="E16" s="33"/>
      <c r="F16" s="33"/>
      <c r="G16" s="33"/>
      <c r="H16" s="33"/>
      <c r="I16">
        <f t="shared" si="0"/>
        <v>37.335311867128965</v>
      </c>
      <c r="J16">
        <v>30</v>
      </c>
      <c r="L16">
        <f t="shared" si="1"/>
        <v>0.21000000000000002</v>
      </c>
      <c r="M16">
        <f t="shared" si="2"/>
        <v>0.37800000000000006</v>
      </c>
      <c r="N16" s="20">
        <v>1.8</v>
      </c>
      <c r="Q16">
        <v>0.2</v>
      </c>
      <c r="R16">
        <v>227</v>
      </c>
      <c r="S16">
        <f t="shared" si="3"/>
        <v>9.5340000000000022E-2</v>
      </c>
      <c r="T16" s="27">
        <v>1.5481164782127863E-2</v>
      </c>
      <c r="U16">
        <f t="shared" si="4"/>
        <v>454.00000000000006</v>
      </c>
      <c r="X16">
        <f t="shared" si="5"/>
        <v>1.1111111111111112</v>
      </c>
    </row>
    <row r="17" spans="1:24" x14ac:dyDescent="0.2">
      <c r="A17" t="s">
        <v>55</v>
      </c>
      <c r="B17" t="s">
        <v>79</v>
      </c>
      <c r="C17" s="26">
        <v>3.3260000000000001</v>
      </c>
      <c r="D17" s="20">
        <f>0.435578638449838*0.6</f>
        <v>0.26134718306990279</v>
      </c>
      <c r="E17" s="33"/>
      <c r="F17" s="33"/>
      <c r="G17" s="33"/>
      <c r="H17" s="33"/>
      <c r="I17">
        <f t="shared" si="0"/>
        <v>78.577024374594941</v>
      </c>
      <c r="J17">
        <v>10</v>
      </c>
      <c r="L17">
        <f t="shared" si="1"/>
        <v>3.3259999999999998E-2</v>
      </c>
      <c r="M17">
        <f t="shared" si="2"/>
        <v>5.9867999999999998E-2</v>
      </c>
      <c r="N17" s="20">
        <v>1.8</v>
      </c>
      <c r="Q17">
        <v>1.4999999999999999E-2</v>
      </c>
      <c r="R17">
        <v>0</v>
      </c>
      <c r="S17">
        <f t="shared" si="3"/>
        <v>0</v>
      </c>
      <c r="T17" s="27">
        <v>0</v>
      </c>
      <c r="U17">
        <f t="shared" si="4"/>
        <v>0</v>
      </c>
      <c r="X17">
        <f t="shared" si="5"/>
        <v>8.3333333333333329E-2</v>
      </c>
    </row>
    <row r="18" spans="1:24" x14ac:dyDescent="0.2">
      <c r="A18" t="s">
        <v>81</v>
      </c>
      <c r="B18" t="s">
        <v>75</v>
      </c>
      <c r="C18" s="27">
        <v>3532.9</v>
      </c>
      <c r="D18" s="20">
        <v>12.96973188803741</v>
      </c>
      <c r="E18" s="33"/>
      <c r="F18" s="33"/>
      <c r="G18" s="33"/>
      <c r="H18" s="33"/>
      <c r="I18">
        <f t="shared" si="0"/>
        <v>3.6711290690473577</v>
      </c>
      <c r="J18">
        <v>3</v>
      </c>
      <c r="L18">
        <f t="shared" si="1"/>
        <v>10.598700000000001</v>
      </c>
      <c r="M18">
        <f t="shared" si="2"/>
        <v>10.704687000000002</v>
      </c>
      <c r="N18" s="20">
        <v>1.01</v>
      </c>
      <c r="O18">
        <v>4</v>
      </c>
      <c r="P18" s="25">
        <f>35.35/3600</f>
        <v>9.8194444444444449E-3</v>
      </c>
      <c r="Q18">
        <f>O18*P18</f>
        <v>3.927777777777778E-2</v>
      </c>
      <c r="R18" s="25">
        <v>264</v>
      </c>
      <c r="S18">
        <f t="shared" si="3"/>
        <v>1.099014532</v>
      </c>
      <c r="T18" s="27">
        <v>1.2873882495250246</v>
      </c>
      <c r="U18">
        <f t="shared" si="4"/>
        <v>103.69333333333333</v>
      </c>
      <c r="X18">
        <f t="shared" si="5"/>
        <v>0.3888888888888889</v>
      </c>
    </row>
    <row r="19" spans="1:24" x14ac:dyDescent="0.2">
      <c r="A19" t="s">
        <v>81</v>
      </c>
      <c r="B19" t="s">
        <v>76</v>
      </c>
      <c r="C19" s="26">
        <v>124.85599999999999</v>
      </c>
      <c r="D19" s="20">
        <v>0.92901191741603328</v>
      </c>
      <c r="E19" s="33"/>
      <c r="F19" s="33"/>
      <c r="G19" s="33"/>
      <c r="H19" s="33"/>
      <c r="I19">
        <f t="shared" si="0"/>
        <v>7.4406669876980951</v>
      </c>
      <c r="J19">
        <v>3</v>
      </c>
      <c r="L19">
        <f t="shared" si="1"/>
        <v>0.37456799999999996</v>
      </c>
      <c r="M19">
        <f t="shared" si="2"/>
        <v>0.37831367999999999</v>
      </c>
      <c r="N19" s="20">
        <v>1.01</v>
      </c>
      <c r="O19">
        <v>4</v>
      </c>
      <c r="P19" s="25">
        <f>32.02/3600</f>
        <v>8.8944444444444461E-3</v>
      </c>
      <c r="Q19">
        <f>O19*P19</f>
        <v>3.5577777777777785E-2</v>
      </c>
      <c r="R19" s="25">
        <v>258</v>
      </c>
      <c r="S19">
        <f t="shared" si="3"/>
        <v>3.4381846432000006E-2</v>
      </c>
      <c r="T19" s="27">
        <v>8.6517396576344052E-2</v>
      </c>
      <c r="U19">
        <f t="shared" si="4"/>
        <v>91.790666666666695</v>
      </c>
      <c r="X19">
        <f t="shared" si="5"/>
        <v>0.35225522552255234</v>
      </c>
    </row>
    <row r="20" spans="1:24" x14ac:dyDescent="0.2">
      <c r="A20" t="s">
        <v>81</v>
      </c>
      <c r="B20" t="s">
        <v>79</v>
      </c>
      <c r="C20" s="26">
        <v>35.286999999999999</v>
      </c>
      <c r="D20" s="21">
        <v>0.10112500577722081</v>
      </c>
      <c r="E20" s="33"/>
      <c r="F20" s="33"/>
      <c r="G20" s="33"/>
      <c r="H20" s="33"/>
      <c r="I20">
        <f t="shared" si="0"/>
        <v>2.8657864306180976</v>
      </c>
      <c r="J20">
        <v>3</v>
      </c>
      <c r="L20">
        <f t="shared" si="1"/>
        <v>0.105861</v>
      </c>
      <c r="M20">
        <f t="shared" si="2"/>
        <v>0.10691961</v>
      </c>
      <c r="N20" s="20">
        <v>1.01</v>
      </c>
      <c r="Q20">
        <v>0.01</v>
      </c>
      <c r="R20">
        <v>0</v>
      </c>
      <c r="S20">
        <f t="shared" si="3"/>
        <v>0</v>
      </c>
      <c r="T20" s="27">
        <v>0</v>
      </c>
      <c r="U20">
        <f t="shared" si="4"/>
        <v>0</v>
      </c>
      <c r="X20">
        <f t="shared" si="5"/>
        <v>9.9009900990099015E-2</v>
      </c>
    </row>
    <row r="21" spans="1:24" x14ac:dyDescent="0.2">
      <c r="A21" t="s">
        <v>80</v>
      </c>
      <c r="B21" t="s">
        <v>75</v>
      </c>
      <c r="C21" s="27">
        <v>93</v>
      </c>
      <c r="D21" s="20">
        <f>28.97/10</f>
        <v>2.8969999999999998</v>
      </c>
      <c r="E21" s="33"/>
      <c r="F21" s="33"/>
      <c r="G21" s="33"/>
      <c r="H21" s="33"/>
      <c r="I21">
        <f t="shared" si="0"/>
        <v>31.150537634408604</v>
      </c>
      <c r="J21">
        <v>35</v>
      </c>
      <c r="L21">
        <f t="shared" si="1"/>
        <v>3.2549999999999999</v>
      </c>
      <c r="M21">
        <f t="shared" si="2"/>
        <v>46.44885</v>
      </c>
      <c r="N21" s="20">
        <v>14.27</v>
      </c>
      <c r="O21">
        <v>29</v>
      </c>
      <c r="P21" s="25">
        <f>35.35/3600</f>
        <v>9.8194444444444449E-3</v>
      </c>
      <c r="Q21">
        <f>O21*P21</f>
        <v>0.28476388888888893</v>
      </c>
      <c r="R21" s="25">
        <v>264</v>
      </c>
      <c r="S21">
        <f t="shared" si="3"/>
        <v>2.4470330500000004</v>
      </c>
      <c r="T21" s="27">
        <v>33.496004573858905</v>
      </c>
      <c r="U21">
        <f t="shared" si="4"/>
        <v>751.77666666666687</v>
      </c>
      <c r="X21">
        <f t="shared" si="5"/>
        <v>0.1995542318772873</v>
      </c>
    </row>
    <row r="22" spans="1:24" x14ac:dyDescent="0.2">
      <c r="A22" t="s">
        <v>80</v>
      </c>
      <c r="B22" t="s">
        <v>78</v>
      </c>
      <c r="C22" s="26">
        <v>2</v>
      </c>
      <c r="D22" s="20">
        <f>0.327630360261145/10</f>
        <v>3.2763036026114502E-2</v>
      </c>
      <c r="E22" s="33"/>
      <c r="F22" s="33"/>
      <c r="G22" s="33"/>
      <c r="H22" s="33"/>
      <c r="I22">
        <f t="shared" si="0"/>
        <v>16.381518013057249</v>
      </c>
      <c r="J22">
        <v>4.5999999999999996</v>
      </c>
      <c r="L22">
        <f t="shared" si="1"/>
        <v>9.1999999999999998E-3</v>
      </c>
      <c r="M22">
        <f t="shared" si="2"/>
        <v>0.13128399999999998</v>
      </c>
      <c r="N22" s="20">
        <v>14.27</v>
      </c>
      <c r="R22">
        <v>227</v>
      </c>
      <c r="S22">
        <f t="shared" si="3"/>
        <v>0</v>
      </c>
      <c r="T22" s="27">
        <v>0.32555136323910838</v>
      </c>
      <c r="U22">
        <f t="shared" si="4"/>
        <v>0</v>
      </c>
      <c r="X22">
        <f t="shared" si="5"/>
        <v>0</v>
      </c>
    </row>
    <row r="23" spans="1:24" x14ac:dyDescent="0.2">
      <c r="A23" t="s">
        <v>80</v>
      </c>
      <c r="B23" t="s">
        <v>79</v>
      </c>
      <c r="C23" s="26">
        <v>0.4</v>
      </c>
      <c r="D23" s="20">
        <f>0.0233699210162792/10</f>
        <v>2.33699210162792E-3</v>
      </c>
      <c r="E23" s="33"/>
      <c r="F23" s="33"/>
      <c r="G23" s="33"/>
      <c r="H23" s="33"/>
      <c r="I23">
        <f t="shared" si="0"/>
        <v>5.8424802540697991</v>
      </c>
      <c r="J23">
        <v>4.5999999999999996</v>
      </c>
      <c r="L23">
        <f t="shared" si="1"/>
        <v>1.8399999999999998E-3</v>
      </c>
      <c r="M23">
        <f t="shared" si="2"/>
        <v>2.6256799999999997E-2</v>
      </c>
      <c r="N23" s="20">
        <v>14.27</v>
      </c>
      <c r="Q23">
        <v>1.4999999999999999E-2</v>
      </c>
      <c r="R23">
        <v>0</v>
      </c>
      <c r="S23">
        <f t="shared" si="3"/>
        <v>0</v>
      </c>
      <c r="T23" s="27">
        <v>0</v>
      </c>
      <c r="U23">
        <f t="shared" si="4"/>
        <v>0</v>
      </c>
      <c r="X23">
        <f t="shared" si="5"/>
        <v>1.051156271899089E-2</v>
      </c>
    </row>
    <row r="24" spans="1:24" x14ac:dyDescent="0.2">
      <c r="A24" t="s">
        <v>34</v>
      </c>
      <c r="B24" t="s">
        <v>79</v>
      </c>
      <c r="C24" s="31">
        <v>0.49</v>
      </c>
      <c r="D24">
        <v>0.1</v>
      </c>
      <c r="E24">
        <f>F24*G24</f>
        <v>489.99999999999994</v>
      </c>
      <c r="F24">
        <v>0.7</v>
      </c>
      <c r="G24">
        <v>700</v>
      </c>
      <c r="H24">
        <v>450</v>
      </c>
      <c r="I24">
        <v>430</v>
      </c>
      <c r="J24">
        <v>240</v>
      </c>
      <c r="K24">
        <v>65</v>
      </c>
      <c r="L24">
        <f t="shared" si="1"/>
        <v>0.1176</v>
      </c>
      <c r="M24">
        <f t="shared" si="2"/>
        <v>58.8</v>
      </c>
      <c r="N24" s="23">
        <v>500</v>
      </c>
      <c r="Q24">
        <v>1.7</v>
      </c>
      <c r="S24">
        <f t="shared" si="3"/>
        <v>0</v>
      </c>
      <c r="V24">
        <f>Q24*L24/100*1000</f>
        <v>1.9992000000000001</v>
      </c>
      <c r="X24">
        <f t="shared" si="5"/>
        <v>3.4000000000000002E-2</v>
      </c>
    </row>
    <row r="25" spans="1:24" x14ac:dyDescent="0.2">
      <c r="A25" t="s">
        <v>35</v>
      </c>
      <c r="B25" t="s">
        <v>79</v>
      </c>
      <c r="C25">
        <f>K25/G25*H25</f>
        <v>8.3333333333333321</v>
      </c>
      <c r="E25">
        <f t="shared" ref="E25:E28" si="6">F25*G25</f>
        <v>75</v>
      </c>
      <c r="F25">
        <v>0.25</v>
      </c>
      <c r="G25">
        <v>300</v>
      </c>
      <c r="H25">
        <v>50</v>
      </c>
      <c r="I25">
        <f>D25*1000/C25</f>
        <v>0</v>
      </c>
      <c r="J25">
        <v>13</v>
      </c>
      <c r="K25">
        <v>50</v>
      </c>
      <c r="L25">
        <v>0.18</v>
      </c>
      <c r="M25">
        <v>13.5</v>
      </c>
      <c r="N25">
        <v>75</v>
      </c>
      <c r="Q25">
        <f>13*75/1000</f>
        <v>0.97499999999999998</v>
      </c>
      <c r="S25">
        <f t="shared" si="3"/>
        <v>0</v>
      </c>
      <c r="V25">
        <f t="shared" ref="V25:V31" si="7">Q25*L25/100</f>
        <v>1.7549999999999998E-3</v>
      </c>
      <c r="X25">
        <f t="shared" si="5"/>
        <v>0.13</v>
      </c>
    </row>
    <row r="26" spans="1:24" x14ac:dyDescent="0.2">
      <c r="A26" t="s">
        <v>35</v>
      </c>
      <c r="B26" t="s">
        <v>75</v>
      </c>
      <c r="C26">
        <f t="shared" ref="C26:C28" si="8">K26/G26*H26</f>
        <v>25</v>
      </c>
      <c r="E26">
        <f t="shared" si="6"/>
        <v>10</v>
      </c>
      <c r="F26">
        <v>0.1</v>
      </c>
      <c r="G26">
        <v>100</v>
      </c>
      <c r="H26">
        <v>50</v>
      </c>
      <c r="I26">
        <f>D26*1000/C26</f>
        <v>0</v>
      </c>
      <c r="J26">
        <v>1</v>
      </c>
      <c r="K26">
        <v>50</v>
      </c>
      <c r="L26">
        <v>0.18</v>
      </c>
      <c r="M26">
        <v>1</v>
      </c>
      <c r="N26">
        <v>10</v>
      </c>
      <c r="Q26">
        <v>2.9</v>
      </c>
      <c r="S26">
        <f t="shared" si="3"/>
        <v>0</v>
      </c>
      <c r="V26">
        <f t="shared" si="7"/>
        <v>5.2199999999999998E-3</v>
      </c>
      <c r="X26">
        <f t="shared" si="5"/>
        <v>2.9</v>
      </c>
    </row>
    <row r="27" spans="1:24" x14ac:dyDescent="0.2">
      <c r="A27" t="s">
        <v>88</v>
      </c>
      <c r="B27" t="s">
        <v>79</v>
      </c>
      <c r="C27">
        <f t="shared" si="8"/>
        <v>4</v>
      </c>
      <c r="E27">
        <f t="shared" si="6"/>
        <v>200</v>
      </c>
      <c r="F27">
        <v>0.4</v>
      </c>
      <c r="G27">
        <v>500</v>
      </c>
      <c r="H27">
        <v>250</v>
      </c>
      <c r="K27">
        <v>8</v>
      </c>
      <c r="L27">
        <f>M27/N27</f>
        <v>2.7300000000000001E-2</v>
      </c>
      <c r="M27">
        <v>5.46</v>
      </c>
      <c r="N27">
        <v>200</v>
      </c>
      <c r="Q27">
        <v>1</v>
      </c>
      <c r="S27">
        <f t="shared" si="3"/>
        <v>0</v>
      </c>
      <c r="V27">
        <f t="shared" si="7"/>
        <v>2.7300000000000002E-4</v>
      </c>
      <c r="X27">
        <f t="shared" si="5"/>
        <v>0.05</v>
      </c>
    </row>
    <row r="28" spans="1:24" x14ac:dyDescent="0.2">
      <c r="A28" t="s">
        <v>89</v>
      </c>
      <c r="B28" t="s">
        <v>79</v>
      </c>
      <c r="C28">
        <f t="shared" si="8"/>
        <v>6.25</v>
      </c>
      <c r="E28">
        <f t="shared" si="6"/>
        <v>240</v>
      </c>
      <c r="F28">
        <v>0.3</v>
      </c>
      <c r="G28">
        <v>800</v>
      </c>
      <c r="H28">
        <v>100</v>
      </c>
      <c r="K28">
        <v>50</v>
      </c>
      <c r="L28">
        <f>M28/N28</f>
        <v>8.1250000000000003E-2</v>
      </c>
      <c r="M28">
        <v>19.5</v>
      </c>
      <c r="N28">
        <v>240</v>
      </c>
      <c r="Q28">
        <v>0.8</v>
      </c>
      <c r="S28">
        <f t="shared" si="3"/>
        <v>0</v>
      </c>
      <c r="V28">
        <f t="shared" si="7"/>
        <v>6.4999999999999997E-4</v>
      </c>
      <c r="X28">
        <f t="shared" si="5"/>
        <v>3.3333333333333333E-2</v>
      </c>
    </row>
    <row r="29" spans="1:24" x14ac:dyDescent="0.2">
      <c r="A29" t="s">
        <v>90</v>
      </c>
      <c r="B29" t="s">
        <v>79</v>
      </c>
      <c r="C29">
        <v>6</v>
      </c>
      <c r="J29">
        <v>35</v>
      </c>
      <c r="M29">
        <v>10.6</v>
      </c>
      <c r="N29">
        <v>100</v>
      </c>
      <c r="S29">
        <f t="shared" si="3"/>
        <v>0</v>
      </c>
      <c r="V29">
        <f t="shared" si="7"/>
        <v>0</v>
      </c>
      <c r="X29">
        <f t="shared" si="5"/>
        <v>0</v>
      </c>
    </row>
    <row r="30" spans="1:24" x14ac:dyDescent="0.2">
      <c r="A30" t="s">
        <v>91</v>
      </c>
      <c r="B30" t="s">
        <v>75</v>
      </c>
      <c r="E30">
        <v>90</v>
      </c>
      <c r="G30">
        <v>140</v>
      </c>
      <c r="H30">
        <f>M30*1000/26.77</f>
        <v>582.7418752334703</v>
      </c>
      <c r="L30">
        <f>M30/N30</f>
        <v>0.17333333333333334</v>
      </c>
      <c r="M30">
        <v>15.6</v>
      </c>
      <c r="N30">
        <v>90</v>
      </c>
      <c r="O30">
        <v>220</v>
      </c>
      <c r="P30" s="25">
        <f>35.35/3600</f>
        <v>9.8194444444444449E-3</v>
      </c>
      <c r="Q30">
        <f>O30*P30</f>
        <v>2.160277777777778</v>
      </c>
      <c r="R30" s="25">
        <v>264</v>
      </c>
      <c r="S30">
        <f>R30*Q30*L30/100</f>
        <v>0.98854311111111126</v>
      </c>
      <c r="V30">
        <f t="shared" si="7"/>
        <v>3.7444814814814819E-3</v>
      </c>
      <c r="X30">
        <f t="shared" si="5"/>
        <v>0.24003086419753089</v>
      </c>
    </row>
    <row r="31" spans="1:24" x14ac:dyDescent="0.2">
      <c r="A31" t="s">
        <v>92</v>
      </c>
      <c r="B31" t="s">
        <v>75</v>
      </c>
      <c r="L31">
        <f>M31/N31</f>
        <v>0.18666666666666668</v>
      </c>
      <c r="M31">
        <v>33.6</v>
      </c>
      <c r="N31">
        <v>180</v>
      </c>
      <c r="O31">
        <v>400</v>
      </c>
      <c r="P31" s="25">
        <f>35.35/3600</f>
        <v>9.8194444444444449E-3</v>
      </c>
      <c r="Q31">
        <f>O31*P31</f>
        <v>3.927777777777778</v>
      </c>
      <c r="R31" s="25">
        <v>264</v>
      </c>
      <c r="S31">
        <f>R31*Q31*L31/100</f>
        <v>1.9356088888888892</v>
      </c>
      <c r="V31">
        <f t="shared" si="7"/>
        <v>7.3318518518518524E-3</v>
      </c>
      <c r="X31">
        <f t="shared" si="5"/>
        <v>0.21820987654320989</v>
      </c>
    </row>
    <row r="35" spans="11:17" x14ac:dyDescent="0.2">
      <c r="K35" t="s">
        <v>102</v>
      </c>
      <c r="M35">
        <f>SUM(M21:M23)+SUM(M24:M30)</f>
        <v>171.06639079999997</v>
      </c>
    </row>
    <row r="36" spans="11:17" x14ac:dyDescent="0.2">
      <c r="K36" t="s">
        <v>103</v>
      </c>
      <c r="M36">
        <f>SUM(M8:M20)</f>
        <v>735.1156150500002</v>
      </c>
    </row>
    <row r="37" spans="11:17" x14ac:dyDescent="0.2">
      <c r="K37" t="s">
        <v>104</v>
      </c>
      <c r="M37">
        <f>SUM(M24:M30)</f>
        <v>124.45999999999998</v>
      </c>
      <c r="N37">
        <v>107</v>
      </c>
    </row>
    <row r="38" spans="11:17" x14ac:dyDescent="0.2">
      <c r="K38" t="s">
        <v>105</v>
      </c>
      <c r="M38">
        <f>SUM(M21:M23)</f>
        <v>46.6063908</v>
      </c>
      <c r="N38">
        <v>60</v>
      </c>
    </row>
    <row r="40" spans="11:17" x14ac:dyDescent="0.2">
      <c r="Q40">
        <f>15000000000/(580*100)/365</f>
        <v>708.54983467170518</v>
      </c>
    </row>
    <row r="42" spans="11:17" x14ac:dyDescent="0.2">
      <c r="Q42" t="s">
        <v>114</v>
      </c>
    </row>
    <row r="45" spans="11:17" x14ac:dyDescent="0.2">
      <c r="Q45" t="s">
        <v>197</v>
      </c>
    </row>
    <row r="46" spans="11:17" x14ac:dyDescent="0.2">
      <c r="Q46">
        <f>3/100*135</f>
        <v>4.05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61E1-A5C5-5644-A864-2C6788A351C6}">
  <dimension ref="A1:AB83"/>
  <sheetViews>
    <sheetView tabSelected="1" topLeftCell="B52" workbookViewId="0">
      <selection activeCell="M86" sqref="M86"/>
    </sheetView>
  </sheetViews>
  <sheetFormatPr baseColWidth="10" defaultRowHeight="16" x14ac:dyDescent="0.2"/>
  <cols>
    <col min="4" max="4" width="24.33203125" customWidth="1"/>
  </cols>
  <sheetData>
    <row r="1" spans="1:5" x14ac:dyDescent="0.2">
      <c r="A1" s="34"/>
      <c r="B1" s="34"/>
      <c r="C1" s="34"/>
      <c r="D1" s="34"/>
      <c r="E1" s="34"/>
    </row>
    <row r="2" spans="1:5" x14ac:dyDescent="0.2">
      <c r="A2" s="22" t="s">
        <v>39</v>
      </c>
      <c r="B2" s="24"/>
      <c r="C2" s="24"/>
      <c r="D2" s="24"/>
      <c r="E2" s="24"/>
    </row>
    <row r="3" spans="1:5" x14ac:dyDescent="0.2">
      <c r="A3" s="34"/>
      <c r="B3" s="34"/>
      <c r="C3" s="34"/>
      <c r="D3" s="34"/>
      <c r="E3" s="34"/>
    </row>
    <row r="4" spans="1:5" x14ac:dyDescent="0.2">
      <c r="A4" s="34" t="s">
        <v>44</v>
      </c>
      <c r="B4" s="22" t="s">
        <v>43</v>
      </c>
      <c r="C4" s="24"/>
      <c r="D4" s="24"/>
      <c r="E4" s="24"/>
    </row>
    <row r="5" spans="1:5" x14ac:dyDescent="0.2">
      <c r="A5" s="34"/>
      <c r="B5" s="34"/>
      <c r="C5" s="34"/>
      <c r="D5" s="34"/>
      <c r="E5" s="34"/>
    </row>
    <row r="6" spans="1:5" x14ac:dyDescent="0.2">
      <c r="A6" s="34"/>
      <c r="B6" s="34"/>
      <c r="C6" s="34"/>
      <c r="D6" s="34"/>
      <c r="E6" s="34"/>
    </row>
    <row r="7" spans="1:5" x14ac:dyDescent="0.2">
      <c r="A7" s="34" t="s">
        <v>61</v>
      </c>
      <c r="B7" s="34" t="s">
        <v>62</v>
      </c>
      <c r="C7" s="34"/>
      <c r="D7" s="34"/>
      <c r="E7" s="34"/>
    </row>
    <row r="8" spans="1:5" x14ac:dyDescent="0.2">
      <c r="A8" s="34"/>
      <c r="B8" s="34"/>
      <c r="C8" s="34"/>
      <c r="D8" s="34"/>
      <c r="E8" s="34"/>
    </row>
    <row r="9" spans="1:5" x14ac:dyDescent="0.2">
      <c r="A9" s="34" t="s">
        <v>56</v>
      </c>
      <c r="B9" s="34" t="s">
        <v>57</v>
      </c>
      <c r="C9" s="34" t="s">
        <v>58</v>
      </c>
      <c r="D9" s="34" t="s">
        <v>59</v>
      </c>
      <c r="E9" s="34" t="s">
        <v>60</v>
      </c>
    </row>
    <row r="10" spans="1:5" x14ac:dyDescent="0.2">
      <c r="A10" s="34"/>
      <c r="B10" s="34"/>
      <c r="C10" s="34"/>
      <c r="D10" s="34"/>
      <c r="E10" s="34"/>
    </row>
    <row r="11" spans="1:5" x14ac:dyDescent="0.2">
      <c r="A11" s="34" t="s">
        <v>63</v>
      </c>
      <c r="B11" s="34" t="s">
        <v>64</v>
      </c>
      <c r="C11" s="34"/>
      <c r="D11" s="34"/>
      <c r="E11" s="34"/>
    </row>
    <row r="12" spans="1:5" x14ac:dyDescent="0.2">
      <c r="A12" s="34"/>
      <c r="B12" s="34"/>
      <c r="C12" s="34"/>
      <c r="D12" s="34"/>
      <c r="E12" s="34"/>
    </row>
    <row r="13" spans="1:5" x14ac:dyDescent="0.2">
      <c r="A13" s="34" t="s">
        <v>65</v>
      </c>
      <c r="B13" s="34" t="s">
        <v>66</v>
      </c>
      <c r="C13" s="34"/>
      <c r="D13" s="34"/>
      <c r="E13" s="34"/>
    </row>
    <row r="14" spans="1:5" x14ac:dyDescent="0.2">
      <c r="A14" s="34"/>
      <c r="B14" s="34"/>
      <c r="C14" s="34"/>
      <c r="D14" s="34"/>
      <c r="E14" s="34"/>
    </row>
    <row r="15" spans="1:5" x14ac:dyDescent="0.2">
      <c r="A15" s="34"/>
      <c r="B15" s="34"/>
      <c r="C15" s="34"/>
      <c r="D15" s="34"/>
      <c r="E15" s="34"/>
    </row>
    <row r="16" spans="1:5" x14ac:dyDescent="0.2">
      <c r="A16" s="34" t="s">
        <v>82</v>
      </c>
      <c r="B16" s="34" t="s">
        <v>84</v>
      </c>
      <c r="C16" s="34" t="s">
        <v>83</v>
      </c>
      <c r="D16" s="34"/>
      <c r="E16" s="34"/>
    </row>
    <row r="17" spans="1:28" x14ac:dyDescent="0.2">
      <c r="A17" s="34"/>
      <c r="B17" s="34"/>
      <c r="C17" s="34"/>
      <c r="D17" s="34"/>
      <c r="E17" s="34" t="s">
        <v>85</v>
      </c>
    </row>
    <row r="18" spans="1:28" x14ac:dyDescent="0.2">
      <c r="A18" s="34"/>
      <c r="B18" s="34"/>
      <c r="C18" s="34"/>
      <c r="D18" s="34"/>
      <c r="E18" s="34" t="s">
        <v>86</v>
      </c>
    </row>
    <row r="19" spans="1:28" x14ac:dyDescent="0.2">
      <c r="A19" s="34"/>
      <c r="B19" s="34"/>
      <c r="C19" s="34"/>
      <c r="D19" s="34"/>
      <c r="E19" s="34" t="s">
        <v>87</v>
      </c>
    </row>
    <row r="20" spans="1:28" x14ac:dyDescent="0.2">
      <c r="A20" s="34"/>
      <c r="B20" s="34"/>
      <c r="C20" s="34"/>
      <c r="D20" s="34"/>
      <c r="E20" s="34"/>
    </row>
    <row r="21" spans="1:28" x14ac:dyDescent="0.2">
      <c r="A21" s="34" t="s">
        <v>100</v>
      </c>
      <c r="B21" s="34"/>
      <c r="C21" s="22" t="s">
        <v>101</v>
      </c>
      <c r="D21" s="34"/>
      <c r="E21" s="34"/>
    </row>
    <row r="22" spans="1:28" x14ac:dyDescent="0.2">
      <c r="A22" s="34"/>
      <c r="B22" s="34"/>
      <c r="C22" s="34"/>
      <c r="D22" s="34"/>
      <c r="E22" s="34"/>
    </row>
    <row r="23" spans="1:28" x14ac:dyDescent="0.2">
      <c r="A23" s="34"/>
      <c r="B23" s="34"/>
      <c r="C23" s="34" t="s">
        <v>106</v>
      </c>
      <c r="D23" s="34"/>
      <c r="E23" s="34"/>
    </row>
    <row r="24" spans="1:28" x14ac:dyDescent="0.2">
      <c r="A24" s="34"/>
      <c r="B24" s="34"/>
      <c r="C24" s="34"/>
      <c r="D24" s="34"/>
      <c r="E24" s="34"/>
    </row>
    <row r="25" spans="1:28" x14ac:dyDescent="0.2">
      <c r="A25" s="34" t="s">
        <v>107</v>
      </c>
      <c r="B25" s="22" t="s">
        <v>108</v>
      </c>
      <c r="C25" s="34"/>
      <c r="D25" s="34"/>
      <c r="E25" s="34"/>
      <c r="K25" t="s">
        <v>176</v>
      </c>
      <c r="L25" t="s">
        <v>177</v>
      </c>
      <c r="P25" t="s">
        <v>174</v>
      </c>
      <c r="Q25" t="s">
        <v>178</v>
      </c>
      <c r="T25" t="s">
        <v>180</v>
      </c>
      <c r="Z25" t="s">
        <v>188</v>
      </c>
      <c r="AB25" t="s">
        <v>189</v>
      </c>
    </row>
    <row r="26" spans="1:28" x14ac:dyDescent="0.2">
      <c r="A26" s="34"/>
      <c r="B26" s="34"/>
      <c r="C26" s="34"/>
      <c r="D26" s="34"/>
      <c r="E26" s="34"/>
      <c r="P26" t="s">
        <v>175</v>
      </c>
      <c r="Q26" t="s">
        <v>179</v>
      </c>
      <c r="T26" t="s">
        <v>181</v>
      </c>
      <c r="X26" t="s">
        <v>182</v>
      </c>
      <c r="Y26" t="s">
        <v>184</v>
      </c>
      <c r="Z26">
        <f>2500/(900*18)*100</f>
        <v>15.432098765432098</v>
      </c>
      <c r="AB26">
        <f>Z26*35.35/3600*1000</f>
        <v>151.5346364883402</v>
      </c>
    </row>
    <row r="27" spans="1:28" x14ac:dyDescent="0.2">
      <c r="A27" s="34"/>
      <c r="B27" s="22" t="s">
        <v>109</v>
      </c>
      <c r="C27" s="34"/>
      <c r="D27" s="34"/>
      <c r="E27" s="34"/>
      <c r="T27" t="s">
        <v>183</v>
      </c>
      <c r="Y27" t="s">
        <v>185</v>
      </c>
      <c r="Z27">
        <f>10000/(900*65)*100</f>
        <v>17.094017094017094</v>
      </c>
      <c r="AB27">
        <f t="shared" ref="AB27:AB28" si="0">Z27*35.35/3600*1000</f>
        <v>167.8537511870845</v>
      </c>
    </row>
    <row r="28" spans="1:28" x14ac:dyDescent="0.2">
      <c r="A28" s="34"/>
      <c r="B28" s="34" t="s">
        <v>110</v>
      </c>
      <c r="C28" s="34"/>
      <c r="D28" s="34"/>
      <c r="E28" s="34"/>
      <c r="F28" t="s">
        <v>173</v>
      </c>
      <c r="T28" t="s">
        <v>186</v>
      </c>
      <c r="V28" t="s">
        <v>187</v>
      </c>
      <c r="Z28">
        <f>220/(90*90)*1000</f>
        <v>27.160493827160494</v>
      </c>
      <c r="AB28">
        <f t="shared" si="0"/>
        <v>266.70096021947876</v>
      </c>
    </row>
    <row r="32" spans="1:28" x14ac:dyDescent="0.2">
      <c r="B32" s="22" t="s">
        <v>111</v>
      </c>
    </row>
    <row r="35" spans="1:17" x14ac:dyDescent="0.2">
      <c r="B35" t="s">
        <v>112</v>
      </c>
    </row>
    <row r="36" spans="1:17" x14ac:dyDescent="0.2">
      <c r="B36" t="s">
        <v>113</v>
      </c>
    </row>
    <row r="38" spans="1:17" x14ac:dyDescent="0.2">
      <c r="A38" t="s">
        <v>118</v>
      </c>
      <c r="B38" t="s">
        <v>119</v>
      </c>
      <c r="H38" s="22" t="s">
        <v>125</v>
      </c>
    </row>
    <row r="39" spans="1:17" x14ac:dyDescent="0.2">
      <c r="C39" t="s">
        <v>128</v>
      </c>
      <c r="D39" t="s">
        <v>191</v>
      </c>
      <c r="E39" t="s">
        <v>129</v>
      </c>
      <c r="F39" t="s">
        <v>190</v>
      </c>
      <c r="G39" t="s">
        <v>194</v>
      </c>
      <c r="H39" s="22" t="s">
        <v>195</v>
      </c>
      <c r="I39" t="s">
        <v>196</v>
      </c>
    </row>
    <row r="40" spans="1:17" x14ac:dyDescent="0.2">
      <c r="B40" t="s">
        <v>120</v>
      </c>
      <c r="C40">
        <v>300</v>
      </c>
      <c r="D40">
        <f>F40/C40*100</f>
        <v>59.93333333333333</v>
      </c>
      <c r="E40">
        <v>15.5</v>
      </c>
      <c r="F40">
        <f>E40*11.6</f>
        <v>179.79999999999998</v>
      </c>
      <c r="G40">
        <v>180</v>
      </c>
      <c r="I40">
        <f>G40*264/1000</f>
        <v>47.52</v>
      </c>
    </row>
    <row r="41" spans="1:17" x14ac:dyDescent="0.2">
      <c r="B41" t="s">
        <v>121</v>
      </c>
      <c r="C41">
        <v>33</v>
      </c>
      <c r="I41">
        <f t="shared" ref="I41:I44" si="1">G41*264/1000</f>
        <v>0</v>
      </c>
    </row>
    <row r="42" spans="1:17" x14ac:dyDescent="0.2">
      <c r="B42" t="s">
        <v>122</v>
      </c>
      <c r="C42">
        <v>7</v>
      </c>
      <c r="I42">
        <f t="shared" si="1"/>
        <v>0</v>
      </c>
    </row>
    <row r="43" spans="1:17" x14ac:dyDescent="0.2">
      <c r="B43" t="s">
        <v>123</v>
      </c>
      <c r="C43">
        <v>12</v>
      </c>
      <c r="I43">
        <f t="shared" si="1"/>
        <v>0</v>
      </c>
      <c r="P43" t="s">
        <v>133</v>
      </c>
      <c r="Q43" t="s">
        <v>134</v>
      </c>
    </row>
    <row r="44" spans="1:17" x14ac:dyDescent="0.2">
      <c r="B44" t="s">
        <v>124</v>
      </c>
      <c r="C44">
        <v>12</v>
      </c>
      <c r="D44">
        <v>100</v>
      </c>
      <c r="E44" t="s">
        <v>130</v>
      </c>
      <c r="F44" t="s">
        <v>131</v>
      </c>
      <c r="G44">
        <f>C44*D44/1000*100</f>
        <v>120</v>
      </c>
      <c r="H44">
        <f>G44/11.11</f>
        <v>10.801080108010801</v>
      </c>
      <c r="I44">
        <f t="shared" si="1"/>
        <v>31.68</v>
      </c>
      <c r="O44" t="s">
        <v>122</v>
      </c>
      <c r="P44">
        <v>2.7</v>
      </c>
      <c r="Q44">
        <v>5</v>
      </c>
    </row>
    <row r="45" spans="1:17" x14ac:dyDescent="0.2">
      <c r="B45" t="s">
        <v>126</v>
      </c>
      <c r="C45">
        <v>300</v>
      </c>
      <c r="E45">
        <v>5</v>
      </c>
      <c r="O45" t="s">
        <v>132</v>
      </c>
      <c r="P45">
        <v>5.4</v>
      </c>
      <c r="Q45">
        <v>18</v>
      </c>
    </row>
    <row r="46" spans="1:17" x14ac:dyDescent="0.2">
      <c r="C46" t="s">
        <v>135</v>
      </c>
      <c r="E46" t="s">
        <v>127</v>
      </c>
    </row>
    <row r="49" spans="2:28" x14ac:dyDescent="0.2">
      <c r="B49" s="22" t="s">
        <v>136</v>
      </c>
      <c r="V49" t="s">
        <v>172</v>
      </c>
    </row>
    <row r="50" spans="2:28" x14ac:dyDescent="0.2">
      <c r="O50" t="s">
        <v>171</v>
      </c>
      <c r="U50" s="48" t="s">
        <v>137</v>
      </c>
      <c r="V50" s="48"/>
      <c r="W50" s="48"/>
      <c r="X50" s="48"/>
      <c r="Y50" s="48"/>
      <c r="Z50" s="48"/>
      <c r="AA50" s="48"/>
      <c r="AB50" s="48"/>
    </row>
    <row r="51" spans="2:28" x14ac:dyDescent="0.2">
      <c r="B51" s="35" t="s">
        <v>137</v>
      </c>
      <c r="C51" s="35"/>
      <c r="D51" s="35"/>
      <c r="E51" s="35"/>
      <c r="F51" s="35"/>
      <c r="G51" s="35"/>
      <c r="H51" s="35"/>
      <c r="I51" s="35"/>
      <c r="L51" s="48" t="s">
        <v>137</v>
      </c>
      <c r="M51" s="48"/>
      <c r="N51" s="48"/>
      <c r="O51" s="48"/>
      <c r="P51" s="48"/>
      <c r="Q51" s="48"/>
      <c r="R51" s="48"/>
      <c r="S51" s="48"/>
      <c r="U51" s="57"/>
      <c r="V51" s="57"/>
      <c r="W51" s="57"/>
      <c r="X51" s="57"/>
      <c r="Y51" s="57"/>
      <c r="Z51" s="57"/>
      <c r="AA51" s="57"/>
      <c r="AB51" s="57"/>
    </row>
    <row r="52" spans="2:28" x14ac:dyDescent="0.2">
      <c r="H52" s="36" t="s">
        <v>138</v>
      </c>
      <c r="I52" s="36"/>
      <c r="L52" s="40"/>
      <c r="M52" s="40"/>
      <c r="N52" s="40"/>
      <c r="O52" s="40"/>
      <c r="P52" s="40"/>
      <c r="Q52" s="40"/>
      <c r="R52" s="49" t="s">
        <v>138</v>
      </c>
      <c r="S52" s="49"/>
      <c r="U52" s="40"/>
      <c r="V52" s="40"/>
      <c r="W52" s="40"/>
      <c r="X52" s="40"/>
      <c r="Y52" s="40"/>
      <c r="Z52" s="40"/>
      <c r="AA52" s="64" t="s">
        <v>138</v>
      </c>
      <c r="AB52" s="64"/>
    </row>
    <row r="53" spans="2:28" ht="51" x14ac:dyDescent="0.2">
      <c r="B53" s="37" t="s">
        <v>139</v>
      </c>
      <c r="C53" s="37"/>
      <c r="D53" s="37"/>
      <c r="E53" s="38" t="s">
        <v>140</v>
      </c>
      <c r="F53" s="38" t="s">
        <v>141</v>
      </c>
      <c r="G53" s="38" t="s">
        <v>142</v>
      </c>
      <c r="H53" s="38" t="s">
        <v>143</v>
      </c>
      <c r="I53" s="38" t="s">
        <v>144</v>
      </c>
      <c r="L53" s="50" t="s">
        <v>139</v>
      </c>
      <c r="M53" s="50"/>
      <c r="N53" s="50"/>
      <c r="O53" s="51" t="s">
        <v>140</v>
      </c>
      <c r="P53" s="51" t="s">
        <v>141</v>
      </c>
      <c r="Q53" s="51" t="s">
        <v>168</v>
      </c>
      <c r="R53" s="51" t="s">
        <v>169</v>
      </c>
      <c r="S53" s="51" t="s">
        <v>144</v>
      </c>
      <c r="U53" s="65" t="s">
        <v>139</v>
      </c>
      <c r="V53" s="65"/>
      <c r="W53" s="65"/>
      <c r="X53" s="58" t="s">
        <v>140</v>
      </c>
      <c r="Y53" s="58" t="s">
        <v>141</v>
      </c>
      <c r="Z53" s="58" t="s">
        <v>168</v>
      </c>
      <c r="AA53" s="58" t="s">
        <v>169</v>
      </c>
      <c r="AB53" s="58" t="s">
        <v>144</v>
      </c>
    </row>
    <row r="54" spans="2:28" x14ac:dyDescent="0.2">
      <c r="B54" s="39">
        <v>1</v>
      </c>
      <c r="C54" s="40" t="s">
        <v>145</v>
      </c>
      <c r="D54" s="40"/>
      <c r="E54" s="41" t="s">
        <v>146</v>
      </c>
      <c r="F54" s="42">
        <v>1323.2593790000001</v>
      </c>
      <c r="G54" s="42">
        <v>17243.362679999998</v>
      </c>
      <c r="H54" s="42">
        <v>6098.7625340000004</v>
      </c>
      <c r="I54" s="41" t="s">
        <v>146</v>
      </c>
      <c r="L54" s="52">
        <v>1</v>
      </c>
      <c r="M54" s="40" t="s">
        <v>145</v>
      </c>
      <c r="N54" s="40"/>
      <c r="O54" s="41" t="s">
        <v>146</v>
      </c>
      <c r="P54" s="42">
        <v>55.099125000000001</v>
      </c>
      <c r="Q54" s="53">
        <v>250.046987</v>
      </c>
      <c r="R54" s="53">
        <v>12.469104</v>
      </c>
      <c r="S54" s="41" t="s">
        <v>146</v>
      </c>
      <c r="U54" s="52">
        <v>1</v>
      </c>
      <c r="V54" s="40" t="s">
        <v>145</v>
      </c>
      <c r="W54" s="40"/>
      <c r="X54" s="41" t="s">
        <v>146</v>
      </c>
      <c r="Y54" s="42">
        <v>906</v>
      </c>
      <c r="Z54" s="42">
        <v>539</v>
      </c>
      <c r="AA54" s="42">
        <v>101</v>
      </c>
      <c r="AB54" s="41" t="s">
        <v>146</v>
      </c>
    </row>
    <row r="55" spans="2:28" x14ac:dyDescent="0.2">
      <c r="B55" s="39">
        <v>2</v>
      </c>
      <c r="C55" s="40" t="s">
        <v>147</v>
      </c>
      <c r="D55" s="40"/>
      <c r="E55" s="41" t="s">
        <v>146</v>
      </c>
      <c r="F55" s="42">
        <v>220.347206</v>
      </c>
      <c r="G55" s="42">
        <v>626.03924600000005</v>
      </c>
      <c r="H55" s="42">
        <v>76.941129000000004</v>
      </c>
      <c r="I55" s="41" t="s">
        <v>146</v>
      </c>
      <c r="L55" s="52">
        <v>2</v>
      </c>
      <c r="M55" s="40" t="s">
        <v>147</v>
      </c>
      <c r="N55" s="40"/>
      <c r="O55" s="41" t="s">
        <v>146</v>
      </c>
      <c r="P55" s="42">
        <v>40.887822999999997</v>
      </c>
      <c r="Q55" s="53">
        <v>13.170286000000001</v>
      </c>
      <c r="R55" s="53">
        <v>2.4750000000000001</v>
      </c>
      <c r="S55" s="41" t="s">
        <v>146</v>
      </c>
      <c r="U55" s="52">
        <v>2</v>
      </c>
      <c r="V55" s="40" t="s">
        <v>147</v>
      </c>
      <c r="W55" s="40"/>
      <c r="X55" s="41" t="s">
        <v>146</v>
      </c>
      <c r="Y55" s="42">
        <v>9</v>
      </c>
      <c r="Z55" s="42">
        <v>3</v>
      </c>
      <c r="AA55" s="42">
        <v>3</v>
      </c>
      <c r="AB55" s="41" t="s">
        <v>146</v>
      </c>
    </row>
    <row r="56" spans="2:28" x14ac:dyDescent="0.2">
      <c r="B56" s="39">
        <v>3</v>
      </c>
      <c r="C56" s="40" t="s">
        <v>148</v>
      </c>
      <c r="D56" s="40"/>
      <c r="E56" s="41" t="s">
        <v>146</v>
      </c>
      <c r="F56" s="42">
        <v>1383.758971</v>
      </c>
      <c r="G56" s="42">
        <v>8326.485799</v>
      </c>
      <c r="H56" s="42">
        <v>4779.4923159999998</v>
      </c>
      <c r="I56" s="41" t="s">
        <v>146</v>
      </c>
      <c r="L56" s="52">
        <v>3</v>
      </c>
      <c r="M56" s="40" t="s">
        <v>148</v>
      </c>
      <c r="N56" s="40"/>
      <c r="O56" s="41" t="s">
        <v>146</v>
      </c>
      <c r="P56" s="42">
        <v>220.72276400000001</v>
      </c>
      <c r="Q56" s="53">
        <v>275.92888900000003</v>
      </c>
      <c r="R56" s="53">
        <v>19.802336</v>
      </c>
      <c r="S56" s="41" t="s">
        <v>146</v>
      </c>
      <c r="U56" s="52">
        <v>3</v>
      </c>
      <c r="V56" s="40" t="s">
        <v>148</v>
      </c>
      <c r="W56" s="40"/>
      <c r="X56" s="41" t="s">
        <v>146</v>
      </c>
      <c r="Y56" s="42">
        <v>269</v>
      </c>
      <c r="Z56" s="42">
        <v>263</v>
      </c>
      <c r="AA56" s="42">
        <v>41</v>
      </c>
      <c r="AB56" s="41" t="s">
        <v>146</v>
      </c>
    </row>
    <row r="57" spans="2:28" x14ac:dyDescent="0.2">
      <c r="B57" s="39">
        <v>4</v>
      </c>
      <c r="C57" s="40" t="s">
        <v>149</v>
      </c>
      <c r="D57" s="40"/>
      <c r="E57" s="41" t="s">
        <v>146</v>
      </c>
      <c r="F57" s="42">
        <v>86.248073000000005</v>
      </c>
      <c r="G57" s="42">
        <v>15427.011462</v>
      </c>
      <c r="H57" s="42">
        <v>4527.2793849999998</v>
      </c>
      <c r="I57" s="41" t="s">
        <v>146</v>
      </c>
      <c r="L57" s="52">
        <v>4</v>
      </c>
      <c r="M57" s="40" t="s">
        <v>149</v>
      </c>
      <c r="N57" s="40"/>
      <c r="O57" s="41" t="s">
        <v>146</v>
      </c>
      <c r="P57" s="42">
        <v>56.491680000000002</v>
      </c>
      <c r="Q57" s="53">
        <v>433.49646899999999</v>
      </c>
      <c r="R57" s="53">
        <v>24.030802000000001</v>
      </c>
      <c r="S57" s="41" t="s">
        <v>146</v>
      </c>
      <c r="U57" s="52">
        <v>4</v>
      </c>
      <c r="V57" s="40" t="s">
        <v>149</v>
      </c>
      <c r="W57" s="40"/>
      <c r="X57" s="41" t="s">
        <v>146</v>
      </c>
      <c r="Y57" s="42">
        <v>46</v>
      </c>
      <c r="Z57" s="42">
        <v>474</v>
      </c>
      <c r="AA57" s="42">
        <v>18</v>
      </c>
      <c r="AB57" s="41" t="s">
        <v>146</v>
      </c>
    </row>
    <row r="58" spans="2:28" x14ac:dyDescent="0.2">
      <c r="B58" s="39">
        <v>5</v>
      </c>
      <c r="C58" s="40" t="s">
        <v>150</v>
      </c>
      <c r="D58" s="40"/>
      <c r="E58" s="41" t="s">
        <v>146</v>
      </c>
      <c r="F58" s="42">
        <v>57.868890999999998</v>
      </c>
      <c r="G58" s="42">
        <v>443.55660699999999</v>
      </c>
      <c r="H58" s="42">
        <v>249.31774200000001</v>
      </c>
      <c r="I58" s="41" t="s">
        <v>146</v>
      </c>
      <c r="L58" s="52">
        <v>5</v>
      </c>
      <c r="M58" s="40" t="s">
        <v>150</v>
      </c>
      <c r="N58" s="40"/>
      <c r="O58" s="41" t="s">
        <v>146</v>
      </c>
      <c r="P58" s="42">
        <v>15.129509000000001</v>
      </c>
      <c r="Q58" s="53">
        <v>13.174612</v>
      </c>
      <c r="R58" s="53">
        <v>8.1431489999999993</v>
      </c>
      <c r="S58" s="41" t="s">
        <v>146</v>
      </c>
      <c r="U58" s="52">
        <v>5</v>
      </c>
      <c r="V58" s="40" t="s">
        <v>150</v>
      </c>
      <c r="W58" s="40"/>
      <c r="X58" s="41" t="s">
        <v>146</v>
      </c>
      <c r="Y58" s="42"/>
      <c r="Z58" s="42">
        <v>38</v>
      </c>
      <c r="AA58" s="42">
        <v>2</v>
      </c>
      <c r="AB58" s="41" t="s">
        <v>146</v>
      </c>
    </row>
    <row r="59" spans="2:28" x14ac:dyDescent="0.2">
      <c r="B59" s="39">
        <v>6</v>
      </c>
      <c r="C59" s="40" t="s">
        <v>151</v>
      </c>
      <c r="D59" s="40"/>
      <c r="E59" s="41" t="s">
        <v>146</v>
      </c>
      <c r="F59" s="42">
        <v>3.6867369999999999</v>
      </c>
      <c r="G59" s="42">
        <v>3124.6818130000001</v>
      </c>
      <c r="H59" s="42">
        <v>791.21668799999998</v>
      </c>
      <c r="I59" s="41" t="s">
        <v>146</v>
      </c>
      <c r="L59" s="52">
        <v>6</v>
      </c>
      <c r="M59" s="40" t="s">
        <v>151</v>
      </c>
      <c r="N59" s="40"/>
      <c r="O59" s="41" t="s">
        <v>146</v>
      </c>
      <c r="P59" s="42">
        <v>20.677762999999999</v>
      </c>
      <c r="Q59" s="53">
        <v>147.184889</v>
      </c>
      <c r="R59" s="53">
        <v>1.374792</v>
      </c>
      <c r="S59" s="41" t="s">
        <v>146</v>
      </c>
      <c r="U59" s="52">
        <v>6</v>
      </c>
      <c r="V59" s="40" t="s">
        <v>151</v>
      </c>
      <c r="W59" s="40"/>
      <c r="X59" s="41" t="s">
        <v>146</v>
      </c>
      <c r="Y59" s="42">
        <v>3</v>
      </c>
      <c r="Z59" s="42">
        <v>159</v>
      </c>
      <c r="AA59" s="42">
        <v>19</v>
      </c>
      <c r="AB59" s="41" t="s">
        <v>146</v>
      </c>
    </row>
    <row r="60" spans="2:28" x14ac:dyDescent="0.2">
      <c r="B60" s="39">
        <v>7</v>
      </c>
      <c r="C60" s="40" t="s">
        <v>152</v>
      </c>
      <c r="D60" s="40"/>
      <c r="E60" s="41" t="s">
        <v>146</v>
      </c>
      <c r="F60" s="42">
        <v>290.33493600000003</v>
      </c>
      <c r="G60" s="42">
        <v>4812.0432890000002</v>
      </c>
      <c r="H60" s="42">
        <v>1236.714397</v>
      </c>
      <c r="I60" s="41" t="s">
        <v>146</v>
      </c>
      <c r="L60" s="52">
        <v>7</v>
      </c>
      <c r="M60" s="40" t="s">
        <v>152</v>
      </c>
      <c r="N60" s="40"/>
      <c r="O60" s="41" t="s">
        <v>146</v>
      </c>
      <c r="P60" s="42">
        <v>325.94064300000002</v>
      </c>
      <c r="Q60" s="53">
        <v>127.774885</v>
      </c>
      <c r="R60" s="53">
        <v>7.7180479999999996</v>
      </c>
      <c r="S60" s="41" t="s">
        <v>146</v>
      </c>
      <c r="U60" s="52">
        <v>7</v>
      </c>
      <c r="V60" s="40" t="s">
        <v>152</v>
      </c>
      <c r="W60" s="40"/>
      <c r="X60" s="41" t="s">
        <v>146</v>
      </c>
      <c r="Y60" s="42">
        <v>10</v>
      </c>
      <c r="Z60" s="42">
        <v>44</v>
      </c>
      <c r="AA60" s="42">
        <v>3</v>
      </c>
      <c r="AB60" s="41" t="s">
        <v>146</v>
      </c>
    </row>
    <row r="61" spans="2:28" x14ac:dyDescent="0.2">
      <c r="B61" s="39">
        <v>8</v>
      </c>
      <c r="C61" s="40" t="s">
        <v>153</v>
      </c>
      <c r="D61" s="40"/>
      <c r="E61" s="41" t="s">
        <v>146</v>
      </c>
      <c r="F61" s="42">
        <v>257.70007500000003</v>
      </c>
      <c r="G61" s="42">
        <v>4911.5574729999998</v>
      </c>
      <c r="H61" s="42">
        <v>1092.7753849999999</v>
      </c>
      <c r="I61" s="41" t="s">
        <v>146</v>
      </c>
      <c r="L61" s="52">
        <v>8</v>
      </c>
      <c r="M61" s="40" t="s">
        <v>153</v>
      </c>
      <c r="N61" s="40"/>
      <c r="O61" s="41" t="s">
        <v>146</v>
      </c>
      <c r="P61" s="42">
        <v>229.18544800000001</v>
      </c>
      <c r="Q61" s="53">
        <v>387.20821699999999</v>
      </c>
      <c r="R61" s="53">
        <v>59.014226999999998</v>
      </c>
      <c r="S61" s="41" t="s">
        <v>146</v>
      </c>
      <c r="U61" s="52">
        <v>8</v>
      </c>
      <c r="V61" s="40" t="s">
        <v>153</v>
      </c>
      <c r="W61" s="40"/>
      <c r="X61" s="41" t="s">
        <v>146</v>
      </c>
      <c r="Y61" s="42">
        <v>53</v>
      </c>
      <c r="Z61" s="42">
        <v>315</v>
      </c>
      <c r="AA61" s="42">
        <v>22</v>
      </c>
      <c r="AB61" s="41" t="s">
        <v>146</v>
      </c>
    </row>
    <row r="62" spans="2:28" x14ac:dyDescent="0.2">
      <c r="B62" s="39">
        <v>9</v>
      </c>
      <c r="C62" s="40" t="s">
        <v>154</v>
      </c>
      <c r="D62" s="40"/>
      <c r="E62" s="41" t="s">
        <v>146</v>
      </c>
      <c r="F62" s="42">
        <v>132.58403799999999</v>
      </c>
      <c r="G62" s="42">
        <v>9551.3162360000006</v>
      </c>
      <c r="H62" s="42">
        <v>5586.0920169999999</v>
      </c>
      <c r="I62" s="41" t="s">
        <v>146</v>
      </c>
      <c r="L62" s="52">
        <v>9</v>
      </c>
      <c r="M62" s="40" t="s">
        <v>154</v>
      </c>
      <c r="N62" s="40"/>
      <c r="O62" s="41" t="s">
        <v>146</v>
      </c>
      <c r="P62" s="42">
        <v>6.0307589999999998</v>
      </c>
      <c r="Q62" s="53">
        <v>399.12753600000002</v>
      </c>
      <c r="R62" s="53">
        <v>98.702978000000002</v>
      </c>
      <c r="S62" s="41" t="s">
        <v>146</v>
      </c>
      <c r="U62" s="52">
        <v>9</v>
      </c>
      <c r="V62" s="40" t="s">
        <v>154</v>
      </c>
      <c r="W62" s="40"/>
      <c r="X62" s="41" t="s">
        <v>146</v>
      </c>
      <c r="Y62" s="42">
        <v>2</v>
      </c>
      <c r="Z62" s="42">
        <v>148</v>
      </c>
      <c r="AA62" s="42">
        <v>45</v>
      </c>
      <c r="AB62" s="41" t="s">
        <v>146</v>
      </c>
    </row>
    <row r="63" spans="2:28" x14ac:dyDescent="0.2">
      <c r="B63" s="39">
        <v>10</v>
      </c>
      <c r="C63" s="40" t="s">
        <v>155</v>
      </c>
      <c r="D63" s="40"/>
      <c r="E63" s="41" t="s">
        <v>146</v>
      </c>
      <c r="F63" s="42">
        <v>90.080027999999999</v>
      </c>
      <c r="G63" s="42">
        <v>3035.3175919999999</v>
      </c>
      <c r="H63" s="42">
        <v>1006.938946</v>
      </c>
      <c r="I63" s="41" t="s">
        <v>146</v>
      </c>
      <c r="L63" s="52">
        <v>10</v>
      </c>
      <c r="M63" s="40" t="s">
        <v>155</v>
      </c>
      <c r="N63" s="40"/>
      <c r="O63" s="41" t="s">
        <v>146</v>
      </c>
      <c r="P63" s="42">
        <v>197.710916</v>
      </c>
      <c r="Q63" s="53">
        <v>234.63842500000001</v>
      </c>
      <c r="R63" s="53">
        <v>15.200116</v>
      </c>
      <c r="S63" s="41" t="s">
        <v>146</v>
      </c>
      <c r="U63" s="52">
        <v>10</v>
      </c>
      <c r="V63" s="40" t="s">
        <v>155</v>
      </c>
      <c r="W63" s="40"/>
      <c r="X63" s="41" t="s">
        <v>146</v>
      </c>
      <c r="Y63" s="42">
        <v>121</v>
      </c>
      <c r="Z63" s="42">
        <v>258</v>
      </c>
      <c r="AA63" s="42">
        <v>51</v>
      </c>
      <c r="AB63" s="41" t="s">
        <v>146</v>
      </c>
    </row>
    <row r="64" spans="2:28" x14ac:dyDescent="0.2">
      <c r="B64" s="39">
        <v>11</v>
      </c>
      <c r="C64" s="40" t="s">
        <v>156</v>
      </c>
      <c r="D64" s="40"/>
      <c r="E64" s="41" t="s">
        <v>146</v>
      </c>
      <c r="F64" s="42">
        <v>3.6703000000000001</v>
      </c>
      <c r="G64" s="42">
        <v>2181.2911669999999</v>
      </c>
      <c r="H64" s="42">
        <v>1989.9543590000001</v>
      </c>
      <c r="I64" s="41" t="s">
        <v>146</v>
      </c>
      <c r="L64" s="52">
        <v>11</v>
      </c>
      <c r="M64" s="40" t="s">
        <v>156</v>
      </c>
      <c r="N64" s="40"/>
      <c r="O64" s="41" t="s">
        <v>146</v>
      </c>
      <c r="P64" s="42">
        <v>1.086684</v>
      </c>
      <c r="Q64" s="53">
        <v>82.531839000000005</v>
      </c>
      <c r="R64" s="53">
        <v>1.21896</v>
      </c>
      <c r="S64" s="41" t="s">
        <v>146</v>
      </c>
      <c r="U64" s="52">
        <v>11</v>
      </c>
      <c r="V64" s="40" t="s">
        <v>156</v>
      </c>
      <c r="W64" s="40"/>
      <c r="X64" s="41" t="s">
        <v>146</v>
      </c>
      <c r="Y64" s="42">
        <v>1</v>
      </c>
      <c r="Z64" s="42">
        <v>71</v>
      </c>
      <c r="AA64" s="42">
        <v>10</v>
      </c>
      <c r="AB64" s="41" t="s">
        <v>146</v>
      </c>
    </row>
    <row r="65" spans="2:28" x14ac:dyDescent="0.2">
      <c r="B65" s="39">
        <v>12</v>
      </c>
      <c r="C65" s="40" t="s">
        <v>157</v>
      </c>
      <c r="D65" s="40"/>
      <c r="E65" s="41" t="s">
        <v>146</v>
      </c>
      <c r="F65" s="42">
        <v>1.2195560000000001</v>
      </c>
      <c r="G65" s="42">
        <v>2395.330817</v>
      </c>
      <c r="H65" s="42">
        <v>798.50954200000001</v>
      </c>
      <c r="I65" s="41" t="s">
        <v>146</v>
      </c>
      <c r="L65" s="52">
        <v>12</v>
      </c>
      <c r="M65" s="40" t="s">
        <v>157</v>
      </c>
      <c r="N65" s="40"/>
      <c r="O65" s="41" t="s">
        <v>146</v>
      </c>
      <c r="P65" s="42">
        <v>3.1199999999999999E-4</v>
      </c>
      <c r="Q65" s="53">
        <v>84.144020999999995</v>
      </c>
      <c r="R65" s="53">
        <v>17.072303000000002</v>
      </c>
      <c r="S65" s="41" t="s">
        <v>146</v>
      </c>
      <c r="U65" s="52">
        <v>12</v>
      </c>
      <c r="V65" s="40" t="s">
        <v>157</v>
      </c>
      <c r="W65" s="40"/>
      <c r="X65" s="41" t="s">
        <v>146</v>
      </c>
      <c r="Y65" s="42"/>
      <c r="Z65" s="42">
        <v>82</v>
      </c>
      <c r="AA65" s="42">
        <v>21</v>
      </c>
      <c r="AB65" s="41" t="s">
        <v>146</v>
      </c>
    </row>
    <row r="66" spans="2:28" x14ac:dyDescent="0.2">
      <c r="B66" s="39">
        <v>13</v>
      </c>
      <c r="C66" s="40" t="s">
        <v>158</v>
      </c>
      <c r="D66" s="40"/>
      <c r="E66" s="41" t="s">
        <v>146</v>
      </c>
      <c r="F66" s="42" t="s">
        <v>159</v>
      </c>
      <c r="G66" s="42">
        <v>1162.4160810000001</v>
      </c>
      <c r="H66" s="42">
        <v>158.99383</v>
      </c>
      <c r="I66" s="41" t="s">
        <v>146</v>
      </c>
      <c r="L66" s="52">
        <v>13</v>
      </c>
      <c r="M66" s="40" t="s">
        <v>158</v>
      </c>
      <c r="N66" s="40"/>
      <c r="O66" s="41" t="s">
        <v>146</v>
      </c>
      <c r="P66" s="42" t="s">
        <v>159</v>
      </c>
      <c r="Q66" s="53">
        <v>16.744834000000001</v>
      </c>
      <c r="R66" s="53">
        <v>0.51007499999999995</v>
      </c>
      <c r="S66" s="41" t="s">
        <v>146</v>
      </c>
      <c r="U66" s="52">
        <v>13</v>
      </c>
      <c r="V66" s="40" t="s">
        <v>158</v>
      </c>
      <c r="W66" s="40"/>
      <c r="X66" s="41" t="s">
        <v>146</v>
      </c>
      <c r="Y66" s="42"/>
      <c r="Z66" s="42">
        <v>10</v>
      </c>
      <c r="AA66" s="42">
        <v>1</v>
      </c>
      <c r="AB66" s="41" t="s">
        <v>146</v>
      </c>
    </row>
    <row r="67" spans="2:28" x14ac:dyDescent="0.2">
      <c r="B67" s="39">
        <v>14</v>
      </c>
      <c r="C67" s="40" t="s">
        <v>160</v>
      </c>
      <c r="D67" s="40"/>
      <c r="E67" s="41" t="s">
        <v>146</v>
      </c>
      <c r="F67" s="42">
        <v>108.489735</v>
      </c>
      <c r="G67" s="42">
        <v>2375.4484520000001</v>
      </c>
      <c r="H67" s="42">
        <v>2216.8162130000001</v>
      </c>
      <c r="I67" s="41" t="s">
        <v>146</v>
      </c>
      <c r="L67" s="52">
        <v>14</v>
      </c>
      <c r="M67" s="40" t="s">
        <v>160</v>
      </c>
      <c r="N67" s="40"/>
      <c r="O67" s="41" t="s">
        <v>146</v>
      </c>
      <c r="P67" s="42">
        <v>125.12611</v>
      </c>
      <c r="Q67" s="53">
        <v>83.261685</v>
      </c>
      <c r="R67" s="53">
        <v>13.990591999999999</v>
      </c>
      <c r="S67" s="41" t="s">
        <v>146</v>
      </c>
      <c r="U67" s="52">
        <v>14</v>
      </c>
      <c r="V67" s="40" t="s">
        <v>160</v>
      </c>
      <c r="W67" s="40"/>
      <c r="X67" s="41" t="s">
        <v>146</v>
      </c>
      <c r="Y67" s="42">
        <v>25</v>
      </c>
      <c r="Z67" s="42">
        <v>259</v>
      </c>
      <c r="AA67" s="42">
        <v>26</v>
      </c>
      <c r="AB67" s="41" t="s">
        <v>146</v>
      </c>
    </row>
    <row r="68" spans="2:28" x14ac:dyDescent="0.2">
      <c r="B68" s="39">
        <v>15</v>
      </c>
      <c r="C68" s="40" t="s">
        <v>161</v>
      </c>
      <c r="D68" s="40"/>
      <c r="E68" s="41" t="s">
        <v>146</v>
      </c>
      <c r="F68" s="42" t="s">
        <v>159</v>
      </c>
      <c r="G68" s="42">
        <v>3692.5170640000001</v>
      </c>
      <c r="H68" s="42">
        <v>81.932732000000001</v>
      </c>
      <c r="I68" s="41" t="s">
        <v>146</v>
      </c>
      <c r="L68" s="52">
        <v>15</v>
      </c>
      <c r="M68" s="40" t="s">
        <v>161</v>
      </c>
      <c r="N68" s="40"/>
      <c r="O68" s="41" t="s">
        <v>146</v>
      </c>
      <c r="P68" s="42" t="s">
        <v>159</v>
      </c>
      <c r="Q68" s="53">
        <v>22.070062</v>
      </c>
      <c r="R68" s="53">
        <v>1.9314</v>
      </c>
      <c r="S68" s="41" t="s">
        <v>146</v>
      </c>
      <c r="U68" s="52">
        <v>15</v>
      </c>
      <c r="V68" s="40" t="s">
        <v>161</v>
      </c>
      <c r="W68" s="40"/>
      <c r="X68" s="41" t="s">
        <v>146</v>
      </c>
      <c r="Y68" s="42"/>
      <c r="Z68" s="42">
        <v>28</v>
      </c>
      <c r="AA68" s="42">
        <v>1</v>
      </c>
      <c r="AB68" s="41" t="s">
        <v>146</v>
      </c>
    </row>
    <row r="69" spans="2:28" x14ac:dyDescent="0.2">
      <c r="B69" s="39">
        <v>16</v>
      </c>
      <c r="C69" s="40" t="s">
        <v>162</v>
      </c>
      <c r="D69" s="40"/>
      <c r="E69" s="41" t="s">
        <v>146</v>
      </c>
      <c r="F69" s="42">
        <v>45.893945000000002</v>
      </c>
      <c r="G69" s="42">
        <v>1254.7346279999999</v>
      </c>
      <c r="H69" s="42">
        <v>248.81358900000001</v>
      </c>
      <c r="I69" s="41" t="s">
        <v>146</v>
      </c>
      <c r="L69" s="52">
        <v>16</v>
      </c>
      <c r="M69" s="40" t="s">
        <v>162</v>
      </c>
      <c r="N69" s="40"/>
      <c r="O69" s="41" t="s">
        <v>146</v>
      </c>
      <c r="P69" s="42">
        <v>7.5889550000000003</v>
      </c>
      <c r="Q69" s="53">
        <v>45.782933</v>
      </c>
      <c r="R69" s="53">
        <v>2.318902</v>
      </c>
      <c r="S69" s="41" t="s">
        <v>146</v>
      </c>
      <c r="U69" s="52">
        <v>16</v>
      </c>
      <c r="V69" s="40" t="s">
        <v>162</v>
      </c>
      <c r="W69" s="40"/>
      <c r="X69" s="41" t="s">
        <v>146</v>
      </c>
      <c r="Y69" s="42">
        <v>3</v>
      </c>
      <c r="Z69" s="42">
        <v>32</v>
      </c>
      <c r="AA69" s="42">
        <v>0</v>
      </c>
      <c r="AB69" s="41" t="s">
        <v>146</v>
      </c>
    </row>
    <row r="70" spans="2:28" x14ac:dyDescent="0.2">
      <c r="B70" s="39">
        <v>17</v>
      </c>
      <c r="C70" s="40" t="s">
        <v>163</v>
      </c>
      <c r="D70" s="40"/>
      <c r="E70" s="41" t="s">
        <v>146</v>
      </c>
      <c r="F70" s="42" t="s">
        <v>159</v>
      </c>
      <c r="G70" s="42">
        <v>848.40703800000006</v>
      </c>
      <c r="H70" s="42">
        <v>784.27553899999998</v>
      </c>
      <c r="I70" s="41" t="s">
        <v>146</v>
      </c>
      <c r="L70" s="52">
        <v>17</v>
      </c>
      <c r="M70" s="40" t="s">
        <v>163</v>
      </c>
      <c r="N70" s="40"/>
      <c r="O70" s="41" t="s">
        <v>146</v>
      </c>
      <c r="P70" s="42">
        <v>2.6015E-2</v>
      </c>
      <c r="Q70" s="53">
        <v>26.48197</v>
      </c>
      <c r="R70" s="53">
        <v>2.595424</v>
      </c>
      <c r="S70" s="41" t="s">
        <v>146</v>
      </c>
      <c r="U70" s="52">
        <v>17</v>
      </c>
      <c r="V70" s="40" t="s">
        <v>163</v>
      </c>
      <c r="W70" s="40"/>
      <c r="X70" s="41" t="s">
        <v>146</v>
      </c>
      <c r="Y70" s="42">
        <v>0</v>
      </c>
      <c r="Z70" s="42">
        <v>22</v>
      </c>
      <c r="AA70" s="42">
        <v>2</v>
      </c>
      <c r="AB70" s="41" t="s">
        <v>146</v>
      </c>
    </row>
    <row r="71" spans="2:28" x14ac:dyDescent="0.2">
      <c r="B71" s="39">
        <v>18</v>
      </c>
      <c r="C71" s="40" t="s">
        <v>164</v>
      </c>
      <c r="D71" s="40"/>
      <c r="E71" s="41" t="s">
        <v>146</v>
      </c>
      <c r="F71" s="42" t="s">
        <v>159</v>
      </c>
      <c r="G71" s="42">
        <v>25808.812290000002</v>
      </c>
      <c r="H71" s="42">
        <v>281.05918100000002</v>
      </c>
      <c r="I71" s="41" t="s">
        <v>146</v>
      </c>
      <c r="L71" s="52">
        <v>18</v>
      </c>
      <c r="M71" s="40" t="s">
        <v>164</v>
      </c>
      <c r="N71" s="40"/>
      <c r="O71" s="41" t="s">
        <v>146</v>
      </c>
      <c r="P71" s="42" t="s">
        <v>159</v>
      </c>
      <c r="Q71" s="53">
        <v>786.31581300000005</v>
      </c>
      <c r="R71" s="53">
        <v>1.880887</v>
      </c>
      <c r="S71" s="41" t="s">
        <v>146</v>
      </c>
      <c r="U71" s="52">
        <v>18</v>
      </c>
      <c r="V71" s="40" t="s">
        <v>164</v>
      </c>
      <c r="W71" s="40"/>
      <c r="X71" s="41" t="s">
        <v>146</v>
      </c>
      <c r="Y71" s="42"/>
      <c r="Z71" s="42">
        <v>551</v>
      </c>
      <c r="AA71" s="42">
        <v>8</v>
      </c>
      <c r="AB71" s="41" t="s">
        <v>146</v>
      </c>
    </row>
    <row r="72" spans="2:28" x14ac:dyDescent="0.2">
      <c r="B72" s="39">
        <v>19</v>
      </c>
      <c r="C72" s="40" t="s">
        <v>165</v>
      </c>
      <c r="D72" s="40"/>
      <c r="E72" s="41" t="s">
        <v>146</v>
      </c>
      <c r="F72" s="42">
        <v>595.340508</v>
      </c>
      <c r="G72" s="42">
        <v>1722.966075</v>
      </c>
      <c r="H72" s="42">
        <v>105.452737</v>
      </c>
      <c r="I72" s="41" t="s">
        <v>146</v>
      </c>
      <c r="L72" s="52">
        <v>19</v>
      </c>
      <c r="M72" s="40" t="s">
        <v>165</v>
      </c>
      <c r="N72" s="40"/>
      <c r="O72" s="41" t="s">
        <v>146</v>
      </c>
      <c r="P72" s="42">
        <v>26.13532</v>
      </c>
      <c r="Q72" s="53">
        <v>10.358216000000001</v>
      </c>
      <c r="R72" s="53">
        <v>0.53908400000000001</v>
      </c>
      <c r="S72" s="41" t="s">
        <v>146</v>
      </c>
      <c r="U72" s="52">
        <v>19</v>
      </c>
      <c r="V72" s="40" t="s">
        <v>165</v>
      </c>
      <c r="W72" s="40"/>
      <c r="X72" s="41" t="s">
        <v>146</v>
      </c>
      <c r="Y72" s="42">
        <v>81</v>
      </c>
      <c r="Z72" s="42">
        <v>10</v>
      </c>
      <c r="AA72" s="42">
        <v>3</v>
      </c>
      <c r="AB72" s="41" t="s">
        <v>146</v>
      </c>
    </row>
    <row r="73" spans="2:28" x14ac:dyDescent="0.2">
      <c r="B73" s="39">
        <v>20</v>
      </c>
      <c r="C73" s="40" t="s">
        <v>166</v>
      </c>
      <c r="D73" s="40"/>
      <c r="E73" s="41" t="s">
        <v>146</v>
      </c>
      <c r="F73" s="42" t="s">
        <v>159</v>
      </c>
      <c r="G73" s="42">
        <v>164.74162999999999</v>
      </c>
      <c r="H73" s="42">
        <v>11.763662999999999</v>
      </c>
      <c r="I73" s="41" t="s">
        <v>146</v>
      </c>
      <c r="L73" s="52">
        <v>20</v>
      </c>
      <c r="M73" s="40" t="s">
        <v>166</v>
      </c>
      <c r="N73" s="40"/>
      <c r="O73" s="41" t="s">
        <v>146</v>
      </c>
      <c r="P73" s="42" t="s">
        <v>159</v>
      </c>
      <c r="Q73" s="53">
        <v>3.3181970000000001</v>
      </c>
      <c r="R73" s="53" t="s">
        <v>159</v>
      </c>
      <c r="S73" s="41" t="s">
        <v>146</v>
      </c>
      <c r="U73" s="52">
        <v>20</v>
      </c>
      <c r="V73" s="40" t="s">
        <v>166</v>
      </c>
      <c r="W73" s="40"/>
      <c r="X73" s="41" t="s">
        <v>146</v>
      </c>
      <c r="Y73" s="42"/>
      <c r="Z73" s="42">
        <v>1</v>
      </c>
      <c r="AA73" s="42"/>
      <c r="AB73" s="41" t="s">
        <v>146</v>
      </c>
    </row>
    <row r="74" spans="2:28" x14ac:dyDescent="0.2">
      <c r="B74" s="43"/>
      <c r="C74" s="43"/>
      <c r="D74" s="44" t="s">
        <v>167</v>
      </c>
      <c r="E74" s="45">
        <v>21373</v>
      </c>
      <c r="F74" s="46">
        <v>4600.4823779999997</v>
      </c>
      <c r="G74" s="47">
        <v>109108.03743900001</v>
      </c>
      <c r="H74" s="47">
        <v>32123.101923999999</v>
      </c>
      <c r="I74" s="45">
        <v>167205</v>
      </c>
      <c r="L74" s="54"/>
      <c r="M74" s="55" t="s">
        <v>167</v>
      </c>
      <c r="N74" s="56"/>
      <c r="O74" s="46">
        <v>4123</v>
      </c>
      <c r="P74" s="46">
        <v>1327.8398259999999</v>
      </c>
      <c r="Q74" s="47">
        <v>3442.760765</v>
      </c>
      <c r="R74" s="47">
        <v>290.988179</v>
      </c>
      <c r="S74" s="47">
        <v>9184.5887699999985</v>
      </c>
      <c r="U74" s="59"/>
      <c r="V74" s="60" t="s">
        <v>167</v>
      </c>
      <c r="W74" s="62"/>
      <c r="X74" s="63">
        <v>5412</v>
      </c>
      <c r="Y74" s="63">
        <v>1531</v>
      </c>
      <c r="Z74" s="63">
        <v>3305</v>
      </c>
      <c r="AA74" s="63">
        <v>376</v>
      </c>
      <c r="AB74" s="63">
        <v>10624</v>
      </c>
    </row>
    <row r="75" spans="2:28" x14ac:dyDescent="0.2">
      <c r="L75" t="s">
        <v>170</v>
      </c>
      <c r="U75" s="61" t="s">
        <v>170</v>
      </c>
      <c r="V75" s="61"/>
      <c r="W75" s="61"/>
      <c r="X75" s="61"/>
      <c r="Y75" s="61"/>
      <c r="Z75" s="61"/>
      <c r="AA75" s="61"/>
      <c r="AB75" s="61"/>
    </row>
    <row r="81" spans="4:10" x14ac:dyDescent="0.2">
      <c r="E81" t="s">
        <v>200</v>
      </c>
      <c r="G81" t="s">
        <v>198</v>
      </c>
      <c r="H81">
        <f>370*1.2</f>
        <v>444</v>
      </c>
      <c r="J81" t="s">
        <v>201</v>
      </c>
    </row>
    <row r="82" spans="4:10" x14ac:dyDescent="0.2">
      <c r="E82" t="s">
        <v>199</v>
      </c>
      <c r="G82">
        <v>700</v>
      </c>
    </row>
    <row r="83" spans="4:10" x14ac:dyDescent="0.2">
      <c r="D83">
        <f>0.22*120</f>
        <v>26.4</v>
      </c>
    </row>
  </sheetData>
  <mergeCells count="9">
    <mergeCell ref="U50:AB50"/>
    <mergeCell ref="AA52:AB52"/>
    <mergeCell ref="U53:W53"/>
    <mergeCell ref="B51:I51"/>
    <mergeCell ref="H52:I52"/>
    <mergeCell ref="B53:D53"/>
    <mergeCell ref="L51:S51"/>
    <mergeCell ref="R52:S52"/>
    <mergeCell ref="L53:N53"/>
  </mergeCells>
  <hyperlinks>
    <hyperlink ref="A2" r:id="rId1" xr:uid="{BDDDA8C3-2B6B-3E43-8238-E8C0FBC2655A}"/>
    <hyperlink ref="B4" r:id="rId2" location=":~:text=En%202020%2C%20une%20voiture%20particuli%C3%A8re,9%20pour%20les%20voitures%20diesel." display="https://fr.statista.com/statistiques/486554/consommation-de-carburant-moyenne-voiture-france/ - :~:text=En%202020%2C%20une%20voiture%20particuli%C3%A8re,9%20pour%20les%20voitures%20diesel." xr:uid="{745E69B6-D48A-7843-9BE8-B3EEBD4AA3D0}"/>
    <hyperlink ref="B27" r:id="rId3" xr:uid="{D3EF828F-546A-E145-9A8B-3B9EED82CAFC}"/>
    <hyperlink ref="B32" r:id="rId4" location=":~:text=Dans%20le%20contexte%20de%20la,de%20tonnes%20kilom%C3%A8tres%20en%202020." xr:uid="{E46411D9-8A3C-294A-9F0D-8B88B7BDD88F}"/>
    <hyperlink ref="C21" r:id="rId5" xr:uid="{F2A5444C-1340-7D44-86B8-6EAAC6374EDA}"/>
    <hyperlink ref="H38" r:id="rId6" xr:uid="{50397129-24F4-4647-BE6B-724562987456}"/>
    <hyperlink ref="B25" r:id="rId7" xr:uid="{44E15534-9789-D94A-9BA9-AE2436AC4202}"/>
    <hyperlink ref="B49" r:id="rId8" xr:uid="{7E07A9EC-016F-4145-8241-46E20FE1DB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Transport_B_base</vt:lpstr>
      <vt:lpstr>Transport_B_trainavion</vt:lpstr>
      <vt:lpstr>Transport_C_base</vt:lpstr>
      <vt:lpstr>Transport_C_trainavion</vt:lpstr>
      <vt:lpstr>preparation</vt:lpstr>
      <vt:lpstr>liens bblio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2022-08-11T12:30:43Z</dcterms:created>
  <dcterms:modified xsi:type="dcterms:W3CDTF">2022-09-14T11:42:15Z</dcterms:modified>
</cp:coreProperties>
</file>