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Enseignement/Cours/Mes_Cours/2021_11_ES3033/"/>
    </mc:Choice>
  </mc:AlternateContent>
  <xr:revisionPtr revIDLastSave="0" documentId="13_ncr:1_{A5AC9477-5800-D34E-8EA7-1ABD403B01B6}" xr6:coauthVersionLast="47" xr6:coauthVersionMax="47" xr10:uidLastSave="{00000000-0000-0000-0000-000000000000}"/>
  <bookViews>
    <workbookView xWindow="22580" yWindow="2500" windowWidth="37400" windowHeight="23480" activeTab="1" xr2:uid="{F78FCDAA-C319-E14D-839D-EB98F97F9351}"/>
  </bookViews>
  <sheets>
    <sheet name="Décarbonation chauffage" sheetId="1" r:id="rId1"/>
    <sheet name="Transport-simple" sheetId="2" r:id="rId2"/>
    <sheet name="Transport-complex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" i="2" l="1"/>
  <c r="T56" i="2"/>
  <c r="R71" i="2"/>
  <c r="O71" i="2"/>
  <c r="Q71" i="2" s="1"/>
  <c r="R70" i="2"/>
  <c r="Q70" i="2"/>
  <c r="R69" i="2"/>
  <c r="Q69" i="2"/>
  <c r="O64" i="2"/>
  <c r="M64" i="2"/>
  <c r="O63" i="2"/>
  <c r="Q63" i="2" s="1"/>
  <c r="O62" i="2"/>
  <c r="M62" i="2"/>
  <c r="Q62" i="2" s="1"/>
  <c r="Q61" i="2"/>
  <c r="O61" i="2"/>
  <c r="O60" i="2"/>
  <c r="Q60" i="2" s="1"/>
  <c r="M60" i="2"/>
  <c r="O59" i="2"/>
  <c r="Q59" i="2" s="1"/>
  <c r="O58" i="2"/>
  <c r="M58" i="2"/>
  <c r="O57" i="2"/>
  <c r="M57" i="2"/>
  <c r="Q57" i="2" s="1"/>
  <c r="O56" i="2"/>
  <c r="R49" i="2"/>
  <c r="Q49" i="2"/>
  <c r="O49" i="2"/>
  <c r="R48" i="2"/>
  <c r="Q48" i="2"/>
  <c r="R47" i="2"/>
  <c r="Q47" i="2"/>
  <c r="Q42" i="2"/>
  <c r="O42" i="2"/>
  <c r="M42" i="2"/>
  <c r="Q41" i="2"/>
  <c r="O41" i="2"/>
  <c r="O40" i="2"/>
  <c r="M40" i="2"/>
  <c r="Q40" i="2" s="1"/>
  <c r="Q39" i="2"/>
  <c r="O39" i="2"/>
  <c r="O38" i="2"/>
  <c r="M38" i="2"/>
  <c r="Q38" i="2" s="1"/>
  <c r="O37" i="2"/>
  <c r="Q37" i="2" s="1"/>
  <c r="R36" i="2"/>
  <c r="Q36" i="2"/>
  <c r="O36" i="2"/>
  <c r="M36" i="2"/>
  <c r="Q35" i="2"/>
  <c r="O35" i="2"/>
  <c r="M35" i="2"/>
  <c r="O34" i="2"/>
  <c r="Q28" i="2"/>
  <c r="R27" i="2"/>
  <c r="R26" i="2"/>
  <c r="R25" i="2"/>
  <c r="R20" i="2"/>
  <c r="H14" i="2"/>
  <c r="O27" i="2"/>
  <c r="Q27" i="2" s="1"/>
  <c r="Q26" i="2"/>
  <c r="Q25" i="2"/>
  <c r="O20" i="2"/>
  <c r="M20" i="2"/>
  <c r="O19" i="2"/>
  <c r="Q19" i="2" s="1"/>
  <c r="O18" i="2"/>
  <c r="M18" i="2"/>
  <c r="O17" i="2"/>
  <c r="Q17" i="2" s="1"/>
  <c r="O16" i="2"/>
  <c r="M16" i="2"/>
  <c r="Q16" i="2" s="1"/>
  <c r="O15" i="2"/>
  <c r="Q15" i="2" s="1"/>
  <c r="O14" i="2"/>
  <c r="M14" i="2"/>
  <c r="O13" i="2"/>
  <c r="M13" i="2"/>
  <c r="Q13" i="2" s="1"/>
  <c r="N12" i="2"/>
  <c r="O12" i="2" s="1"/>
  <c r="H27" i="2"/>
  <c r="H26" i="2"/>
  <c r="H25" i="2"/>
  <c r="K6" i="2"/>
  <c r="O3" i="2" s="1"/>
  <c r="K3" i="2" s="1"/>
  <c r="H7" i="2" s="1"/>
  <c r="R58" i="2" s="1"/>
  <c r="E27" i="2"/>
  <c r="G27" i="2" s="1"/>
  <c r="G26" i="2"/>
  <c r="G25" i="2"/>
  <c r="E20" i="2"/>
  <c r="C20" i="2"/>
  <c r="G20" i="2" s="1"/>
  <c r="E19" i="2"/>
  <c r="G19" i="2" s="1"/>
  <c r="E18" i="2"/>
  <c r="C18" i="2"/>
  <c r="G18" i="2" s="1"/>
  <c r="E17" i="2"/>
  <c r="G17" i="2" s="1"/>
  <c r="E16" i="2"/>
  <c r="C16" i="2"/>
  <c r="G16" i="2" s="1"/>
  <c r="E15" i="2"/>
  <c r="G15" i="2" s="1"/>
  <c r="E14" i="2"/>
  <c r="C14" i="2"/>
  <c r="E13" i="2"/>
  <c r="C13" i="2"/>
  <c r="G13" i="2" s="1"/>
  <c r="D12" i="2"/>
  <c r="E12" i="2" s="1"/>
  <c r="M15" i="1"/>
  <c r="L15" i="1"/>
  <c r="R15" i="1" s="1"/>
  <c r="Q64" i="2" l="1"/>
  <c r="H20" i="2"/>
  <c r="R14" i="2"/>
  <c r="R21" i="2" s="1"/>
  <c r="R28" i="2" s="1"/>
  <c r="R29" i="2" s="1"/>
  <c r="R42" i="2" s="1"/>
  <c r="R43" i="2" s="1"/>
  <c r="R50" i="2" s="1"/>
  <c r="Q58" i="2"/>
  <c r="O65" i="2"/>
  <c r="O72" i="2" s="1"/>
  <c r="Q56" i="2"/>
  <c r="Q65" i="2" s="1"/>
  <c r="Q72" i="2" s="1"/>
  <c r="Q34" i="2"/>
  <c r="Q43" i="2" s="1"/>
  <c r="Q50" i="2" s="1"/>
  <c r="O43" i="2"/>
  <c r="O50" i="2" s="1"/>
  <c r="Q18" i="2"/>
  <c r="Q14" i="2"/>
  <c r="Q20" i="2"/>
  <c r="O21" i="2"/>
  <c r="O28" i="2" s="1"/>
  <c r="Q12" i="2"/>
  <c r="H21" i="2"/>
  <c r="H28" i="2" s="1"/>
  <c r="G14" i="2"/>
  <c r="E21" i="2"/>
  <c r="E28" i="2" s="1"/>
  <c r="G12" i="2"/>
  <c r="R51" i="2" l="1"/>
  <c r="R64" i="2" s="1"/>
  <c r="R65" i="2" s="1"/>
  <c r="R72" i="2" s="1"/>
  <c r="R73" i="2" s="1"/>
  <c r="G21" i="2"/>
  <c r="Q21" i="2"/>
  <c r="R67" i="1"/>
  <c r="R59" i="1"/>
  <c r="M57" i="1"/>
  <c r="O60" i="1" s="1"/>
  <c r="O62" i="1" s="1"/>
  <c r="O64" i="1" s="1"/>
  <c r="R47" i="1"/>
  <c r="M45" i="1"/>
  <c r="N48" i="1" s="1"/>
  <c r="N50" i="1" s="1"/>
  <c r="N52" i="1" s="1"/>
  <c r="R34" i="1"/>
  <c r="M32" i="1"/>
  <c r="P35" i="1" s="1"/>
  <c r="P37" i="1" s="1"/>
  <c r="P39" i="1" s="1"/>
  <c r="R21" i="1"/>
  <c r="M19" i="1"/>
  <c r="P22" i="1" s="1"/>
  <c r="P24" i="1" s="1"/>
  <c r="P26" i="1" s="1"/>
  <c r="M7" i="1"/>
  <c r="P10" i="1" s="1"/>
  <c r="C11" i="1"/>
  <c r="R9" i="1"/>
  <c r="H9" i="1"/>
  <c r="D11" i="1"/>
  <c r="E11" i="1"/>
  <c r="F11" i="1"/>
  <c r="G11" i="1"/>
  <c r="B11" i="1"/>
  <c r="G28" i="2" l="1"/>
  <c r="H29" i="2"/>
  <c r="O10" i="1"/>
  <c r="N10" i="1"/>
  <c r="M10" i="1"/>
  <c r="L10" i="1"/>
  <c r="Q10" i="1"/>
  <c r="Q60" i="1"/>
  <c r="Q62" i="1" s="1"/>
  <c r="Q64" i="1" s="1"/>
  <c r="Q35" i="1"/>
  <c r="Q37" i="1" s="1"/>
  <c r="Q39" i="1" s="1"/>
  <c r="P60" i="1"/>
  <c r="P62" i="1" s="1"/>
  <c r="P64" i="1" s="1"/>
  <c r="L60" i="1"/>
  <c r="M60" i="1"/>
  <c r="M62" i="1" s="1"/>
  <c r="M64" i="1" s="1"/>
  <c r="N60" i="1"/>
  <c r="N62" i="1" s="1"/>
  <c r="N64" i="1" s="1"/>
  <c r="O48" i="1"/>
  <c r="O50" i="1" s="1"/>
  <c r="O52" i="1" s="1"/>
  <c r="P48" i="1"/>
  <c r="P50" i="1" s="1"/>
  <c r="P52" i="1" s="1"/>
  <c r="Q48" i="1"/>
  <c r="Q50" i="1" s="1"/>
  <c r="Q52" i="1" s="1"/>
  <c r="L48" i="1"/>
  <c r="M48" i="1"/>
  <c r="M50" i="1" s="1"/>
  <c r="M52" i="1" s="1"/>
  <c r="M35" i="1"/>
  <c r="M37" i="1" s="1"/>
  <c r="M39" i="1" s="1"/>
  <c r="N35" i="1"/>
  <c r="N37" i="1" s="1"/>
  <c r="N39" i="1" s="1"/>
  <c r="L35" i="1"/>
  <c r="O35" i="1"/>
  <c r="O37" i="1" s="1"/>
  <c r="O39" i="1" s="1"/>
  <c r="Q22" i="1"/>
  <c r="Q24" i="1" s="1"/>
  <c r="Q26" i="1" s="1"/>
  <c r="N22" i="1"/>
  <c r="N24" i="1" s="1"/>
  <c r="N26" i="1" s="1"/>
  <c r="L22" i="1"/>
  <c r="M22" i="1"/>
  <c r="M24" i="1" s="1"/>
  <c r="M26" i="1" s="1"/>
  <c r="O22" i="1"/>
  <c r="O24" i="1" s="1"/>
  <c r="O26" i="1" s="1"/>
  <c r="M12" i="1"/>
  <c r="M14" i="1" s="1"/>
  <c r="P12" i="1"/>
  <c r="P14" i="1" s="1"/>
  <c r="L12" i="1"/>
  <c r="L14" i="1" s="1"/>
  <c r="N12" i="1"/>
  <c r="N14" i="1" s="1"/>
  <c r="Q12" i="1"/>
  <c r="Q14" i="1" s="1"/>
  <c r="O12" i="1"/>
  <c r="O14" i="1" s="1"/>
  <c r="H11" i="1"/>
  <c r="R53" i="2" l="1"/>
  <c r="R31" i="2"/>
  <c r="H10" i="1"/>
  <c r="L62" i="1"/>
  <c r="R60" i="1"/>
  <c r="L50" i="1"/>
  <c r="R48" i="1"/>
  <c r="L37" i="1"/>
  <c r="R35" i="1"/>
  <c r="L24" i="1"/>
  <c r="R22" i="1"/>
  <c r="R14" i="1"/>
  <c r="R13" i="1" s="1"/>
  <c r="R10" i="1"/>
  <c r="R12" i="1"/>
  <c r="R62" i="1" l="1"/>
  <c r="L64" i="1"/>
  <c r="R64" i="1" s="1"/>
  <c r="L52" i="1"/>
  <c r="R52" i="1" s="1"/>
  <c r="R50" i="1"/>
  <c r="L39" i="1"/>
  <c r="R39" i="1" s="1"/>
  <c r="R37" i="1"/>
  <c r="R24" i="1"/>
  <c r="L26" i="1"/>
  <c r="R26" i="1" s="1"/>
  <c r="R38" i="1" l="1"/>
  <c r="R30" i="1"/>
  <c r="R25" i="1"/>
  <c r="R17" i="1"/>
  <c r="R63" i="1"/>
  <c r="R55" i="1"/>
  <c r="R43" i="1"/>
  <c r="R51" i="1"/>
</calcChain>
</file>

<file path=xl/sharedStrings.xml><?xml version="1.0" encoding="utf-8"?>
<sst xmlns="http://schemas.openxmlformats.org/spreadsheetml/2006/main" count="310" uniqueCount="97">
  <si>
    <t>Present</t>
  </si>
  <si>
    <t>Elect</t>
  </si>
  <si>
    <t>Gaz</t>
  </si>
  <si>
    <t>Fioul</t>
  </si>
  <si>
    <t>Bois</t>
  </si>
  <si>
    <t>Urbain</t>
  </si>
  <si>
    <t>Total</t>
  </si>
  <si>
    <t>Conso (TWh/an)</t>
  </si>
  <si>
    <t>Emissions gCO2e/kWh</t>
  </si>
  <si>
    <t>Emissions totales MtCO2e/an</t>
  </si>
  <si>
    <t>Futur</t>
  </si>
  <si>
    <t>Facteur Rénovation</t>
  </si>
  <si>
    <t>PAC</t>
  </si>
  <si>
    <t>Ancien Besoin (TWh/an)</t>
  </si>
  <si>
    <t>Nouveau Besoin (TWh/an)</t>
  </si>
  <si>
    <t>Efficacité COP</t>
  </si>
  <si>
    <t xml:space="preserve">à vous de jouer : </t>
  </si>
  <si>
    <t xml:space="preserve">(1) changez les moyens de chauffage en changeant la première ligne </t>
  </si>
  <si>
    <t>(3) changez les émissions</t>
  </si>
  <si>
    <t>(2) changez la rénovation/baisse de temperature de consigne avec le facteur rénovation</t>
  </si>
  <si>
    <t>°C</t>
  </si>
  <si>
    <t>Facteur efficacité</t>
  </si>
  <si>
    <t>Baisse de temperature consigne</t>
  </si>
  <si>
    <t>Baisser la température de consigne de 1°C</t>
  </si>
  <si>
    <t>Diviser par deux le besoin par une campagne de rénovation massive</t>
  </si>
  <si>
    <t>Passer 40 TWh de Fioul en bois</t>
  </si>
  <si>
    <t>Passer 40 TWh de gaz naturel en biogaz</t>
  </si>
  <si>
    <t>Passer 100 TWh de gaz en PAC</t>
  </si>
  <si>
    <t>Thermo-sensibilité</t>
  </si>
  <si>
    <t>Facteur de surconso gaz</t>
  </si>
  <si>
    <t>Facteur de réduction de conso d'un 2 roues</t>
  </si>
  <si>
    <t>Facteur d'augmentation de conso d'un bus</t>
  </si>
  <si>
    <t>Conso moyenne véhicule électrique [kWh/km]</t>
  </si>
  <si>
    <t>Facteur d'émission (scope 1) de la production électrique [gCO2/kWh]</t>
  </si>
  <si>
    <t>Facteur d'émission du biogaz [gCO2/kWh]</t>
  </si>
  <si>
    <t>Taux de biogaz dans le Gaz</t>
  </si>
  <si>
    <t>Véhicule</t>
  </si>
  <si>
    <t>gC02e/km (scope 1+2)</t>
  </si>
  <si>
    <t>Mds véh.km</t>
  </si>
  <si>
    <t>Mds voy.km</t>
  </si>
  <si>
    <t>Taux de remplissage</t>
  </si>
  <si>
    <t>Emission totale C02e (Mt CO2e)</t>
  </si>
  <si>
    <t>2RM petrole</t>
  </si>
  <si>
    <t>2RM Gaz</t>
  </si>
  <si>
    <t>2RM Elec Batt</t>
  </si>
  <si>
    <t>Bus et cars pétrole</t>
  </si>
  <si>
    <t>Bus et cars Gaz</t>
  </si>
  <si>
    <t>Bus et cars électriques batt</t>
  </si>
  <si>
    <t>Bus et cars H2</t>
  </si>
  <si>
    <t>Deux roues pétrole</t>
  </si>
  <si>
    <t>Deux roues électtrique batt</t>
  </si>
  <si>
    <t>Sous total demande routier</t>
  </si>
  <si>
    <t>sous-total Transport routier</t>
  </si>
  <si>
    <t>gC02e/voy.km</t>
  </si>
  <si>
    <t>Train-metro-Tram</t>
  </si>
  <si>
    <t>Transport aérien Métropole-Métropole</t>
  </si>
  <si>
    <t>Transport aérien Métropole-Outre mer</t>
  </si>
  <si>
    <t>Total demande</t>
  </si>
  <si>
    <t>gC02e/km</t>
  </si>
  <si>
    <t>Données CITEPA 2019</t>
  </si>
  <si>
    <t>VP diesel</t>
  </si>
  <si>
    <t>VP essence</t>
  </si>
  <si>
    <t>VP GPL</t>
  </si>
  <si>
    <t>VP GNV</t>
  </si>
  <si>
    <t>VP électriques</t>
  </si>
  <si>
    <t>VUL diesel</t>
  </si>
  <si>
    <t>VUL essence</t>
  </si>
  <si>
    <t>VUL électriques</t>
  </si>
  <si>
    <t>Bus et cars diesel</t>
  </si>
  <si>
    <t>Bus et cars essence</t>
  </si>
  <si>
    <t xml:space="preserve">Bus et cars GNV </t>
  </si>
  <si>
    <t>Bus et cars électriques</t>
  </si>
  <si>
    <t>Deux roues essence</t>
  </si>
  <si>
    <t>Deux roues diesel</t>
  </si>
  <si>
    <t>Deux roues électriques</t>
  </si>
  <si>
    <t>TGV</t>
  </si>
  <si>
    <t>Mds voy.km : Données transport CGDD 2019</t>
  </si>
  <si>
    <t>TER</t>
  </si>
  <si>
    <t>Intercité</t>
  </si>
  <si>
    <t>Transilien/RER</t>
  </si>
  <si>
    <t>Métro/Tram</t>
  </si>
  <si>
    <t>réduction :</t>
  </si>
  <si>
    <t>MTCO2e</t>
  </si>
  <si>
    <t>GW/°C</t>
  </si>
  <si>
    <t>On diminue de 10% la demande VP puis on double l'utilisation du bus et du train</t>
  </si>
  <si>
    <t>Facteur émission batterie [gCO2/km]</t>
  </si>
  <si>
    <t>http://www.energimyndigheten.se/globalassets/forskning--innovation/transporter/c243-the-life-cycle-energy-consumption-and-co2-emissions-from-lithium-ion-batteries-.pdf</t>
  </si>
  <si>
    <t>kWhbatt/kWhelec</t>
  </si>
  <si>
    <t>Part fixe [kgC02/kWhbatt]</t>
  </si>
  <si>
    <t>Part liée à la conso élec [kgC02/kWhbatt]</t>
  </si>
  <si>
    <t>taille batterie</t>
  </si>
  <si>
    <t>durée de vie [km]</t>
  </si>
  <si>
    <t>Emissions batteries [gCO2/km]</t>
  </si>
  <si>
    <t>Conso d'énergie pour la fabrication de la batterie lors de la phase d'assemblage [MJ/kWh]</t>
  </si>
  <si>
    <t>Emission totale batteries</t>
  </si>
  <si>
    <t>réduction</t>
  </si>
  <si>
    <t>Passage de 75% du parc thermique à l'électrique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</si>
</sst>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2F6"/>
        <bgColor rgb="FFEEE2F6"/>
      </patternFill>
    </fill>
    <fill>
      <patternFill patternType="solid">
        <fgColor rgb="FFFFFFFF"/>
        <bgColor rgb="FFFFFFFF"/>
      </patternFill>
    </fill>
    <fill>
      <patternFill patternType="solid">
        <fgColor rgb="FFF8F3FB"/>
        <bgColor rgb="FFF8F3FB"/>
      </patternFill>
    </fill>
    <fill>
      <patternFill patternType="solid">
        <fgColor rgb="FFFFF2CC"/>
        <bgColor rgb="FFFFF2CC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5" xfId="0" applyFill="1" applyBorder="1"/>
    <xf numFmtId="0" fontId="0" fillId="3" borderId="0" xfId="0" applyFill="1" applyBorder="1"/>
    <xf numFmtId="0" fontId="0" fillId="2" borderId="5" xfId="0" applyFill="1" applyBorder="1"/>
    <xf numFmtId="0" fontId="0" fillId="2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4" borderId="14" xfId="0" applyFill="1" applyBorder="1"/>
    <xf numFmtId="0" fontId="0" fillId="0" borderId="15" xfId="0" applyBorder="1"/>
    <xf numFmtId="0" fontId="0" fillId="0" borderId="0" xfId="0" applyFill="1" applyBorder="1"/>
    <xf numFmtId="0" fontId="0" fillId="0" borderId="11" xfId="0" applyFill="1" applyBorder="1"/>
    <xf numFmtId="0" fontId="0" fillId="0" borderId="1" xfId="0" applyFill="1" applyBorder="1"/>
    <xf numFmtId="0" fontId="1" fillId="0" borderId="0" xfId="0" applyFont="1"/>
    <xf numFmtId="0" fontId="1" fillId="0" borderId="13" xfId="0" applyFont="1" applyBorder="1"/>
    <xf numFmtId="0" fontId="1" fillId="0" borderId="15" xfId="0" applyFont="1" applyBorder="1"/>
    <xf numFmtId="0" fontId="1" fillId="0" borderId="0" xfId="0" applyFont="1" applyAlignment="1">
      <alignment horizontal="center" vertical="center"/>
    </xf>
    <xf numFmtId="0" fontId="2" fillId="5" borderId="16" xfId="0" applyFont="1" applyFill="1" applyBorder="1" applyAlignment="1">
      <alignment vertical="center" wrapText="1"/>
    </xf>
    <xf numFmtId="2" fontId="2" fillId="6" borderId="17" xfId="0" applyNumberFormat="1" applyFont="1" applyFill="1" applyBorder="1" applyAlignment="1">
      <alignment horizontal="center" wrapText="1"/>
    </xf>
    <xf numFmtId="0" fontId="2" fillId="6" borderId="17" xfId="0" applyFont="1" applyFill="1" applyBorder="1"/>
    <xf numFmtId="0" fontId="2" fillId="6" borderId="17" xfId="0" applyFont="1" applyFill="1" applyBorder="1" applyAlignment="1">
      <alignment wrapText="1"/>
    </xf>
    <xf numFmtId="0" fontId="2" fillId="6" borderId="18" xfId="0" applyFont="1" applyFill="1" applyBorder="1" applyAlignment="1">
      <alignment wrapText="1"/>
    </xf>
    <xf numFmtId="0" fontId="3" fillId="5" borderId="19" xfId="0" applyFont="1" applyFill="1" applyBorder="1" applyAlignment="1">
      <alignment vertical="center" wrapText="1"/>
    </xf>
    <xf numFmtId="0" fontId="1" fillId="0" borderId="6" xfId="0" applyFont="1" applyBorder="1"/>
    <xf numFmtId="1" fontId="1" fillId="0" borderId="20" xfId="0" applyNumberFormat="1" applyFont="1" applyBorder="1" applyAlignment="1">
      <alignment horizontal="right" vertical="center"/>
    </xf>
    <xf numFmtId="1" fontId="1" fillId="0" borderId="0" xfId="0" applyNumberFormat="1" applyFont="1"/>
    <xf numFmtId="0" fontId="3" fillId="5" borderId="21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2" fillId="5" borderId="22" xfId="0" applyFont="1" applyFill="1" applyBorder="1" applyAlignment="1">
      <alignment vertical="center" wrapText="1"/>
    </xf>
    <xf numFmtId="2" fontId="2" fillId="6" borderId="22" xfId="0" applyNumberFormat="1" applyFont="1" applyFill="1" applyBorder="1" applyAlignment="1">
      <alignment horizontal="center"/>
    </xf>
    <xf numFmtId="2" fontId="2" fillId="6" borderId="23" xfId="0" applyNumberFormat="1" applyFont="1" applyFill="1" applyBorder="1" applyAlignment="1">
      <alignment horizontal="center"/>
    </xf>
    <xf numFmtId="2" fontId="2" fillId="6" borderId="17" xfId="0" applyNumberFormat="1" applyFont="1" applyFill="1" applyBorder="1" applyAlignment="1">
      <alignment horizontal="center"/>
    </xf>
    <xf numFmtId="0" fontId="2" fillId="7" borderId="17" xfId="0" applyFont="1" applyFill="1" applyBorder="1" applyAlignment="1">
      <alignment wrapText="1"/>
    </xf>
    <xf numFmtId="2" fontId="1" fillId="0" borderId="0" xfId="0" applyNumberFormat="1" applyFont="1"/>
    <xf numFmtId="2" fontId="3" fillId="6" borderId="24" xfId="0" applyNumberFormat="1" applyFont="1" applyFill="1" applyBorder="1" applyAlignment="1">
      <alignment horizontal="center"/>
    </xf>
    <xf numFmtId="2" fontId="3" fillId="6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5" borderId="24" xfId="0" applyFont="1" applyFill="1" applyBorder="1" applyAlignment="1">
      <alignment vertical="center" wrapText="1"/>
    </xf>
    <xf numFmtId="2" fontId="2" fillId="6" borderId="26" xfId="0" applyNumberFormat="1" applyFont="1" applyFill="1" applyBorder="1" applyAlignment="1">
      <alignment horizontal="center"/>
    </xf>
    <xf numFmtId="0" fontId="2" fillId="6" borderId="26" xfId="0" applyFont="1" applyFill="1" applyBorder="1"/>
    <xf numFmtId="0" fontId="2" fillId="6" borderId="26" xfId="0" applyFont="1" applyFill="1" applyBorder="1" applyAlignment="1">
      <alignment wrapText="1"/>
    </xf>
    <xf numFmtId="0" fontId="3" fillId="5" borderId="22" xfId="0" applyFont="1" applyFill="1" applyBorder="1" applyAlignment="1">
      <alignment vertical="center" wrapText="1"/>
    </xf>
    <xf numFmtId="2" fontId="3" fillId="6" borderId="27" xfId="0" applyNumberFormat="1" applyFont="1" applyFill="1" applyBorder="1" applyAlignment="1">
      <alignment horizontal="center"/>
    </xf>
    <xf numFmtId="2" fontId="3" fillId="6" borderId="28" xfId="0" applyNumberFormat="1" applyFont="1" applyFill="1" applyBorder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2" fillId="5" borderId="27" xfId="0" applyFont="1" applyFill="1" applyBorder="1" applyAlignment="1">
      <alignment vertical="center" wrapText="1"/>
    </xf>
    <xf numFmtId="2" fontId="2" fillId="6" borderId="28" xfId="0" applyNumberFormat="1" applyFont="1" applyFill="1" applyBorder="1" applyAlignment="1">
      <alignment horizontal="center"/>
    </xf>
    <xf numFmtId="0" fontId="2" fillId="6" borderId="29" xfId="0" applyFont="1" applyFill="1" applyBorder="1" applyAlignment="1">
      <alignment wrapText="1"/>
    </xf>
    <xf numFmtId="0" fontId="5" fillId="0" borderId="0" xfId="0" applyFont="1"/>
    <xf numFmtId="0" fontId="2" fillId="7" borderId="26" xfId="0" applyFont="1" applyFill="1" applyBorder="1" applyAlignment="1">
      <alignment wrapText="1"/>
    </xf>
    <xf numFmtId="0" fontId="2" fillId="6" borderId="27" xfId="0" applyFont="1" applyFill="1" applyBorder="1" applyAlignment="1">
      <alignment wrapText="1"/>
    </xf>
    <xf numFmtId="2" fontId="3" fillId="8" borderId="27" xfId="0" applyNumberFormat="1" applyFont="1" applyFill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2" fontId="2" fillId="6" borderId="27" xfId="0" applyNumberFormat="1" applyFont="1" applyFill="1" applyBorder="1" applyAlignment="1">
      <alignment horizontal="center"/>
    </xf>
    <xf numFmtId="2" fontId="0" fillId="0" borderId="0" xfId="0" applyNumberFormat="1"/>
    <xf numFmtId="1" fontId="1" fillId="0" borderId="0" xfId="0" applyNumberFormat="1" applyFont="1" applyFill="1" applyBorder="1"/>
    <xf numFmtId="0" fontId="0" fillId="0" borderId="0" xfId="0" applyAlignment="1">
      <alignment horizontal="center" wrapText="1"/>
    </xf>
    <xf numFmtId="0" fontId="5" fillId="0" borderId="30" xfId="0" applyFont="1" applyBorder="1" applyAlignment="1">
      <alignment horizontal="center" vertical="center"/>
    </xf>
    <xf numFmtId="0" fontId="6" fillId="0" borderId="30" xfId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voy.k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72B4-8707-2443-9EC8-B965AEC63B14}">
  <dimension ref="A1:S67"/>
  <sheetViews>
    <sheetView topLeftCell="A16" workbookViewId="0">
      <selection activeCell="V46" sqref="V46"/>
    </sheetView>
  </sheetViews>
  <sheetFormatPr baseColWidth="10" defaultRowHeight="16" x14ac:dyDescent="0.2"/>
  <cols>
    <col min="1" max="1" width="28" customWidth="1"/>
    <col min="8" max="8" width="13.83203125" customWidth="1"/>
    <col min="11" max="11" width="29.5" customWidth="1"/>
  </cols>
  <sheetData>
    <row r="1" spans="1:19" ht="17" thickBot="1" x14ac:dyDescent="0.25"/>
    <row r="2" spans="1:19" ht="17" thickBot="1" x14ac:dyDescent="0.25">
      <c r="B2" s="4" t="s">
        <v>0</v>
      </c>
      <c r="C2" s="9"/>
      <c r="K2" s="4" t="s">
        <v>10</v>
      </c>
      <c r="L2" t="s">
        <v>16</v>
      </c>
    </row>
    <row r="3" spans="1:19" x14ac:dyDescent="0.2">
      <c r="L3" s="2" t="s">
        <v>17</v>
      </c>
      <c r="M3" s="2"/>
      <c r="N3" s="2"/>
      <c r="O3" s="2"/>
      <c r="P3" s="2"/>
      <c r="Q3" s="2"/>
    </row>
    <row r="4" spans="1:19" x14ac:dyDescent="0.2">
      <c r="L4" s="3" t="s">
        <v>19</v>
      </c>
      <c r="M4" s="3"/>
      <c r="N4" s="3"/>
      <c r="O4" s="3"/>
    </row>
    <row r="5" spans="1:19" ht="17" thickBot="1" x14ac:dyDescent="0.25">
      <c r="L5" s="1" t="s">
        <v>18</v>
      </c>
      <c r="M5" s="1"/>
    </row>
    <row r="6" spans="1:19" ht="17" thickBot="1" x14ac:dyDescent="0.25">
      <c r="K6" s="21" t="s">
        <v>11</v>
      </c>
      <c r="L6" s="22"/>
      <c r="M6" s="23">
        <v>1</v>
      </c>
      <c r="N6" s="21" t="s">
        <v>22</v>
      </c>
      <c r="O6" s="22"/>
      <c r="P6" s="22"/>
      <c r="Q6" s="24">
        <v>0</v>
      </c>
      <c r="R6" s="25" t="s">
        <v>20</v>
      </c>
    </row>
    <row r="7" spans="1:19" ht="17" thickBot="1" x14ac:dyDescent="0.25">
      <c r="K7" s="21" t="s">
        <v>21</v>
      </c>
      <c r="L7" s="22"/>
      <c r="M7" s="23">
        <f>M6*(1-0.07*Q6)</f>
        <v>1</v>
      </c>
    </row>
    <row r="8" spans="1:19" ht="17" thickBot="1" x14ac:dyDescent="0.25">
      <c r="B8" s="5" t="s">
        <v>1</v>
      </c>
      <c r="C8" s="6" t="s">
        <v>12</v>
      </c>
      <c r="D8" s="6" t="s">
        <v>2</v>
      </c>
      <c r="E8" s="6" t="s">
        <v>3</v>
      </c>
      <c r="F8" s="6" t="s">
        <v>4</v>
      </c>
      <c r="G8" s="6" t="s">
        <v>5</v>
      </c>
      <c r="H8" s="7" t="s">
        <v>6</v>
      </c>
      <c r="L8" s="8" t="s">
        <v>1</v>
      </c>
      <c r="M8" s="9" t="s">
        <v>12</v>
      </c>
      <c r="N8" s="6" t="s">
        <v>2</v>
      </c>
      <c r="O8" s="6" t="s">
        <v>3</v>
      </c>
      <c r="P8" s="6" t="s">
        <v>4</v>
      </c>
      <c r="Q8" s="6" t="s">
        <v>5</v>
      </c>
      <c r="R8" s="7" t="s">
        <v>6</v>
      </c>
    </row>
    <row r="9" spans="1:19" x14ac:dyDescent="0.2">
      <c r="A9" s="18" t="s">
        <v>7</v>
      </c>
      <c r="B9" s="8">
        <v>35</v>
      </c>
      <c r="C9" s="9">
        <v>2</v>
      </c>
      <c r="D9" s="9">
        <v>122</v>
      </c>
      <c r="E9" s="9">
        <v>40</v>
      </c>
      <c r="F9" s="9">
        <v>85</v>
      </c>
      <c r="G9" s="9">
        <v>13</v>
      </c>
      <c r="H9" s="10">
        <f t="shared" ref="H9" si="0">SUM(B9:G9)</f>
        <v>297</v>
      </c>
      <c r="K9" s="18" t="s">
        <v>13</v>
      </c>
      <c r="L9" s="14">
        <v>35</v>
      </c>
      <c r="M9" s="15">
        <v>10</v>
      </c>
      <c r="N9" s="15">
        <v>122</v>
      </c>
      <c r="O9" s="15">
        <v>40</v>
      </c>
      <c r="P9" s="15">
        <v>85</v>
      </c>
      <c r="Q9" s="15">
        <v>13</v>
      </c>
      <c r="R9" s="10">
        <f t="shared" ref="R9:R12" si="1">SUM(L9:Q9)</f>
        <v>305</v>
      </c>
    </row>
    <row r="10" spans="1:19" x14ac:dyDescent="0.2">
      <c r="A10" s="19" t="s">
        <v>8</v>
      </c>
      <c r="B10" s="8">
        <v>60</v>
      </c>
      <c r="C10" s="9">
        <v>60</v>
      </c>
      <c r="D10" s="9">
        <v>240</v>
      </c>
      <c r="E10" s="9">
        <v>320</v>
      </c>
      <c r="F10" s="9">
        <v>50</v>
      </c>
      <c r="G10" s="9">
        <v>100</v>
      </c>
      <c r="H10" s="10">
        <f>H11/H9*1000</f>
        <v>167.84511784511781</v>
      </c>
      <c r="K10" s="19" t="s">
        <v>14</v>
      </c>
      <c r="L10" s="8">
        <f>L9*$M7</f>
        <v>35</v>
      </c>
      <c r="M10" s="8">
        <f t="shared" ref="M10:Q10" si="2">M9*$M7</f>
        <v>10</v>
      </c>
      <c r="N10" s="8">
        <f t="shared" si="2"/>
        <v>122</v>
      </c>
      <c r="O10" s="8">
        <f t="shared" si="2"/>
        <v>40</v>
      </c>
      <c r="P10" s="8">
        <f t="shared" si="2"/>
        <v>85</v>
      </c>
      <c r="Q10" s="8">
        <f t="shared" si="2"/>
        <v>13</v>
      </c>
      <c r="R10" s="10">
        <f t="shared" si="1"/>
        <v>305</v>
      </c>
    </row>
    <row r="11" spans="1:19" ht="17" thickBot="1" x14ac:dyDescent="0.25">
      <c r="A11" s="20" t="s">
        <v>9</v>
      </c>
      <c r="B11" s="11">
        <f t="shared" ref="B11:G11" si="3">B9*B10/1000</f>
        <v>2.1</v>
      </c>
      <c r="C11" s="11">
        <f t="shared" si="3"/>
        <v>0.12</v>
      </c>
      <c r="D11" s="12">
        <f t="shared" si="3"/>
        <v>29.28</v>
      </c>
      <c r="E11" s="12">
        <f t="shared" si="3"/>
        <v>12.8</v>
      </c>
      <c r="F11" s="12">
        <f t="shared" si="3"/>
        <v>4.25</v>
      </c>
      <c r="G11" s="12">
        <f t="shared" si="3"/>
        <v>1.3</v>
      </c>
      <c r="H11" s="13">
        <f>SUM(B11:G11)</f>
        <v>49.849999999999994</v>
      </c>
      <c r="K11" s="19" t="s">
        <v>15</v>
      </c>
      <c r="L11" s="8">
        <v>1</v>
      </c>
      <c r="M11" s="9">
        <v>3</v>
      </c>
      <c r="N11" s="9">
        <v>1</v>
      </c>
      <c r="O11" s="9">
        <v>1</v>
      </c>
      <c r="P11" s="9">
        <v>1</v>
      </c>
      <c r="Q11" s="9">
        <v>1</v>
      </c>
      <c r="R11" s="10"/>
    </row>
    <row r="12" spans="1:19" x14ac:dyDescent="0.2">
      <c r="K12" s="19" t="s">
        <v>7</v>
      </c>
      <c r="L12" s="8">
        <f>L10/L11</f>
        <v>35</v>
      </c>
      <c r="M12" s="9">
        <f t="shared" ref="M12:Q12" si="4">M10/M11</f>
        <v>3.3333333333333335</v>
      </c>
      <c r="N12" s="9">
        <f t="shared" si="4"/>
        <v>122</v>
      </c>
      <c r="O12" s="9">
        <f t="shared" si="4"/>
        <v>40</v>
      </c>
      <c r="P12" s="9">
        <f t="shared" si="4"/>
        <v>85</v>
      </c>
      <c r="Q12" s="9">
        <f t="shared" si="4"/>
        <v>13</v>
      </c>
      <c r="R12" s="10">
        <f t="shared" si="1"/>
        <v>298.33333333333337</v>
      </c>
    </row>
    <row r="13" spans="1:19" x14ac:dyDescent="0.2">
      <c r="K13" s="19" t="s">
        <v>8</v>
      </c>
      <c r="L13" s="16">
        <v>60</v>
      </c>
      <c r="M13" s="17">
        <v>60</v>
      </c>
      <c r="N13" s="17">
        <v>240</v>
      </c>
      <c r="O13" s="17">
        <v>320</v>
      </c>
      <c r="P13" s="17">
        <v>50</v>
      </c>
      <c r="Q13" s="17">
        <v>100</v>
      </c>
      <c r="R13" s="10">
        <f>R14/R9*1000</f>
        <v>163.70491803278688</v>
      </c>
    </row>
    <row r="14" spans="1:19" ht="17" thickBot="1" x14ac:dyDescent="0.25">
      <c r="K14" s="20" t="s">
        <v>9</v>
      </c>
      <c r="L14" s="11">
        <f>L12*L13/1000</f>
        <v>2.1</v>
      </c>
      <c r="M14" s="12">
        <f t="shared" ref="M14:Q14" si="5">M12*M13/1000</f>
        <v>0.2</v>
      </c>
      <c r="N14" s="12">
        <f t="shared" si="5"/>
        <v>29.28</v>
      </c>
      <c r="O14" s="12">
        <f t="shared" si="5"/>
        <v>12.8</v>
      </c>
      <c r="P14" s="12">
        <f t="shared" si="5"/>
        <v>4.25</v>
      </c>
      <c r="Q14" s="12">
        <f t="shared" si="5"/>
        <v>1.3</v>
      </c>
      <c r="R14" s="13">
        <f>SUM(L14:Q14)</f>
        <v>49.93</v>
      </c>
      <c r="S14" t="s">
        <v>82</v>
      </c>
    </row>
    <row r="15" spans="1:19" x14ac:dyDescent="0.2">
      <c r="K15" s="19" t="s">
        <v>28</v>
      </c>
      <c r="L15">
        <f>L12/35*1.4</f>
        <v>1.4</v>
      </c>
      <c r="M15">
        <f>M12/35*1.4</f>
        <v>0.13333333333333333</v>
      </c>
      <c r="R15">
        <f>SUM(L15:Q15)</f>
        <v>1.5333333333333332</v>
      </c>
      <c r="S15" t="s">
        <v>83</v>
      </c>
    </row>
    <row r="17" spans="1:19" ht="17" thickBot="1" x14ac:dyDescent="0.25">
      <c r="K17" s="27" t="s">
        <v>23</v>
      </c>
      <c r="Q17" t="s">
        <v>81</v>
      </c>
      <c r="R17">
        <f>H$11-R26</f>
        <v>3.4150999999999954</v>
      </c>
      <c r="S17" t="s">
        <v>82</v>
      </c>
    </row>
    <row r="18" spans="1:19" ht="17" thickBot="1" x14ac:dyDescent="0.25">
      <c r="K18" s="21" t="s">
        <v>11</v>
      </c>
      <c r="L18" s="22"/>
      <c r="M18" s="23">
        <v>1</v>
      </c>
      <c r="N18" s="21" t="s">
        <v>22</v>
      </c>
      <c r="O18" s="22"/>
      <c r="P18" s="22"/>
      <c r="Q18" s="24">
        <v>1</v>
      </c>
      <c r="R18" s="25" t="s">
        <v>20</v>
      </c>
    </row>
    <row r="19" spans="1:19" ht="17" thickBot="1" x14ac:dyDescent="0.25">
      <c r="K19" s="21" t="s">
        <v>21</v>
      </c>
      <c r="L19" s="22"/>
      <c r="M19" s="23">
        <f>M18*(1-0.07*Q18)</f>
        <v>0.92999999999999994</v>
      </c>
    </row>
    <row r="20" spans="1:19" ht="17" thickBot="1" x14ac:dyDescent="0.25">
      <c r="L20" s="8" t="s">
        <v>1</v>
      </c>
      <c r="M20" s="9" t="s">
        <v>12</v>
      </c>
      <c r="N20" s="6" t="s">
        <v>2</v>
      </c>
      <c r="O20" s="6" t="s">
        <v>3</v>
      </c>
      <c r="P20" s="6" t="s">
        <v>4</v>
      </c>
      <c r="Q20" s="6" t="s">
        <v>5</v>
      </c>
      <c r="R20" s="7" t="s">
        <v>6</v>
      </c>
    </row>
    <row r="21" spans="1:19" x14ac:dyDescent="0.2">
      <c r="K21" s="18" t="s">
        <v>13</v>
      </c>
      <c r="L21" s="14">
        <v>35</v>
      </c>
      <c r="M21" s="15">
        <v>10</v>
      </c>
      <c r="N21" s="15">
        <v>122</v>
      </c>
      <c r="O21" s="15">
        <v>40</v>
      </c>
      <c r="P21" s="15">
        <v>85</v>
      </c>
      <c r="Q21" s="15">
        <v>13</v>
      </c>
      <c r="R21" s="10">
        <f t="shared" ref="R21:R22" si="6">SUM(L21:Q21)</f>
        <v>305</v>
      </c>
    </row>
    <row r="22" spans="1:19" x14ac:dyDescent="0.2">
      <c r="I22" s="9"/>
      <c r="K22" s="19" t="s">
        <v>14</v>
      </c>
      <c r="L22" s="8">
        <f t="shared" ref="L22:Q22" si="7">L21*$M19</f>
        <v>32.549999999999997</v>
      </c>
      <c r="M22" s="8">
        <f t="shared" si="7"/>
        <v>9.2999999999999989</v>
      </c>
      <c r="N22" s="8">
        <f t="shared" si="7"/>
        <v>113.46</v>
      </c>
      <c r="O22" s="8">
        <f t="shared" si="7"/>
        <v>37.199999999999996</v>
      </c>
      <c r="P22" s="8">
        <f t="shared" si="7"/>
        <v>79.05</v>
      </c>
      <c r="Q22" s="8">
        <f t="shared" si="7"/>
        <v>12.09</v>
      </c>
      <c r="R22" s="10">
        <f t="shared" si="6"/>
        <v>283.64999999999998</v>
      </c>
    </row>
    <row r="23" spans="1:19" x14ac:dyDescent="0.2">
      <c r="I23" s="9"/>
      <c r="K23" s="19" t="s">
        <v>15</v>
      </c>
      <c r="L23" s="8">
        <v>1</v>
      </c>
      <c r="M23" s="9">
        <v>3</v>
      </c>
      <c r="N23" s="9">
        <v>1</v>
      </c>
      <c r="O23" s="9">
        <v>1</v>
      </c>
      <c r="P23" s="9">
        <v>1</v>
      </c>
      <c r="Q23" s="9">
        <v>1</v>
      </c>
      <c r="R23" s="10"/>
    </row>
    <row r="24" spans="1:19" x14ac:dyDescent="0.2">
      <c r="I24" s="9"/>
      <c r="K24" s="19" t="s">
        <v>7</v>
      </c>
      <c r="L24" s="8">
        <f>L22/L23</f>
        <v>32.549999999999997</v>
      </c>
      <c r="M24" s="9">
        <f t="shared" ref="M24" si="8">M22/M23</f>
        <v>3.0999999999999996</v>
      </c>
      <c r="N24" s="9">
        <f t="shared" ref="N24" si="9">N22/N23</f>
        <v>113.46</v>
      </c>
      <c r="O24" s="9">
        <f t="shared" ref="O24" si="10">O22/O23</f>
        <v>37.199999999999996</v>
      </c>
      <c r="P24" s="9">
        <f t="shared" ref="P24" si="11">P22/P23</f>
        <v>79.05</v>
      </c>
      <c r="Q24" s="9">
        <f t="shared" ref="Q24" si="12">Q22/Q23</f>
        <v>12.09</v>
      </c>
      <c r="R24" s="10">
        <f t="shared" ref="R24" si="13">SUM(L24:Q24)</f>
        <v>277.44999999999993</v>
      </c>
    </row>
    <row r="25" spans="1:19" x14ac:dyDescent="0.2">
      <c r="I25" s="9"/>
      <c r="K25" s="19" t="s">
        <v>8</v>
      </c>
      <c r="L25" s="16">
        <v>60</v>
      </c>
      <c r="M25" s="17">
        <v>60</v>
      </c>
      <c r="N25" s="17">
        <v>240</v>
      </c>
      <c r="O25" s="17">
        <v>320</v>
      </c>
      <c r="P25" s="17">
        <v>50</v>
      </c>
      <c r="Q25" s="17">
        <v>100</v>
      </c>
      <c r="R25" s="10">
        <f>R26/R21*1000</f>
        <v>152.2455737704918</v>
      </c>
    </row>
    <row r="26" spans="1:19" ht="17" thickBot="1" x14ac:dyDescent="0.25">
      <c r="I26" s="9"/>
      <c r="K26" s="20" t="s">
        <v>9</v>
      </c>
      <c r="L26" s="11">
        <f>L24*L25/1000</f>
        <v>1.9529999999999998</v>
      </c>
      <c r="M26" s="12">
        <f t="shared" ref="M26" si="14">M24*M25/1000</f>
        <v>0.18599999999999997</v>
      </c>
      <c r="N26" s="12">
        <f t="shared" ref="N26" si="15">N24*N25/1000</f>
        <v>27.230399999999999</v>
      </c>
      <c r="O26" s="12">
        <f t="shared" ref="O26" si="16">O24*O25/1000</f>
        <v>11.903999999999998</v>
      </c>
      <c r="P26" s="12">
        <f t="shared" ref="P26" si="17">P24*P25/1000</f>
        <v>3.9525000000000001</v>
      </c>
      <c r="Q26" s="12">
        <f t="shared" ref="Q26" si="18">Q24*Q25/1000</f>
        <v>1.2090000000000001</v>
      </c>
      <c r="R26" s="13">
        <f>SUM(L26:Q26)</f>
        <v>46.434899999999999</v>
      </c>
    </row>
    <row r="27" spans="1:19" x14ac:dyDescent="0.2">
      <c r="A27" s="26"/>
      <c r="B27" s="26"/>
      <c r="C27" s="26"/>
      <c r="D27" s="26"/>
      <c r="E27" s="26"/>
      <c r="F27" s="26"/>
      <c r="G27" s="26"/>
      <c r="H27" s="26"/>
      <c r="I27" s="9"/>
      <c r="K27" s="19" t="s">
        <v>28</v>
      </c>
      <c r="S27" t="s">
        <v>83</v>
      </c>
    </row>
    <row r="28" spans="1:19" x14ac:dyDescent="0.2">
      <c r="A28" s="26"/>
      <c r="B28" s="26"/>
      <c r="C28" s="26"/>
      <c r="D28" s="26"/>
      <c r="E28" s="26"/>
      <c r="F28" s="26"/>
      <c r="G28" s="26"/>
      <c r="H28" s="26"/>
      <c r="I28" s="9"/>
      <c r="K28" s="26"/>
      <c r="L28" s="26"/>
      <c r="M28" s="26"/>
      <c r="N28" s="26"/>
      <c r="O28" s="26"/>
      <c r="P28" s="26"/>
      <c r="Q28" s="26"/>
      <c r="R28" s="26"/>
    </row>
    <row r="29" spans="1:19" ht="17" thickBot="1" x14ac:dyDescent="0.25">
      <c r="A29" s="26"/>
      <c r="B29" s="26"/>
      <c r="C29" s="26"/>
      <c r="D29" s="26"/>
      <c r="E29" s="26"/>
      <c r="F29" s="26"/>
      <c r="G29" s="26"/>
      <c r="H29" s="26"/>
      <c r="I29" s="9"/>
      <c r="K29" s="26"/>
      <c r="L29" s="26"/>
      <c r="M29" s="26"/>
      <c r="N29" s="26"/>
      <c r="O29" s="26"/>
      <c r="P29" s="26"/>
      <c r="Q29" s="26"/>
      <c r="R29" s="26"/>
    </row>
    <row r="30" spans="1:19" ht="17" thickBot="1" x14ac:dyDescent="0.25">
      <c r="A30" s="26"/>
      <c r="B30" s="26"/>
      <c r="C30" s="26"/>
      <c r="D30" s="26"/>
      <c r="E30" s="26"/>
      <c r="F30" s="26"/>
      <c r="G30" s="26"/>
      <c r="H30" s="26"/>
      <c r="I30" s="9"/>
      <c r="K30" s="28" t="s">
        <v>24</v>
      </c>
      <c r="L30" s="22"/>
      <c r="M30" s="22"/>
      <c r="N30" s="22"/>
      <c r="O30" s="22"/>
      <c r="P30" s="22"/>
      <c r="Q30" s="22"/>
      <c r="R30" s="25">
        <f>H$11-R39</f>
        <v>24.884999999999994</v>
      </c>
      <c r="S30" t="s">
        <v>82</v>
      </c>
    </row>
    <row r="31" spans="1:19" ht="17" thickBot="1" x14ac:dyDescent="0.25">
      <c r="K31" s="21" t="s">
        <v>11</v>
      </c>
      <c r="L31" s="22"/>
      <c r="M31" s="23">
        <v>0.5</v>
      </c>
      <c r="N31" s="21" t="s">
        <v>22</v>
      </c>
      <c r="O31" s="22"/>
      <c r="P31" s="22"/>
      <c r="Q31" s="24">
        <v>0</v>
      </c>
      <c r="R31" s="25" t="s">
        <v>20</v>
      </c>
    </row>
    <row r="32" spans="1:19" ht="17" thickBot="1" x14ac:dyDescent="0.25">
      <c r="K32" s="21" t="s">
        <v>21</v>
      </c>
      <c r="L32" s="22"/>
      <c r="M32" s="23">
        <f>M31*(1-0.07*Q31)</f>
        <v>0.5</v>
      </c>
    </row>
    <row r="33" spans="11:19" ht="17" thickBot="1" x14ac:dyDescent="0.25">
      <c r="L33" s="8" t="s">
        <v>1</v>
      </c>
      <c r="M33" s="9" t="s">
        <v>12</v>
      </c>
      <c r="N33" s="6" t="s">
        <v>2</v>
      </c>
      <c r="O33" s="6" t="s">
        <v>3</v>
      </c>
      <c r="P33" s="6" t="s">
        <v>4</v>
      </c>
      <c r="Q33" s="6" t="s">
        <v>5</v>
      </c>
      <c r="R33" s="7" t="s">
        <v>6</v>
      </c>
    </row>
    <row r="34" spans="11:19" x14ac:dyDescent="0.2">
      <c r="K34" s="18" t="s">
        <v>13</v>
      </c>
      <c r="L34" s="14">
        <v>35</v>
      </c>
      <c r="M34" s="15">
        <v>10</v>
      </c>
      <c r="N34" s="15">
        <v>122</v>
      </c>
      <c r="O34" s="15">
        <v>40</v>
      </c>
      <c r="P34" s="15">
        <v>85</v>
      </c>
      <c r="Q34" s="15">
        <v>13</v>
      </c>
      <c r="R34" s="10">
        <f t="shared" ref="R34:R35" si="19">SUM(L34:Q34)</f>
        <v>305</v>
      </c>
    </row>
    <row r="35" spans="11:19" x14ac:dyDescent="0.2">
      <c r="K35" s="19" t="s">
        <v>14</v>
      </c>
      <c r="L35" s="8">
        <f t="shared" ref="L35:Q35" si="20">L34*$M32</f>
        <v>17.5</v>
      </c>
      <c r="M35" s="8">
        <f t="shared" si="20"/>
        <v>5</v>
      </c>
      <c r="N35" s="8">
        <f t="shared" si="20"/>
        <v>61</v>
      </c>
      <c r="O35" s="8">
        <f t="shared" si="20"/>
        <v>20</v>
      </c>
      <c r="P35" s="8">
        <f t="shared" si="20"/>
        <v>42.5</v>
      </c>
      <c r="Q35" s="8">
        <f t="shared" si="20"/>
        <v>6.5</v>
      </c>
      <c r="R35" s="10">
        <f t="shared" si="19"/>
        <v>152.5</v>
      </c>
    </row>
    <row r="36" spans="11:19" x14ac:dyDescent="0.2">
      <c r="K36" s="19" t="s">
        <v>15</v>
      </c>
      <c r="L36" s="8">
        <v>1</v>
      </c>
      <c r="M36" s="9">
        <v>3</v>
      </c>
      <c r="N36" s="9">
        <v>1</v>
      </c>
      <c r="O36" s="9">
        <v>1</v>
      </c>
      <c r="P36" s="9">
        <v>1</v>
      </c>
      <c r="Q36" s="9">
        <v>1</v>
      </c>
      <c r="R36" s="10"/>
    </row>
    <row r="37" spans="11:19" x14ac:dyDescent="0.2">
      <c r="K37" s="19" t="s">
        <v>7</v>
      </c>
      <c r="L37" s="8">
        <f>L35/L36</f>
        <v>17.5</v>
      </c>
      <c r="M37" s="9">
        <f t="shared" ref="M37" si="21">M35/M36</f>
        <v>1.6666666666666667</v>
      </c>
      <c r="N37" s="9">
        <f t="shared" ref="N37" si="22">N35/N36</f>
        <v>61</v>
      </c>
      <c r="O37" s="9">
        <f t="shared" ref="O37" si="23">O35/O36</f>
        <v>20</v>
      </c>
      <c r="P37" s="9">
        <f t="shared" ref="P37" si="24">P35/P36</f>
        <v>42.5</v>
      </c>
      <c r="Q37" s="9">
        <f t="shared" ref="Q37" si="25">Q35/Q36</f>
        <v>6.5</v>
      </c>
      <c r="R37" s="10">
        <f t="shared" ref="R37" si="26">SUM(L37:Q37)</f>
        <v>149.16666666666669</v>
      </c>
    </row>
    <row r="38" spans="11:19" x14ac:dyDescent="0.2">
      <c r="K38" s="19" t="s">
        <v>8</v>
      </c>
      <c r="L38" s="16">
        <v>60</v>
      </c>
      <c r="M38" s="17">
        <v>60</v>
      </c>
      <c r="N38" s="17">
        <v>240</v>
      </c>
      <c r="O38" s="17">
        <v>320</v>
      </c>
      <c r="P38" s="17">
        <v>50</v>
      </c>
      <c r="Q38" s="17">
        <v>100</v>
      </c>
      <c r="R38" s="10">
        <f>R39/R34*1000</f>
        <v>81.852459016393439</v>
      </c>
    </row>
    <row r="39" spans="11:19" ht="17" thickBot="1" x14ac:dyDescent="0.25">
      <c r="K39" s="20" t="s">
        <v>9</v>
      </c>
      <c r="L39" s="11">
        <f>L37*L38/1000</f>
        <v>1.05</v>
      </c>
      <c r="M39" s="12">
        <f t="shared" ref="M39" si="27">M37*M38/1000</f>
        <v>0.1</v>
      </c>
      <c r="N39" s="12">
        <f t="shared" ref="N39" si="28">N37*N38/1000</f>
        <v>14.64</v>
      </c>
      <c r="O39" s="12">
        <f t="shared" ref="O39" si="29">O37*O38/1000</f>
        <v>6.4</v>
      </c>
      <c r="P39" s="12">
        <f t="shared" ref="P39" si="30">P37*P38/1000</f>
        <v>2.125</v>
      </c>
      <c r="Q39" s="12">
        <f t="shared" ref="Q39" si="31">Q37*Q38/1000</f>
        <v>0.65</v>
      </c>
      <c r="R39" s="13">
        <f>SUM(L39:Q39)</f>
        <v>24.965</v>
      </c>
      <c r="S39" t="s">
        <v>82</v>
      </c>
    </row>
    <row r="40" spans="11:19" x14ac:dyDescent="0.2">
      <c r="K40" s="19" t="s">
        <v>28</v>
      </c>
      <c r="S40" t="s">
        <v>83</v>
      </c>
    </row>
    <row r="43" spans="11:19" ht="17" thickBot="1" x14ac:dyDescent="0.25">
      <c r="K43" s="27" t="s">
        <v>27</v>
      </c>
      <c r="R43">
        <f>H$11-R52</f>
        <v>21.919999999999991</v>
      </c>
      <c r="S43" t="s">
        <v>82</v>
      </c>
    </row>
    <row r="44" spans="11:19" ht="17" thickBot="1" x14ac:dyDescent="0.25">
      <c r="K44" s="21" t="s">
        <v>11</v>
      </c>
      <c r="L44" s="22"/>
      <c r="M44" s="23">
        <v>1</v>
      </c>
      <c r="N44" s="21" t="s">
        <v>22</v>
      </c>
      <c r="O44" s="22"/>
      <c r="P44" s="22"/>
      <c r="Q44" s="24">
        <v>0</v>
      </c>
      <c r="R44" s="25" t="s">
        <v>20</v>
      </c>
    </row>
    <row r="45" spans="11:19" ht="17" thickBot="1" x14ac:dyDescent="0.25">
      <c r="K45" s="21" t="s">
        <v>21</v>
      </c>
      <c r="L45" s="22"/>
      <c r="M45" s="23">
        <f>M44*(1-0.07*Q44)</f>
        <v>1</v>
      </c>
    </row>
    <row r="46" spans="11:19" ht="17" thickBot="1" x14ac:dyDescent="0.25">
      <c r="L46" s="8" t="s">
        <v>1</v>
      </c>
      <c r="M46" s="9" t="s">
        <v>12</v>
      </c>
      <c r="N46" s="6" t="s">
        <v>2</v>
      </c>
      <c r="O46" s="6" t="s">
        <v>3</v>
      </c>
      <c r="P46" s="6" t="s">
        <v>4</v>
      </c>
      <c r="Q46" s="6" t="s">
        <v>5</v>
      </c>
      <c r="R46" s="7" t="s">
        <v>6</v>
      </c>
    </row>
    <row r="47" spans="11:19" x14ac:dyDescent="0.2">
      <c r="K47" s="18" t="s">
        <v>13</v>
      </c>
      <c r="L47" s="14">
        <v>35</v>
      </c>
      <c r="M47" s="15">
        <v>110</v>
      </c>
      <c r="N47" s="15">
        <v>22</v>
      </c>
      <c r="O47" s="15">
        <v>40</v>
      </c>
      <c r="P47" s="15">
        <v>85</v>
      </c>
      <c r="Q47" s="15">
        <v>13</v>
      </c>
      <c r="R47" s="10">
        <f t="shared" ref="R47:R48" si="32">SUM(L47:Q47)</f>
        <v>305</v>
      </c>
    </row>
    <row r="48" spans="11:19" x14ac:dyDescent="0.2">
      <c r="K48" s="19" t="s">
        <v>14</v>
      </c>
      <c r="L48" s="8">
        <f t="shared" ref="L48:Q48" si="33">L47*$M45</f>
        <v>35</v>
      </c>
      <c r="M48" s="8">
        <f t="shared" si="33"/>
        <v>110</v>
      </c>
      <c r="N48" s="8">
        <f t="shared" si="33"/>
        <v>22</v>
      </c>
      <c r="O48" s="8">
        <f t="shared" si="33"/>
        <v>40</v>
      </c>
      <c r="P48" s="8">
        <f t="shared" si="33"/>
        <v>85</v>
      </c>
      <c r="Q48" s="8">
        <f t="shared" si="33"/>
        <v>13</v>
      </c>
      <c r="R48" s="10">
        <f t="shared" si="32"/>
        <v>305</v>
      </c>
    </row>
    <row r="49" spans="11:19" x14ac:dyDescent="0.2">
      <c r="K49" s="19" t="s">
        <v>15</v>
      </c>
      <c r="L49" s="8">
        <v>1</v>
      </c>
      <c r="M49" s="9">
        <v>3</v>
      </c>
      <c r="N49" s="9">
        <v>1</v>
      </c>
      <c r="O49" s="9">
        <v>1</v>
      </c>
      <c r="P49" s="9">
        <v>1</v>
      </c>
      <c r="Q49" s="9">
        <v>1</v>
      </c>
      <c r="R49" s="10"/>
    </row>
    <row r="50" spans="11:19" x14ac:dyDescent="0.2">
      <c r="K50" s="19" t="s">
        <v>7</v>
      </c>
      <c r="L50" s="8">
        <f>L48/L49</f>
        <v>35</v>
      </c>
      <c r="M50" s="9">
        <f t="shared" ref="M50" si="34">M48/M49</f>
        <v>36.666666666666664</v>
      </c>
      <c r="N50" s="9">
        <f t="shared" ref="N50" si="35">N48/N49</f>
        <v>22</v>
      </c>
      <c r="O50" s="9">
        <f t="shared" ref="O50" si="36">O48/O49</f>
        <v>40</v>
      </c>
      <c r="P50" s="9">
        <f t="shared" ref="P50" si="37">P48/P49</f>
        <v>85</v>
      </c>
      <c r="Q50" s="9">
        <f t="shared" ref="Q50" si="38">Q48/Q49</f>
        <v>13</v>
      </c>
      <c r="R50" s="10">
        <f t="shared" ref="R50" si="39">SUM(L50:Q50)</f>
        <v>231.66666666666666</v>
      </c>
    </row>
    <row r="51" spans="11:19" x14ac:dyDescent="0.2">
      <c r="K51" s="19" t="s">
        <v>8</v>
      </c>
      <c r="L51" s="16">
        <v>60</v>
      </c>
      <c r="M51" s="17">
        <v>60</v>
      </c>
      <c r="N51" s="17">
        <v>240</v>
      </c>
      <c r="O51" s="17">
        <v>320</v>
      </c>
      <c r="P51" s="17">
        <v>50</v>
      </c>
      <c r="Q51" s="17">
        <v>100</v>
      </c>
      <c r="R51" s="10">
        <f>R52/R47*1000</f>
        <v>91.573770491803288</v>
      </c>
    </row>
    <row r="52" spans="11:19" ht="17" thickBot="1" x14ac:dyDescent="0.25">
      <c r="K52" s="20" t="s">
        <v>9</v>
      </c>
      <c r="L52" s="11">
        <f>L50*L51/1000</f>
        <v>2.1</v>
      </c>
      <c r="M52" s="12">
        <f t="shared" ref="M52" si="40">M50*M51/1000</f>
        <v>2.2000000000000002</v>
      </c>
      <c r="N52" s="12">
        <f t="shared" ref="N52" si="41">N50*N51/1000</f>
        <v>5.28</v>
      </c>
      <c r="O52" s="12">
        <f t="shared" ref="O52" si="42">O50*O51/1000</f>
        <v>12.8</v>
      </c>
      <c r="P52" s="12">
        <f t="shared" ref="P52" si="43">P50*P51/1000</f>
        <v>4.25</v>
      </c>
      <c r="Q52" s="12">
        <f t="shared" ref="Q52" si="44">Q50*Q51/1000</f>
        <v>1.3</v>
      </c>
      <c r="R52" s="13">
        <f>SUM(L52:Q52)</f>
        <v>27.930000000000003</v>
      </c>
      <c r="S52" t="s">
        <v>82</v>
      </c>
    </row>
    <row r="53" spans="11:19" x14ac:dyDescent="0.2">
      <c r="K53" s="19" t="s">
        <v>28</v>
      </c>
      <c r="S53" t="s">
        <v>83</v>
      </c>
    </row>
    <row r="55" spans="11:19" ht="17" thickBot="1" x14ac:dyDescent="0.25">
      <c r="K55" s="27" t="s">
        <v>25</v>
      </c>
      <c r="R55">
        <f>H$11-R64</f>
        <v>10.719999999999999</v>
      </c>
      <c r="S55" t="s">
        <v>82</v>
      </c>
    </row>
    <row r="56" spans="11:19" ht="17" thickBot="1" x14ac:dyDescent="0.25">
      <c r="K56" s="21" t="s">
        <v>11</v>
      </c>
      <c r="L56" s="22"/>
      <c r="M56" s="23">
        <v>1</v>
      </c>
      <c r="N56" s="21" t="s">
        <v>22</v>
      </c>
      <c r="O56" s="22"/>
      <c r="P56" s="22"/>
      <c r="Q56" s="24">
        <v>0</v>
      </c>
      <c r="R56" s="25" t="s">
        <v>20</v>
      </c>
    </row>
    <row r="57" spans="11:19" ht="17" thickBot="1" x14ac:dyDescent="0.25">
      <c r="K57" s="21" t="s">
        <v>21</v>
      </c>
      <c r="L57" s="22"/>
      <c r="M57" s="23">
        <f>M56*(1-0.07*Q56)</f>
        <v>1</v>
      </c>
    </row>
    <row r="58" spans="11:19" ht="17" thickBot="1" x14ac:dyDescent="0.25">
      <c r="L58" s="8" t="s">
        <v>1</v>
      </c>
      <c r="M58" s="9" t="s">
        <v>12</v>
      </c>
      <c r="N58" s="6" t="s">
        <v>2</v>
      </c>
      <c r="O58" s="6" t="s">
        <v>3</v>
      </c>
      <c r="P58" s="6" t="s">
        <v>4</v>
      </c>
      <c r="Q58" s="6" t="s">
        <v>5</v>
      </c>
      <c r="R58" s="7" t="s">
        <v>6</v>
      </c>
    </row>
    <row r="59" spans="11:19" x14ac:dyDescent="0.2">
      <c r="K59" s="18" t="s">
        <v>13</v>
      </c>
      <c r="L59" s="14">
        <v>35</v>
      </c>
      <c r="M59" s="15">
        <v>10</v>
      </c>
      <c r="N59" s="15">
        <v>122</v>
      </c>
      <c r="O59" s="15">
        <v>0</v>
      </c>
      <c r="P59" s="15">
        <v>125</v>
      </c>
      <c r="Q59" s="15">
        <v>13</v>
      </c>
      <c r="R59" s="10">
        <f t="shared" ref="R59:R60" si="45">SUM(L59:Q59)</f>
        <v>305</v>
      </c>
    </row>
    <row r="60" spans="11:19" x14ac:dyDescent="0.2">
      <c r="K60" s="19" t="s">
        <v>14</v>
      </c>
      <c r="L60" s="8">
        <f t="shared" ref="L60:Q60" si="46">L59*$M57</f>
        <v>35</v>
      </c>
      <c r="M60" s="8">
        <f t="shared" si="46"/>
        <v>10</v>
      </c>
      <c r="N60" s="8">
        <f t="shared" si="46"/>
        <v>122</v>
      </c>
      <c r="O60" s="8">
        <f t="shared" si="46"/>
        <v>0</v>
      </c>
      <c r="P60" s="8">
        <f t="shared" si="46"/>
        <v>125</v>
      </c>
      <c r="Q60" s="8">
        <f t="shared" si="46"/>
        <v>13</v>
      </c>
      <c r="R60" s="10">
        <f t="shared" si="45"/>
        <v>305</v>
      </c>
    </row>
    <row r="61" spans="11:19" x14ac:dyDescent="0.2">
      <c r="K61" s="19" t="s">
        <v>15</v>
      </c>
      <c r="L61" s="8">
        <v>1</v>
      </c>
      <c r="M61" s="9">
        <v>3</v>
      </c>
      <c r="N61" s="9">
        <v>1</v>
      </c>
      <c r="O61" s="9">
        <v>1</v>
      </c>
      <c r="P61" s="9">
        <v>1</v>
      </c>
      <c r="Q61" s="9">
        <v>1</v>
      </c>
      <c r="R61" s="10"/>
    </row>
    <row r="62" spans="11:19" x14ac:dyDescent="0.2">
      <c r="K62" s="19" t="s">
        <v>7</v>
      </c>
      <c r="L62" s="8">
        <f>L60/L61</f>
        <v>35</v>
      </c>
      <c r="M62" s="9">
        <f t="shared" ref="M62" si="47">M60/M61</f>
        <v>3.3333333333333335</v>
      </c>
      <c r="N62" s="9">
        <f t="shared" ref="N62" si="48">N60/N61</f>
        <v>122</v>
      </c>
      <c r="O62" s="9">
        <f t="shared" ref="O62" si="49">O60/O61</f>
        <v>0</v>
      </c>
      <c r="P62" s="9">
        <f t="shared" ref="P62" si="50">P60/P61</f>
        <v>125</v>
      </c>
      <c r="Q62" s="9">
        <f t="shared" ref="Q62" si="51">Q60/Q61</f>
        <v>13</v>
      </c>
      <c r="R62" s="10">
        <f t="shared" ref="R62" si="52">SUM(L62:Q62)</f>
        <v>298.33333333333337</v>
      </c>
    </row>
    <row r="63" spans="11:19" x14ac:dyDescent="0.2">
      <c r="K63" s="19" t="s">
        <v>8</v>
      </c>
      <c r="L63" s="16">
        <v>60</v>
      </c>
      <c r="M63" s="17">
        <v>60</v>
      </c>
      <c r="N63" s="17">
        <v>240</v>
      </c>
      <c r="O63" s="17">
        <v>320</v>
      </c>
      <c r="P63" s="17">
        <v>50</v>
      </c>
      <c r="Q63" s="17">
        <v>100</v>
      </c>
      <c r="R63" s="10">
        <f>R64/R59*1000</f>
        <v>128.29508196721309</v>
      </c>
    </row>
    <row r="64" spans="11:19" ht="17" thickBot="1" x14ac:dyDescent="0.25">
      <c r="K64" s="20" t="s">
        <v>9</v>
      </c>
      <c r="L64" s="11">
        <f>L62*L63/1000</f>
        <v>2.1</v>
      </c>
      <c r="M64" s="12">
        <f t="shared" ref="M64" si="53">M62*M63/1000</f>
        <v>0.2</v>
      </c>
      <c r="N64" s="12">
        <f t="shared" ref="N64" si="54">N62*N63/1000</f>
        <v>29.28</v>
      </c>
      <c r="O64" s="12">
        <f t="shared" ref="O64" si="55">O62*O63/1000</f>
        <v>0</v>
      </c>
      <c r="P64" s="12">
        <f t="shared" ref="P64" si="56">P62*P63/1000</f>
        <v>6.25</v>
      </c>
      <c r="Q64" s="12">
        <f t="shared" ref="Q64" si="57">Q62*Q63/1000</f>
        <v>1.3</v>
      </c>
      <c r="R64" s="13">
        <f>SUM(L64:Q64)</f>
        <v>39.129999999999995</v>
      </c>
      <c r="S64" t="s">
        <v>82</v>
      </c>
    </row>
    <row r="65" spans="11:19" x14ac:dyDescent="0.2">
      <c r="K65" s="19" t="s">
        <v>28</v>
      </c>
      <c r="S65" t="s">
        <v>83</v>
      </c>
    </row>
    <row r="67" spans="11:19" x14ac:dyDescent="0.2">
      <c r="K67" t="s">
        <v>26</v>
      </c>
      <c r="R67">
        <f>40*200/1000</f>
        <v>8</v>
      </c>
      <c r="S67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6D89-1C93-0740-A6CB-16DBB4836354}">
  <dimension ref="B1:U73"/>
  <sheetViews>
    <sheetView tabSelected="1" workbookViewId="0">
      <selection activeCell="C7" sqref="C7"/>
    </sheetView>
  </sheetViews>
  <sheetFormatPr baseColWidth="10" defaultRowHeight="16" x14ac:dyDescent="0.2"/>
  <sheetData>
    <row r="1" spans="2:21" x14ac:dyDescent="0.2">
      <c r="B1" s="29" t="s">
        <v>29</v>
      </c>
      <c r="C1" s="29"/>
      <c r="D1" s="29"/>
      <c r="E1" s="29"/>
      <c r="F1" s="29"/>
      <c r="G1" s="29"/>
      <c r="H1" s="29">
        <v>3</v>
      </c>
    </row>
    <row r="2" spans="2:21" x14ac:dyDescent="0.2">
      <c r="B2" s="29" t="s">
        <v>30</v>
      </c>
      <c r="C2" s="29"/>
      <c r="D2" s="29"/>
      <c r="E2" s="29"/>
      <c r="F2" s="29"/>
      <c r="G2" s="29"/>
      <c r="H2" s="29">
        <v>0.6</v>
      </c>
      <c r="K2" t="s">
        <v>92</v>
      </c>
      <c r="M2" t="s">
        <v>88</v>
      </c>
      <c r="O2" t="s">
        <v>89</v>
      </c>
      <c r="S2" t="s">
        <v>90</v>
      </c>
      <c r="U2" t="s">
        <v>91</v>
      </c>
    </row>
    <row r="3" spans="2:21" x14ac:dyDescent="0.2">
      <c r="B3" s="29" t="s">
        <v>31</v>
      </c>
      <c r="C3" s="29"/>
      <c r="D3" s="29"/>
      <c r="E3" s="29"/>
      <c r="F3" s="29"/>
      <c r="G3" s="29"/>
      <c r="H3" s="29">
        <v>8</v>
      </c>
      <c r="K3">
        <f>(M3+O3)*S3/U3*1000</f>
        <v>25</v>
      </c>
      <c r="M3">
        <v>70</v>
      </c>
      <c r="O3">
        <f>K6*H5/1000</f>
        <v>10</v>
      </c>
      <c r="S3">
        <v>50</v>
      </c>
      <c r="U3">
        <v>160000</v>
      </c>
    </row>
    <row r="4" spans="2:21" x14ac:dyDescent="0.2">
      <c r="B4" s="29" t="s">
        <v>32</v>
      </c>
      <c r="C4" s="29"/>
      <c r="D4" s="29"/>
      <c r="E4" s="29"/>
      <c r="F4" s="29"/>
      <c r="G4" s="29"/>
      <c r="H4" s="29">
        <v>0.15</v>
      </c>
      <c r="K4" t="s">
        <v>86</v>
      </c>
    </row>
    <row r="5" spans="2:21" x14ac:dyDescent="0.2">
      <c r="B5" s="29" t="s">
        <v>33</v>
      </c>
      <c r="C5" s="29"/>
      <c r="D5" s="29"/>
      <c r="E5" s="29"/>
      <c r="F5" s="29"/>
      <c r="G5" s="29"/>
      <c r="H5" s="29">
        <v>60</v>
      </c>
      <c r="K5">
        <v>600</v>
      </c>
      <c r="L5" t="s">
        <v>93</v>
      </c>
    </row>
    <row r="6" spans="2:21" x14ac:dyDescent="0.2">
      <c r="B6" s="29" t="s">
        <v>34</v>
      </c>
      <c r="C6" s="29"/>
      <c r="D6" s="29"/>
      <c r="E6" s="29"/>
      <c r="F6" s="29"/>
      <c r="G6" s="29"/>
      <c r="H6" s="29">
        <v>50</v>
      </c>
      <c r="K6">
        <f>K5/3.6</f>
        <v>166.66666666666666</v>
      </c>
      <c r="L6" t="s">
        <v>87</v>
      </c>
    </row>
    <row r="7" spans="2:21" ht="17" thickBot="1" x14ac:dyDescent="0.25">
      <c r="B7" s="29" t="s">
        <v>85</v>
      </c>
      <c r="C7" s="29"/>
      <c r="D7" s="29"/>
      <c r="E7" s="29"/>
      <c r="F7" s="29"/>
      <c r="G7" s="29"/>
      <c r="H7" s="29">
        <f>K3</f>
        <v>25</v>
      </c>
    </row>
    <row r="8" spans="2:21" ht="17" thickBot="1" x14ac:dyDescent="0.25">
      <c r="B8" s="30" t="s">
        <v>0</v>
      </c>
      <c r="C8" s="31">
        <v>2019</v>
      </c>
      <c r="D8" s="29"/>
      <c r="E8" s="29"/>
      <c r="F8" s="29"/>
      <c r="G8" s="29"/>
      <c r="H8" s="29"/>
      <c r="I8" s="30" t="s">
        <v>10</v>
      </c>
      <c r="J8" s="31">
        <v>2019</v>
      </c>
      <c r="K8" s="29"/>
      <c r="L8" s="29"/>
      <c r="M8" s="29"/>
      <c r="N8" s="29"/>
    </row>
    <row r="9" spans="2:21" x14ac:dyDescent="0.2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21" ht="17" thickBot="1" x14ac:dyDescent="0.25">
      <c r="B10" s="29" t="s">
        <v>35</v>
      </c>
      <c r="C10" s="29"/>
      <c r="D10" s="29"/>
      <c r="E10" s="29">
        <v>0</v>
      </c>
      <c r="F10" s="29"/>
      <c r="G10" s="29"/>
      <c r="H10" s="32"/>
      <c r="L10" s="29" t="s">
        <v>35</v>
      </c>
      <c r="M10" s="29"/>
      <c r="N10" s="29"/>
      <c r="O10" s="29">
        <v>0</v>
      </c>
      <c r="P10" s="29"/>
      <c r="Q10" s="29"/>
      <c r="R10" s="32"/>
    </row>
    <row r="11" spans="2:21" ht="37" x14ac:dyDescent="0.2">
      <c r="B11" s="33" t="s">
        <v>36</v>
      </c>
      <c r="C11" s="34" t="s">
        <v>37</v>
      </c>
      <c r="D11" s="35" t="s">
        <v>38</v>
      </c>
      <c r="E11" s="36" t="s">
        <v>39</v>
      </c>
      <c r="F11" s="36" t="s">
        <v>40</v>
      </c>
      <c r="G11" s="37" t="s">
        <v>41</v>
      </c>
      <c r="H11" s="37" t="s">
        <v>94</v>
      </c>
      <c r="L11" s="33" t="s">
        <v>36</v>
      </c>
      <c r="M11" s="34" t="s">
        <v>37</v>
      </c>
      <c r="N11" s="35" t="s">
        <v>38</v>
      </c>
      <c r="O11" s="36" t="s">
        <v>39</v>
      </c>
      <c r="P11" s="36" t="s">
        <v>40</v>
      </c>
      <c r="Q11" s="37" t="s">
        <v>41</v>
      </c>
      <c r="R11" s="37" t="s">
        <v>94</v>
      </c>
    </row>
    <row r="12" spans="2:21" x14ac:dyDescent="0.2">
      <c r="B12" s="38" t="s">
        <v>42</v>
      </c>
      <c r="C12" s="29">
        <v>170</v>
      </c>
      <c r="D12" s="29">
        <f>316+143+55+6</f>
        <v>520</v>
      </c>
      <c r="E12" s="29">
        <f>F12*D12</f>
        <v>676</v>
      </c>
      <c r="F12" s="29">
        <v>1.3</v>
      </c>
      <c r="G12" s="39">
        <f>C12*E12/(1000*F12)</f>
        <v>88.4</v>
      </c>
      <c r="H12" s="39">
        <v>0</v>
      </c>
      <c r="L12" s="38" t="s">
        <v>42</v>
      </c>
      <c r="M12" s="29">
        <v>170</v>
      </c>
      <c r="N12" s="29">
        <f>316+143+55+6</f>
        <v>520</v>
      </c>
      <c r="O12" s="29">
        <f>P12*N12</f>
        <v>676</v>
      </c>
      <c r="P12" s="29">
        <v>1.3</v>
      </c>
      <c r="Q12" s="39">
        <f>M12*O12/(1000*P12)</f>
        <v>88.4</v>
      </c>
      <c r="R12" s="39">
        <v>0</v>
      </c>
    </row>
    <row r="13" spans="2:21" x14ac:dyDescent="0.2">
      <c r="B13" s="38" t="s">
        <v>43</v>
      </c>
      <c r="C13" s="29">
        <f>120*(1-E$10)+E$10*$H$6*$H$4*$H$1</f>
        <v>120</v>
      </c>
      <c r="D13" s="29">
        <v>1.5</v>
      </c>
      <c r="E13" s="29">
        <f t="shared" ref="E13:E20" si="0">F13*D13</f>
        <v>1.9500000000000002</v>
      </c>
      <c r="F13" s="29">
        <v>1.3</v>
      </c>
      <c r="G13" s="39">
        <f t="shared" ref="G13:G20" si="1">C13*E13/(1000*F13)</f>
        <v>0.18000000000000002</v>
      </c>
      <c r="H13" s="39">
        <v>0</v>
      </c>
      <c r="L13" s="38" t="s">
        <v>43</v>
      </c>
      <c r="M13" s="29">
        <f>120*(1-O$10)+O$10*$H$6*$H$4*$H$1</f>
        <v>120</v>
      </c>
      <c r="N13" s="29">
        <v>1.5</v>
      </c>
      <c r="O13" s="29">
        <f t="shared" ref="O13:O20" si="2">P13*N13</f>
        <v>1.9500000000000002</v>
      </c>
      <c r="P13" s="29">
        <v>1.3</v>
      </c>
      <c r="Q13" s="39">
        <f t="shared" ref="Q13:Q20" si="3">M13*O13/(1000*P13)</f>
        <v>0.18000000000000002</v>
      </c>
      <c r="R13" s="39">
        <v>0</v>
      </c>
    </row>
    <row r="14" spans="2:21" x14ac:dyDescent="0.2">
      <c r="B14" s="38" t="s">
        <v>44</v>
      </c>
      <c r="C14" s="40">
        <f>$H$5*$H$4</f>
        <v>9</v>
      </c>
      <c r="D14" s="41">
        <v>1</v>
      </c>
      <c r="E14" s="29">
        <f t="shared" si="0"/>
        <v>1.3</v>
      </c>
      <c r="F14" s="29">
        <v>1.3</v>
      </c>
      <c r="G14" s="39">
        <f t="shared" si="1"/>
        <v>9.0000000000000011E-3</v>
      </c>
      <c r="H14" s="39">
        <f>D14*$H$7/1000</f>
        <v>2.5000000000000001E-2</v>
      </c>
      <c r="L14" s="38" t="s">
        <v>44</v>
      </c>
      <c r="M14" s="40">
        <f>$H$5*$H$4</f>
        <v>9</v>
      </c>
      <c r="N14" s="41">
        <v>1</v>
      </c>
      <c r="O14" s="29">
        <f t="shared" si="2"/>
        <v>1.3</v>
      </c>
      <c r="P14" s="29">
        <v>1.3</v>
      </c>
      <c r="Q14" s="39">
        <f t="shared" si="3"/>
        <v>9.0000000000000011E-3</v>
      </c>
      <c r="R14" s="39">
        <f>N14*$H$7/1000</f>
        <v>2.5000000000000001E-2</v>
      </c>
    </row>
    <row r="15" spans="2:21" ht="24" x14ac:dyDescent="0.2">
      <c r="B15" s="38" t="s">
        <v>45</v>
      </c>
      <c r="C15" s="29">
        <v>1100</v>
      </c>
      <c r="D15" s="41">
        <v>2.9</v>
      </c>
      <c r="E15" s="29">
        <f t="shared" si="0"/>
        <v>43.5</v>
      </c>
      <c r="F15" s="29">
        <v>15</v>
      </c>
      <c r="G15" s="39">
        <f t="shared" si="1"/>
        <v>3.19</v>
      </c>
      <c r="H15" s="39">
        <v>0</v>
      </c>
      <c r="L15" s="38" t="s">
        <v>45</v>
      </c>
      <c r="M15" s="29">
        <v>1100</v>
      </c>
      <c r="N15" s="41">
        <v>2.9</v>
      </c>
      <c r="O15" s="29">
        <f t="shared" si="2"/>
        <v>43.5</v>
      </c>
      <c r="P15" s="29">
        <v>15</v>
      </c>
      <c r="Q15" s="39">
        <f t="shared" si="3"/>
        <v>3.19</v>
      </c>
      <c r="R15" s="39">
        <v>0</v>
      </c>
    </row>
    <row r="16" spans="2:21" x14ac:dyDescent="0.2">
      <c r="B16" s="38" t="s">
        <v>46</v>
      </c>
      <c r="C16" s="29">
        <f>1000*(1-E$10)+E$10*$H$6*$H$4*$H$3*$H$1</f>
        <v>1000</v>
      </c>
      <c r="D16" s="29">
        <v>0.03</v>
      </c>
      <c r="E16" s="29">
        <f t="shared" si="0"/>
        <v>0.44999999999999996</v>
      </c>
      <c r="F16" s="29">
        <v>15</v>
      </c>
      <c r="G16" s="39">
        <f t="shared" si="1"/>
        <v>2.9999999999999995E-2</v>
      </c>
      <c r="H16" s="39">
        <v>0</v>
      </c>
      <c r="L16" s="38" t="s">
        <v>46</v>
      </c>
      <c r="M16" s="29">
        <f>1000*(1-O$10)+O$10*$H$6*$H$4*$H$3*$H$1</f>
        <v>1000</v>
      </c>
      <c r="N16" s="29">
        <v>0.03</v>
      </c>
      <c r="O16" s="29">
        <f t="shared" si="2"/>
        <v>0.44999999999999996</v>
      </c>
      <c r="P16" s="29">
        <v>15</v>
      </c>
      <c r="Q16" s="39">
        <f t="shared" si="3"/>
        <v>2.9999999999999995E-2</v>
      </c>
      <c r="R16" s="39">
        <v>0</v>
      </c>
    </row>
    <row r="17" spans="2:18" ht="24" x14ac:dyDescent="0.2">
      <c r="B17" s="38" t="s">
        <v>47</v>
      </c>
      <c r="C17" s="29">
        <v>0</v>
      </c>
      <c r="D17" s="41">
        <v>0</v>
      </c>
      <c r="E17" s="29">
        <f t="shared" si="0"/>
        <v>0</v>
      </c>
      <c r="F17" s="29">
        <v>15</v>
      </c>
      <c r="G17" s="39">
        <f t="shared" si="1"/>
        <v>0</v>
      </c>
      <c r="H17" s="39">
        <v>0</v>
      </c>
      <c r="L17" s="38" t="s">
        <v>47</v>
      </c>
      <c r="M17" s="29">
        <v>0</v>
      </c>
      <c r="N17" s="41">
        <v>0</v>
      </c>
      <c r="O17" s="29">
        <f t="shared" si="2"/>
        <v>0</v>
      </c>
      <c r="P17" s="29">
        <v>15</v>
      </c>
      <c r="Q17" s="39">
        <f t="shared" si="3"/>
        <v>0</v>
      </c>
      <c r="R17" s="39">
        <v>0</v>
      </c>
    </row>
    <row r="18" spans="2:18" x14ac:dyDescent="0.2">
      <c r="B18" s="38" t="s">
        <v>48</v>
      </c>
      <c r="C18" s="29">
        <f>$H$5*$H$4*$H$3*$H$1</f>
        <v>216</v>
      </c>
      <c r="D18" s="41">
        <v>0</v>
      </c>
      <c r="E18" s="29">
        <f t="shared" si="0"/>
        <v>0</v>
      </c>
      <c r="F18" s="29">
        <v>15</v>
      </c>
      <c r="G18" s="39">
        <f t="shared" si="1"/>
        <v>0</v>
      </c>
      <c r="H18" s="39">
        <v>0</v>
      </c>
      <c r="L18" s="38" t="s">
        <v>48</v>
      </c>
      <c r="M18" s="29">
        <f>$H$5*$H$4*$H$3*$H$1</f>
        <v>216</v>
      </c>
      <c r="N18" s="41">
        <v>0</v>
      </c>
      <c r="O18" s="29">
        <f t="shared" si="2"/>
        <v>0</v>
      </c>
      <c r="P18" s="29">
        <v>15</v>
      </c>
      <c r="Q18" s="39">
        <f t="shared" si="3"/>
        <v>0</v>
      </c>
      <c r="R18" s="39">
        <v>0</v>
      </c>
    </row>
    <row r="19" spans="2:18" ht="24" x14ac:dyDescent="0.2">
      <c r="B19" s="38" t="s">
        <v>49</v>
      </c>
      <c r="C19" s="29">
        <v>100</v>
      </c>
      <c r="D19" s="29">
        <v>13.5</v>
      </c>
      <c r="E19" s="29">
        <f t="shared" si="0"/>
        <v>13.5</v>
      </c>
      <c r="F19" s="29">
        <v>1</v>
      </c>
      <c r="G19" s="39">
        <f t="shared" si="1"/>
        <v>1.35</v>
      </c>
      <c r="H19" s="39">
        <v>0</v>
      </c>
      <c r="L19" s="38" t="s">
        <v>49</v>
      </c>
      <c r="M19" s="29">
        <v>100</v>
      </c>
      <c r="N19" s="29">
        <v>13.5</v>
      </c>
      <c r="O19" s="29">
        <f t="shared" si="2"/>
        <v>13.5</v>
      </c>
      <c r="P19" s="29">
        <v>1</v>
      </c>
      <c r="Q19" s="39">
        <f t="shared" si="3"/>
        <v>1.35</v>
      </c>
      <c r="R19" s="39">
        <v>0</v>
      </c>
    </row>
    <row r="20" spans="2:18" ht="25" thickBot="1" x14ac:dyDescent="0.25">
      <c r="B20" s="42" t="s">
        <v>50</v>
      </c>
      <c r="C20" s="43">
        <f>$H$4*$H$2*$H$5</f>
        <v>5.3999999999999995</v>
      </c>
      <c r="D20" s="43">
        <v>0.1</v>
      </c>
      <c r="E20" s="43">
        <f t="shared" si="0"/>
        <v>0.1</v>
      </c>
      <c r="F20" s="43">
        <v>1</v>
      </c>
      <c r="G20" s="44">
        <f t="shared" si="1"/>
        <v>5.399999999999999E-4</v>
      </c>
      <c r="H20" s="39">
        <f>D20*H7/1000</f>
        <v>2.5000000000000001E-3</v>
      </c>
      <c r="L20" s="42" t="s">
        <v>50</v>
      </c>
      <c r="M20" s="43">
        <f>$H$4*$H$2*$H$5</f>
        <v>5.3999999999999995</v>
      </c>
      <c r="N20" s="43">
        <v>0.1</v>
      </c>
      <c r="O20" s="43">
        <f t="shared" si="2"/>
        <v>0.1</v>
      </c>
      <c r="P20" s="43">
        <v>1</v>
      </c>
      <c r="Q20" s="44">
        <f t="shared" si="3"/>
        <v>5.399999999999999E-4</v>
      </c>
      <c r="R20" s="39">
        <f>N20*R7/1000</f>
        <v>0</v>
      </c>
    </row>
    <row r="21" spans="2:18" ht="36" x14ac:dyDescent="0.2">
      <c r="B21" s="29"/>
      <c r="C21" s="29"/>
      <c r="D21" s="45" t="s">
        <v>51</v>
      </c>
      <c r="E21" s="46">
        <f>SUM(E12:E20)</f>
        <v>736.80000000000007</v>
      </c>
      <c r="F21" s="45" t="s">
        <v>52</v>
      </c>
      <c r="G21" s="47">
        <f>SUM(G12:G20)</f>
        <v>93.159540000000007</v>
      </c>
      <c r="H21" s="47">
        <f>SUM(H12:H20)</f>
        <v>2.75E-2</v>
      </c>
      <c r="L21" s="29"/>
      <c r="M21" s="29"/>
      <c r="N21" s="45" t="s">
        <v>51</v>
      </c>
      <c r="O21" s="46">
        <f>SUM(O12:O20)</f>
        <v>736.80000000000007</v>
      </c>
      <c r="P21" s="45" t="s">
        <v>52</v>
      </c>
      <c r="Q21" s="47">
        <f>SUM(Q12:Q20)</f>
        <v>93.159540000000007</v>
      </c>
      <c r="R21" s="47">
        <f>SUM(R12:R20)</f>
        <v>2.5000000000000001E-2</v>
      </c>
    </row>
    <row r="22" spans="2:18" x14ac:dyDescent="0.2">
      <c r="B22" s="29"/>
      <c r="C22" s="29"/>
      <c r="D22" s="29"/>
      <c r="E22" s="29"/>
      <c r="F22" s="29"/>
      <c r="G22" s="29"/>
      <c r="L22" s="29"/>
      <c r="M22" s="29"/>
      <c r="N22" s="29"/>
      <c r="O22" s="29"/>
      <c r="P22" s="29"/>
      <c r="Q22" s="29"/>
    </row>
    <row r="23" spans="2:18" ht="17" thickBot="1" x14ac:dyDescent="0.25">
      <c r="B23" s="29"/>
      <c r="C23" s="29"/>
      <c r="D23" s="29"/>
      <c r="E23" s="29"/>
      <c r="F23" s="29"/>
      <c r="G23" s="29"/>
      <c r="H23" s="29"/>
      <c r="L23" s="29"/>
      <c r="M23" s="29"/>
      <c r="N23" s="29"/>
      <c r="O23" s="29"/>
      <c r="P23" s="29"/>
      <c r="Q23" s="29"/>
      <c r="R23" s="29"/>
    </row>
    <row r="24" spans="2:18" ht="37" x14ac:dyDescent="0.2">
      <c r="B24" s="33" t="s">
        <v>36</v>
      </c>
      <c r="C24" s="48" t="s">
        <v>53</v>
      </c>
      <c r="D24" s="35" t="s">
        <v>38</v>
      </c>
      <c r="E24" s="36" t="s">
        <v>39</v>
      </c>
      <c r="F24" s="49" t="s">
        <v>40</v>
      </c>
      <c r="G24" s="37" t="s">
        <v>41</v>
      </c>
      <c r="H24" s="37" t="s">
        <v>41</v>
      </c>
      <c r="L24" s="33" t="s">
        <v>36</v>
      </c>
      <c r="M24" s="48" t="s">
        <v>53</v>
      </c>
      <c r="N24" s="35" t="s">
        <v>38</v>
      </c>
      <c r="O24" s="36" t="s">
        <v>39</v>
      </c>
      <c r="P24" s="49" t="s">
        <v>40</v>
      </c>
      <c r="Q24" s="37" t="s">
        <v>41</v>
      </c>
      <c r="R24" s="37" t="s">
        <v>41</v>
      </c>
    </row>
    <row r="25" spans="2:18" ht="24" x14ac:dyDescent="0.2">
      <c r="B25" s="38" t="s">
        <v>54</v>
      </c>
      <c r="C25" s="29">
        <v>5</v>
      </c>
      <c r="D25" s="50"/>
      <c r="E25" s="50">
        <v>112</v>
      </c>
      <c r="F25" s="29"/>
      <c r="G25" s="39">
        <f>C25*E25/1000</f>
        <v>0.56000000000000005</v>
      </c>
      <c r="H25" s="39">
        <f>D25*F25/1000</f>
        <v>0</v>
      </c>
      <c r="L25" s="38" t="s">
        <v>54</v>
      </c>
      <c r="M25" s="29">
        <v>5</v>
      </c>
      <c r="N25" s="50"/>
      <c r="O25" s="50">
        <v>112</v>
      </c>
      <c r="P25" s="29"/>
      <c r="Q25" s="39">
        <f>M25*O25/1000</f>
        <v>0.56000000000000005</v>
      </c>
      <c r="R25" s="39">
        <f>N25*P25/1000</f>
        <v>0</v>
      </c>
    </row>
    <row r="26" spans="2:18" ht="36" x14ac:dyDescent="0.2">
      <c r="B26" s="38" t="s">
        <v>55</v>
      </c>
      <c r="C26" s="51">
        <v>134</v>
      </c>
      <c r="D26" s="51"/>
      <c r="E26" s="51">
        <v>15.6</v>
      </c>
      <c r="F26" s="29"/>
      <c r="G26" s="39">
        <f t="shared" ref="G26:H27" si="4">C26*E26/1000</f>
        <v>2.0904000000000003</v>
      </c>
      <c r="H26" s="39">
        <f t="shared" si="4"/>
        <v>0</v>
      </c>
      <c r="L26" s="38" t="s">
        <v>55</v>
      </c>
      <c r="M26" s="51">
        <v>134</v>
      </c>
      <c r="N26" s="51"/>
      <c r="O26" s="51">
        <v>15.6</v>
      </c>
      <c r="P26" s="29"/>
      <c r="Q26" s="39">
        <f t="shared" ref="Q26:R27" si="5">M26*O26/1000</f>
        <v>2.0904000000000003</v>
      </c>
      <c r="R26" s="39">
        <f t="shared" si="5"/>
        <v>0</v>
      </c>
    </row>
    <row r="27" spans="2:18" ht="37" thickBot="1" x14ac:dyDescent="0.25">
      <c r="B27" s="42" t="s">
        <v>56</v>
      </c>
      <c r="C27" s="52">
        <v>80</v>
      </c>
      <c r="D27" s="52"/>
      <c r="E27" s="52">
        <f>0.004*8400</f>
        <v>33.6</v>
      </c>
      <c r="F27" s="43"/>
      <c r="G27" s="44">
        <f t="shared" si="4"/>
        <v>2.6880000000000002</v>
      </c>
      <c r="H27" s="44">
        <f t="shared" si="4"/>
        <v>0</v>
      </c>
      <c r="L27" s="42" t="s">
        <v>56</v>
      </c>
      <c r="M27" s="52">
        <v>80</v>
      </c>
      <c r="N27" s="52"/>
      <c r="O27" s="52">
        <f>0.004*8400</f>
        <v>33.6</v>
      </c>
      <c r="P27" s="43"/>
      <c r="Q27" s="44">
        <f t="shared" si="5"/>
        <v>2.6880000000000002</v>
      </c>
      <c r="R27" s="44">
        <f t="shared" si="5"/>
        <v>0</v>
      </c>
    </row>
    <row r="28" spans="2:18" x14ac:dyDescent="0.2">
      <c r="B28" s="53"/>
      <c r="C28" s="29"/>
      <c r="D28" s="45" t="s">
        <v>57</v>
      </c>
      <c r="E28" s="46">
        <f>E21+SUM(E25:E27)</f>
        <v>898</v>
      </c>
      <c r="F28" s="45" t="s">
        <v>6</v>
      </c>
      <c r="G28" s="46">
        <f>G21+SUM(G25:G27)</f>
        <v>98.49794</v>
      </c>
      <c r="H28" s="46">
        <f>H21+SUM(H25:H27)</f>
        <v>2.75E-2</v>
      </c>
      <c r="L28" s="53"/>
      <c r="M28" s="29"/>
      <c r="N28" s="45" t="s">
        <v>57</v>
      </c>
      <c r="O28" s="46">
        <f>O21+SUM(O25:O27)</f>
        <v>898</v>
      </c>
      <c r="P28" s="45" t="s">
        <v>6</v>
      </c>
      <c r="Q28" s="46">
        <f>Q21+SUM(Q25:Q27)</f>
        <v>98.49794</v>
      </c>
      <c r="R28" s="46">
        <f>R21+SUM(R25:R27)</f>
        <v>2.5000000000000001E-2</v>
      </c>
    </row>
    <row r="29" spans="2:18" x14ac:dyDescent="0.2">
      <c r="H29" s="50">
        <f>SUM(G21:H21)</f>
        <v>93.18704000000001</v>
      </c>
      <c r="R29" s="50">
        <f>Q28+R28</f>
        <v>98.522940000000006</v>
      </c>
    </row>
    <row r="30" spans="2:18" ht="16" customHeight="1" x14ac:dyDescent="0.2"/>
    <row r="31" spans="2:18" ht="47" customHeight="1" x14ac:dyDescent="0.2">
      <c r="L31" s="74" t="s">
        <v>84</v>
      </c>
      <c r="M31" s="74"/>
      <c r="N31" s="74"/>
      <c r="O31" s="74"/>
      <c r="Q31" t="s">
        <v>95</v>
      </c>
      <c r="R31" s="72">
        <f>H29-R51</f>
        <v>23.494247705999996</v>
      </c>
    </row>
    <row r="32" spans="2:18" ht="17" thickBot="1" x14ac:dyDescent="0.25">
      <c r="L32" s="29" t="s">
        <v>35</v>
      </c>
      <c r="M32" s="29"/>
      <c r="N32" s="29"/>
      <c r="O32" s="29">
        <v>0</v>
      </c>
      <c r="P32" s="29"/>
      <c r="Q32" s="29"/>
      <c r="R32" s="32"/>
    </row>
    <row r="33" spans="12:20" ht="37" x14ac:dyDescent="0.2">
      <c r="L33" s="33" t="s">
        <v>36</v>
      </c>
      <c r="M33" s="34" t="s">
        <v>37</v>
      </c>
      <c r="N33" s="35" t="s">
        <v>38</v>
      </c>
      <c r="O33" s="36" t="s">
        <v>39</v>
      </c>
      <c r="P33" s="36" t="s">
        <v>40</v>
      </c>
      <c r="Q33" s="37" t="s">
        <v>41</v>
      </c>
      <c r="R33" s="37" t="s">
        <v>94</v>
      </c>
    </row>
    <row r="34" spans="12:20" x14ac:dyDescent="0.2">
      <c r="L34" s="38" t="s">
        <v>42</v>
      </c>
      <c r="M34" s="29">
        <v>170</v>
      </c>
      <c r="N34" s="29">
        <v>327</v>
      </c>
      <c r="O34" s="29">
        <f>P34*N34</f>
        <v>425.1</v>
      </c>
      <c r="P34" s="29">
        <v>1.3</v>
      </c>
      <c r="Q34" s="39">
        <f>M34*O34/(1000*P34)</f>
        <v>55.59</v>
      </c>
      <c r="R34" s="39">
        <v>0</v>
      </c>
      <c r="T34">
        <f>676*0.8-112-3</f>
        <v>425.80000000000007</v>
      </c>
    </row>
    <row r="35" spans="12:20" x14ac:dyDescent="0.2">
      <c r="L35" s="38" t="s">
        <v>43</v>
      </c>
      <c r="M35" s="29">
        <f>120*(1-O$10)+O$10*$H$6*$H$4*$H$1</f>
        <v>120</v>
      </c>
      <c r="N35" s="29">
        <v>1.5</v>
      </c>
      <c r="O35" s="29">
        <f t="shared" ref="O35:O42" si="6">P35*N35</f>
        <v>1.9500000000000002</v>
      </c>
      <c r="P35" s="29">
        <v>1.3</v>
      </c>
      <c r="Q35" s="39">
        <f t="shared" ref="Q35:Q42" si="7">M35*O35/(1000*P35)</f>
        <v>0.18000000000000002</v>
      </c>
      <c r="R35" s="39">
        <v>0</v>
      </c>
    </row>
    <row r="36" spans="12:20" x14ac:dyDescent="0.2">
      <c r="L36" s="38" t="s">
        <v>44</v>
      </c>
      <c r="M36" s="40">
        <f>$H$5*$H$4</f>
        <v>9</v>
      </c>
      <c r="N36" s="41">
        <v>1</v>
      </c>
      <c r="O36" s="29">
        <f t="shared" si="6"/>
        <v>1.3</v>
      </c>
      <c r="P36" s="29">
        <v>1.3</v>
      </c>
      <c r="Q36" s="39">
        <f t="shared" si="7"/>
        <v>9.0000000000000011E-3</v>
      </c>
      <c r="R36" s="39">
        <f>N36*$H$7/1000</f>
        <v>2.5000000000000001E-2</v>
      </c>
    </row>
    <row r="37" spans="12:20" ht="24" x14ac:dyDescent="0.2">
      <c r="L37" s="38" t="s">
        <v>45</v>
      </c>
      <c r="M37" s="29">
        <v>1100</v>
      </c>
      <c r="N37" s="41">
        <v>6</v>
      </c>
      <c r="O37" s="29">
        <f t="shared" si="6"/>
        <v>90</v>
      </c>
      <c r="P37" s="29">
        <v>15</v>
      </c>
      <c r="Q37" s="39">
        <f t="shared" si="7"/>
        <v>6.6</v>
      </c>
      <c r="R37" s="39">
        <v>0</v>
      </c>
    </row>
    <row r="38" spans="12:20" x14ac:dyDescent="0.2">
      <c r="L38" s="38" t="s">
        <v>46</v>
      </c>
      <c r="M38" s="29">
        <f>1000*(1-O$10)+O$10*$H$6*$H$4*$H$3*$H$1</f>
        <v>1000</v>
      </c>
      <c r="N38" s="29">
        <v>0.03</v>
      </c>
      <c r="O38" s="29">
        <f t="shared" si="6"/>
        <v>0.44999999999999996</v>
      </c>
      <c r="P38" s="29">
        <v>15</v>
      </c>
      <c r="Q38" s="39">
        <f t="shared" si="7"/>
        <v>2.9999999999999995E-2</v>
      </c>
      <c r="R38" s="39">
        <v>0</v>
      </c>
    </row>
    <row r="39" spans="12:20" ht="24" x14ac:dyDescent="0.2">
      <c r="L39" s="38" t="s">
        <v>47</v>
      </c>
      <c r="M39" s="29">
        <v>0</v>
      </c>
      <c r="N39" s="41">
        <v>0</v>
      </c>
      <c r="O39" s="29">
        <f t="shared" si="6"/>
        <v>0</v>
      </c>
      <c r="P39" s="29">
        <v>15</v>
      </c>
      <c r="Q39" s="39">
        <f t="shared" si="7"/>
        <v>0</v>
      </c>
      <c r="R39" s="39">
        <v>0</v>
      </c>
    </row>
    <row r="40" spans="12:20" x14ac:dyDescent="0.2">
      <c r="L40" s="38" t="s">
        <v>48</v>
      </c>
      <c r="M40" s="29">
        <f>$H$5*$H$4*$H$3*$H$1</f>
        <v>216</v>
      </c>
      <c r="N40" s="41">
        <v>0</v>
      </c>
      <c r="O40" s="29">
        <f t="shared" si="6"/>
        <v>0</v>
      </c>
      <c r="P40" s="29">
        <v>15</v>
      </c>
      <c r="Q40" s="39">
        <f t="shared" si="7"/>
        <v>0</v>
      </c>
      <c r="R40" s="39">
        <v>0</v>
      </c>
    </row>
    <row r="41" spans="12:20" ht="24" x14ac:dyDescent="0.2">
      <c r="L41" s="38" t="s">
        <v>49</v>
      </c>
      <c r="M41" s="29">
        <v>100</v>
      </c>
      <c r="N41" s="29">
        <v>13.5</v>
      </c>
      <c r="O41" s="29">
        <f t="shared" si="6"/>
        <v>13.5</v>
      </c>
      <c r="P41" s="29">
        <v>1</v>
      </c>
      <c r="Q41" s="39">
        <f t="shared" si="7"/>
        <v>1.35</v>
      </c>
      <c r="R41" s="39">
        <v>0</v>
      </c>
    </row>
    <row r="42" spans="12:20" ht="25" thickBot="1" x14ac:dyDescent="0.25">
      <c r="L42" s="42" t="s">
        <v>50</v>
      </c>
      <c r="M42" s="43">
        <f>$H$4*$H$2*$H$5</f>
        <v>5.3999999999999995</v>
      </c>
      <c r="N42" s="43">
        <v>0.1</v>
      </c>
      <c r="O42" s="43">
        <f t="shared" si="6"/>
        <v>0.1</v>
      </c>
      <c r="P42" s="43">
        <v>1</v>
      </c>
      <c r="Q42" s="44">
        <f t="shared" si="7"/>
        <v>5.399999999999999E-4</v>
      </c>
      <c r="R42" s="39">
        <f>N42*R29/1000</f>
        <v>9.852294000000001E-3</v>
      </c>
    </row>
    <row r="43" spans="12:20" ht="36" x14ac:dyDescent="0.2">
      <c r="L43" s="29"/>
      <c r="M43" s="29"/>
      <c r="N43" s="45" t="s">
        <v>51</v>
      </c>
      <c r="O43" s="46">
        <f>SUM(O34:O42)</f>
        <v>532.40000000000009</v>
      </c>
      <c r="P43" s="45" t="s">
        <v>52</v>
      </c>
      <c r="Q43" s="47">
        <f>SUM(Q34:Q42)</f>
        <v>63.759540000000008</v>
      </c>
      <c r="R43" s="47">
        <f>SUM(R34:R42)</f>
        <v>3.4852294000000006E-2</v>
      </c>
    </row>
    <row r="44" spans="12:20" x14ac:dyDescent="0.2">
      <c r="L44" s="29"/>
      <c r="M44" s="29"/>
      <c r="N44" s="29"/>
      <c r="O44" s="29"/>
      <c r="P44" s="29"/>
      <c r="Q44" s="29"/>
    </row>
    <row r="45" spans="12:20" ht="17" thickBot="1" x14ac:dyDescent="0.25">
      <c r="L45" s="29"/>
      <c r="M45" s="29"/>
      <c r="N45" s="29"/>
      <c r="O45" s="29"/>
      <c r="P45" s="29"/>
      <c r="Q45" s="29"/>
      <c r="R45" s="29"/>
    </row>
    <row r="46" spans="12:20" ht="37" x14ac:dyDescent="0.2">
      <c r="L46" s="33" t="s">
        <v>36</v>
      </c>
      <c r="M46" s="48" t="s">
        <v>53</v>
      </c>
      <c r="N46" s="35" t="s">
        <v>38</v>
      </c>
      <c r="O46" s="36" t="s">
        <v>39</v>
      </c>
      <c r="P46" s="49" t="s">
        <v>40</v>
      </c>
      <c r="Q46" s="37" t="s">
        <v>41</v>
      </c>
      <c r="R46" s="37" t="s">
        <v>41</v>
      </c>
    </row>
    <row r="47" spans="12:20" ht="24" x14ac:dyDescent="0.2">
      <c r="L47" s="38" t="s">
        <v>54</v>
      </c>
      <c r="M47" s="29">
        <v>5</v>
      </c>
      <c r="N47" s="50"/>
      <c r="O47" s="50">
        <v>224</v>
      </c>
      <c r="P47" s="29"/>
      <c r="Q47" s="39">
        <f>M47*O47/1000</f>
        <v>1.1200000000000001</v>
      </c>
      <c r="R47" s="39">
        <f>N47*P47/1000</f>
        <v>0</v>
      </c>
    </row>
    <row r="48" spans="12:20" ht="36" x14ac:dyDescent="0.2">
      <c r="L48" s="38" t="s">
        <v>55</v>
      </c>
      <c r="M48" s="51">
        <v>134</v>
      </c>
      <c r="N48" s="51"/>
      <c r="O48" s="51">
        <v>15.6</v>
      </c>
      <c r="P48" s="29"/>
      <c r="Q48" s="39">
        <f t="shared" ref="Q48:Q49" si="8">M48*O48/1000</f>
        <v>2.0904000000000003</v>
      </c>
      <c r="R48" s="39">
        <f t="shared" ref="R48:R49" si="9">N48*P48/1000</f>
        <v>0</v>
      </c>
    </row>
    <row r="49" spans="12:20" ht="37" thickBot="1" x14ac:dyDescent="0.25">
      <c r="L49" s="42" t="s">
        <v>56</v>
      </c>
      <c r="M49" s="52">
        <v>80</v>
      </c>
      <c r="N49" s="52"/>
      <c r="O49" s="52">
        <f>0.004*8400</f>
        <v>33.6</v>
      </c>
      <c r="P49" s="43"/>
      <c r="Q49" s="44">
        <f t="shared" si="8"/>
        <v>2.6880000000000002</v>
      </c>
      <c r="R49" s="44">
        <f t="shared" si="9"/>
        <v>0</v>
      </c>
    </row>
    <row r="50" spans="12:20" x14ac:dyDescent="0.2">
      <c r="L50" s="53"/>
      <c r="M50" s="29"/>
      <c r="N50" s="45" t="s">
        <v>57</v>
      </c>
      <c r="O50" s="46">
        <f>O43+SUM(O47:O49)</f>
        <v>805.60000000000014</v>
      </c>
      <c r="P50" s="45" t="s">
        <v>6</v>
      </c>
      <c r="Q50" s="46">
        <f>Q43+SUM(Q47:Q49)</f>
        <v>69.657940000000011</v>
      </c>
      <c r="R50" s="46">
        <f>R43+SUM(R47:R49)</f>
        <v>3.4852294000000006E-2</v>
      </c>
    </row>
    <row r="51" spans="12:20" x14ac:dyDescent="0.2">
      <c r="R51" s="50">
        <f>Q50+R50</f>
        <v>69.692792294000014</v>
      </c>
    </row>
    <row r="52" spans="12:20" x14ac:dyDescent="0.2">
      <c r="L52" s="29"/>
      <c r="M52" s="29"/>
      <c r="N52" s="29"/>
      <c r="O52" s="29"/>
      <c r="P52" s="29"/>
      <c r="Q52" s="29"/>
    </row>
    <row r="53" spans="12:20" x14ac:dyDescent="0.2">
      <c r="L53" t="s">
        <v>96</v>
      </c>
      <c r="R53" s="72">
        <f>H29-R73</f>
        <v>43.681825478023264</v>
      </c>
    </row>
    <row r="54" spans="12:20" ht="17" thickBot="1" x14ac:dyDescent="0.25">
      <c r="L54" s="29" t="s">
        <v>35</v>
      </c>
      <c r="M54" s="29"/>
      <c r="N54" s="29"/>
      <c r="O54" s="29">
        <v>0</v>
      </c>
      <c r="P54" s="29"/>
      <c r="Q54" s="29"/>
      <c r="R54" s="32"/>
    </row>
    <row r="55" spans="12:20" ht="37" x14ac:dyDescent="0.2">
      <c r="L55" s="33" t="s">
        <v>36</v>
      </c>
      <c r="M55" s="34" t="s">
        <v>37</v>
      </c>
      <c r="N55" s="35" t="s">
        <v>38</v>
      </c>
      <c r="O55" s="36" t="s">
        <v>39</v>
      </c>
      <c r="P55" s="36" t="s">
        <v>40</v>
      </c>
      <c r="Q55" s="37" t="s">
        <v>41</v>
      </c>
      <c r="R55" s="37" t="s">
        <v>94</v>
      </c>
    </row>
    <row r="56" spans="12:20" x14ac:dyDescent="0.2">
      <c r="L56" s="38" t="s">
        <v>42</v>
      </c>
      <c r="M56" s="29">
        <v>170</v>
      </c>
      <c r="N56" s="29">
        <v>130</v>
      </c>
      <c r="O56" s="29">
        <f>P56*N56</f>
        <v>169</v>
      </c>
      <c r="P56" s="29">
        <v>1.3</v>
      </c>
      <c r="Q56" s="39">
        <f>M56*O56/(1000*P56)</f>
        <v>22.1</v>
      </c>
      <c r="R56" s="39">
        <v>0</v>
      </c>
      <c r="T56">
        <f>521*0.75</f>
        <v>390.75</v>
      </c>
    </row>
    <row r="57" spans="12:20" x14ac:dyDescent="0.2">
      <c r="L57" s="38" t="s">
        <v>43</v>
      </c>
      <c r="M57" s="29">
        <f>120*(1-O$10)+O$10*$H$6*$H$4*$H$1</f>
        <v>120</v>
      </c>
      <c r="N57" s="29">
        <v>1.5</v>
      </c>
      <c r="O57" s="29">
        <f t="shared" ref="O57:O64" si="10">P57*N57</f>
        <v>1.9500000000000002</v>
      </c>
      <c r="P57" s="29">
        <v>1.3</v>
      </c>
      <c r="Q57" s="39">
        <f t="shared" ref="Q57:Q64" si="11">M57*O57/(1000*P57)</f>
        <v>0.18000000000000002</v>
      </c>
      <c r="R57" s="39">
        <v>0</v>
      </c>
    </row>
    <row r="58" spans="12:20" x14ac:dyDescent="0.2">
      <c r="L58" s="38" t="s">
        <v>44</v>
      </c>
      <c r="M58" s="40">
        <f>$H$5*$H$4</f>
        <v>9</v>
      </c>
      <c r="N58" s="41">
        <v>521</v>
      </c>
      <c r="O58" s="29">
        <f t="shared" si="10"/>
        <v>677.30000000000007</v>
      </c>
      <c r="P58" s="29">
        <v>1.3</v>
      </c>
      <c r="Q58" s="39">
        <f t="shared" si="11"/>
        <v>4.6890000000000009</v>
      </c>
      <c r="R58" s="39">
        <f>N58*$H$7/1000</f>
        <v>13.025</v>
      </c>
    </row>
    <row r="59" spans="12:20" ht="24" x14ac:dyDescent="0.2">
      <c r="L59" s="38" t="s">
        <v>45</v>
      </c>
      <c r="M59" s="29">
        <v>1100</v>
      </c>
      <c r="N59" s="41">
        <v>0.75</v>
      </c>
      <c r="O59" s="29">
        <f t="shared" si="10"/>
        <v>11.25</v>
      </c>
      <c r="P59" s="29">
        <v>15</v>
      </c>
      <c r="Q59" s="39">
        <f t="shared" si="11"/>
        <v>0.82499999999999996</v>
      </c>
      <c r="R59" s="39">
        <v>0</v>
      </c>
    </row>
    <row r="60" spans="12:20" x14ac:dyDescent="0.2">
      <c r="L60" s="38" t="s">
        <v>46</v>
      </c>
      <c r="M60" s="29">
        <f>1000*(1-O$10)+O$10*$H$6*$H$4*$H$3*$H$1</f>
        <v>1000</v>
      </c>
      <c r="N60" s="29">
        <v>2.25</v>
      </c>
      <c r="O60" s="29">
        <f t="shared" si="10"/>
        <v>33.75</v>
      </c>
      <c r="P60" s="29">
        <v>15</v>
      </c>
      <c r="Q60" s="39">
        <f t="shared" si="11"/>
        <v>2.25</v>
      </c>
      <c r="R60" s="39">
        <v>0</v>
      </c>
    </row>
    <row r="61" spans="12:20" ht="24" x14ac:dyDescent="0.2">
      <c r="L61" s="38" t="s">
        <v>47</v>
      </c>
      <c r="M61" s="29">
        <v>0</v>
      </c>
      <c r="N61" s="41">
        <v>0</v>
      </c>
      <c r="O61" s="29">
        <f t="shared" si="10"/>
        <v>0</v>
      </c>
      <c r="P61" s="29">
        <v>15</v>
      </c>
      <c r="Q61" s="39">
        <f t="shared" si="11"/>
        <v>0</v>
      </c>
      <c r="R61" s="39">
        <v>0</v>
      </c>
    </row>
    <row r="62" spans="12:20" x14ac:dyDescent="0.2">
      <c r="L62" s="38" t="s">
        <v>48</v>
      </c>
      <c r="M62" s="29">
        <f>$H$5*$H$4*$H$3*$H$1</f>
        <v>216</v>
      </c>
      <c r="N62" s="41">
        <v>0</v>
      </c>
      <c r="O62" s="29">
        <f t="shared" si="10"/>
        <v>0</v>
      </c>
      <c r="P62" s="29">
        <v>15</v>
      </c>
      <c r="Q62" s="39">
        <f t="shared" si="11"/>
        <v>0</v>
      </c>
      <c r="R62" s="39">
        <v>0</v>
      </c>
    </row>
    <row r="63" spans="12:20" ht="24" x14ac:dyDescent="0.2">
      <c r="L63" s="38" t="s">
        <v>49</v>
      </c>
      <c r="M63" s="29">
        <v>100</v>
      </c>
      <c r="N63" s="73">
        <v>3.375</v>
      </c>
      <c r="O63" s="29">
        <f t="shared" si="10"/>
        <v>3.375</v>
      </c>
      <c r="P63" s="29">
        <v>1</v>
      </c>
      <c r="Q63" s="39">
        <f t="shared" si="11"/>
        <v>0.33750000000000002</v>
      </c>
      <c r="R63" s="39">
        <v>0</v>
      </c>
    </row>
    <row r="64" spans="12:20" ht="25" thickBot="1" x14ac:dyDescent="0.25">
      <c r="L64" s="42" t="s">
        <v>50</v>
      </c>
      <c r="M64" s="43">
        <f>$H$4*$H$2*$H$5</f>
        <v>5.3999999999999995</v>
      </c>
      <c r="N64" s="43">
        <v>10.125</v>
      </c>
      <c r="O64" s="43">
        <f t="shared" si="10"/>
        <v>10.125</v>
      </c>
      <c r="P64" s="43">
        <v>1</v>
      </c>
      <c r="Q64" s="44">
        <f t="shared" si="11"/>
        <v>5.4674999999999994E-2</v>
      </c>
      <c r="R64" s="39">
        <f>N64*R51/1000</f>
        <v>0.70563952197675017</v>
      </c>
    </row>
    <row r="65" spans="12:18" ht="36" x14ac:dyDescent="0.2">
      <c r="L65" s="29"/>
      <c r="M65" s="29"/>
      <c r="N65" s="45" t="s">
        <v>51</v>
      </c>
      <c r="O65" s="46">
        <f>SUM(O56:O64)</f>
        <v>906.75</v>
      </c>
      <c r="P65" s="45" t="s">
        <v>52</v>
      </c>
      <c r="Q65" s="47">
        <f>SUM(Q56:Q64)</f>
        <v>30.436174999999999</v>
      </c>
      <c r="R65" s="47">
        <f>SUM(R56:R64)</f>
        <v>13.73063952197675</v>
      </c>
    </row>
    <row r="66" spans="12:18" x14ac:dyDescent="0.2">
      <c r="L66" s="29"/>
      <c r="M66" s="29"/>
      <c r="N66" s="29"/>
      <c r="O66" s="29"/>
      <c r="P66" s="29"/>
      <c r="Q66" s="29"/>
    </row>
    <row r="67" spans="12:18" ht="17" thickBot="1" x14ac:dyDescent="0.25">
      <c r="L67" s="29"/>
      <c r="M67" s="29"/>
      <c r="N67" s="29"/>
      <c r="O67" s="29"/>
      <c r="P67" s="29"/>
      <c r="Q67" s="29"/>
      <c r="R67" s="29"/>
    </row>
    <row r="68" spans="12:18" ht="37" x14ac:dyDescent="0.2">
      <c r="L68" s="33" t="s">
        <v>36</v>
      </c>
      <c r="M68" s="48" t="s">
        <v>53</v>
      </c>
      <c r="N68" s="35" t="s">
        <v>38</v>
      </c>
      <c r="O68" s="36" t="s">
        <v>39</v>
      </c>
      <c r="P68" s="49" t="s">
        <v>40</v>
      </c>
      <c r="Q68" s="37" t="s">
        <v>41</v>
      </c>
      <c r="R68" s="37" t="s">
        <v>41</v>
      </c>
    </row>
    <row r="69" spans="12:18" ht="24" x14ac:dyDescent="0.2">
      <c r="L69" s="38" t="s">
        <v>54</v>
      </c>
      <c r="M69" s="29">
        <v>5</v>
      </c>
      <c r="N69" s="50"/>
      <c r="O69" s="50">
        <v>112</v>
      </c>
      <c r="P69" s="29"/>
      <c r="Q69" s="39">
        <f>M69*O69/1000</f>
        <v>0.56000000000000005</v>
      </c>
      <c r="R69" s="39">
        <f>N69*P69/1000</f>
        <v>0</v>
      </c>
    </row>
    <row r="70" spans="12:18" ht="36" x14ac:dyDescent="0.2">
      <c r="L70" s="38" t="s">
        <v>55</v>
      </c>
      <c r="M70" s="51">
        <v>134</v>
      </c>
      <c r="N70" s="51"/>
      <c r="O70" s="51">
        <v>15.6</v>
      </c>
      <c r="P70" s="29"/>
      <c r="Q70" s="39">
        <f t="shared" ref="Q70:Q71" si="12">M70*O70/1000</f>
        <v>2.0904000000000003</v>
      </c>
      <c r="R70" s="39">
        <f t="shared" ref="R70:R71" si="13">N70*P70/1000</f>
        <v>0</v>
      </c>
    </row>
    <row r="71" spans="12:18" ht="37" thickBot="1" x14ac:dyDescent="0.25">
      <c r="L71" s="42" t="s">
        <v>56</v>
      </c>
      <c r="M71" s="52">
        <v>80</v>
      </c>
      <c r="N71" s="52"/>
      <c r="O71" s="52">
        <f>0.004*8400</f>
        <v>33.6</v>
      </c>
      <c r="P71" s="43"/>
      <c r="Q71" s="44">
        <f t="shared" si="12"/>
        <v>2.6880000000000002</v>
      </c>
      <c r="R71" s="44">
        <f t="shared" si="13"/>
        <v>0</v>
      </c>
    </row>
    <row r="72" spans="12:18" x14ac:dyDescent="0.2">
      <c r="L72" s="53"/>
      <c r="M72" s="29"/>
      <c r="N72" s="45" t="s">
        <v>57</v>
      </c>
      <c r="O72" s="46">
        <f>O65+SUM(O69:O71)</f>
        <v>1067.95</v>
      </c>
      <c r="P72" s="45" t="s">
        <v>6</v>
      </c>
      <c r="Q72" s="46">
        <f>Q65+SUM(Q69:Q71)</f>
        <v>35.774574999999999</v>
      </c>
      <c r="R72" s="46">
        <f>R65+SUM(R69:R71)</f>
        <v>13.73063952197675</v>
      </c>
    </row>
    <row r="73" spans="12:18" x14ac:dyDescent="0.2">
      <c r="R73" s="50">
        <f>Q72+R72</f>
        <v>49.505214521976747</v>
      </c>
    </row>
  </sheetData>
  <mergeCells count="1">
    <mergeCell ref="L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E3EE-0FA5-5542-858E-18ACBAB712D3}">
  <dimension ref="A2:H32"/>
  <sheetViews>
    <sheetView workbookViewId="0">
      <selection activeCell="N30" sqref="N30"/>
    </sheetView>
  </sheetViews>
  <sheetFormatPr baseColWidth="10" defaultRowHeight="16" x14ac:dyDescent="0.2"/>
  <sheetData>
    <row r="2" spans="1:8" x14ac:dyDescent="0.2">
      <c r="A2" s="54"/>
      <c r="B2" s="54"/>
      <c r="C2" s="54"/>
      <c r="D2" s="54"/>
      <c r="E2" s="54"/>
      <c r="F2" s="54"/>
      <c r="G2" s="54"/>
      <c r="H2" s="54"/>
    </row>
    <row r="3" spans="1:8" x14ac:dyDescent="0.2">
      <c r="A3" s="54"/>
      <c r="B3" s="54"/>
      <c r="C3" s="54"/>
      <c r="D3" s="54"/>
      <c r="E3" s="54"/>
      <c r="F3" s="54"/>
      <c r="G3" s="54"/>
      <c r="H3" s="54"/>
    </row>
    <row r="4" spans="1:8" x14ac:dyDescent="0.2">
      <c r="A4" s="54"/>
      <c r="B4" s="54"/>
      <c r="C4" s="54"/>
      <c r="D4" s="54"/>
      <c r="E4" s="54"/>
      <c r="F4" s="54"/>
      <c r="G4" s="54"/>
      <c r="H4" s="54"/>
    </row>
    <row r="5" spans="1:8" ht="37" x14ac:dyDescent="0.2">
      <c r="A5" s="54"/>
      <c r="B5" s="55" t="s">
        <v>36</v>
      </c>
      <c r="C5" s="56" t="s">
        <v>58</v>
      </c>
      <c r="D5" s="57" t="s">
        <v>38</v>
      </c>
      <c r="E5" s="58" t="s">
        <v>39</v>
      </c>
      <c r="F5" s="58" t="s">
        <v>40</v>
      </c>
      <c r="G5" s="58" t="s">
        <v>41</v>
      </c>
      <c r="H5" s="75" t="s">
        <v>59</v>
      </c>
    </row>
    <row r="6" spans="1:8" x14ac:dyDescent="0.2">
      <c r="A6" s="54"/>
      <c r="B6" s="59" t="s">
        <v>60</v>
      </c>
      <c r="C6" s="60">
        <v>165.74</v>
      </c>
      <c r="D6" s="60">
        <v>316.26</v>
      </c>
      <c r="E6" s="60">
        <v>379.51</v>
      </c>
      <c r="F6" s="60">
        <v>1.2</v>
      </c>
      <c r="G6" s="60">
        <v>52.42</v>
      </c>
      <c r="H6" s="75"/>
    </row>
    <row r="7" spans="1:8" x14ac:dyDescent="0.2">
      <c r="A7" s="54"/>
      <c r="B7" s="59" t="s">
        <v>61</v>
      </c>
      <c r="C7" s="60">
        <v>155.80000000000001</v>
      </c>
      <c r="D7" s="60">
        <v>143.02000000000001</v>
      </c>
      <c r="E7" s="60">
        <v>171.63</v>
      </c>
      <c r="F7" s="60">
        <v>1.2</v>
      </c>
      <c r="G7" s="60">
        <v>22.28</v>
      </c>
      <c r="H7" s="75"/>
    </row>
    <row r="8" spans="1:8" x14ac:dyDescent="0.2">
      <c r="A8" s="54"/>
      <c r="B8" s="59" t="s">
        <v>62</v>
      </c>
      <c r="C8" s="60">
        <v>110.15</v>
      </c>
      <c r="D8" s="60">
        <v>1.44</v>
      </c>
      <c r="E8" s="60">
        <v>1.73</v>
      </c>
      <c r="F8" s="60">
        <v>1.2</v>
      </c>
      <c r="G8" s="60">
        <v>0.16</v>
      </c>
      <c r="H8" s="75"/>
    </row>
    <row r="9" spans="1:8" x14ac:dyDescent="0.2">
      <c r="A9" s="54"/>
      <c r="B9" s="59" t="s">
        <v>63</v>
      </c>
      <c r="C9" s="60">
        <v>139.32</v>
      </c>
      <c r="D9" s="60">
        <v>0.08</v>
      </c>
      <c r="E9" s="60">
        <v>0.09</v>
      </c>
      <c r="F9" s="60">
        <v>1.2</v>
      </c>
      <c r="G9" s="60">
        <v>0.01</v>
      </c>
      <c r="H9" s="75"/>
    </row>
    <row r="10" spans="1:8" x14ac:dyDescent="0.2">
      <c r="A10" s="54"/>
      <c r="B10" s="59" t="s">
        <v>64</v>
      </c>
      <c r="C10" s="60">
        <v>0</v>
      </c>
      <c r="D10" s="60">
        <v>1.02</v>
      </c>
      <c r="E10" s="60">
        <v>1.23</v>
      </c>
      <c r="F10" s="60">
        <v>1.2</v>
      </c>
      <c r="G10" s="60">
        <v>0</v>
      </c>
      <c r="H10" s="75"/>
    </row>
    <row r="11" spans="1:8" x14ac:dyDescent="0.2">
      <c r="A11" s="54"/>
      <c r="B11" s="59" t="s">
        <v>65</v>
      </c>
      <c r="C11" s="60">
        <v>219.21</v>
      </c>
      <c r="D11" s="60">
        <v>54.62</v>
      </c>
      <c r="E11" s="60">
        <v>98.31</v>
      </c>
      <c r="F11" s="60">
        <v>1.8</v>
      </c>
      <c r="G11" s="60">
        <v>11.97</v>
      </c>
      <c r="H11" s="75"/>
    </row>
    <row r="12" spans="1:8" x14ac:dyDescent="0.2">
      <c r="A12" s="54"/>
      <c r="B12" s="59" t="s">
        <v>66</v>
      </c>
      <c r="C12" s="60">
        <v>189.07</v>
      </c>
      <c r="D12" s="60">
        <v>6.25</v>
      </c>
      <c r="E12" s="60">
        <v>11.26</v>
      </c>
      <c r="F12" s="60">
        <v>1.8</v>
      </c>
      <c r="G12" s="60">
        <v>1.18</v>
      </c>
      <c r="H12" s="75"/>
    </row>
    <row r="13" spans="1:8" x14ac:dyDescent="0.2">
      <c r="A13" s="54"/>
      <c r="B13" s="59" t="s">
        <v>67</v>
      </c>
      <c r="C13" s="60">
        <v>0</v>
      </c>
      <c r="D13" s="60">
        <v>0.26</v>
      </c>
      <c r="E13" s="60">
        <v>0.47</v>
      </c>
      <c r="F13" s="60">
        <v>1.8</v>
      </c>
      <c r="G13" s="60">
        <v>0</v>
      </c>
      <c r="H13" s="75"/>
    </row>
    <row r="14" spans="1:8" x14ac:dyDescent="0.2">
      <c r="A14" s="54"/>
      <c r="B14" s="59" t="s">
        <v>68</v>
      </c>
      <c r="C14" s="60">
        <v>1112.98</v>
      </c>
      <c r="D14" s="60">
        <v>2.9</v>
      </c>
      <c r="E14" s="60">
        <v>41.34</v>
      </c>
      <c r="F14" s="60">
        <v>14.27</v>
      </c>
      <c r="G14" s="60">
        <v>3.22</v>
      </c>
      <c r="H14" s="75"/>
    </row>
    <row r="15" spans="1:8" ht="24" x14ac:dyDescent="0.2">
      <c r="A15" s="54"/>
      <c r="B15" s="59" t="s">
        <v>69</v>
      </c>
      <c r="C15" s="60">
        <v>431.33</v>
      </c>
      <c r="D15" s="60">
        <v>0</v>
      </c>
      <c r="E15" s="60">
        <v>0</v>
      </c>
      <c r="F15" s="60">
        <v>14.27</v>
      </c>
      <c r="G15" s="60">
        <v>0</v>
      </c>
      <c r="H15" s="75"/>
    </row>
    <row r="16" spans="1:8" x14ac:dyDescent="0.2">
      <c r="A16" s="54"/>
      <c r="B16" s="59" t="s">
        <v>70</v>
      </c>
      <c r="C16" s="60">
        <v>1140.5899999999999</v>
      </c>
      <c r="D16" s="60">
        <v>0.03</v>
      </c>
      <c r="E16" s="60">
        <v>0.47</v>
      </c>
      <c r="F16" s="60">
        <v>14.27</v>
      </c>
      <c r="G16" s="60">
        <v>0.04</v>
      </c>
      <c r="H16" s="75"/>
    </row>
    <row r="17" spans="1:8" ht="24" x14ac:dyDescent="0.2">
      <c r="A17" s="54"/>
      <c r="B17" s="59" t="s">
        <v>71</v>
      </c>
      <c r="C17" s="60">
        <v>0</v>
      </c>
      <c r="D17" s="60">
        <v>0</v>
      </c>
      <c r="E17" s="60">
        <v>0.03</v>
      </c>
      <c r="F17" s="60">
        <v>14.27</v>
      </c>
      <c r="G17" s="60">
        <v>0</v>
      </c>
      <c r="H17" s="75"/>
    </row>
    <row r="18" spans="1:8" ht="24" x14ac:dyDescent="0.2">
      <c r="A18" s="54"/>
      <c r="B18" s="59" t="s">
        <v>72</v>
      </c>
      <c r="C18" s="60">
        <v>105.51</v>
      </c>
      <c r="D18" s="60">
        <v>12.97</v>
      </c>
      <c r="E18" s="60">
        <v>13.1</v>
      </c>
      <c r="F18" s="60">
        <v>1.01</v>
      </c>
      <c r="G18" s="60">
        <v>1.37</v>
      </c>
      <c r="H18" s="75"/>
    </row>
    <row r="19" spans="1:8" x14ac:dyDescent="0.2">
      <c r="A19" s="54"/>
      <c r="B19" s="59" t="s">
        <v>73</v>
      </c>
      <c r="C19" s="60">
        <v>105.51</v>
      </c>
      <c r="D19" s="60">
        <v>0.93</v>
      </c>
      <c r="E19" s="60">
        <v>0.94</v>
      </c>
      <c r="F19" s="60">
        <v>1.01</v>
      </c>
      <c r="G19" s="60">
        <v>0.1</v>
      </c>
      <c r="H19" s="75"/>
    </row>
    <row r="20" spans="1:8" ht="24" x14ac:dyDescent="0.2">
      <c r="A20" s="54"/>
      <c r="B20" s="59" t="s">
        <v>74</v>
      </c>
      <c r="C20" s="60">
        <v>0</v>
      </c>
      <c r="D20" s="61">
        <v>0.1</v>
      </c>
      <c r="E20" s="61">
        <v>0.1</v>
      </c>
      <c r="F20" s="60">
        <v>1.01</v>
      </c>
      <c r="G20" s="60">
        <v>0</v>
      </c>
      <c r="H20" s="75"/>
    </row>
    <row r="21" spans="1:8" ht="36" x14ac:dyDescent="0.2">
      <c r="A21" s="54"/>
      <c r="B21" s="54"/>
      <c r="C21" s="62"/>
      <c r="D21" s="55" t="s">
        <v>51</v>
      </c>
      <c r="E21" s="56">
        <v>720.21</v>
      </c>
      <c r="F21" s="63" t="s">
        <v>52</v>
      </c>
      <c r="G21" s="64">
        <v>92.75</v>
      </c>
      <c r="H21" s="75"/>
    </row>
    <row r="22" spans="1:8" x14ac:dyDescent="0.2">
      <c r="A22" s="54"/>
      <c r="B22" s="54"/>
      <c r="C22" s="54"/>
      <c r="D22" s="54"/>
      <c r="E22" s="54"/>
      <c r="F22" s="54"/>
      <c r="G22" s="65"/>
      <c r="H22" s="66"/>
    </row>
    <row r="23" spans="1:8" ht="37" x14ac:dyDescent="0.2">
      <c r="A23" s="54"/>
      <c r="B23" s="55" t="s">
        <v>36</v>
      </c>
      <c r="C23" s="56" t="s">
        <v>53</v>
      </c>
      <c r="D23" s="57" t="s">
        <v>38</v>
      </c>
      <c r="E23" s="58" t="s">
        <v>39</v>
      </c>
      <c r="F23" s="67" t="s">
        <v>40</v>
      </c>
      <c r="G23" s="68" t="s">
        <v>41</v>
      </c>
      <c r="H23" s="66"/>
    </row>
    <row r="24" spans="1:8" x14ac:dyDescent="0.2">
      <c r="A24" s="54"/>
      <c r="B24" s="59" t="s">
        <v>75</v>
      </c>
      <c r="C24" s="60">
        <v>1.9</v>
      </c>
      <c r="D24" s="60"/>
      <c r="E24" s="60">
        <v>61.89</v>
      </c>
      <c r="F24" s="69"/>
      <c r="G24" s="60">
        <v>0.12</v>
      </c>
      <c r="H24" s="76" t="s">
        <v>76</v>
      </c>
    </row>
    <row r="25" spans="1:8" x14ac:dyDescent="0.2">
      <c r="A25" s="54"/>
      <c r="B25" s="59" t="s">
        <v>77</v>
      </c>
      <c r="C25" s="60">
        <v>24.81</v>
      </c>
      <c r="D25" s="60"/>
      <c r="E25" s="60">
        <v>15.22</v>
      </c>
      <c r="F25" s="69"/>
      <c r="G25" s="60">
        <v>0.38</v>
      </c>
      <c r="H25" s="76"/>
    </row>
    <row r="26" spans="1:8" x14ac:dyDescent="0.2">
      <c r="A26" s="54"/>
      <c r="B26" s="59" t="s">
        <v>78</v>
      </c>
      <c r="C26" s="60">
        <v>5.29</v>
      </c>
      <c r="D26" s="60"/>
      <c r="E26" s="60">
        <v>5.46</v>
      </c>
      <c r="F26" s="69"/>
      <c r="G26" s="60">
        <v>0.03</v>
      </c>
      <c r="H26" s="76"/>
    </row>
    <row r="27" spans="1:8" x14ac:dyDescent="0.2">
      <c r="A27" s="54"/>
      <c r="B27" s="59" t="s">
        <v>79</v>
      </c>
      <c r="C27" s="60">
        <v>4.5</v>
      </c>
      <c r="D27" s="60"/>
      <c r="E27" s="60">
        <v>19.5</v>
      </c>
      <c r="F27" s="69"/>
      <c r="G27" s="60">
        <v>0.09</v>
      </c>
      <c r="H27" s="76"/>
    </row>
    <row r="28" spans="1:8" x14ac:dyDescent="0.2">
      <c r="A28" s="54"/>
      <c r="B28" s="59" t="s">
        <v>80</v>
      </c>
      <c r="C28" s="60">
        <v>2.5</v>
      </c>
      <c r="D28" s="60"/>
      <c r="E28" s="60">
        <v>10.6</v>
      </c>
      <c r="F28" s="69"/>
      <c r="G28" s="60">
        <v>0.03</v>
      </c>
      <c r="H28" s="76"/>
    </row>
    <row r="29" spans="1:8" ht="36" x14ac:dyDescent="0.2">
      <c r="A29" s="54"/>
      <c r="B29" s="59" t="s">
        <v>55</v>
      </c>
      <c r="C29" s="60">
        <v>134.62</v>
      </c>
      <c r="D29" s="60"/>
      <c r="E29" s="60">
        <v>15.6</v>
      </c>
      <c r="F29" s="69"/>
      <c r="G29" s="60">
        <v>2.1</v>
      </c>
      <c r="H29" s="76"/>
    </row>
    <row r="30" spans="1:8" ht="36" x14ac:dyDescent="0.2">
      <c r="A30" s="54"/>
      <c r="B30" s="59" t="s">
        <v>56</v>
      </c>
      <c r="C30" s="60">
        <v>80.36</v>
      </c>
      <c r="D30" s="60"/>
      <c r="E30" s="60">
        <v>33.6</v>
      </c>
      <c r="F30" s="69"/>
      <c r="G30" s="60">
        <v>2.7</v>
      </c>
      <c r="H30" s="76"/>
    </row>
    <row r="31" spans="1:8" x14ac:dyDescent="0.2">
      <c r="A31" s="54"/>
      <c r="B31" s="54"/>
      <c r="C31" s="70"/>
      <c r="D31" s="63" t="s">
        <v>57</v>
      </c>
      <c r="E31" s="71">
        <v>882.08</v>
      </c>
      <c r="F31" s="63" t="s">
        <v>6</v>
      </c>
      <c r="G31" s="71">
        <v>98.19</v>
      </c>
      <c r="H31" s="54"/>
    </row>
    <row r="32" spans="1:8" x14ac:dyDescent="0.2">
      <c r="A32" s="54"/>
      <c r="B32" s="54"/>
      <c r="C32" s="54"/>
      <c r="D32" s="54"/>
      <c r="E32" s="54"/>
      <c r="F32" s="54"/>
      <c r="G32" s="54"/>
      <c r="H32" s="54"/>
    </row>
  </sheetData>
  <mergeCells count="2">
    <mergeCell ref="H5:H21"/>
    <mergeCell ref="H24:H30"/>
  </mergeCells>
  <hyperlinks>
    <hyperlink ref="H24" r:id="rId1" display="http://voy.km/" xr:uid="{E18D2378-DB13-A740-A850-123E6B80B1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Décarbonation chauffage</vt:lpstr>
      <vt:lpstr>Transport-simple</vt:lpstr>
      <vt:lpstr>Transport-complexe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2021-11-15T07:03:08Z</dcterms:created>
  <dcterms:modified xsi:type="dcterms:W3CDTF">2021-11-19T14:44:47Z</dcterms:modified>
</cp:coreProperties>
</file>