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Enseignement/Cours/Mes_Cours/2021_11_ES3033/"/>
    </mc:Choice>
  </mc:AlternateContent>
  <xr:revisionPtr revIDLastSave="0" documentId="13_ncr:1_{94AC8B82-365F-954E-A69F-7C882CC40E68}" xr6:coauthVersionLast="47" xr6:coauthVersionMax="47" xr10:uidLastSave="{00000000-0000-0000-0000-000000000000}"/>
  <bookViews>
    <workbookView xWindow="11720" yWindow="500" windowWidth="40340" windowHeight="24140" xr2:uid="{F78FCDAA-C319-E14D-839D-EB98F97F9351}"/>
  </bookViews>
  <sheets>
    <sheet name="Chauffage-simple" sheetId="1" r:id="rId1"/>
    <sheet name="Transport-simple" sheetId="2" r:id="rId2"/>
    <sheet name="Transport-compl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/>
  <c r="C13" i="2"/>
  <c r="C16" i="2"/>
  <c r="M27" i="2"/>
  <c r="O27" i="2" s="1"/>
  <c r="O26" i="2"/>
  <c r="O25" i="2"/>
  <c r="M20" i="2"/>
  <c r="K20" i="2"/>
  <c r="M19" i="2"/>
  <c r="O19" i="2" s="1"/>
  <c r="M18" i="2"/>
  <c r="K18" i="2"/>
  <c r="O18" i="2" s="1"/>
  <c r="M17" i="2"/>
  <c r="O17" i="2" s="1"/>
  <c r="M16" i="2"/>
  <c r="K16" i="2"/>
  <c r="M15" i="2"/>
  <c r="O15" i="2" s="1"/>
  <c r="M14" i="2"/>
  <c r="O14" i="2" s="1"/>
  <c r="K14" i="2"/>
  <c r="M13" i="2"/>
  <c r="M12" i="2"/>
  <c r="C14" i="2"/>
  <c r="O16" i="2" l="1"/>
  <c r="O13" i="2"/>
  <c r="O20" i="2"/>
  <c r="M21" i="2"/>
  <c r="M28" i="2" s="1"/>
  <c r="O12" i="2"/>
  <c r="C20" i="2"/>
  <c r="C18" i="2"/>
  <c r="G25" i="2"/>
  <c r="E27" i="2"/>
  <c r="D12" i="2"/>
  <c r="E12" i="2" s="1"/>
  <c r="G12" i="2" s="1"/>
  <c r="E13" i="2"/>
  <c r="G13" i="2" s="1"/>
  <c r="E14" i="2"/>
  <c r="E15" i="2"/>
  <c r="E16" i="2"/>
  <c r="E17" i="2"/>
  <c r="G17" i="2" s="1"/>
  <c r="E18" i="2"/>
  <c r="E19" i="2"/>
  <c r="G19" i="2" s="1"/>
  <c r="E20" i="2"/>
  <c r="G20" i="2"/>
  <c r="E29" i="3"/>
  <c r="C29" i="3"/>
  <c r="C28" i="3"/>
  <c r="G27" i="3"/>
  <c r="G26" i="3"/>
  <c r="G25" i="3"/>
  <c r="G24" i="3"/>
  <c r="G23" i="3"/>
  <c r="E19" i="3"/>
  <c r="G19" i="3" s="1"/>
  <c r="E18" i="3"/>
  <c r="G18" i="3" s="1"/>
  <c r="E17" i="3"/>
  <c r="G17" i="3" s="1"/>
  <c r="E16" i="3"/>
  <c r="G16" i="3" s="1"/>
  <c r="D16" i="3"/>
  <c r="D15" i="3"/>
  <c r="E15" i="3" s="1"/>
  <c r="G15" i="3" s="1"/>
  <c r="E14" i="3"/>
  <c r="G14" i="3" s="1"/>
  <c r="D14" i="3"/>
  <c r="D13" i="3"/>
  <c r="E13" i="3" s="1"/>
  <c r="G13" i="3" s="1"/>
  <c r="E12" i="3"/>
  <c r="G12" i="3" s="1"/>
  <c r="D12" i="3"/>
  <c r="D11" i="3"/>
  <c r="E11" i="3" s="1"/>
  <c r="G11" i="3" s="1"/>
  <c r="D10" i="3"/>
  <c r="E10" i="3" s="1"/>
  <c r="G10" i="3" s="1"/>
  <c r="G9" i="3"/>
  <c r="E9" i="3"/>
  <c r="G8" i="3"/>
  <c r="E8" i="3"/>
  <c r="G7" i="3"/>
  <c r="E7" i="3"/>
  <c r="E6" i="3"/>
  <c r="G5" i="3"/>
  <c r="E5" i="3"/>
  <c r="O21" i="2" l="1"/>
  <c r="O28" i="2" s="1"/>
  <c r="G16" i="2"/>
  <c r="G14" i="2"/>
  <c r="G18" i="2"/>
  <c r="E21" i="2"/>
  <c r="E28" i="2" s="1"/>
  <c r="G15" i="2"/>
  <c r="E20" i="3"/>
  <c r="E30" i="3"/>
  <c r="G6" i="3"/>
  <c r="G30" i="3" s="1"/>
  <c r="G20" i="3"/>
  <c r="G21" i="2" l="1"/>
  <c r="R59" i="1"/>
  <c r="M57" i="1"/>
  <c r="O60" i="1" s="1"/>
  <c r="O62" i="1" s="1"/>
  <c r="O64" i="1" s="1"/>
  <c r="R47" i="1"/>
  <c r="M45" i="1"/>
  <c r="N48" i="1" s="1"/>
  <c r="N50" i="1" s="1"/>
  <c r="N52" i="1" s="1"/>
  <c r="R34" i="1"/>
  <c r="M32" i="1"/>
  <c r="P35" i="1" s="1"/>
  <c r="P37" i="1" s="1"/>
  <c r="P39" i="1" s="1"/>
  <c r="R21" i="1"/>
  <c r="M19" i="1"/>
  <c r="P22" i="1" s="1"/>
  <c r="P24" i="1" s="1"/>
  <c r="P26" i="1" s="1"/>
  <c r="M7" i="1"/>
  <c r="L10" i="1" s="1"/>
  <c r="C11" i="1"/>
  <c r="R9" i="1"/>
  <c r="H9" i="1"/>
  <c r="D11" i="1"/>
  <c r="E11" i="1"/>
  <c r="F11" i="1"/>
  <c r="G11" i="1"/>
  <c r="B11" i="1"/>
  <c r="M10" i="1" l="1"/>
  <c r="Q10" i="1"/>
  <c r="P10" i="1"/>
  <c r="P12" i="1" s="1"/>
  <c r="P14" i="1" s="1"/>
  <c r="O10" i="1"/>
  <c r="N10" i="1"/>
  <c r="Q35" i="1"/>
  <c r="Q37" i="1" s="1"/>
  <c r="Q39" i="1" s="1"/>
  <c r="Q60" i="1"/>
  <c r="Q62" i="1" s="1"/>
  <c r="Q64" i="1" s="1"/>
  <c r="P60" i="1"/>
  <c r="P62" i="1" s="1"/>
  <c r="P64" i="1" s="1"/>
  <c r="L60" i="1"/>
  <c r="M60" i="1"/>
  <c r="M62" i="1" s="1"/>
  <c r="M64" i="1" s="1"/>
  <c r="N60" i="1"/>
  <c r="N62" i="1" s="1"/>
  <c r="N64" i="1" s="1"/>
  <c r="O48" i="1"/>
  <c r="O50" i="1" s="1"/>
  <c r="O52" i="1" s="1"/>
  <c r="P48" i="1"/>
  <c r="P50" i="1" s="1"/>
  <c r="P52" i="1" s="1"/>
  <c r="Q48" i="1"/>
  <c r="Q50" i="1" s="1"/>
  <c r="Q52" i="1" s="1"/>
  <c r="L48" i="1"/>
  <c r="M48" i="1"/>
  <c r="M50" i="1" s="1"/>
  <c r="M52" i="1" s="1"/>
  <c r="M35" i="1"/>
  <c r="M37" i="1" s="1"/>
  <c r="N35" i="1"/>
  <c r="N37" i="1" s="1"/>
  <c r="N39" i="1" s="1"/>
  <c r="L35" i="1"/>
  <c r="O35" i="1"/>
  <c r="O37" i="1" s="1"/>
  <c r="O39" i="1" s="1"/>
  <c r="Q22" i="1"/>
  <c r="Q24" i="1" s="1"/>
  <c r="Q26" i="1" s="1"/>
  <c r="N22" i="1"/>
  <c r="N24" i="1" s="1"/>
  <c r="N26" i="1" s="1"/>
  <c r="L22" i="1"/>
  <c r="M22" i="1"/>
  <c r="M24" i="1" s="1"/>
  <c r="O22" i="1"/>
  <c r="O24" i="1" s="1"/>
  <c r="O26" i="1" s="1"/>
  <c r="M12" i="1"/>
  <c r="L12" i="1"/>
  <c r="N12" i="1"/>
  <c r="N14" i="1" s="1"/>
  <c r="Q12" i="1"/>
  <c r="Q14" i="1" s="1"/>
  <c r="O12" i="1"/>
  <c r="O14" i="1" s="1"/>
  <c r="H11" i="1"/>
  <c r="L14" i="1" l="1"/>
  <c r="R14" i="1" s="1"/>
  <c r="R13" i="1" s="1"/>
  <c r="M14" i="1"/>
  <c r="M26" i="1"/>
  <c r="M39" i="1"/>
  <c r="H10" i="1"/>
  <c r="L62" i="1"/>
  <c r="R60" i="1"/>
  <c r="L50" i="1"/>
  <c r="R48" i="1"/>
  <c r="L37" i="1"/>
  <c r="R35" i="1"/>
  <c r="L24" i="1"/>
  <c r="R22" i="1"/>
  <c r="R10" i="1"/>
  <c r="R12" i="1"/>
  <c r="R62" i="1" l="1"/>
  <c r="L64" i="1"/>
  <c r="R64" i="1" s="1"/>
  <c r="L52" i="1"/>
  <c r="R52" i="1" s="1"/>
  <c r="R50" i="1"/>
  <c r="L39" i="1"/>
  <c r="R39" i="1" s="1"/>
  <c r="R37" i="1"/>
  <c r="R24" i="1"/>
  <c r="L26" i="1"/>
  <c r="R26" i="1" s="1"/>
  <c r="R25" i="1" l="1"/>
  <c r="R38" i="1"/>
  <c r="R63" i="1"/>
  <c r="R51" i="1"/>
  <c r="G26" i="2"/>
  <c r="G27" i="2"/>
  <c r="G2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3" authorId="0" shapeId="0" xr:uid="{8A4A642B-74AF-854A-8781-ECDA786A39C0}">
      <text>
        <r>
          <rPr>
            <sz val="11"/>
            <color theme="1"/>
            <rFont val="Arial"/>
            <family val="2"/>
          </rPr>
          <t>======
ID#AAAARSFltn4
Marie Gruet    (2021-10-27 08:29:01)
https://www.oui.sncf/aide/calcul-des-emissions-de-co2-sur-votre-trajet-en-train</t>
        </r>
      </text>
    </comment>
    <comment ref="C24" authorId="0" shapeId="0" xr:uid="{BB8878A6-CBA8-704B-86FB-D6BDE1A1E07E}">
      <text>
        <r>
          <rPr>
            <sz val="11"/>
            <color theme="1"/>
            <rFont val="Arial"/>
            <family val="2"/>
          </rPr>
          <t>======
ID#AAAARSFltoA
Marie Gruet    (2021-10-27 08:31:24)
https://www.oui.sncf/aide/calcul-des-emissions-de-co2-sur-votre-trajet-en-train</t>
        </r>
      </text>
    </comment>
    <comment ref="C25" authorId="0" shapeId="0" xr:uid="{4A4950E9-E45F-4C4A-96A4-02A671C5A032}">
      <text>
        <r>
          <rPr>
            <sz val="11"/>
            <color theme="1"/>
            <rFont val="Arial"/>
            <family val="2"/>
          </rPr>
          <t>======
ID#AAAARSFltoE
Marie Gruet    (2021-10-27 08:31:30)
https://www.oui.sncf/aide/calcul-des-emissions-de-co2-sur-votre-trajet-en-train</t>
        </r>
      </text>
    </comment>
    <comment ref="C26" authorId="0" shapeId="0" xr:uid="{A492C8F0-949F-6A47-AC52-2570C606C5CB}">
      <text>
        <r>
          <rPr>
            <sz val="11"/>
            <color theme="1"/>
            <rFont val="Arial"/>
            <family val="2"/>
          </rPr>
          <t>======
ID#AAAARSFltoI
Marie Gruet    (2021-10-27 08:31:35)
https://www.oui.sncf/aide/calcul-des-emissions-de-co2-sur-votre-trajet-en-train</t>
        </r>
      </text>
    </comment>
    <comment ref="C27" authorId="0" shapeId="0" xr:uid="{03CAF324-03D3-0341-8749-D8485D53C99C}">
      <text>
        <r>
          <rPr>
            <sz val="11"/>
            <color theme="1"/>
            <rFont val="Arial"/>
            <family val="2"/>
          </rPr>
          <t>======
ID#AAAARSFltn8
Marie Gruet    (2021-10-27 08:31:08)
https://www.transilien.com/fr/page-corporate/calcul-emissions-co2</t>
        </r>
      </text>
    </comment>
    <comment ref="G28" authorId="0" shapeId="0" xr:uid="{B659E12E-7BA1-E342-89D0-A60D7A2E0E9F}">
      <text>
        <r>
          <rPr>
            <sz val="11"/>
            <color theme="1"/>
            <rFont val="Arial"/>
            <family val="2"/>
          </rPr>
          <t>======
ID#AAAARSFltoM
Manon Nguyen Van Mai    (2021-10-27 08:38:46)
https://www.ecologie.gouv.fr/sites/default/files/bilan_emissions_gazeuses_2019.pdf</t>
        </r>
      </text>
    </comment>
    <comment ref="G29" authorId="0" shapeId="0" xr:uid="{1F25C0A0-70F5-2541-8975-3FF30A154BC9}">
      <text>
        <r>
          <rPr>
            <sz val="11"/>
            <color theme="1"/>
            <rFont val="Arial"/>
            <family val="2"/>
          </rPr>
          <t>======
ID#AAAARSFltoQ
Manon Nguyen Van Mai    (2021-10-27 08:38:53)
https://www.ecologie.gouv.fr/sites/default/files/bilan_emissions_gazeuses_2019.pdf</t>
        </r>
      </text>
    </comment>
  </commentList>
</comments>
</file>

<file path=xl/sharedStrings.xml><?xml version="1.0" encoding="utf-8"?>
<sst xmlns="http://schemas.openxmlformats.org/spreadsheetml/2006/main" count="239" uniqueCount="86">
  <si>
    <t>Present</t>
  </si>
  <si>
    <t>Elect</t>
  </si>
  <si>
    <t>Gaz</t>
  </si>
  <si>
    <t>Fioul</t>
  </si>
  <si>
    <t>Bois</t>
  </si>
  <si>
    <t>Urbain</t>
  </si>
  <si>
    <t>Total</t>
  </si>
  <si>
    <t>Conso (TWh/an)</t>
  </si>
  <si>
    <t>Emissions gCO2e/kWh</t>
  </si>
  <si>
    <t>Emissions totales MtCO2e/an</t>
  </si>
  <si>
    <t>Futur</t>
  </si>
  <si>
    <t>Facteur Rénovation</t>
  </si>
  <si>
    <t>PAC</t>
  </si>
  <si>
    <t>Ancien Besoin (TWh/an)</t>
  </si>
  <si>
    <t>Nouveau Besoin (TWh/an)</t>
  </si>
  <si>
    <t>Efficacité COP</t>
  </si>
  <si>
    <t xml:space="preserve">à vous de jouer : </t>
  </si>
  <si>
    <t xml:space="preserve">(1) changez les moyens de chauffage en changeant la première ligne </t>
  </si>
  <si>
    <t>(3) changez les émissions</t>
  </si>
  <si>
    <t>(2) changez la rénovation/baisse de temperature de consigne avec le facteur rénovation</t>
  </si>
  <si>
    <t>°C</t>
  </si>
  <si>
    <t>Facteur efficacité</t>
  </si>
  <si>
    <t>Baisse de temperature consigne</t>
  </si>
  <si>
    <t>Baisser la température de consigne de 1°C</t>
  </si>
  <si>
    <t>Diviser par deux le besoin par une campagne de rénovation massive</t>
  </si>
  <si>
    <t>Passer 40 TWh de Fioul en bois</t>
  </si>
  <si>
    <t>Passer 40 TWh de gaz naturel en biogaz</t>
  </si>
  <si>
    <t>Passer 100 TWh de gaz en PAC</t>
  </si>
  <si>
    <t>Mds voy.km</t>
  </si>
  <si>
    <t>Véhicule</t>
  </si>
  <si>
    <t>gC02e/km</t>
  </si>
  <si>
    <t>Mds véh.km</t>
  </si>
  <si>
    <t>Taux de remplissage</t>
  </si>
  <si>
    <t>Emission totale C02e (Mt CO2e)</t>
  </si>
  <si>
    <t>Données CITEPA 2019</t>
  </si>
  <si>
    <t>VP diesel</t>
  </si>
  <si>
    <t>VP essence</t>
  </si>
  <si>
    <t>VP GPL</t>
  </si>
  <si>
    <t>VP GNV</t>
  </si>
  <si>
    <t>VP électriques</t>
  </si>
  <si>
    <t>VUL diesel</t>
  </si>
  <si>
    <t>VUL essence</t>
  </si>
  <si>
    <t>VUL électriques</t>
  </si>
  <si>
    <t>Bus et cars diesel</t>
  </si>
  <si>
    <t>Bus et cars essence</t>
  </si>
  <si>
    <t xml:space="preserve">Bus et cars GNV </t>
  </si>
  <si>
    <t>Bus et cars électriques</t>
  </si>
  <si>
    <t>Deux roues essence</t>
  </si>
  <si>
    <t>Deux roues diesel</t>
  </si>
  <si>
    <t>Deux roues électriques</t>
  </si>
  <si>
    <t>Sous total demande routier</t>
  </si>
  <si>
    <t>sous-total Transport routier</t>
  </si>
  <si>
    <t>gC02e/voy.km</t>
  </si>
  <si>
    <t>TGV</t>
  </si>
  <si>
    <r>
      <t xml:space="preserve">Mds </t>
    </r>
    <r>
      <rPr>
        <u/>
        <sz val="11"/>
        <color rgb="FF1155CC"/>
        <rFont val="Arial"/>
        <family val="2"/>
      </rPr>
      <t>voy.km</t>
    </r>
    <r>
      <rPr>
        <sz val="12"/>
        <color theme="1"/>
        <rFont val="Calibri"/>
        <family val="2"/>
        <scheme val="minor"/>
      </rPr>
      <t xml:space="preserve"> : Données transport CGDD 2019</t>
    </r>
  </si>
  <si>
    <t>TER</t>
  </si>
  <si>
    <t>Intercité</t>
  </si>
  <si>
    <t>Transilien/RER</t>
  </si>
  <si>
    <t>Métro/Tram</t>
  </si>
  <si>
    <t>Transport aérien Métropole-Métropole</t>
  </si>
  <si>
    <t>Transport aérien Métropole-Outre mer</t>
  </si>
  <si>
    <t>Total demande</t>
  </si>
  <si>
    <t>2RM petrole</t>
  </si>
  <si>
    <t>2RM Elec Batt</t>
  </si>
  <si>
    <t>Bus et cars pétrole</t>
  </si>
  <si>
    <t>Bus et cars électriques batt</t>
  </si>
  <si>
    <t>Bus et cars H2</t>
  </si>
  <si>
    <t>Deux roues pétrole</t>
  </si>
  <si>
    <t>Deux roues électtrique batt</t>
  </si>
  <si>
    <t>gC02e/km (scope 1+2)</t>
  </si>
  <si>
    <t>Conso moyenne véhicule électrique [kWh/km]</t>
  </si>
  <si>
    <t>Facteur d'émission (scope 1) de la production électrique [gCO2/kWh]</t>
  </si>
  <si>
    <t>Facteur d'augmentation de conso d'un bus</t>
  </si>
  <si>
    <t>Facteur de réduction de conso d'un 2 roues</t>
  </si>
  <si>
    <t>Train-metro-Tram</t>
  </si>
  <si>
    <t>Facteur de surconso gaz</t>
  </si>
  <si>
    <t>Facteur d'émission du biogaz [gCO2/kWh]</t>
  </si>
  <si>
    <t>2RM Gaz</t>
  </si>
  <si>
    <t>Taux de biogaz dans le Gaz</t>
  </si>
  <si>
    <t>Bus et cars Gaz</t>
  </si>
  <si>
    <t>Thermo-sensibilité</t>
  </si>
  <si>
    <t>s</t>
  </si>
  <si>
    <t>MTCO2e</t>
  </si>
  <si>
    <t>GW/°C</t>
  </si>
  <si>
    <t xml:space="preserve"> </t>
  </si>
  <si>
    <t>Réduction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</si>
</sst>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11"/>
      <color theme="1"/>
      <name val="Calibri"/>
      <family val="2"/>
    </font>
    <font>
      <sz val="8"/>
      <color theme="1"/>
      <name val="Trebuchet MS"/>
      <family val="2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2F6"/>
        <bgColor rgb="FFEEE2F6"/>
      </patternFill>
    </fill>
    <fill>
      <patternFill patternType="solid">
        <fgColor theme="0"/>
        <bgColor theme="0"/>
      </patternFill>
    </fill>
    <fill>
      <patternFill patternType="solid">
        <fgColor rgb="FFF8F3FB"/>
        <bgColor rgb="FFF8F3FB"/>
      </patternFill>
    </fill>
    <fill>
      <patternFill patternType="solid">
        <fgColor rgb="FFFFF2CC"/>
        <bgColor rgb="FFFFF2CC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0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4" borderId="14" xfId="0" applyFill="1" applyBorder="1"/>
    <xf numFmtId="0" fontId="0" fillId="0" borderId="15" xfId="0" applyBorder="1"/>
    <xf numFmtId="0" fontId="0" fillId="0" borderId="0" xfId="0" applyFill="1" applyBorder="1"/>
    <xf numFmtId="0" fontId="0" fillId="0" borderId="11" xfId="0" applyFill="1" applyBorder="1"/>
    <xf numFmtId="0" fontId="0" fillId="0" borderId="1" xfId="0" applyFill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5" borderId="17" xfId="0" applyFont="1" applyFill="1" applyBorder="1" applyAlignment="1">
      <alignment vertical="center" wrapText="1"/>
    </xf>
    <xf numFmtId="2" fontId="1" fillId="6" borderId="17" xfId="0" applyNumberFormat="1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wrapText="1"/>
    </xf>
    <xf numFmtId="0" fontId="3" fillId="5" borderId="17" xfId="0" applyFont="1" applyFill="1" applyBorder="1" applyAlignment="1">
      <alignment vertical="center" wrapText="1"/>
    </xf>
    <xf numFmtId="2" fontId="3" fillId="6" borderId="17" xfId="0" applyNumberFormat="1" applyFont="1" applyFill="1" applyBorder="1" applyAlignment="1">
      <alignment horizontal="center"/>
    </xf>
    <xf numFmtId="0" fontId="0" fillId="0" borderId="0" xfId="0"/>
    <xf numFmtId="2" fontId="3" fillId="6" borderId="18" xfId="0" applyNumberFormat="1" applyFont="1" applyFill="1" applyBorder="1" applyAlignment="1">
      <alignment horizontal="center"/>
    </xf>
    <xf numFmtId="2" fontId="3" fillId="6" borderId="19" xfId="0" applyNumberFormat="1" applyFont="1" applyFill="1" applyBorder="1" applyAlignment="1">
      <alignment horizontal="center"/>
    </xf>
    <xf numFmtId="2" fontId="1" fillId="6" borderId="18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wrapText="1"/>
    </xf>
    <xf numFmtId="0" fontId="2" fillId="0" borderId="0" xfId="0" applyFont="1"/>
    <xf numFmtId="0" fontId="1" fillId="7" borderId="17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2" fontId="3" fillId="8" borderId="17" xfId="0" applyNumberFormat="1" applyFont="1" applyFill="1" applyBorder="1" applyAlignment="1">
      <alignment horizontal="center"/>
    </xf>
    <xf numFmtId="1" fontId="0" fillId="0" borderId="16" xfId="0" applyNumberFormat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5" borderId="21" xfId="0" applyFont="1" applyFill="1" applyBorder="1" applyAlignment="1">
      <alignment vertical="center" wrapText="1"/>
    </xf>
    <xf numFmtId="2" fontId="1" fillId="6" borderId="21" xfId="0" applyNumberFormat="1" applyFont="1" applyFill="1" applyBorder="1" applyAlignment="1">
      <alignment horizontal="center"/>
    </xf>
    <xf numFmtId="2" fontId="1" fillId="6" borderId="22" xfId="0" applyNumberFormat="1" applyFont="1" applyFill="1" applyBorder="1" applyAlignment="1">
      <alignment horizontal="center"/>
    </xf>
    <xf numFmtId="0" fontId="1" fillId="5" borderId="23" xfId="0" applyFont="1" applyFill="1" applyBorder="1" applyAlignment="1">
      <alignment vertical="center" wrapText="1"/>
    </xf>
    <xf numFmtId="2" fontId="1" fillId="6" borderId="24" xfId="0" applyNumberFormat="1" applyFont="1" applyFill="1" applyBorder="1" applyAlignment="1">
      <alignment horizontal="center" wrapText="1"/>
    </xf>
    <xf numFmtId="0" fontId="1" fillId="6" borderId="24" xfId="0" applyFont="1" applyFill="1" applyBorder="1"/>
    <xf numFmtId="0" fontId="1" fillId="6" borderId="24" xfId="0" applyFont="1" applyFill="1" applyBorder="1" applyAlignment="1">
      <alignment wrapText="1"/>
    </xf>
    <xf numFmtId="0" fontId="1" fillId="6" borderId="25" xfId="0" applyFont="1" applyFill="1" applyBorder="1" applyAlignment="1">
      <alignment wrapText="1"/>
    </xf>
    <xf numFmtId="0" fontId="3" fillId="5" borderId="26" xfId="0" applyFont="1" applyFill="1" applyBorder="1" applyAlignment="1">
      <alignment vertical="center" wrapText="1"/>
    </xf>
    <xf numFmtId="1" fontId="0" fillId="0" borderId="0" xfId="0" applyNumberFormat="1" applyBorder="1"/>
    <xf numFmtId="0" fontId="3" fillId="5" borderId="27" xfId="0" applyFont="1" applyFill="1" applyBorder="1" applyAlignment="1">
      <alignment vertical="center" wrapText="1"/>
    </xf>
    <xf numFmtId="2" fontId="1" fillId="6" borderId="24" xfId="0" applyNumberFormat="1" applyFont="1" applyFill="1" applyBorder="1" applyAlignment="1">
      <alignment horizontal="center"/>
    </xf>
    <xf numFmtId="0" fontId="1" fillId="7" borderId="24" xfId="0" applyFont="1" applyFill="1" applyBorder="1" applyAlignment="1">
      <alignment wrapText="1"/>
    </xf>
    <xf numFmtId="2" fontId="0" fillId="0" borderId="0" xfId="0" applyNumberFormat="1" applyBorder="1"/>
    <xf numFmtId="2" fontId="3" fillId="6" borderId="2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oy.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72B4-8707-2443-9EC8-B965AEC63B14}">
  <dimension ref="A1:S107"/>
  <sheetViews>
    <sheetView tabSelected="1" workbookViewId="0">
      <selection activeCell="Q67" sqref="Q67"/>
    </sheetView>
  </sheetViews>
  <sheetFormatPr baseColWidth="10" defaultRowHeight="16" x14ac:dyDescent="0.2"/>
  <cols>
    <col min="1" max="1" width="28" customWidth="1"/>
    <col min="8" max="8" width="13.83203125" customWidth="1"/>
    <col min="11" max="11" width="29.5" customWidth="1"/>
  </cols>
  <sheetData>
    <row r="1" spans="1:19" ht="17" thickBot="1" x14ac:dyDescent="0.25"/>
    <row r="2" spans="1:19" ht="17" thickBot="1" x14ac:dyDescent="0.25">
      <c r="B2" s="4" t="s">
        <v>0</v>
      </c>
      <c r="C2" s="9"/>
      <c r="K2" s="4" t="s">
        <v>10</v>
      </c>
      <c r="L2" t="s">
        <v>16</v>
      </c>
    </row>
    <row r="3" spans="1:19" x14ac:dyDescent="0.2">
      <c r="L3" s="2" t="s">
        <v>17</v>
      </c>
      <c r="M3" s="2"/>
      <c r="N3" s="2"/>
      <c r="O3" s="2"/>
      <c r="P3" s="2"/>
      <c r="Q3" s="2"/>
    </row>
    <row r="4" spans="1:19" x14ac:dyDescent="0.2">
      <c r="L4" s="3" t="s">
        <v>19</v>
      </c>
      <c r="M4" s="3"/>
      <c r="N4" s="3"/>
      <c r="O4" s="3"/>
    </row>
    <row r="5" spans="1:19" ht="17" thickBot="1" x14ac:dyDescent="0.25">
      <c r="L5" s="1" t="s">
        <v>18</v>
      </c>
      <c r="M5" s="1"/>
    </row>
    <row r="6" spans="1:19" ht="17" thickBot="1" x14ac:dyDescent="0.25">
      <c r="K6" s="21" t="s">
        <v>11</v>
      </c>
      <c r="L6" s="22"/>
      <c r="M6" s="23">
        <v>1</v>
      </c>
      <c r="N6" s="21" t="s">
        <v>22</v>
      </c>
      <c r="O6" s="22"/>
      <c r="P6" s="22"/>
      <c r="Q6" s="24">
        <v>0</v>
      </c>
      <c r="R6" s="25" t="s">
        <v>20</v>
      </c>
      <c r="S6" s="37"/>
    </row>
    <row r="7" spans="1:19" ht="17" thickBot="1" x14ac:dyDescent="0.25">
      <c r="K7" s="21" t="s">
        <v>21</v>
      </c>
      <c r="L7" s="22"/>
      <c r="M7" s="23">
        <f>M6*(1-0.07*Q6)</f>
        <v>1</v>
      </c>
      <c r="S7" s="37"/>
    </row>
    <row r="8" spans="1:19" ht="17" thickBot="1" x14ac:dyDescent="0.25">
      <c r="B8" s="5" t="s">
        <v>1</v>
      </c>
      <c r="C8" s="6" t="s">
        <v>12</v>
      </c>
      <c r="D8" s="6" t="s">
        <v>2</v>
      </c>
      <c r="E8" s="6" t="s">
        <v>3</v>
      </c>
      <c r="F8" s="6" t="s">
        <v>4</v>
      </c>
      <c r="G8" s="6" t="s">
        <v>5</v>
      </c>
      <c r="H8" s="7" t="s">
        <v>6</v>
      </c>
      <c r="L8" s="8" t="s">
        <v>1</v>
      </c>
      <c r="M8" s="9" t="s">
        <v>12</v>
      </c>
      <c r="N8" s="6" t="s">
        <v>2</v>
      </c>
      <c r="O8" s="6" t="s">
        <v>3</v>
      </c>
      <c r="P8" s="6" t="s">
        <v>4</v>
      </c>
      <c r="Q8" s="6" t="s">
        <v>5</v>
      </c>
      <c r="R8" s="7" t="s">
        <v>6</v>
      </c>
      <c r="S8" s="37"/>
    </row>
    <row r="9" spans="1:19" x14ac:dyDescent="0.2">
      <c r="A9" s="18" t="s">
        <v>7</v>
      </c>
      <c r="B9" s="8">
        <v>35</v>
      </c>
      <c r="C9" s="9">
        <v>2</v>
      </c>
      <c r="D9" s="9">
        <v>122</v>
      </c>
      <c r="E9" s="9">
        <v>40</v>
      </c>
      <c r="F9" s="9">
        <v>85</v>
      </c>
      <c r="G9" s="9">
        <v>13</v>
      </c>
      <c r="H9" s="10">
        <f t="shared" ref="H9" si="0">SUM(B9:G9)</f>
        <v>297</v>
      </c>
      <c r="K9" s="18" t="s">
        <v>13</v>
      </c>
      <c r="L9" s="14">
        <v>35</v>
      </c>
      <c r="M9" s="15">
        <v>10</v>
      </c>
      <c r="N9" s="15">
        <v>122</v>
      </c>
      <c r="O9" s="15">
        <v>40</v>
      </c>
      <c r="P9" s="15">
        <v>85</v>
      </c>
      <c r="Q9" s="15">
        <v>13</v>
      </c>
      <c r="R9" s="10">
        <f t="shared" ref="R9:R12" si="1">SUM(L9:Q9)</f>
        <v>305</v>
      </c>
      <c r="S9" s="37"/>
    </row>
    <row r="10" spans="1:19" x14ac:dyDescent="0.2">
      <c r="A10" s="19" t="s">
        <v>8</v>
      </c>
      <c r="B10" s="8">
        <v>60</v>
      </c>
      <c r="C10" s="9">
        <v>60</v>
      </c>
      <c r="D10" s="9">
        <v>240</v>
      </c>
      <c r="E10" s="9">
        <v>320</v>
      </c>
      <c r="F10" s="9">
        <v>50</v>
      </c>
      <c r="G10" s="9">
        <v>100</v>
      </c>
      <c r="H10" s="10">
        <f>H11/H9*1000</f>
        <v>167.84511784511781</v>
      </c>
      <c r="K10" s="19" t="s">
        <v>14</v>
      </c>
      <c r="L10" s="8">
        <f>L9*$M7</f>
        <v>35</v>
      </c>
      <c r="M10" s="8">
        <f t="shared" ref="M10:Q10" si="2">M9*$M7</f>
        <v>10</v>
      </c>
      <c r="N10" s="8">
        <f t="shared" si="2"/>
        <v>122</v>
      </c>
      <c r="O10" s="8">
        <f t="shared" si="2"/>
        <v>40</v>
      </c>
      <c r="P10" s="8">
        <f t="shared" si="2"/>
        <v>85</v>
      </c>
      <c r="Q10" s="8">
        <f t="shared" si="2"/>
        <v>13</v>
      </c>
      <c r="R10" s="10">
        <f t="shared" si="1"/>
        <v>305</v>
      </c>
      <c r="S10" s="37"/>
    </row>
    <row r="11" spans="1:19" ht="17" thickBot="1" x14ac:dyDescent="0.25">
      <c r="A11" s="20" t="s">
        <v>9</v>
      </c>
      <c r="B11" s="11">
        <f t="shared" ref="B11:G11" si="3">B9*B10/1000</f>
        <v>2.1</v>
      </c>
      <c r="C11" s="11">
        <f t="shared" si="3"/>
        <v>0.12</v>
      </c>
      <c r="D11" s="12">
        <f t="shared" si="3"/>
        <v>29.28</v>
      </c>
      <c r="E11" s="12">
        <f t="shared" si="3"/>
        <v>12.8</v>
      </c>
      <c r="F11" s="12">
        <f t="shared" si="3"/>
        <v>4.25</v>
      </c>
      <c r="G11" s="12">
        <f t="shared" si="3"/>
        <v>1.3</v>
      </c>
      <c r="H11" s="13">
        <f>SUM(B11:G11)</f>
        <v>49.849999999999994</v>
      </c>
      <c r="K11" s="19" t="s">
        <v>15</v>
      </c>
      <c r="L11" s="8">
        <v>1</v>
      </c>
      <c r="M11" s="9">
        <v>3</v>
      </c>
      <c r="N11" s="9">
        <v>1</v>
      </c>
      <c r="O11" s="9">
        <v>1</v>
      </c>
      <c r="P11" s="9">
        <v>1</v>
      </c>
      <c r="Q11" s="9">
        <v>1</v>
      </c>
      <c r="R11" s="10"/>
      <c r="S11" s="37"/>
    </row>
    <row r="12" spans="1:19" x14ac:dyDescent="0.2">
      <c r="K12" s="19" t="s">
        <v>7</v>
      </c>
      <c r="L12" s="8">
        <f>L10/L11</f>
        <v>35</v>
      </c>
      <c r="M12" s="9">
        <f t="shared" ref="M12:Q12" si="4">M10/M11</f>
        <v>3.3333333333333335</v>
      </c>
      <c r="N12" s="9">
        <f t="shared" si="4"/>
        <v>122</v>
      </c>
      <c r="O12" s="9">
        <f t="shared" si="4"/>
        <v>40</v>
      </c>
      <c r="P12" s="9">
        <f t="shared" si="4"/>
        <v>85</v>
      </c>
      <c r="Q12" s="9">
        <f t="shared" si="4"/>
        <v>13</v>
      </c>
      <c r="R12" s="10">
        <f t="shared" si="1"/>
        <v>298.33333333333337</v>
      </c>
      <c r="S12" s="37"/>
    </row>
    <row r="13" spans="1:19" x14ac:dyDescent="0.2">
      <c r="K13" s="19" t="s">
        <v>8</v>
      </c>
      <c r="L13" s="16">
        <v>60</v>
      </c>
      <c r="M13" s="17">
        <v>60</v>
      </c>
      <c r="N13" s="17">
        <v>240</v>
      </c>
      <c r="O13" s="17">
        <v>320</v>
      </c>
      <c r="P13" s="17">
        <v>50</v>
      </c>
      <c r="Q13" s="17">
        <v>100</v>
      </c>
      <c r="R13" s="10">
        <f>R14/R9*1000</f>
        <v>163.70491803278688</v>
      </c>
      <c r="S13" s="37"/>
    </row>
    <row r="14" spans="1:19" ht="17" thickBot="1" x14ac:dyDescent="0.25">
      <c r="K14" s="20" t="s">
        <v>9</v>
      </c>
      <c r="L14" s="11">
        <f>L12*L13/1000</f>
        <v>2.1</v>
      </c>
      <c r="M14" s="12">
        <f t="shared" ref="M14:Q14" si="5">M12*M13/1000</f>
        <v>0.2</v>
      </c>
      <c r="N14" s="12">
        <f t="shared" si="5"/>
        <v>29.28</v>
      </c>
      <c r="O14" s="12">
        <f t="shared" si="5"/>
        <v>12.8</v>
      </c>
      <c r="P14" s="12">
        <f t="shared" si="5"/>
        <v>4.25</v>
      </c>
      <c r="Q14" s="12">
        <f t="shared" si="5"/>
        <v>1.3</v>
      </c>
      <c r="R14" s="13">
        <f>SUM(L14:Q14)</f>
        <v>49.93</v>
      </c>
      <c r="S14" s="37" t="s">
        <v>82</v>
      </c>
    </row>
    <row r="15" spans="1:19" x14ac:dyDescent="0.2">
      <c r="K15" s="27" t="s">
        <v>80</v>
      </c>
      <c r="S15" s="37" t="s">
        <v>83</v>
      </c>
    </row>
    <row r="16" spans="1:19" x14ac:dyDescent="0.2">
      <c r="S16" s="37"/>
    </row>
    <row r="17" spans="1:19" ht="17" thickBot="1" x14ac:dyDescent="0.25">
      <c r="K17" s="27" t="s">
        <v>23</v>
      </c>
      <c r="P17" t="s">
        <v>84</v>
      </c>
      <c r="Q17" t="s">
        <v>85</v>
      </c>
      <c r="S17" s="37" t="s">
        <v>82</v>
      </c>
    </row>
    <row r="18" spans="1:19" ht="17" thickBot="1" x14ac:dyDescent="0.25">
      <c r="K18" s="21" t="s">
        <v>11</v>
      </c>
      <c r="L18" s="22"/>
      <c r="M18" s="23">
        <v>1</v>
      </c>
      <c r="N18" s="21" t="s">
        <v>22</v>
      </c>
      <c r="O18" s="22"/>
      <c r="P18" s="22"/>
      <c r="Q18" s="24">
        <v>0</v>
      </c>
      <c r="R18" s="25" t="s">
        <v>20</v>
      </c>
      <c r="S18" s="37"/>
    </row>
    <row r="19" spans="1:19" ht="17" thickBot="1" x14ac:dyDescent="0.25">
      <c r="K19" s="21" t="s">
        <v>21</v>
      </c>
      <c r="L19" s="22"/>
      <c r="M19" s="23">
        <f>M18*(1-0.07*Q18)</f>
        <v>1</v>
      </c>
      <c r="S19" s="37"/>
    </row>
    <row r="20" spans="1:19" ht="17" thickBot="1" x14ac:dyDescent="0.25">
      <c r="L20" s="8" t="s">
        <v>1</v>
      </c>
      <c r="M20" s="9" t="s">
        <v>12</v>
      </c>
      <c r="N20" s="6" t="s">
        <v>2</v>
      </c>
      <c r="O20" s="6" t="s">
        <v>3</v>
      </c>
      <c r="P20" s="6" t="s">
        <v>4</v>
      </c>
      <c r="Q20" s="6" t="s">
        <v>5</v>
      </c>
      <c r="R20" s="7" t="s">
        <v>6</v>
      </c>
      <c r="S20" s="37"/>
    </row>
    <row r="21" spans="1:19" x14ac:dyDescent="0.2">
      <c r="K21" s="18" t="s">
        <v>13</v>
      </c>
      <c r="L21" s="14">
        <v>35</v>
      </c>
      <c r="M21" s="15">
        <v>10</v>
      </c>
      <c r="N21" s="15">
        <v>122</v>
      </c>
      <c r="O21" s="15">
        <v>40</v>
      </c>
      <c r="P21" s="15">
        <v>85</v>
      </c>
      <c r="Q21" s="15">
        <v>13</v>
      </c>
      <c r="R21" s="10">
        <f t="shared" ref="R21:R22" si="6">SUM(L21:Q21)</f>
        <v>305</v>
      </c>
      <c r="S21" s="37"/>
    </row>
    <row r="22" spans="1:19" x14ac:dyDescent="0.2">
      <c r="I22" s="9"/>
      <c r="K22" s="19" t="s">
        <v>14</v>
      </c>
      <c r="L22" s="8">
        <f t="shared" ref="L22:Q22" si="7">L21*$M19</f>
        <v>35</v>
      </c>
      <c r="M22" s="8">
        <f t="shared" si="7"/>
        <v>10</v>
      </c>
      <c r="N22" s="8">
        <f t="shared" si="7"/>
        <v>122</v>
      </c>
      <c r="O22" s="8">
        <f t="shared" si="7"/>
        <v>40</v>
      </c>
      <c r="P22" s="8">
        <f t="shared" si="7"/>
        <v>85</v>
      </c>
      <c r="Q22" s="8">
        <f t="shared" si="7"/>
        <v>13</v>
      </c>
      <c r="R22" s="10">
        <f t="shared" si="6"/>
        <v>305</v>
      </c>
      <c r="S22" s="37"/>
    </row>
    <row r="23" spans="1:19" x14ac:dyDescent="0.2">
      <c r="I23" s="9"/>
      <c r="K23" s="19" t="s">
        <v>15</v>
      </c>
      <c r="L23" s="8">
        <v>1</v>
      </c>
      <c r="M23" s="9">
        <v>3</v>
      </c>
      <c r="N23" s="9">
        <v>1</v>
      </c>
      <c r="O23" s="9">
        <v>1</v>
      </c>
      <c r="P23" s="9">
        <v>1</v>
      </c>
      <c r="Q23" s="9">
        <v>1</v>
      </c>
      <c r="R23" s="10"/>
      <c r="S23" s="37"/>
    </row>
    <row r="24" spans="1:19" x14ac:dyDescent="0.2">
      <c r="I24" s="9"/>
      <c r="K24" s="19" t="s">
        <v>7</v>
      </c>
      <c r="L24" s="8">
        <f>L22/L23</f>
        <v>35</v>
      </c>
      <c r="M24" s="9">
        <f t="shared" ref="M24" si="8">M22/M23</f>
        <v>3.3333333333333335</v>
      </c>
      <c r="N24" s="9">
        <f t="shared" ref="N24" si="9">N22/N23</f>
        <v>122</v>
      </c>
      <c r="O24" s="9">
        <f t="shared" ref="O24" si="10">O22/O23</f>
        <v>40</v>
      </c>
      <c r="P24" s="9">
        <f t="shared" ref="P24" si="11">P22/P23</f>
        <v>85</v>
      </c>
      <c r="Q24" s="9">
        <f t="shared" ref="Q24" si="12">Q22/Q23</f>
        <v>13</v>
      </c>
      <c r="R24" s="10">
        <f t="shared" ref="R24" si="13">SUM(L24:Q24)</f>
        <v>298.33333333333337</v>
      </c>
      <c r="S24" s="37"/>
    </row>
    <row r="25" spans="1:19" x14ac:dyDescent="0.2">
      <c r="I25" s="9"/>
      <c r="K25" s="19" t="s">
        <v>8</v>
      </c>
      <c r="L25" s="16">
        <v>60</v>
      </c>
      <c r="M25" s="17">
        <v>60</v>
      </c>
      <c r="N25" s="17">
        <v>240</v>
      </c>
      <c r="O25" s="17">
        <v>320</v>
      </c>
      <c r="P25" s="17">
        <v>50</v>
      </c>
      <c r="Q25" s="17">
        <v>100</v>
      </c>
      <c r="R25" s="10">
        <f>R26/R21*1000</f>
        <v>163.70491803278688</v>
      </c>
      <c r="S25" s="37"/>
    </row>
    <row r="26" spans="1:19" ht="17" thickBot="1" x14ac:dyDescent="0.25">
      <c r="I26" s="9"/>
      <c r="K26" s="20" t="s">
        <v>9</v>
      </c>
      <c r="L26" s="11">
        <f>L24*L25/1000</f>
        <v>2.1</v>
      </c>
      <c r="M26" s="12">
        <f t="shared" ref="M26" si="14">M24*M25/1000</f>
        <v>0.2</v>
      </c>
      <c r="N26" s="12">
        <f t="shared" ref="N26" si="15">N24*N25/1000</f>
        <v>29.28</v>
      </c>
      <c r="O26" s="12">
        <f t="shared" ref="O26" si="16">O24*O25/1000</f>
        <v>12.8</v>
      </c>
      <c r="P26" s="12">
        <f t="shared" ref="P26" si="17">P24*P25/1000</f>
        <v>4.25</v>
      </c>
      <c r="Q26" s="12">
        <f t="shared" ref="Q26" si="18">Q24*Q25/1000</f>
        <v>1.3</v>
      </c>
      <c r="R26" s="13">
        <f>SUM(L26:Q26)</f>
        <v>49.93</v>
      </c>
      <c r="S26" s="37"/>
    </row>
    <row r="27" spans="1:19" x14ac:dyDescent="0.2">
      <c r="A27" s="26"/>
      <c r="B27" s="26"/>
      <c r="C27" s="26"/>
      <c r="D27" s="26"/>
      <c r="E27" s="26"/>
      <c r="F27" s="26"/>
      <c r="G27" s="26"/>
      <c r="H27" s="26"/>
      <c r="I27" s="9"/>
      <c r="K27" s="27" t="s">
        <v>80</v>
      </c>
      <c r="S27" s="37" t="s">
        <v>83</v>
      </c>
    </row>
    <row r="28" spans="1:19" x14ac:dyDescent="0.2">
      <c r="A28" s="26"/>
      <c r="B28" s="26"/>
      <c r="C28" s="26"/>
      <c r="D28" s="26"/>
      <c r="E28" s="26"/>
      <c r="F28" s="26"/>
      <c r="G28" s="26"/>
      <c r="H28" s="26"/>
      <c r="I28" s="9"/>
      <c r="K28" s="26"/>
      <c r="L28" s="26"/>
      <c r="M28" s="26"/>
      <c r="N28" s="26"/>
      <c r="O28" s="26"/>
      <c r="P28" s="26"/>
      <c r="Q28" s="26"/>
      <c r="R28" s="26"/>
      <c r="S28" s="37"/>
    </row>
    <row r="29" spans="1:19" ht="17" thickBot="1" x14ac:dyDescent="0.25">
      <c r="A29" s="26"/>
      <c r="B29" s="26"/>
      <c r="C29" s="26"/>
      <c r="D29" s="26"/>
      <c r="E29" s="26"/>
      <c r="F29" s="26"/>
      <c r="G29" s="26"/>
      <c r="H29" s="26"/>
      <c r="I29" s="9"/>
      <c r="K29" s="26"/>
      <c r="L29" s="26"/>
      <c r="M29" s="26"/>
      <c r="N29" s="26"/>
      <c r="O29" s="26"/>
      <c r="P29" s="26"/>
      <c r="Q29" s="26"/>
      <c r="R29" s="26"/>
      <c r="S29" s="37"/>
    </row>
    <row r="30" spans="1:19" ht="17" thickBot="1" x14ac:dyDescent="0.25">
      <c r="A30" s="26"/>
      <c r="B30" s="26"/>
      <c r="C30" s="26"/>
      <c r="D30" s="26"/>
      <c r="E30" s="26"/>
      <c r="F30" s="26"/>
      <c r="G30" s="26"/>
      <c r="H30" s="26"/>
      <c r="I30" s="9"/>
      <c r="K30" s="28" t="s">
        <v>24</v>
      </c>
      <c r="L30" s="22"/>
      <c r="M30" s="22"/>
      <c r="N30" s="22"/>
      <c r="O30" s="22"/>
      <c r="P30" s="22"/>
      <c r="Q30" s="37" t="s">
        <v>85</v>
      </c>
      <c r="R30" s="25"/>
      <c r="S30" s="37" t="s">
        <v>82</v>
      </c>
    </row>
    <row r="31" spans="1:19" ht="17" thickBot="1" x14ac:dyDescent="0.25">
      <c r="K31" s="21" t="s">
        <v>11</v>
      </c>
      <c r="L31" s="22"/>
      <c r="M31" s="23">
        <v>1</v>
      </c>
      <c r="N31" s="21" t="s">
        <v>22</v>
      </c>
      <c r="O31" s="22"/>
      <c r="P31" s="22"/>
      <c r="Q31" s="24">
        <v>0</v>
      </c>
      <c r="R31" s="25" t="s">
        <v>20</v>
      </c>
      <c r="S31" s="37"/>
    </row>
    <row r="32" spans="1:19" ht="17" thickBot="1" x14ac:dyDescent="0.25">
      <c r="K32" s="21" t="s">
        <v>21</v>
      </c>
      <c r="L32" s="22"/>
      <c r="M32" s="23">
        <f>M31*(1-0.07*Q31)</f>
        <v>1</v>
      </c>
      <c r="S32" s="37"/>
    </row>
    <row r="33" spans="11:19" ht="17" thickBot="1" x14ac:dyDescent="0.25">
      <c r="L33" s="8" t="s">
        <v>1</v>
      </c>
      <c r="M33" s="9" t="s">
        <v>12</v>
      </c>
      <c r="N33" s="6" t="s">
        <v>2</v>
      </c>
      <c r="O33" s="6" t="s">
        <v>3</v>
      </c>
      <c r="P33" s="6" t="s">
        <v>4</v>
      </c>
      <c r="Q33" s="6" t="s">
        <v>5</v>
      </c>
      <c r="R33" s="7" t="s">
        <v>6</v>
      </c>
      <c r="S33" s="37"/>
    </row>
    <row r="34" spans="11:19" x14ac:dyDescent="0.2">
      <c r="K34" s="18" t="s">
        <v>13</v>
      </c>
      <c r="L34" s="14">
        <v>35</v>
      </c>
      <c r="M34" s="15">
        <v>10</v>
      </c>
      <c r="N34" s="15">
        <v>122</v>
      </c>
      <c r="O34" s="15">
        <v>40</v>
      </c>
      <c r="P34" s="15">
        <v>85</v>
      </c>
      <c r="Q34" s="15">
        <v>13</v>
      </c>
      <c r="R34" s="10">
        <f t="shared" ref="R34:R35" si="19">SUM(L34:Q34)</f>
        <v>305</v>
      </c>
      <c r="S34" s="37"/>
    </row>
    <row r="35" spans="11:19" x14ac:dyDescent="0.2">
      <c r="K35" s="19" t="s">
        <v>14</v>
      </c>
      <c r="L35" s="8">
        <f t="shared" ref="L35:Q35" si="20">L34*$M32</f>
        <v>35</v>
      </c>
      <c r="M35" s="8">
        <f t="shared" si="20"/>
        <v>10</v>
      </c>
      <c r="N35" s="8">
        <f t="shared" si="20"/>
        <v>122</v>
      </c>
      <c r="O35" s="8">
        <f t="shared" si="20"/>
        <v>40</v>
      </c>
      <c r="P35" s="8">
        <f t="shared" si="20"/>
        <v>85</v>
      </c>
      <c r="Q35" s="8">
        <f t="shared" si="20"/>
        <v>13</v>
      </c>
      <c r="R35" s="10">
        <f t="shared" si="19"/>
        <v>305</v>
      </c>
      <c r="S35" s="37"/>
    </row>
    <row r="36" spans="11:19" x14ac:dyDescent="0.2">
      <c r="K36" s="19" t="s">
        <v>15</v>
      </c>
      <c r="L36" s="8">
        <v>1</v>
      </c>
      <c r="M36" s="9">
        <v>3</v>
      </c>
      <c r="N36" s="9">
        <v>1</v>
      </c>
      <c r="O36" s="9">
        <v>1</v>
      </c>
      <c r="P36" s="9">
        <v>1</v>
      </c>
      <c r="Q36" s="9">
        <v>1</v>
      </c>
      <c r="R36" s="10"/>
      <c r="S36" s="37"/>
    </row>
    <row r="37" spans="11:19" x14ac:dyDescent="0.2">
      <c r="K37" s="19" t="s">
        <v>7</v>
      </c>
      <c r="L37" s="8">
        <f>L35/L36</f>
        <v>35</v>
      </c>
      <c r="M37" s="9">
        <f t="shared" ref="M37" si="21">M35/M36</f>
        <v>3.3333333333333335</v>
      </c>
      <c r="N37" s="9">
        <f t="shared" ref="N37" si="22">N35/N36</f>
        <v>122</v>
      </c>
      <c r="O37" s="9">
        <f t="shared" ref="O37" si="23">O35/O36</f>
        <v>40</v>
      </c>
      <c r="P37" s="9">
        <f t="shared" ref="P37" si="24">P35/P36</f>
        <v>85</v>
      </c>
      <c r="Q37" s="9">
        <f t="shared" ref="Q37" si="25">Q35/Q36</f>
        <v>13</v>
      </c>
      <c r="R37" s="10">
        <f t="shared" ref="R37" si="26">SUM(L37:Q37)</f>
        <v>298.33333333333337</v>
      </c>
      <c r="S37" s="37"/>
    </row>
    <row r="38" spans="11:19" x14ac:dyDescent="0.2">
      <c r="K38" s="19" t="s">
        <v>8</v>
      </c>
      <c r="L38" s="16">
        <v>60</v>
      </c>
      <c r="M38" s="17">
        <v>60</v>
      </c>
      <c r="N38" s="17">
        <v>240</v>
      </c>
      <c r="O38" s="17">
        <v>320</v>
      </c>
      <c r="P38" s="17">
        <v>50</v>
      </c>
      <c r="Q38" s="17">
        <v>100</v>
      </c>
      <c r="R38" s="10">
        <f>R39/R34*1000</f>
        <v>163.70491803278688</v>
      </c>
      <c r="S38" s="37"/>
    </row>
    <row r="39" spans="11:19" ht="17" thickBot="1" x14ac:dyDescent="0.25">
      <c r="K39" s="20" t="s">
        <v>9</v>
      </c>
      <c r="L39" s="11">
        <f>L37*L38/1000</f>
        <v>2.1</v>
      </c>
      <c r="M39" s="12">
        <f t="shared" ref="M39" si="27">M37*M38/1000</f>
        <v>0.2</v>
      </c>
      <c r="N39" s="12">
        <f t="shared" ref="N39" si="28">N37*N38/1000</f>
        <v>29.28</v>
      </c>
      <c r="O39" s="12">
        <f t="shared" ref="O39" si="29">O37*O38/1000</f>
        <v>12.8</v>
      </c>
      <c r="P39" s="12">
        <f t="shared" ref="P39" si="30">P37*P38/1000</f>
        <v>4.25</v>
      </c>
      <c r="Q39" s="12">
        <f t="shared" ref="Q39" si="31">Q37*Q38/1000</f>
        <v>1.3</v>
      </c>
      <c r="R39" s="13">
        <f>SUM(L39:Q39)</f>
        <v>49.93</v>
      </c>
      <c r="S39" s="37" t="s">
        <v>82</v>
      </c>
    </row>
    <row r="40" spans="11:19" x14ac:dyDescent="0.2">
      <c r="K40" s="27" t="s">
        <v>80</v>
      </c>
      <c r="S40" s="37" t="s">
        <v>83</v>
      </c>
    </row>
    <row r="41" spans="11:19" x14ac:dyDescent="0.2">
      <c r="S41" s="37"/>
    </row>
    <row r="42" spans="11:19" x14ac:dyDescent="0.2">
      <c r="S42" s="37"/>
    </row>
    <row r="43" spans="11:19" ht="17" thickBot="1" x14ac:dyDescent="0.25">
      <c r="K43" s="27" t="s">
        <v>27</v>
      </c>
      <c r="Q43" s="37" t="s">
        <v>85</v>
      </c>
      <c r="S43" s="37" t="s">
        <v>82</v>
      </c>
    </row>
    <row r="44" spans="11:19" ht="17" thickBot="1" x14ac:dyDescent="0.25">
      <c r="K44" s="21" t="s">
        <v>11</v>
      </c>
      <c r="L44" s="22"/>
      <c r="M44" s="23">
        <v>1</v>
      </c>
      <c r="N44" s="21" t="s">
        <v>22</v>
      </c>
      <c r="O44" s="22"/>
      <c r="P44" s="22"/>
      <c r="Q44" s="24">
        <v>0</v>
      </c>
      <c r="R44" s="25" t="s">
        <v>20</v>
      </c>
      <c r="S44" s="37"/>
    </row>
    <row r="45" spans="11:19" ht="17" thickBot="1" x14ac:dyDescent="0.25">
      <c r="K45" s="21" t="s">
        <v>21</v>
      </c>
      <c r="L45" s="22"/>
      <c r="M45" s="23">
        <f>M44*(1-0.07*Q44)</f>
        <v>1</v>
      </c>
      <c r="S45" s="37"/>
    </row>
    <row r="46" spans="11:19" ht="17" thickBot="1" x14ac:dyDescent="0.25">
      <c r="L46" s="8" t="s">
        <v>1</v>
      </c>
      <c r="M46" s="9" t="s">
        <v>12</v>
      </c>
      <c r="N46" s="6" t="s">
        <v>2</v>
      </c>
      <c r="O46" s="6" t="s">
        <v>3</v>
      </c>
      <c r="P46" s="6" t="s">
        <v>4</v>
      </c>
      <c r="Q46" s="6" t="s">
        <v>5</v>
      </c>
      <c r="R46" s="7" t="s">
        <v>6</v>
      </c>
      <c r="S46" s="37"/>
    </row>
    <row r="47" spans="11:19" x14ac:dyDescent="0.2">
      <c r="K47" s="18" t="s">
        <v>13</v>
      </c>
      <c r="L47" s="14">
        <v>35</v>
      </c>
      <c r="M47" s="15">
        <v>10</v>
      </c>
      <c r="N47" s="15">
        <v>122</v>
      </c>
      <c r="O47" s="15">
        <v>40</v>
      </c>
      <c r="P47" s="15">
        <v>85</v>
      </c>
      <c r="Q47" s="15">
        <v>13</v>
      </c>
      <c r="R47" s="10">
        <f t="shared" ref="R47:R48" si="32">SUM(L47:Q47)</f>
        <v>305</v>
      </c>
      <c r="S47" s="37"/>
    </row>
    <row r="48" spans="11:19" x14ac:dyDescent="0.2">
      <c r="K48" s="19" t="s">
        <v>14</v>
      </c>
      <c r="L48" s="8">
        <f t="shared" ref="L48:Q48" si="33">L47*$M45</f>
        <v>35</v>
      </c>
      <c r="M48" s="8">
        <f t="shared" si="33"/>
        <v>10</v>
      </c>
      <c r="N48" s="8">
        <f t="shared" si="33"/>
        <v>122</v>
      </c>
      <c r="O48" s="8">
        <f t="shared" si="33"/>
        <v>40</v>
      </c>
      <c r="P48" s="8">
        <f t="shared" si="33"/>
        <v>85</v>
      </c>
      <c r="Q48" s="8">
        <f t="shared" si="33"/>
        <v>13</v>
      </c>
      <c r="R48" s="10">
        <f t="shared" si="32"/>
        <v>305</v>
      </c>
      <c r="S48" s="37"/>
    </row>
    <row r="49" spans="11:19" x14ac:dyDescent="0.2">
      <c r="K49" s="19" t="s">
        <v>15</v>
      </c>
      <c r="L49" s="8">
        <v>1</v>
      </c>
      <c r="M49" s="9">
        <v>3</v>
      </c>
      <c r="N49" s="9">
        <v>1</v>
      </c>
      <c r="O49" s="9">
        <v>1</v>
      </c>
      <c r="P49" s="9">
        <v>1</v>
      </c>
      <c r="Q49" s="9">
        <v>1</v>
      </c>
      <c r="R49" s="10"/>
      <c r="S49" s="37"/>
    </row>
    <row r="50" spans="11:19" x14ac:dyDescent="0.2">
      <c r="K50" s="19" t="s">
        <v>7</v>
      </c>
      <c r="L50" s="8">
        <f>L48/L49</f>
        <v>35</v>
      </c>
      <c r="M50" s="9">
        <f t="shared" ref="M50" si="34">M48/M49</f>
        <v>3.3333333333333335</v>
      </c>
      <c r="N50" s="9">
        <f t="shared" ref="N50" si="35">N48/N49</f>
        <v>122</v>
      </c>
      <c r="O50" s="9">
        <f t="shared" ref="O50" si="36">O48/O49</f>
        <v>40</v>
      </c>
      <c r="P50" s="9">
        <f t="shared" ref="P50" si="37">P48/P49</f>
        <v>85</v>
      </c>
      <c r="Q50" s="9">
        <f t="shared" ref="Q50" si="38">Q48/Q49</f>
        <v>13</v>
      </c>
      <c r="R50" s="10">
        <f t="shared" ref="R50" si="39">SUM(L50:Q50)</f>
        <v>298.33333333333337</v>
      </c>
      <c r="S50" s="37"/>
    </row>
    <row r="51" spans="11:19" x14ac:dyDescent="0.2">
      <c r="K51" s="19" t="s">
        <v>8</v>
      </c>
      <c r="L51" s="16">
        <v>60</v>
      </c>
      <c r="M51" s="17">
        <v>60</v>
      </c>
      <c r="N51" s="17">
        <v>240</v>
      </c>
      <c r="O51" s="17">
        <v>320</v>
      </c>
      <c r="P51" s="17">
        <v>50</v>
      </c>
      <c r="Q51" s="17">
        <v>100</v>
      </c>
      <c r="R51" s="10">
        <f>R52/R47*1000</f>
        <v>163.70491803278688</v>
      </c>
      <c r="S51" s="37"/>
    </row>
    <row r="52" spans="11:19" ht="17" thickBot="1" x14ac:dyDescent="0.25">
      <c r="K52" s="20" t="s">
        <v>9</v>
      </c>
      <c r="L52" s="11">
        <f>L50*L51/1000</f>
        <v>2.1</v>
      </c>
      <c r="M52" s="12">
        <f t="shared" ref="M52" si="40">M50*M51/1000</f>
        <v>0.2</v>
      </c>
      <c r="N52" s="12">
        <f t="shared" ref="N52" si="41">N50*N51/1000</f>
        <v>29.28</v>
      </c>
      <c r="O52" s="12">
        <f t="shared" ref="O52" si="42">O50*O51/1000</f>
        <v>12.8</v>
      </c>
      <c r="P52" s="12">
        <f t="shared" ref="P52" si="43">P50*P51/1000</f>
        <v>4.25</v>
      </c>
      <c r="Q52" s="12">
        <f t="shared" ref="Q52" si="44">Q50*Q51/1000</f>
        <v>1.3</v>
      </c>
      <c r="R52" s="13">
        <f>SUM(L52:Q52)</f>
        <v>49.93</v>
      </c>
      <c r="S52" s="37" t="s">
        <v>82</v>
      </c>
    </row>
    <row r="53" spans="11:19" x14ac:dyDescent="0.2">
      <c r="K53" s="27" t="s">
        <v>80</v>
      </c>
      <c r="S53" s="37" t="s">
        <v>83</v>
      </c>
    </row>
    <row r="54" spans="11:19" x14ac:dyDescent="0.2">
      <c r="S54" s="37"/>
    </row>
    <row r="55" spans="11:19" ht="17" thickBot="1" x14ac:dyDescent="0.25">
      <c r="K55" s="27" t="s">
        <v>25</v>
      </c>
      <c r="Q55" s="37" t="s">
        <v>85</v>
      </c>
      <c r="S55" s="37" t="s">
        <v>82</v>
      </c>
    </row>
    <row r="56" spans="11:19" ht="17" thickBot="1" x14ac:dyDescent="0.25">
      <c r="K56" s="21" t="s">
        <v>11</v>
      </c>
      <c r="L56" s="22"/>
      <c r="M56" s="23">
        <v>1</v>
      </c>
      <c r="N56" s="21" t="s">
        <v>22</v>
      </c>
      <c r="O56" s="22"/>
      <c r="P56" s="22"/>
      <c r="Q56" s="24">
        <v>0</v>
      </c>
      <c r="R56" s="25" t="s">
        <v>20</v>
      </c>
      <c r="S56" s="37"/>
    </row>
    <row r="57" spans="11:19" ht="17" thickBot="1" x14ac:dyDescent="0.25">
      <c r="K57" s="21" t="s">
        <v>21</v>
      </c>
      <c r="L57" s="22"/>
      <c r="M57" s="23">
        <f>M56*(1-0.07*Q56)</f>
        <v>1</v>
      </c>
      <c r="S57" s="37"/>
    </row>
    <row r="58" spans="11:19" ht="17" thickBot="1" x14ac:dyDescent="0.25">
      <c r="L58" s="8" t="s">
        <v>1</v>
      </c>
      <c r="M58" s="9" t="s">
        <v>12</v>
      </c>
      <c r="N58" s="6" t="s">
        <v>2</v>
      </c>
      <c r="O58" s="6" t="s">
        <v>3</v>
      </c>
      <c r="P58" s="6" t="s">
        <v>4</v>
      </c>
      <c r="Q58" s="6" t="s">
        <v>5</v>
      </c>
      <c r="R58" s="7" t="s">
        <v>6</v>
      </c>
      <c r="S58" s="37"/>
    </row>
    <row r="59" spans="11:19" x14ac:dyDescent="0.2">
      <c r="K59" s="18" t="s">
        <v>13</v>
      </c>
      <c r="L59" s="14">
        <v>35</v>
      </c>
      <c r="M59" s="15">
        <v>10</v>
      </c>
      <c r="N59" s="15">
        <v>122</v>
      </c>
      <c r="O59" s="15">
        <v>40</v>
      </c>
      <c r="P59" s="15">
        <v>85</v>
      </c>
      <c r="Q59" s="15">
        <v>13</v>
      </c>
      <c r="R59" s="10">
        <f t="shared" ref="R59:R60" si="45">SUM(L59:Q59)</f>
        <v>305</v>
      </c>
      <c r="S59" s="37"/>
    </row>
    <row r="60" spans="11:19" x14ac:dyDescent="0.2">
      <c r="K60" s="19" t="s">
        <v>14</v>
      </c>
      <c r="L60" s="8">
        <f t="shared" ref="L60:Q60" si="46">L59*$M57</f>
        <v>35</v>
      </c>
      <c r="M60" s="8">
        <f t="shared" si="46"/>
        <v>10</v>
      </c>
      <c r="N60" s="8">
        <f t="shared" si="46"/>
        <v>122</v>
      </c>
      <c r="O60" s="8">
        <f t="shared" si="46"/>
        <v>40</v>
      </c>
      <c r="P60" s="8">
        <f t="shared" si="46"/>
        <v>85</v>
      </c>
      <c r="Q60" s="8">
        <f t="shared" si="46"/>
        <v>13</v>
      </c>
      <c r="R60" s="10">
        <f t="shared" si="45"/>
        <v>305</v>
      </c>
      <c r="S60" s="37"/>
    </row>
    <row r="61" spans="11:19" x14ac:dyDescent="0.2">
      <c r="K61" s="19" t="s">
        <v>15</v>
      </c>
      <c r="L61" s="8">
        <v>1</v>
      </c>
      <c r="M61" s="9">
        <v>3</v>
      </c>
      <c r="N61" s="9">
        <v>1</v>
      </c>
      <c r="O61" s="9">
        <v>1</v>
      </c>
      <c r="P61" s="9">
        <v>1</v>
      </c>
      <c r="Q61" s="9">
        <v>1</v>
      </c>
      <c r="R61" s="10"/>
      <c r="S61" s="37"/>
    </row>
    <row r="62" spans="11:19" x14ac:dyDescent="0.2">
      <c r="K62" s="19" t="s">
        <v>7</v>
      </c>
      <c r="L62" s="8">
        <f>L60/L61</f>
        <v>35</v>
      </c>
      <c r="M62" s="9">
        <f t="shared" ref="M62" si="47">M60/M61</f>
        <v>3.3333333333333335</v>
      </c>
      <c r="N62" s="9">
        <f t="shared" ref="N62" si="48">N60/N61</f>
        <v>122</v>
      </c>
      <c r="O62" s="9">
        <f t="shared" ref="O62" si="49">O60/O61</f>
        <v>40</v>
      </c>
      <c r="P62" s="9">
        <f t="shared" ref="P62" si="50">P60/P61</f>
        <v>85</v>
      </c>
      <c r="Q62" s="9">
        <f t="shared" ref="Q62" si="51">Q60/Q61</f>
        <v>13</v>
      </c>
      <c r="R62" s="10">
        <f t="shared" ref="R62" si="52">SUM(L62:Q62)</f>
        <v>298.33333333333337</v>
      </c>
      <c r="S62" s="37"/>
    </row>
    <row r="63" spans="11:19" x14ac:dyDescent="0.2">
      <c r="K63" s="19" t="s">
        <v>8</v>
      </c>
      <c r="L63" s="16">
        <v>60</v>
      </c>
      <c r="M63" s="17">
        <v>60</v>
      </c>
      <c r="N63" s="17">
        <v>240</v>
      </c>
      <c r="O63" s="17">
        <v>320</v>
      </c>
      <c r="P63" s="17">
        <v>50</v>
      </c>
      <c r="Q63" s="17">
        <v>100</v>
      </c>
      <c r="R63" s="10">
        <f>R64/R59*1000</f>
        <v>163.70491803278688</v>
      </c>
      <c r="S63" s="37"/>
    </row>
    <row r="64" spans="11:19" ht="17" thickBot="1" x14ac:dyDescent="0.25">
      <c r="K64" s="20" t="s">
        <v>9</v>
      </c>
      <c r="L64" s="11">
        <f>L62*L63/1000</f>
        <v>2.1</v>
      </c>
      <c r="M64" s="12">
        <f t="shared" ref="M64" si="53">M62*M63/1000</f>
        <v>0.2</v>
      </c>
      <c r="N64" s="12">
        <f t="shared" ref="N64" si="54">N62*N63/1000</f>
        <v>29.28</v>
      </c>
      <c r="O64" s="12">
        <f t="shared" ref="O64" si="55">O62*O63/1000</f>
        <v>12.8</v>
      </c>
      <c r="P64" s="12">
        <f t="shared" ref="P64" si="56">P62*P63/1000</f>
        <v>4.25</v>
      </c>
      <c r="Q64" s="12">
        <f t="shared" ref="Q64" si="57">Q62*Q63/1000</f>
        <v>1.3</v>
      </c>
      <c r="R64" s="13">
        <f>SUM(L64:Q64)</f>
        <v>49.93</v>
      </c>
      <c r="S64" s="37" t="s">
        <v>82</v>
      </c>
    </row>
    <row r="65" spans="11:19" x14ac:dyDescent="0.2">
      <c r="K65" s="27" t="s">
        <v>80</v>
      </c>
      <c r="S65" s="37" t="s">
        <v>83</v>
      </c>
    </row>
    <row r="66" spans="11:19" x14ac:dyDescent="0.2">
      <c r="S66" s="37"/>
    </row>
    <row r="67" spans="11:19" x14ac:dyDescent="0.2">
      <c r="K67" t="s">
        <v>26</v>
      </c>
      <c r="Q67" s="37" t="s">
        <v>85</v>
      </c>
      <c r="S67" s="37" t="s">
        <v>82</v>
      </c>
    </row>
    <row r="70" spans="11:19" x14ac:dyDescent="0.2">
      <c r="K70" s="26"/>
      <c r="L70" s="26"/>
      <c r="M70" s="26"/>
      <c r="N70" s="26"/>
      <c r="O70" s="26"/>
      <c r="P70" s="26"/>
      <c r="Q70" s="26"/>
      <c r="R70" s="26"/>
    </row>
    <row r="71" spans="11:19" x14ac:dyDescent="0.2">
      <c r="K71" s="26"/>
      <c r="L71" s="26"/>
      <c r="M71" s="26"/>
      <c r="N71" s="26"/>
      <c r="O71" s="26"/>
      <c r="P71" s="26"/>
      <c r="Q71" s="26"/>
      <c r="R71" s="26"/>
    </row>
    <row r="72" spans="11:19" x14ac:dyDescent="0.2">
      <c r="K72" s="26"/>
      <c r="L72" s="26"/>
      <c r="M72" s="26"/>
      <c r="N72" s="26"/>
      <c r="O72" s="26"/>
      <c r="P72" s="26"/>
      <c r="Q72" s="26"/>
      <c r="R72" s="26"/>
    </row>
    <row r="73" spans="11:19" x14ac:dyDescent="0.2">
      <c r="K73" s="26"/>
      <c r="L73" s="26"/>
      <c r="M73" s="26"/>
      <c r="N73" s="26"/>
      <c r="O73" s="26"/>
      <c r="P73" s="26"/>
      <c r="Q73" s="26"/>
      <c r="R73" s="26"/>
    </row>
    <row r="74" spans="11:19" x14ac:dyDescent="0.2">
      <c r="K74" s="26"/>
      <c r="L74" s="26"/>
      <c r="M74" s="26"/>
      <c r="N74" s="26"/>
      <c r="O74" s="26"/>
      <c r="P74" s="26"/>
      <c r="Q74" s="26"/>
      <c r="R74" s="26"/>
    </row>
    <row r="75" spans="11:19" x14ac:dyDescent="0.2">
      <c r="K75" s="26"/>
      <c r="L75" s="26"/>
      <c r="M75" s="26"/>
      <c r="N75" s="26"/>
      <c r="O75" s="26"/>
      <c r="P75" s="26"/>
      <c r="Q75" s="26"/>
      <c r="R75" s="26"/>
    </row>
    <row r="76" spans="11:19" x14ac:dyDescent="0.2">
      <c r="K76" s="26"/>
      <c r="L76" s="26"/>
      <c r="M76" s="26"/>
      <c r="N76" s="26"/>
      <c r="O76" s="26"/>
      <c r="P76" s="26"/>
      <c r="Q76" s="26"/>
      <c r="R76" s="26"/>
    </row>
    <row r="77" spans="11:19" x14ac:dyDescent="0.2">
      <c r="K77" s="26"/>
      <c r="L77" s="26"/>
      <c r="M77" s="26"/>
      <c r="N77" s="26"/>
      <c r="O77" s="26"/>
      <c r="P77" s="26"/>
      <c r="Q77" s="26"/>
      <c r="R77" s="26"/>
    </row>
    <row r="78" spans="11:19" x14ac:dyDescent="0.2">
      <c r="K78" s="26"/>
      <c r="L78" s="26"/>
      <c r="M78" s="26"/>
      <c r="N78" s="26"/>
      <c r="O78" s="26"/>
      <c r="P78" s="26"/>
      <c r="Q78" s="26"/>
      <c r="R78" s="26"/>
    </row>
    <row r="79" spans="11:19" x14ac:dyDescent="0.2">
      <c r="K79" s="26"/>
      <c r="L79" s="26"/>
      <c r="M79" s="26"/>
      <c r="N79" s="26"/>
      <c r="O79" s="26"/>
      <c r="P79" s="26"/>
      <c r="Q79" s="26"/>
      <c r="R79" s="26"/>
    </row>
    <row r="80" spans="11:19" x14ac:dyDescent="0.2">
      <c r="K80" s="26"/>
      <c r="L80" s="26"/>
      <c r="M80" s="26"/>
      <c r="N80" s="26"/>
      <c r="O80" s="26"/>
      <c r="P80" s="26"/>
      <c r="Q80" s="26"/>
      <c r="R80" s="26"/>
    </row>
    <row r="81" spans="11:18" x14ac:dyDescent="0.2">
      <c r="K81" s="26"/>
      <c r="L81" s="26"/>
      <c r="M81" s="26"/>
      <c r="N81" s="26"/>
      <c r="O81" s="26"/>
      <c r="P81" s="26"/>
      <c r="Q81" s="26"/>
      <c r="R81" s="26"/>
    </row>
    <row r="82" spans="11:18" x14ac:dyDescent="0.2">
      <c r="K82" s="26"/>
      <c r="L82" s="26"/>
      <c r="M82" s="26"/>
      <c r="N82" s="26"/>
      <c r="O82" s="26"/>
      <c r="P82" s="26"/>
      <c r="Q82" s="26"/>
      <c r="R82" s="26"/>
    </row>
    <row r="83" spans="11:18" x14ac:dyDescent="0.2">
      <c r="K83" s="26"/>
      <c r="L83" s="26"/>
      <c r="M83" s="26"/>
      <c r="N83" s="26"/>
      <c r="O83" s="26"/>
      <c r="P83" s="26"/>
      <c r="Q83" s="26"/>
      <c r="R83" s="26"/>
    </row>
    <row r="84" spans="11:18" x14ac:dyDescent="0.2">
      <c r="K84" s="26"/>
      <c r="L84" s="26"/>
      <c r="M84" s="26"/>
      <c r="N84" s="26"/>
      <c r="O84" s="26"/>
      <c r="P84" s="26"/>
      <c r="Q84" s="26"/>
      <c r="R84" s="26"/>
    </row>
    <row r="85" spans="11:18" x14ac:dyDescent="0.2">
      <c r="K85" s="26"/>
      <c r="L85" s="26"/>
      <c r="M85" s="26"/>
      <c r="N85" s="26"/>
      <c r="O85" s="26"/>
      <c r="P85" s="26"/>
      <c r="Q85" s="26"/>
      <c r="R85" s="26"/>
    </row>
    <row r="86" spans="11:18" x14ac:dyDescent="0.2">
      <c r="K86" s="26"/>
      <c r="L86" s="26"/>
      <c r="M86" s="26"/>
      <c r="N86" s="26"/>
      <c r="O86" s="26"/>
      <c r="P86" s="26"/>
      <c r="Q86" s="26"/>
      <c r="R86" s="26"/>
    </row>
    <row r="87" spans="11:18" x14ac:dyDescent="0.2">
      <c r="K87" s="26"/>
      <c r="L87" s="26"/>
      <c r="M87" s="26"/>
      <c r="N87" s="26"/>
      <c r="O87" s="26"/>
      <c r="P87" s="26"/>
      <c r="Q87" s="26"/>
      <c r="R87" s="26"/>
    </row>
    <row r="88" spans="11:18" x14ac:dyDescent="0.2">
      <c r="K88" s="26"/>
      <c r="L88" s="26"/>
      <c r="M88" s="26"/>
      <c r="N88" s="26"/>
      <c r="O88" s="26"/>
      <c r="P88" s="26"/>
      <c r="Q88" s="26"/>
      <c r="R88" s="26"/>
    </row>
    <row r="89" spans="11:18" x14ac:dyDescent="0.2">
      <c r="K89" s="26"/>
      <c r="L89" s="26"/>
      <c r="M89" s="26"/>
      <c r="N89" s="26"/>
      <c r="O89" s="26"/>
      <c r="P89" s="26"/>
      <c r="Q89" s="26"/>
      <c r="R89" s="26"/>
    </row>
    <row r="90" spans="11:18" x14ac:dyDescent="0.2">
      <c r="K90" s="26"/>
      <c r="L90" s="26"/>
      <c r="M90" s="26"/>
      <c r="N90" s="26"/>
      <c r="O90" s="26"/>
      <c r="P90" s="26"/>
      <c r="Q90" s="26"/>
      <c r="R90" s="26"/>
    </row>
    <row r="91" spans="11:18" x14ac:dyDescent="0.2">
      <c r="K91" s="26"/>
      <c r="L91" s="26"/>
      <c r="M91" s="26"/>
      <c r="N91" s="26"/>
      <c r="O91" s="26"/>
      <c r="P91" s="26"/>
      <c r="Q91" s="26"/>
      <c r="R91" s="26"/>
    </row>
    <row r="92" spans="11:18" x14ac:dyDescent="0.2">
      <c r="K92" s="26"/>
      <c r="L92" s="26"/>
      <c r="M92" s="26"/>
      <c r="N92" s="26"/>
      <c r="O92" s="26"/>
      <c r="P92" s="26"/>
      <c r="Q92" s="26"/>
      <c r="R92" s="26"/>
    </row>
    <row r="93" spans="11:18" x14ac:dyDescent="0.2">
      <c r="K93" s="26"/>
      <c r="L93" s="26"/>
      <c r="M93" s="26"/>
      <c r="N93" s="26"/>
      <c r="O93" s="26"/>
      <c r="P93" s="26"/>
      <c r="Q93" s="26"/>
      <c r="R93" s="26"/>
    </row>
    <row r="94" spans="11:18" x14ac:dyDescent="0.2">
      <c r="K94" s="26"/>
      <c r="L94" s="26"/>
      <c r="M94" s="26"/>
      <c r="N94" s="26"/>
      <c r="O94" s="26"/>
      <c r="P94" s="26"/>
      <c r="Q94" s="26"/>
      <c r="R94" s="26"/>
    </row>
    <row r="95" spans="11:18" x14ac:dyDescent="0.2">
      <c r="K95" s="26"/>
      <c r="L95" s="26"/>
      <c r="M95" s="26"/>
      <c r="N95" s="26"/>
      <c r="O95" s="26"/>
      <c r="P95" s="26"/>
      <c r="Q95" s="26"/>
      <c r="R95" s="26"/>
    </row>
    <row r="96" spans="11:18" x14ac:dyDescent="0.2">
      <c r="K96" s="26"/>
      <c r="L96" s="26"/>
      <c r="M96" s="26"/>
      <c r="N96" s="26"/>
      <c r="O96" s="26"/>
      <c r="P96" s="26"/>
      <c r="Q96" s="26"/>
      <c r="R96" s="26"/>
    </row>
    <row r="97" spans="11:18" x14ac:dyDescent="0.2">
      <c r="K97" s="26"/>
      <c r="L97" s="26"/>
      <c r="M97" s="26"/>
      <c r="N97" s="26"/>
      <c r="O97" s="26"/>
      <c r="P97" s="26"/>
      <c r="Q97" s="26"/>
      <c r="R97" s="26"/>
    </row>
    <row r="98" spans="11:18" x14ac:dyDescent="0.2">
      <c r="K98" s="26"/>
      <c r="L98" s="26"/>
      <c r="M98" s="26"/>
      <c r="N98" s="26"/>
      <c r="O98" s="26"/>
      <c r="P98" s="26"/>
      <c r="Q98" s="26"/>
      <c r="R98" s="26"/>
    </row>
    <row r="99" spans="11:18" x14ac:dyDescent="0.2">
      <c r="K99" s="26"/>
      <c r="L99" s="26"/>
      <c r="M99" s="26"/>
      <c r="N99" s="26"/>
      <c r="O99" s="26"/>
      <c r="P99" s="26"/>
      <c r="Q99" s="26"/>
      <c r="R99" s="26"/>
    </row>
    <row r="100" spans="11:18" x14ac:dyDescent="0.2">
      <c r="K100" s="26"/>
      <c r="L100" s="26"/>
      <c r="M100" s="26"/>
      <c r="N100" s="26"/>
      <c r="O100" s="26"/>
      <c r="P100" s="26"/>
      <c r="Q100" s="26"/>
      <c r="R100" s="26"/>
    </row>
    <row r="101" spans="11:18" x14ac:dyDescent="0.2">
      <c r="K101" s="26"/>
      <c r="L101" s="26"/>
      <c r="M101" s="26"/>
      <c r="N101" s="26"/>
      <c r="O101" s="26"/>
      <c r="P101" s="26"/>
      <c r="Q101" s="26"/>
      <c r="R101" s="26"/>
    </row>
    <row r="102" spans="11:18" x14ac:dyDescent="0.2">
      <c r="K102" s="26"/>
      <c r="L102" s="26"/>
      <c r="M102" s="26"/>
      <c r="N102" s="26"/>
      <c r="O102" s="26"/>
      <c r="P102" s="26"/>
      <c r="Q102" s="26"/>
      <c r="R102" s="26"/>
    </row>
    <row r="103" spans="11:18" x14ac:dyDescent="0.2">
      <c r="K103" s="26"/>
      <c r="L103" s="26"/>
      <c r="M103" s="26"/>
      <c r="N103" s="26"/>
      <c r="O103" s="26"/>
      <c r="P103" s="26"/>
      <c r="Q103" s="26"/>
      <c r="R103" s="26"/>
    </row>
    <row r="104" spans="11:18" x14ac:dyDescent="0.2">
      <c r="K104" s="26"/>
      <c r="L104" s="26"/>
      <c r="M104" s="26"/>
      <c r="N104" s="26"/>
      <c r="O104" s="26"/>
      <c r="P104" s="26"/>
      <c r="Q104" s="26"/>
      <c r="R104" s="26"/>
    </row>
    <row r="105" spans="11:18" x14ac:dyDescent="0.2">
      <c r="K105" s="26"/>
      <c r="L105" s="26"/>
      <c r="M105" s="26"/>
      <c r="N105" s="26"/>
      <c r="O105" s="26"/>
      <c r="P105" s="26"/>
      <c r="Q105" s="26"/>
      <c r="R105" s="26"/>
    </row>
    <row r="106" spans="11:18" x14ac:dyDescent="0.2">
      <c r="K106" s="26"/>
      <c r="L106" s="26"/>
      <c r="M106" s="26"/>
      <c r="N106" s="26"/>
      <c r="O106" s="26"/>
      <c r="P106" s="26"/>
      <c r="Q106" s="26"/>
      <c r="R106" s="26"/>
    </row>
    <row r="107" spans="11:18" x14ac:dyDescent="0.2">
      <c r="K107" s="26"/>
      <c r="L107" s="26"/>
      <c r="M107" s="26"/>
      <c r="N107" s="26"/>
      <c r="O107" s="26"/>
      <c r="P107" s="26"/>
      <c r="Q107" s="26"/>
      <c r="R10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6D89-1C93-0740-A6CB-16DBB4836354}">
  <dimension ref="B1:P28"/>
  <sheetViews>
    <sheetView workbookViewId="0">
      <selection activeCell="H31" sqref="A1:H31"/>
    </sheetView>
  </sheetViews>
  <sheetFormatPr baseColWidth="10" defaultRowHeight="16" x14ac:dyDescent="0.2"/>
  <cols>
    <col min="13" max="13" width="19.5" customWidth="1"/>
  </cols>
  <sheetData>
    <row r="1" spans="2:16" x14ac:dyDescent="0.2">
      <c r="B1" t="s">
        <v>75</v>
      </c>
      <c r="H1">
        <v>3</v>
      </c>
    </row>
    <row r="2" spans="2:16" x14ac:dyDescent="0.2">
      <c r="B2" t="s">
        <v>73</v>
      </c>
      <c r="H2">
        <v>0.6</v>
      </c>
    </row>
    <row r="3" spans="2:16" x14ac:dyDescent="0.2">
      <c r="B3" t="s">
        <v>72</v>
      </c>
      <c r="H3">
        <v>8</v>
      </c>
    </row>
    <row r="4" spans="2:16" x14ac:dyDescent="0.2">
      <c r="B4" t="s">
        <v>70</v>
      </c>
      <c r="H4">
        <v>0.15</v>
      </c>
    </row>
    <row r="5" spans="2:16" x14ac:dyDescent="0.2">
      <c r="B5" t="s">
        <v>71</v>
      </c>
      <c r="H5">
        <v>60</v>
      </c>
    </row>
    <row r="6" spans="2:16" x14ac:dyDescent="0.2">
      <c r="B6" t="s">
        <v>76</v>
      </c>
      <c r="H6">
        <v>50</v>
      </c>
    </row>
    <row r="7" spans="2:16" ht="17" thickBot="1" x14ac:dyDescent="0.25"/>
    <row r="8" spans="2:16" ht="17" thickBot="1" x14ac:dyDescent="0.25">
      <c r="B8" s="21" t="s">
        <v>0</v>
      </c>
      <c r="C8" s="25">
        <v>2019</v>
      </c>
      <c r="J8" s="21" t="s">
        <v>10</v>
      </c>
      <c r="K8" s="25">
        <v>2019</v>
      </c>
      <c r="P8" t="s">
        <v>81</v>
      </c>
    </row>
    <row r="10" spans="2:16" ht="17" thickBot="1" x14ac:dyDescent="0.25">
      <c r="B10" t="s">
        <v>78</v>
      </c>
      <c r="E10">
        <v>0</v>
      </c>
      <c r="H10" s="48"/>
      <c r="I10" s="49"/>
      <c r="J10" t="s">
        <v>78</v>
      </c>
      <c r="M10">
        <v>1</v>
      </c>
      <c r="P10" s="29"/>
    </row>
    <row r="11" spans="2:16" ht="37" x14ac:dyDescent="0.2">
      <c r="B11" s="53" t="s">
        <v>29</v>
      </c>
      <c r="C11" s="54" t="s">
        <v>69</v>
      </c>
      <c r="D11" s="55" t="s">
        <v>31</v>
      </c>
      <c r="E11" s="56" t="s">
        <v>28</v>
      </c>
      <c r="F11" s="56" t="s">
        <v>32</v>
      </c>
      <c r="G11" s="57" t="s">
        <v>33</v>
      </c>
      <c r="H11" s="48"/>
      <c r="I11" s="49"/>
      <c r="J11" s="53" t="s">
        <v>29</v>
      </c>
      <c r="K11" s="54" t="s">
        <v>69</v>
      </c>
      <c r="L11" s="55" t="s">
        <v>31</v>
      </c>
      <c r="M11" s="56" t="s">
        <v>28</v>
      </c>
      <c r="N11" s="56" t="s">
        <v>32</v>
      </c>
      <c r="O11" s="57" t="s">
        <v>33</v>
      </c>
      <c r="P11" s="29"/>
    </row>
    <row r="12" spans="2:16" x14ac:dyDescent="0.2">
      <c r="B12" s="58" t="s">
        <v>62</v>
      </c>
      <c r="C12" s="9">
        <v>170</v>
      </c>
      <c r="D12" s="9">
        <f>316+143+55+6</f>
        <v>520</v>
      </c>
      <c r="E12" s="9">
        <f>F12*D12</f>
        <v>676</v>
      </c>
      <c r="F12" s="9">
        <v>1.3</v>
      </c>
      <c r="G12" s="10">
        <f>C12*E12/(1000*F12)</f>
        <v>88.4</v>
      </c>
      <c r="H12" s="48"/>
      <c r="I12" s="49"/>
      <c r="J12" s="58" t="s">
        <v>62</v>
      </c>
      <c r="K12" s="9">
        <v>170</v>
      </c>
      <c r="L12" s="9">
        <v>0</v>
      </c>
      <c r="M12" s="9">
        <f>N12*L12</f>
        <v>0</v>
      </c>
      <c r="N12" s="9">
        <v>1.3</v>
      </c>
      <c r="O12" s="10">
        <f>K12*M12/(1000*N12)</f>
        <v>0</v>
      </c>
    </row>
    <row r="13" spans="2:16" x14ac:dyDescent="0.2">
      <c r="B13" s="58" t="s">
        <v>77</v>
      </c>
      <c r="C13" s="9">
        <f>120*(1-E$10)+E$10*$H$6*$H$4*$H$1</f>
        <v>120</v>
      </c>
      <c r="D13" s="9">
        <v>1.5</v>
      </c>
      <c r="E13" s="9">
        <f t="shared" ref="E13:E20" si="0">F13*D13</f>
        <v>1.9500000000000002</v>
      </c>
      <c r="F13" s="9">
        <v>1.3</v>
      </c>
      <c r="G13" s="10">
        <f t="shared" ref="G13:G20" si="1">C13*E13/(1000*F13)</f>
        <v>0.18000000000000002</v>
      </c>
      <c r="H13" s="48"/>
      <c r="I13" s="49"/>
      <c r="J13" s="58" t="s">
        <v>77</v>
      </c>
      <c r="K13" s="9">
        <f>120*(1-M$10)+M$10*$H$6*$H$4*$H$1</f>
        <v>22.5</v>
      </c>
      <c r="L13" s="9">
        <v>60</v>
      </c>
      <c r="M13" s="9">
        <f t="shared" ref="M13:M20" si="2">N13*L13</f>
        <v>78</v>
      </c>
      <c r="N13" s="9">
        <v>1.3</v>
      </c>
      <c r="O13" s="10">
        <f t="shared" ref="O13:O20" si="3">K13*M13/(1000*N13)</f>
        <v>1.35</v>
      </c>
      <c r="P13" s="29"/>
    </row>
    <row r="14" spans="2:16" x14ac:dyDescent="0.2">
      <c r="B14" s="58" t="s">
        <v>63</v>
      </c>
      <c r="C14" s="46">
        <f>$H$5*$H$4</f>
        <v>9</v>
      </c>
      <c r="D14" s="59">
        <v>1</v>
      </c>
      <c r="E14" s="9">
        <f t="shared" si="0"/>
        <v>1.3</v>
      </c>
      <c r="F14" s="9">
        <v>1.3</v>
      </c>
      <c r="G14" s="10">
        <f t="shared" si="1"/>
        <v>9.0000000000000011E-3</v>
      </c>
      <c r="H14" s="30"/>
      <c r="J14" s="58" t="s">
        <v>63</v>
      </c>
      <c r="K14" s="46">
        <f>$H$5*$H$4</f>
        <v>9</v>
      </c>
      <c r="L14" s="59">
        <v>460</v>
      </c>
      <c r="M14" s="9">
        <f t="shared" si="2"/>
        <v>598</v>
      </c>
      <c r="N14" s="9">
        <v>1.3</v>
      </c>
      <c r="O14" s="10">
        <f t="shared" si="3"/>
        <v>4.1399999999999997</v>
      </c>
      <c r="P14" s="29"/>
    </row>
    <row r="15" spans="2:16" ht="24" x14ac:dyDescent="0.2">
      <c r="B15" s="58" t="s">
        <v>64</v>
      </c>
      <c r="C15" s="9">
        <v>1100</v>
      </c>
      <c r="D15" s="59">
        <v>2.9</v>
      </c>
      <c r="E15" s="9">
        <f t="shared" si="0"/>
        <v>43.5</v>
      </c>
      <c r="F15" s="9">
        <v>15</v>
      </c>
      <c r="G15" s="10">
        <f t="shared" si="1"/>
        <v>3.19</v>
      </c>
      <c r="H15" s="30"/>
      <c r="J15" s="58" t="s">
        <v>64</v>
      </c>
      <c r="K15" s="9">
        <v>1100</v>
      </c>
      <c r="L15" s="59">
        <v>0</v>
      </c>
      <c r="M15" s="9">
        <f t="shared" si="2"/>
        <v>0</v>
      </c>
      <c r="N15" s="9">
        <v>15</v>
      </c>
      <c r="O15" s="10">
        <f t="shared" si="3"/>
        <v>0</v>
      </c>
    </row>
    <row r="16" spans="2:16" x14ac:dyDescent="0.2">
      <c r="B16" s="58" t="s">
        <v>79</v>
      </c>
      <c r="C16" s="9">
        <f>1000*(1-E$10)+E$10*$H$6*$H$4*$H$3*$H$1</f>
        <v>1000</v>
      </c>
      <c r="D16" s="9">
        <v>0.03</v>
      </c>
      <c r="E16" s="9">
        <f t="shared" si="0"/>
        <v>0.44999999999999996</v>
      </c>
      <c r="F16" s="9">
        <v>15</v>
      </c>
      <c r="G16" s="10">
        <f t="shared" si="1"/>
        <v>2.9999999999999995E-2</v>
      </c>
      <c r="H16" s="30"/>
      <c r="J16" s="58" t="s">
        <v>79</v>
      </c>
      <c r="K16" s="9">
        <f>1000*(1-M$10)+M$10*$H$6*$H$4*$H$3*$H$1</f>
        <v>180</v>
      </c>
      <c r="L16" s="9">
        <v>1</v>
      </c>
      <c r="M16" s="9">
        <f t="shared" si="2"/>
        <v>15</v>
      </c>
      <c r="N16" s="9">
        <v>15</v>
      </c>
      <c r="O16" s="10">
        <f t="shared" si="3"/>
        <v>0.18</v>
      </c>
    </row>
    <row r="17" spans="2:15" ht="24" x14ac:dyDescent="0.2">
      <c r="B17" s="58" t="s">
        <v>65</v>
      </c>
      <c r="C17" s="9">
        <v>0</v>
      </c>
      <c r="D17" s="59">
        <v>0</v>
      </c>
      <c r="E17" s="9">
        <f t="shared" si="0"/>
        <v>0</v>
      </c>
      <c r="F17" s="9">
        <v>15</v>
      </c>
      <c r="G17" s="10">
        <f t="shared" si="1"/>
        <v>0</v>
      </c>
      <c r="H17" s="30"/>
      <c r="J17" s="58" t="s">
        <v>65</v>
      </c>
      <c r="K17" s="9">
        <v>0</v>
      </c>
      <c r="L17" s="59">
        <v>2</v>
      </c>
      <c r="M17" s="9">
        <f t="shared" si="2"/>
        <v>30</v>
      </c>
      <c r="N17" s="9">
        <v>15</v>
      </c>
      <c r="O17" s="10">
        <f t="shared" si="3"/>
        <v>0</v>
      </c>
    </row>
    <row r="18" spans="2:15" x14ac:dyDescent="0.2">
      <c r="B18" s="58" t="s">
        <v>66</v>
      </c>
      <c r="C18" s="9">
        <f>$H$5*$H$4*$H$3*$H$1</f>
        <v>216</v>
      </c>
      <c r="D18" s="59">
        <v>0</v>
      </c>
      <c r="E18" s="9">
        <f t="shared" si="0"/>
        <v>0</v>
      </c>
      <c r="F18" s="9">
        <v>15</v>
      </c>
      <c r="G18" s="10">
        <f t="shared" si="1"/>
        <v>0</v>
      </c>
      <c r="H18" s="30"/>
      <c r="J18" s="58" t="s">
        <v>66</v>
      </c>
      <c r="K18" s="9">
        <f>$H$5*$H$4*$H$3*$H$1</f>
        <v>216</v>
      </c>
      <c r="L18" s="59">
        <v>0</v>
      </c>
      <c r="M18" s="9">
        <f t="shared" si="2"/>
        <v>0</v>
      </c>
      <c r="N18" s="9">
        <v>15</v>
      </c>
      <c r="O18" s="10">
        <f t="shared" si="3"/>
        <v>0</v>
      </c>
    </row>
    <row r="19" spans="2:15" ht="24" x14ac:dyDescent="0.2">
      <c r="B19" s="58" t="s">
        <v>67</v>
      </c>
      <c r="C19" s="9">
        <v>100</v>
      </c>
      <c r="D19" s="9">
        <v>13.5</v>
      </c>
      <c r="E19" s="9">
        <f t="shared" si="0"/>
        <v>13.5</v>
      </c>
      <c r="F19" s="9">
        <v>1</v>
      </c>
      <c r="G19" s="10">
        <f t="shared" si="1"/>
        <v>1.35</v>
      </c>
      <c r="J19" s="58" t="s">
        <v>67</v>
      </c>
      <c r="K19" s="9">
        <v>100</v>
      </c>
      <c r="L19" s="9">
        <v>0</v>
      </c>
      <c r="M19" s="9">
        <f t="shared" si="2"/>
        <v>0</v>
      </c>
      <c r="N19" s="9">
        <v>1</v>
      </c>
      <c r="O19" s="10">
        <f t="shared" si="3"/>
        <v>0</v>
      </c>
    </row>
    <row r="20" spans="2:15" ht="25" thickBot="1" x14ac:dyDescent="0.25">
      <c r="B20" s="60" t="s">
        <v>68</v>
      </c>
      <c r="C20" s="12">
        <f>$H$4*$H$2*$H$5</f>
        <v>5.3999999999999995</v>
      </c>
      <c r="D20" s="12">
        <v>0.1</v>
      </c>
      <c r="E20" s="12">
        <f t="shared" si="0"/>
        <v>0.1</v>
      </c>
      <c r="F20" s="12">
        <v>1</v>
      </c>
      <c r="G20" s="13">
        <f t="shared" si="1"/>
        <v>5.399999999999999E-4</v>
      </c>
      <c r="J20" s="60" t="s">
        <v>68</v>
      </c>
      <c r="K20" s="12">
        <f>$H$4*$H$2*$H$5</f>
        <v>5.3999999999999995</v>
      </c>
      <c r="L20" s="12">
        <v>13</v>
      </c>
      <c r="M20" s="12">
        <f t="shared" si="2"/>
        <v>13</v>
      </c>
      <c r="N20" s="12">
        <v>1</v>
      </c>
      <c r="O20" s="13">
        <f t="shared" si="3"/>
        <v>7.0199999999999985E-2</v>
      </c>
    </row>
    <row r="21" spans="2:15" ht="36" x14ac:dyDescent="0.2">
      <c r="D21" s="50" t="s">
        <v>50</v>
      </c>
      <c r="E21" s="51">
        <f>SUM(E12:E20)</f>
        <v>736.80000000000007</v>
      </c>
      <c r="F21" s="50" t="s">
        <v>51</v>
      </c>
      <c r="G21" s="52">
        <f>SUM(G12:G20)</f>
        <v>93.159540000000007</v>
      </c>
      <c r="L21" s="50" t="s">
        <v>50</v>
      </c>
      <c r="M21" s="51">
        <f>SUM(M12:M20)</f>
        <v>734</v>
      </c>
      <c r="N21" s="50" t="s">
        <v>51</v>
      </c>
      <c r="O21" s="52">
        <f>SUM(O12:O20)</f>
        <v>5.7401999999999997</v>
      </c>
    </row>
    <row r="23" spans="2:15" ht="17" thickBot="1" x14ac:dyDescent="0.25"/>
    <row r="24" spans="2:15" ht="37" x14ac:dyDescent="0.2">
      <c r="B24" s="53" t="s">
        <v>29</v>
      </c>
      <c r="C24" s="61" t="s">
        <v>52</v>
      </c>
      <c r="D24" s="55" t="s">
        <v>31</v>
      </c>
      <c r="E24" s="56" t="s">
        <v>28</v>
      </c>
      <c r="F24" s="62" t="s">
        <v>32</v>
      </c>
      <c r="G24" s="57" t="s">
        <v>33</v>
      </c>
      <c r="J24" s="53" t="s">
        <v>29</v>
      </c>
      <c r="K24" s="61" t="s">
        <v>52</v>
      </c>
      <c r="L24" s="55" t="s">
        <v>31</v>
      </c>
      <c r="M24" s="56" t="s">
        <v>28</v>
      </c>
      <c r="N24" s="62" t="s">
        <v>32</v>
      </c>
      <c r="O24" s="57" t="s">
        <v>33</v>
      </c>
    </row>
    <row r="25" spans="2:15" ht="24" x14ac:dyDescent="0.2">
      <c r="B25" s="58" t="s">
        <v>74</v>
      </c>
      <c r="C25" s="9">
        <v>5</v>
      </c>
      <c r="D25" s="63"/>
      <c r="E25" s="63">
        <v>112</v>
      </c>
      <c r="F25" s="9"/>
      <c r="G25" s="10">
        <f>C25*E25/1000</f>
        <v>0.56000000000000005</v>
      </c>
      <c r="J25" s="58" t="s">
        <v>74</v>
      </c>
      <c r="K25" s="9">
        <v>5</v>
      </c>
      <c r="L25" s="63"/>
      <c r="M25" s="63">
        <v>112</v>
      </c>
      <c r="N25" s="9"/>
      <c r="O25" s="10">
        <f>K25*M25/1000</f>
        <v>0.56000000000000005</v>
      </c>
    </row>
    <row r="26" spans="2:15" ht="36" x14ac:dyDescent="0.2">
      <c r="B26" s="58" t="s">
        <v>59</v>
      </c>
      <c r="C26" s="36">
        <v>134</v>
      </c>
      <c r="D26" s="36"/>
      <c r="E26" s="36">
        <v>15.6</v>
      </c>
      <c r="F26" s="9"/>
      <c r="G26" s="10">
        <f t="shared" ref="G26:G27" si="4">C26*E26/1000</f>
        <v>2.0904000000000003</v>
      </c>
      <c r="J26" s="58" t="s">
        <v>59</v>
      </c>
      <c r="K26" s="36">
        <v>134</v>
      </c>
      <c r="L26" s="36"/>
      <c r="M26" s="36">
        <v>15.6</v>
      </c>
      <c r="N26" s="9"/>
      <c r="O26" s="10">
        <f t="shared" ref="O26:O27" si="5">K26*M26/1000</f>
        <v>2.0904000000000003</v>
      </c>
    </row>
    <row r="27" spans="2:15" ht="37" thickBot="1" x14ac:dyDescent="0.25">
      <c r="B27" s="60" t="s">
        <v>60</v>
      </c>
      <c r="C27" s="64">
        <v>80</v>
      </c>
      <c r="D27" s="64"/>
      <c r="E27" s="64">
        <f>0.004*8400</f>
        <v>33.6</v>
      </c>
      <c r="F27" s="12"/>
      <c r="G27" s="13">
        <f t="shared" si="4"/>
        <v>2.6880000000000002</v>
      </c>
      <c r="J27" s="60" t="s">
        <v>60</v>
      </c>
      <c r="K27" s="64">
        <v>80</v>
      </c>
      <c r="L27" s="64"/>
      <c r="M27" s="64">
        <f>0.004*8400</f>
        <v>33.6</v>
      </c>
      <c r="N27" s="12"/>
      <c r="O27" s="13">
        <f t="shared" si="5"/>
        <v>2.6880000000000002</v>
      </c>
    </row>
    <row r="28" spans="2:15" x14ac:dyDescent="0.2">
      <c r="B28" s="47"/>
      <c r="D28" s="50" t="s">
        <v>61</v>
      </c>
      <c r="E28" s="51">
        <f>E21+SUM(E25:E27)</f>
        <v>898</v>
      </c>
      <c r="F28" s="50" t="s">
        <v>6</v>
      </c>
      <c r="G28" s="51">
        <f>G21+SUM(G25:G27)</f>
        <v>98.49794</v>
      </c>
      <c r="J28" s="47"/>
      <c r="L28" s="50" t="s">
        <v>61</v>
      </c>
      <c r="M28" s="51">
        <f>M21+SUM(M25:M27)</f>
        <v>895.2</v>
      </c>
      <c r="N28" s="50" t="s">
        <v>6</v>
      </c>
      <c r="O28" s="51">
        <f>O21+SUM(O25:O27)</f>
        <v>11.0786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8A9E-3363-994F-8760-E1200023DCF1}">
  <dimension ref="B4:P30"/>
  <sheetViews>
    <sheetView workbookViewId="0">
      <selection activeCell="H31" sqref="A1:H31"/>
    </sheetView>
  </sheetViews>
  <sheetFormatPr baseColWidth="10" defaultRowHeight="16" x14ac:dyDescent="0.2"/>
  <sheetData>
    <row r="4" spans="2:16" ht="37" x14ac:dyDescent="0.2">
      <c r="B4" s="31" t="s">
        <v>29</v>
      </c>
      <c r="C4" s="32" t="s">
        <v>30</v>
      </c>
      <c r="D4" s="33" t="s">
        <v>31</v>
      </c>
      <c r="E4" s="34" t="s">
        <v>28</v>
      </c>
      <c r="F4" s="34" t="s">
        <v>32</v>
      </c>
      <c r="G4" s="34" t="s">
        <v>33</v>
      </c>
      <c r="H4" s="65" t="s">
        <v>34</v>
      </c>
    </row>
    <row r="5" spans="2:16" x14ac:dyDescent="0.2">
      <c r="B5" s="35" t="s">
        <v>35</v>
      </c>
      <c r="C5" s="36">
        <v>165.7424412138364</v>
      </c>
      <c r="D5" s="36">
        <v>316.26114815516769</v>
      </c>
      <c r="E5" s="36">
        <f t="shared" ref="E5:E19" si="0">D5*F5</f>
        <v>379.5133777862012</v>
      </c>
      <c r="F5" s="36">
        <v>1.2</v>
      </c>
      <c r="G5" s="36">
        <f t="shared" ref="G5:G19" si="1">C5*E5/(F5*1000)</f>
        <v>52.417894756328288</v>
      </c>
      <c r="H5" s="66"/>
    </row>
    <row r="6" spans="2:16" x14ac:dyDescent="0.2">
      <c r="B6" s="35" t="s">
        <v>36</v>
      </c>
      <c r="C6" s="36">
        <v>155.80063510128798</v>
      </c>
      <c r="D6" s="36">
        <v>143.02161906059894</v>
      </c>
      <c r="E6" s="36">
        <f t="shared" si="0"/>
        <v>171.62594287271872</v>
      </c>
      <c r="F6" s="36">
        <v>1.2</v>
      </c>
      <c r="G6" s="36">
        <f t="shared" si="1"/>
        <v>22.282859082855786</v>
      </c>
      <c r="H6" s="66"/>
    </row>
    <row r="7" spans="2:16" x14ac:dyDescent="0.2">
      <c r="B7" s="35" t="s">
        <v>37</v>
      </c>
      <c r="C7" s="36">
        <v>110.15297857651096</v>
      </c>
      <c r="D7" s="36">
        <v>1.438258794821085</v>
      </c>
      <c r="E7" s="36">
        <f t="shared" si="0"/>
        <v>1.7259105537853019</v>
      </c>
      <c r="F7" s="36">
        <v>1.2</v>
      </c>
      <c r="G7" s="36">
        <f t="shared" si="1"/>
        <v>0.15842849021340544</v>
      </c>
      <c r="H7" s="66"/>
    </row>
    <row r="8" spans="2:16" x14ac:dyDescent="0.2">
      <c r="B8" s="35" t="s">
        <v>38</v>
      </c>
      <c r="C8" s="36">
        <v>139.32332715645703</v>
      </c>
      <c r="D8" s="36">
        <v>7.6668475639745687E-2</v>
      </c>
      <c r="E8" s="36">
        <f t="shared" si="0"/>
        <v>9.2002170767694819E-2</v>
      </c>
      <c r="F8" s="36">
        <v>1.2</v>
      </c>
      <c r="G8" s="36">
        <f t="shared" si="1"/>
        <v>1.0681707114143145E-2</v>
      </c>
      <c r="H8" s="66"/>
      <c r="P8" t="s">
        <v>81</v>
      </c>
    </row>
    <row r="9" spans="2:16" x14ac:dyDescent="0.2">
      <c r="B9" s="35" t="s">
        <v>39</v>
      </c>
      <c r="C9" s="36">
        <v>0</v>
      </c>
      <c r="D9" s="36">
        <v>1.0241650189542271</v>
      </c>
      <c r="E9" s="36">
        <f t="shared" si="0"/>
        <v>1.2289980227450725</v>
      </c>
      <c r="F9" s="36">
        <v>1.2</v>
      </c>
      <c r="G9" s="36">
        <f t="shared" si="1"/>
        <v>0</v>
      </c>
      <c r="H9" s="66"/>
    </row>
    <row r="10" spans="2:16" x14ac:dyDescent="0.2">
      <c r="B10" s="35" t="s">
        <v>40</v>
      </c>
      <c r="C10" s="36">
        <v>219.20672641734643</v>
      </c>
      <c r="D10" s="36">
        <f>91.0319547781913*0.6</f>
        <v>54.619172866914781</v>
      </c>
      <c r="E10" s="36">
        <f t="shared" si="0"/>
        <v>98.314511160446614</v>
      </c>
      <c r="F10" s="36">
        <v>1.8</v>
      </c>
      <c r="G10" s="36">
        <f t="shared" si="1"/>
        <v>11.972890083779539</v>
      </c>
      <c r="H10" s="66"/>
    </row>
    <row r="11" spans="2:16" x14ac:dyDescent="0.2">
      <c r="B11" s="35" t="s">
        <v>41</v>
      </c>
      <c r="C11" s="36">
        <v>189.07207216638702</v>
      </c>
      <c r="D11" s="36">
        <f>10.4229775052414*0.6</f>
        <v>6.2537865031448403</v>
      </c>
      <c r="E11" s="36">
        <f t="shared" si="0"/>
        <v>11.256815705660713</v>
      </c>
      <c r="F11" s="36">
        <v>1.8</v>
      </c>
      <c r="G11" s="36">
        <f t="shared" si="1"/>
        <v>1.1824163730357784</v>
      </c>
      <c r="H11" s="66"/>
    </row>
    <row r="12" spans="2:16" x14ac:dyDescent="0.2">
      <c r="B12" s="35" t="s">
        <v>42</v>
      </c>
      <c r="C12" s="36">
        <v>0</v>
      </c>
      <c r="D12" s="36">
        <f>0.435578638449838*0.6</f>
        <v>0.26134718306990279</v>
      </c>
      <c r="E12" s="36">
        <f t="shared" si="0"/>
        <v>0.47042492952582504</v>
      </c>
      <c r="F12" s="36">
        <v>1.8</v>
      </c>
      <c r="G12" s="36">
        <f t="shared" si="1"/>
        <v>0</v>
      </c>
      <c r="H12" s="66"/>
    </row>
    <row r="13" spans="2:16" x14ac:dyDescent="0.2">
      <c r="B13" s="35" t="s">
        <v>43</v>
      </c>
      <c r="C13" s="36">
        <v>1112.9766344540224</v>
      </c>
      <c r="D13" s="36">
        <f>28.97/10</f>
        <v>2.8969999999999998</v>
      </c>
      <c r="E13" s="36">
        <f t="shared" si="0"/>
        <v>41.340189999999993</v>
      </c>
      <c r="F13" s="36">
        <v>14.27</v>
      </c>
      <c r="G13" s="36">
        <f t="shared" si="1"/>
        <v>3.224293310013302</v>
      </c>
      <c r="H13" s="66"/>
    </row>
    <row r="14" spans="2:16" ht="24" x14ac:dyDescent="0.2">
      <c r="B14" s="35" t="s">
        <v>44</v>
      </c>
      <c r="C14" s="36">
        <v>431.32970528073014</v>
      </c>
      <c r="D14" s="36">
        <f>0/10</f>
        <v>0</v>
      </c>
      <c r="E14" s="36">
        <f t="shared" si="0"/>
        <v>0</v>
      </c>
      <c r="F14" s="36">
        <v>14.27</v>
      </c>
      <c r="G14" s="36">
        <f t="shared" si="1"/>
        <v>0</v>
      </c>
      <c r="H14" s="66"/>
    </row>
    <row r="15" spans="2:16" x14ac:dyDescent="0.2">
      <c r="B15" s="35" t="s">
        <v>45</v>
      </c>
      <c r="C15" s="36">
        <v>1140.5937522829518</v>
      </c>
      <c r="D15" s="36">
        <f>0.327630360261145/10</f>
        <v>3.2763036026114502E-2</v>
      </c>
      <c r="E15" s="36">
        <f t="shared" si="0"/>
        <v>0.46752852409265394</v>
      </c>
      <c r="F15" s="36">
        <v>14.27</v>
      </c>
      <c r="G15" s="36">
        <f t="shared" si="1"/>
        <v>3.7369314197207466E-2</v>
      </c>
      <c r="H15" s="66"/>
    </row>
    <row r="16" spans="2:16" ht="24" x14ac:dyDescent="0.2">
      <c r="B16" s="35" t="s">
        <v>46</v>
      </c>
      <c r="C16" s="36">
        <v>0</v>
      </c>
      <c r="D16" s="36">
        <f>0.0233699210162792/10</f>
        <v>2.33699210162792E-3</v>
      </c>
      <c r="E16" s="36">
        <f t="shared" si="0"/>
        <v>3.3348877290230415E-2</v>
      </c>
      <c r="F16" s="36">
        <v>14.27</v>
      </c>
      <c r="G16" s="36">
        <f t="shared" si="1"/>
        <v>0</v>
      </c>
      <c r="H16" s="66"/>
    </row>
    <row r="17" spans="2:8" ht="24" x14ac:dyDescent="0.2">
      <c r="B17" s="35" t="s">
        <v>47</v>
      </c>
      <c r="C17" s="36">
        <v>105.50510244538106</v>
      </c>
      <c r="D17" s="36">
        <v>12.96973188803741</v>
      </c>
      <c r="E17" s="36">
        <f t="shared" si="0"/>
        <v>13.099429206917785</v>
      </c>
      <c r="F17" s="36">
        <v>1.01</v>
      </c>
      <c r="G17" s="36">
        <f t="shared" si="1"/>
        <v>1.3683728915365123</v>
      </c>
      <c r="H17" s="66"/>
    </row>
    <row r="18" spans="2:8" x14ac:dyDescent="0.2">
      <c r="B18" s="35" t="s">
        <v>48</v>
      </c>
      <c r="C18" s="36">
        <v>105.50510244538106</v>
      </c>
      <c r="D18" s="36">
        <v>0.92901191741603328</v>
      </c>
      <c r="E18" s="36">
        <f t="shared" si="0"/>
        <v>0.93830203659019362</v>
      </c>
      <c r="F18" s="36">
        <v>1.01</v>
      </c>
      <c r="G18" s="36">
        <f t="shared" si="1"/>
        <v>9.8015497519958472E-2</v>
      </c>
      <c r="H18" s="66"/>
    </row>
    <row r="19" spans="2:8" ht="24" x14ac:dyDescent="0.2">
      <c r="B19" s="35" t="s">
        <v>49</v>
      </c>
      <c r="C19" s="36">
        <v>0</v>
      </c>
      <c r="D19" s="38">
        <v>0.10112500577722081</v>
      </c>
      <c r="E19" s="38">
        <f t="shared" si="0"/>
        <v>0.10213625583499301</v>
      </c>
      <c r="F19" s="36">
        <v>1.01</v>
      </c>
      <c r="G19" s="36">
        <f t="shared" si="1"/>
        <v>0</v>
      </c>
      <c r="H19" s="66"/>
    </row>
    <row r="20" spans="2:8" ht="36" x14ac:dyDescent="0.2">
      <c r="C20" s="39"/>
      <c r="D20" s="31" t="s">
        <v>50</v>
      </c>
      <c r="E20" s="32">
        <f>SUM(E5:E19)</f>
        <v>720.20891810257717</v>
      </c>
      <c r="F20" s="31" t="s">
        <v>51</v>
      </c>
      <c r="G20" s="40">
        <f>SUM(G5:G19)</f>
        <v>92.753221506593931</v>
      </c>
      <c r="H20" s="66"/>
    </row>
    <row r="21" spans="2:8" x14ac:dyDescent="0.2">
      <c r="G21" s="41"/>
      <c r="H21" s="42"/>
    </row>
    <row r="22" spans="2:8" ht="37" x14ac:dyDescent="0.2">
      <c r="B22" s="31" t="s">
        <v>29</v>
      </c>
      <c r="C22" s="32" t="s">
        <v>52</v>
      </c>
      <c r="D22" s="33" t="s">
        <v>31</v>
      </c>
      <c r="E22" s="34" t="s">
        <v>28</v>
      </c>
      <c r="F22" s="43" t="s">
        <v>32</v>
      </c>
      <c r="G22" s="44" t="s">
        <v>33</v>
      </c>
      <c r="H22" s="42"/>
    </row>
    <row r="23" spans="2:8" x14ac:dyDescent="0.2">
      <c r="B23" s="35" t="s">
        <v>53</v>
      </c>
      <c r="C23" s="36">
        <v>1.9</v>
      </c>
      <c r="D23" s="36"/>
      <c r="E23" s="36">
        <v>61.89</v>
      </c>
      <c r="F23" s="45"/>
      <c r="G23" s="36">
        <f t="shared" ref="G23:G27" si="2">C23*E23/1000</f>
        <v>0.11759099999999999</v>
      </c>
      <c r="H23" s="67" t="s">
        <v>54</v>
      </c>
    </row>
    <row r="24" spans="2:8" x14ac:dyDescent="0.2">
      <c r="B24" s="35" t="s">
        <v>55</v>
      </c>
      <c r="C24" s="36">
        <v>24.81</v>
      </c>
      <c r="D24" s="36"/>
      <c r="E24" s="36">
        <v>15.221</v>
      </c>
      <c r="F24" s="45"/>
      <c r="G24" s="36">
        <f t="shared" si="2"/>
        <v>0.37763300999999994</v>
      </c>
      <c r="H24" s="66"/>
    </row>
    <row r="25" spans="2:8" x14ac:dyDescent="0.2">
      <c r="B25" s="35" t="s">
        <v>56</v>
      </c>
      <c r="C25" s="36">
        <v>5.29</v>
      </c>
      <c r="D25" s="36"/>
      <c r="E25" s="36">
        <v>5.46</v>
      </c>
      <c r="F25" s="45"/>
      <c r="G25" s="36">
        <f t="shared" si="2"/>
        <v>2.88834E-2</v>
      </c>
      <c r="H25" s="66"/>
    </row>
    <row r="26" spans="2:8" x14ac:dyDescent="0.2">
      <c r="B26" s="35" t="s">
        <v>57</v>
      </c>
      <c r="C26" s="36">
        <v>4.5</v>
      </c>
      <c r="D26" s="36"/>
      <c r="E26" s="36">
        <v>19.5</v>
      </c>
      <c r="F26" s="45"/>
      <c r="G26" s="36">
        <f t="shared" si="2"/>
        <v>8.7749999999999995E-2</v>
      </c>
      <c r="H26" s="66"/>
    </row>
    <row r="27" spans="2:8" x14ac:dyDescent="0.2">
      <c r="B27" s="35" t="s">
        <v>58</v>
      </c>
      <c r="C27" s="36">
        <v>2.5</v>
      </c>
      <c r="D27" s="36"/>
      <c r="E27" s="36">
        <v>10.6</v>
      </c>
      <c r="F27" s="45"/>
      <c r="G27" s="36">
        <f t="shared" si="2"/>
        <v>2.6499999999999999E-2</v>
      </c>
      <c r="H27" s="66"/>
    </row>
    <row r="28" spans="2:8" ht="36" x14ac:dyDescent="0.2">
      <c r="B28" s="35" t="s">
        <v>59</v>
      </c>
      <c r="C28" s="36">
        <f t="shared" ref="C28:C29" si="3">G28/E28*10^3</f>
        <v>134.61538461538464</v>
      </c>
      <c r="D28" s="36"/>
      <c r="E28" s="36">
        <v>15.6</v>
      </c>
      <c r="F28" s="45"/>
      <c r="G28" s="36">
        <v>2.1</v>
      </c>
      <c r="H28" s="66"/>
    </row>
    <row r="29" spans="2:8" ht="36" x14ac:dyDescent="0.2">
      <c r="B29" s="35" t="s">
        <v>60</v>
      </c>
      <c r="C29" s="36">
        <f t="shared" si="3"/>
        <v>80.357142857142861</v>
      </c>
      <c r="D29" s="36"/>
      <c r="E29" s="36">
        <f>0.004*8400</f>
        <v>33.6</v>
      </c>
      <c r="F29" s="45"/>
      <c r="G29" s="36">
        <v>2.7</v>
      </c>
      <c r="H29" s="66"/>
    </row>
    <row r="30" spans="2:8" x14ac:dyDescent="0.2">
      <c r="C30" s="36"/>
      <c r="D30" s="31" t="s">
        <v>61</v>
      </c>
      <c r="E30" s="32">
        <f>SUM(E5:E19)+SUM(E23:E29)</f>
        <v>882.07991810257715</v>
      </c>
      <c r="F30" s="31" t="s">
        <v>6</v>
      </c>
      <c r="G30" s="32">
        <f>SUM(G5:G19)+SUM(G23:G29)</f>
        <v>98.191578916593926</v>
      </c>
    </row>
  </sheetData>
  <mergeCells count="2">
    <mergeCell ref="H4:H20"/>
    <mergeCell ref="H23:H29"/>
  </mergeCells>
  <hyperlinks>
    <hyperlink ref="H23" r:id="rId1" xr:uid="{FEBC7117-4B51-BC49-981B-318DA99113E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Chauffage-simple</vt:lpstr>
      <vt:lpstr>Transport-simple</vt:lpstr>
      <vt:lpstr>Transport-complexe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2021-11-15T07:03:08Z</dcterms:created>
  <dcterms:modified xsi:type="dcterms:W3CDTF">2021-11-17T08:25:59Z</dcterms:modified>
</cp:coreProperties>
</file>