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Enseignement/PESTO/PESTO2021/"/>
    </mc:Choice>
  </mc:AlternateContent>
  <xr:revisionPtr revIDLastSave="0" documentId="13_ncr:1_{9672633A-0E01-DA4B-AE24-8E67ED51A2A6}" xr6:coauthVersionLast="47" xr6:coauthVersionMax="47" xr10:uidLastSave="{00000000-0000-0000-0000-000000000000}"/>
  <bookViews>
    <workbookView xWindow="11360" yWindow="2600" windowWidth="28440" windowHeight="16420" activeTab="1" xr2:uid="{00000000-000D-0000-FFFF-FFFF00000000}"/>
  </bookViews>
  <sheets>
    <sheet name="Hypotheses" sheetId="1" r:id="rId1"/>
    <sheet name="MixElectrique" sheetId="3" r:id="rId2"/>
    <sheet name="Stockag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I35" i="3" s="1"/>
  <c r="H9" i="1"/>
  <c r="I25" i="3" s="1"/>
  <c r="H25" i="3"/>
  <c r="H26" i="3"/>
  <c r="H47" i="3" s="1"/>
  <c r="I26" i="3"/>
  <c r="I47" i="3" s="1"/>
  <c r="H27" i="3"/>
  <c r="I27" i="3"/>
  <c r="H28" i="3"/>
  <c r="I28" i="3"/>
  <c r="H31" i="3"/>
  <c r="I31" i="3"/>
  <c r="H33" i="3"/>
  <c r="I33" i="3"/>
  <c r="H35" i="3"/>
  <c r="H36" i="3"/>
  <c r="I36" i="3"/>
  <c r="I37" i="3" s="1"/>
  <c r="H19" i="1" s="1"/>
  <c r="D35" i="3"/>
  <c r="E35" i="3"/>
  <c r="F35" i="3"/>
  <c r="G35" i="3"/>
  <c r="C35" i="3"/>
  <c r="D33" i="3"/>
  <c r="E33" i="3"/>
  <c r="F33" i="3"/>
  <c r="G33" i="3"/>
  <c r="C33" i="3"/>
  <c r="D31" i="3"/>
  <c r="E31" i="3"/>
  <c r="F31" i="3"/>
  <c r="G31" i="3"/>
  <c r="C31" i="3"/>
  <c r="C26" i="3"/>
  <c r="C47" i="3" s="1"/>
  <c r="D26" i="3"/>
  <c r="D47" i="3" s="1"/>
  <c r="E26" i="3"/>
  <c r="E47" i="3" s="1"/>
  <c r="F26" i="3"/>
  <c r="F47" i="3" s="1"/>
  <c r="G26" i="3"/>
  <c r="G47" i="3" s="1"/>
  <c r="C27" i="3"/>
  <c r="D27" i="3"/>
  <c r="E27" i="3"/>
  <c r="F27" i="3"/>
  <c r="G27" i="3"/>
  <c r="C28" i="3"/>
  <c r="D28" i="3"/>
  <c r="E28" i="3"/>
  <c r="F28" i="3"/>
  <c r="G28" i="3"/>
  <c r="D25" i="3"/>
  <c r="E25" i="3"/>
  <c r="F25" i="3"/>
  <c r="G25" i="3"/>
  <c r="C25" i="3"/>
  <c r="G8" i="1"/>
  <c r="F8" i="1"/>
  <c r="E8" i="1"/>
  <c r="D8" i="1"/>
  <c r="C8" i="1"/>
  <c r="B8" i="1"/>
  <c r="D36" i="3"/>
  <c r="E36" i="3"/>
  <c r="F36" i="3"/>
  <c r="G36" i="3"/>
  <c r="C36" i="3"/>
  <c r="G21" i="3"/>
  <c r="F30" i="3" s="1"/>
  <c r="G22" i="3"/>
  <c r="F29" i="3" s="1"/>
  <c r="G28" i="4"/>
  <c r="D28" i="4"/>
  <c r="D29" i="4" s="1"/>
  <c r="G27" i="4"/>
  <c r="F27" i="4"/>
  <c r="C27" i="4"/>
  <c r="G26" i="4"/>
  <c r="D23" i="4"/>
  <c r="C21" i="4"/>
  <c r="F20" i="4"/>
  <c r="E18" i="4"/>
  <c r="E20" i="4" s="1"/>
  <c r="C17" i="4"/>
  <c r="C20" i="4" s="1"/>
  <c r="O34" i="3"/>
  <c r="O33" i="3"/>
  <c r="O30" i="3"/>
  <c r="O28" i="3"/>
  <c r="O27" i="3"/>
  <c r="H29" i="3" l="1"/>
  <c r="H39" i="3" s="1"/>
  <c r="H44" i="3" s="1"/>
  <c r="I29" i="3"/>
  <c r="I39" i="3" s="1"/>
  <c r="I44" i="3" s="1"/>
  <c r="H37" i="3"/>
  <c r="D37" i="3"/>
  <c r="I30" i="3"/>
  <c r="I32" i="3" s="1"/>
  <c r="H30" i="3"/>
  <c r="H32" i="3" s="1"/>
  <c r="I42" i="3"/>
  <c r="I38" i="3"/>
  <c r="H20" i="1" s="1"/>
  <c r="F39" i="3"/>
  <c r="F44" i="3" s="1"/>
  <c r="C37" i="3"/>
  <c r="E37" i="3"/>
  <c r="F37" i="3"/>
  <c r="G37" i="3"/>
  <c r="F19" i="1" s="1"/>
  <c r="K36" i="3"/>
  <c r="G2" i="4"/>
  <c r="D10" i="4" s="1"/>
  <c r="E27" i="4"/>
  <c r="H27" i="4" s="1"/>
  <c r="H20" i="4"/>
  <c r="O29" i="3"/>
  <c r="G29" i="4"/>
  <c r="G3" i="4"/>
  <c r="F9" i="4" s="1"/>
  <c r="F28" i="4" s="1"/>
  <c r="E29" i="3"/>
  <c r="E39" i="3" s="1"/>
  <c r="E44" i="3" s="1"/>
  <c r="G29" i="3"/>
  <c r="G39" i="3" s="1"/>
  <c r="G44" i="3" s="1"/>
  <c r="E22" i="4"/>
  <c r="G30" i="3"/>
  <c r="F32" i="3"/>
  <c r="F34" i="3"/>
  <c r="H18" i="4"/>
  <c r="C29" i="3"/>
  <c r="C39" i="3" s="1"/>
  <c r="C44" i="3" s="1"/>
  <c r="D29" i="3"/>
  <c r="D39" i="3" s="1"/>
  <c r="D44" i="3" s="1"/>
  <c r="C30" i="3"/>
  <c r="D30" i="3"/>
  <c r="E30" i="3"/>
  <c r="D38" i="3" l="1"/>
  <c r="C20" i="1" s="1"/>
  <c r="C19" i="1"/>
  <c r="E38" i="3"/>
  <c r="D20" i="1" s="1"/>
  <c r="D19" i="1"/>
  <c r="H42" i="3"/>
  <c r="G19" i="1"/>
  <c r="C42" i="3"/>
  <c r="B19" i="1"/>
  <c r="F42" i="3"/>
  <c r="E19" i="1"/>
  <c r="D42" i="3"/>
  <c r="H34" i="3"/>
  <c r="H48" i="3" s="1"/>
  <c r="H49" i="3" s="1"/>
  <c r="H43" i="3"/>
  <c r="H38" i="3"/>
  <c r="G20" i="1" s="1"/>
  <c r="I34" i="3"/>
  <c r="I41" i="3" s="1"/>
  <c r="I43" i="3"/>
  <c r="F43" i="3"/>
  <c r="E42" i="3"/>
  <c r="I50" i="3"/>
  <c r="J50" i="3" s="1"/>
  <c r="K50" i="3" s="1"/>
  <c r="G43" i="3"/>
  <c r="G42" i="3"/>
  <c r="G38" i="3"/>
  <c r="F20" i="1" s="1"/>
  <c r="F38" i="3"/>
  <c r="E20" i="1" s="1"/>
  <c r="K37" i="3"/>
  <c r="C10" i="4"/>
  <c r="C14" i="4" s="1"/>
  <c r="E10" i="4"/>
  <c r="E12" i="4" s="1"/>
  <c r="F10" i="4"/>
  <c r="F12" i="4" s="1"/>
  <c r="C38" i="3"/>
  <c r="B20" i="1" s="1"/>
  <c r="E9" i="4"/>
  <c r="E28" i="4" s="1"/>
  <c r="C9" i="4"/>
  <c r="C28" i="4" s="1"/>
  <c r="F48" i="3"/>
  <c r="F49" i="3" s="1"/>
  <c r="F41" i="3"/>
  <c r="D14" i="4"/>
  <c r="D12" i="4"/>
  <c r="D34" i="3"/>
  <c r="D32" i="3"/>
  <c r="D43" i="3"/>
  <c r="E32" i="3"/>
  <c r="E43" i="3"/>
  <c r="E34" i="3"/>
  <c r="G34" i="3"/>
  <c r="G32" i="3"/>
  <c r="K44" i="3"/>
  <c r="C43" i="3"/>
  <c r="C34" i="3"/>
  <c r="C32" i="3"/>
  <c r="I19" i="1" l="1"/>
  <c r="H41" i="3"/>
  <c r="H45" i="3" s="1"/>
  <c r="K42" i="3"/>
  <c r="F45" i="3"/>
  <c r="I45" i="3"/>
  <c r="I20" i="1"/>
  <c r="J20" i="1" s="1"/>
  <c r="K38" i="3"/>
  <c r="F14" i="4"/>
  <c r="F26" i="4" s="1"/>
  <c r="F29" i="4" s="1"/>
  <c r="G41" i="3"/>
  <c r="G45" i="3" s="1"/>
  <c r="E14" i="4"/>
  <c r="C12" i="4"/>
  <c r="C26" i="4" s="1"/>
  <c r="C29" i="4" s="1"/>
  <c r="H28" i="4"/>
  <c r="E26" i="4"/>
  <c r="E29" i="4" s="1"/>
  <c r="G48" i="3"/>
  <c r="G49" i="3" s="1"/>
  <c r="C41" i="3"/>
  <c r="C48" i="3"/>
  <c r="C49" i="3" s="1"/>
  <c r="E48" i="3"/>
  <c r="E49" i="3" s="1"/>
  <c r="E41" i="3"/>
  <c r="E45" i="3" s="1"/>
  <c r="D41" i="3"/>
  <c r="D45" i="3" s="1"/>
  <c r="D48" i="3"/>
  <c r="D49" i="3" s="1"/>
  <c r="I48" i="3"/>
  <c r="I49" i="3" s="1"/>
  <c r="I51" i="3" l="1"/>
  <c r="H22" i="1" s="1"/>
  <c r="H21" i="1"/>
  <c r="F51" i="3"/>
  <c r="E22" i="1" s="1"/>
  <c r="E21" i="1"/>
  <c r="D51" i="3"/>
  <c r="C22" i="1" s="1"/>
  <c r="C21" i="1"/>
  <c r="E51" i="3"/>
  <c r="D22" i="1" s="1"/>
  <c r="D21" i="1"/>
  <c r="H51" i="3"/>
  <c r="G22" i="1" s="1"/>
  <c r="G21" i="1"/>
  <c r="G51" i="3"/>
  <c r="F22" i="1" s="1"/>
  <c r="F21" i="1"/>
  <c r="H26" i="4"/>
  <c r="H29" i="4" s="1"/>
  <c r="K40" i="3" s="1"/>
  <c r="K41" i="3"/>
  <c r="C45" i="3"/>
  <c r="B21" i="1" s="1"/>
  <c r="K45" i="3" l="1"/>
  <c r="K47" i="3" s="1"/>
  <c r="K48" i="3" s="1"/>
  <c r="C51" i="3"/>
  <c r="B22" i="1" s="1"/>
  <c r="I22" i="1" s="1"/>
  <c r="J22" i="1" s="1"/>
</calcChain>
</file>

<file path=xl/sharedStrings.xml><?xml version="1.0" encoding="utf-8"?>
<sst xmlns="http://schemas.openxmlformats.org/spreadsheetml/2006/main" count="135" uniqueCount="112">
  <si>
    <t>Actualisation [%]</t>
  </si>
  <si>
    <t>Taxe carbone [euros/tCO2]</t>
  </si>
  <si>
    <t xml:space="preserve">Result of a system simulation </t>
  </si>
  <si>
    <t>To be fixed by user</t>
  </si>
  <si>
    <t>Discount rate</t>
  </si>
  <si>
    <t>Computation from excel</t>
  </si>
  <si>
    <t>Carbon tax</t>
  </si>
  <si>
    <t>Name</t>
  </si>
  <si>
    <t>On Shore wind</t>
  </si>
  <si>
    <t>Off shore Wind</t>
  </si>
  <si>
    <t>Ground PV</t>
  </si>
  <si>
    <t>CCG</t>
  </si>
  <si>
    <t>Old Nuke renewed</t>
  </si>
  <si>
    <t>New Nuke Fla</t>
  </si>
  <si>
    <t>Cost</t>
  </si>
  <si>
    <t>Consumption</t>
  </si>
  <si>
    <t>Total Production</t>
  </si>
  <si>
    <t xml:space="preserve"> </t>
  </si>
  <si>
    <t xml:space="preserve">Investment (building) C_C [euros/kW] "CAPEX" </t>
  </si>
  <si>
    <t xml:space="preserve">Operation cost C_F [euros/kW/an] </t>
  </si>
  <si>
    <t>Marginal cost C_M [euros/MWh] "OPEX"</t>
  </si>
  <si>
    <t>Nucléaire</t>
  </si>
  <si>
    <t>Decommissioning C_D [euros/kW]</t>
  </si>
  <si>
    <t>Investissement en exploit</t>
  </si>
  <si>
    <t>74.73 sur 16 ans</t>
  </si>
  <si>
    <t>Economy</t>
  </si>
  <si>
    <t>Carbon tax [euros/tCO2]</t>
  </si>
  <si>
    <t>euros/kW/an</t>
  </si>
  <si>
    <t>exploitation</t>
  </si>
  <si>
    <t>Actualisation</t>
  </si>
  <si>
    <t>Life length</t>
  </si>
  <si>
    <t>Construction length D_c [year]</t>
  </si>
  <si>
    <t>"Actualised construction length" [year]</t>
  </si>
  <si>
    <t>Carrenage</t>
  </si>
  <si>
    <t>100 pour 10 ans</t>
  </si>
  <si>
    <t>dechets</t>
  </si>
  <si>
    <t>Life length L_E  [year]</t>
  </si>
  <si>
    <t>"Actualised life length" [year]</t>
  </si>
  <si>
    <t>Coût investissement Flamanville</t>
  </si>
  <si>
    <t>Technical information</t>
  </si>
  <si>
    <t>Coût investissement Taishan</t>
  </si>
  <si>
    <t>Emission CO2 [gCO2/kWh]</t>
  </si>
  <si>
    <t>Resultat du calcul de dimensionnement du système</t>
  </si>
  <si>
    <t xml:space="preserve">A fixer par l'utilisateur </t>
  </si>
  <si>
    <t>Capacité installée [GW]</t>
  </si>
  <si>
    <t>Resultat du calcul du tableur</t>
  </si>
  <si>
    <t>GW</t>
  </si>
  <si>
    <t>Energie produite [TWh/an]</t>
  </si>
  <si>
    <t>Nom</t>
  </si>
  <si>
    <t>Batteries</t>
  </si>
  <si>
    <t>Electrolyseur</t>
  </si>
  <si>
    <t>Methaniseur</t>
  </si>
  <si>
    <t>STEP</t>
  </si>
  <si>
    <t>Total</t>
  </si>
  <si>
    <t>Coûts</t>
  </si>
  <si>
    <t xml:space="preserve">Investissement C_I [euros/kWh] "CAPEX" </t>
  </si>
  <si>
    <t>Total CO2 emission [MtCO2/an]</t>
  </si>
  <si>
    <t xml:space="preserve">Investissement C_I [euros/kW] "CAPEX" </t>
  </si>
  <si>
    <t xml:space="preserve">Fonctionnement C_h [euros/kWh/an] </t>
  </si>
  <si>
    <t xml:space="preserve">Economie </t>
  </si>
  <si>
    <t>Carbon (marginal) cost [Euros/MWh]</t>
  </si>
  <si>
    <t>Durées</t>
  </si>
  <si>
    <t>Durée de construction Dc [années]</t>
  </si>
  <si>
    <t>Durée de construction actualiée [années]</t>
  </si>
  <si>
    <t>Contribution to "simplified" LCOE [Euros/MWh]</t>
  </si>
  <si>
    <t>Investment  [Euros/MWh]</t>
  </si>
  <si>
    <t>Coût stockage</t>
  </si>
  <si>
    <t>Millions Euros/an stockage</t>
  </si>
  <si>
    <t>Operation  [Euros/MWh]</t>
  </si>
  <si>
    <t>Decommissioning  [Euros/MWh]</t>
  </si>
  <si>
    <t>Duree de vie Dv  [années]</t>
  </si>
  <si>
    <t>Durée de vie actualisée [années]</t>
  </si>
  <si>
    <t>Marginal  [Euros/MWh]</t>
  </si>
  <si>
    <t>Total  [Euros/MWh]</t>
  </si>
  <si>
    <t>Blue part of "beta" [euros/kW/year] (C_F)</t>
  </si>
  <si>
    <t>Green part of "beta" [euros/kWyear] C_C*(L^r_C/L_C)/L^r_E</t>
  </si>
  <si>
    <t>Technique</t>
  </si>
  <si>
    <t>Nb heures de stock</t>
  </si>
  <si>
    <t>Emission CO2 [gCO2/kW]</t>
  </si>
  <si>
    <t>Nb heures de fonctionnement (Methaniseur)</t>
  </si>
  <si>
    <t>Emission CO2 [MtCO2/an]</t>
  </si>
  <si>
    <t>Lithium [Mt/an] (batteries)</t>
  </si>
  <si>
    <t>Gaz produit [TWh/an]</t>
  </si>
  <si>
    <t>Hydrogène produit [TWh/an] (hors utilisaiton pour gaz)</t>
  </si>
  <si>
    <t>Contribution au coûts actualisés "simplifiés" [Euros/kW/an]</t>
  </si>
  <si>
    <t>Investissement</t>
  </si>
  <si>
    <t>Cout Prod+Stockage</t>
  </si>
  <si>
    <t>Millions Euros/an</t>
  </si>
  <si>
    <t>Fonctionnement</t>
  </si>
  <si>
    <t>Coût Prod+Stockage</t>
  </si>
  <si>
    <t>Euros/MWh</t>
  </si>
  <si>
    <t xml:space="preserve">Coût carbone </t>
  </si>
  <si>
    <t>Pourcentage du béton produit en france</t>
  </si>
  <si>
    <t>beta [euros/kW/an] Green+blue</t>
  </si>
  <si>
    <t>Hypothèses économiques pour le mix électrique</t>
  </si>
  <si>
    <t>Facteur de charge [%]</t>
  </si>
  <si>
    <t>New Nuke</t>
  </si>
  <si>
    <t>Hypothèses par moyen de prod</t>
  </si>
  <si>
    <t>Résultats</t>
  </si>
  <si>
    <t>Storage</t>
  </si>
  <si>
    <t>total</t>
  </si>
  <si>
    <t>Coût [Milliards €/an]</t>
  </si>
  <si>
    <t>Energie [TWh]</t>
  </si>
  <si>
    <t>[gCO2/kWh]</t>
  </si>
  <si>
    <t>[€/MWh]</t>
  </si>
  <si>
    <t>Total/Energie</t>
  </si>
  <si>
    <t>Hypothèses économique stockage</t>
  </si>
  <si>
    <t xml:space="preserve">storage </t>
  </si>
  <si>
    <t xml:space="preserve">Investissement [euros/kWh] </t>
  </si>
  <si>
    <t>Le chiffre pour le stockage ici n'a pas de sens</t>
  </si>
  <si>
    <r>
      <t>Coût [€</t>
    </r>
    <r>
      <rPr>
        <u/>
        <sz val="10"/>
        <rFont val="Arial"/>
        <family val="2"/>
      </rPr>
      <t>/MWh]</t>
    </r>
  </si>
  <si>
    <t>Manque l'hydraulique +STEP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</si>
</sst>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FF00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FFFF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10" fontId="1" fillId="4" borderId="0" xfId="0" applyNumberFormat="1" applyFont="1" applyFill="1" applyAlignment="1"/>
    <xf numFmtId="0" fontId="1" fillId="5" borderId="0" xfId="0" applyFont="1" applyFill="1" applyAlignme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  <xf numFmtId="10" fontId="1" fillId="5" borderId="0" xfId="0" applyNumberFormat="1" applyFont="1" applyFill="1"/>
    <xf numFmtId="4" fontId="1" fillId="5" borderId="0" xfId="0" applyNumberFormat="1" applyFont="1" applyFill="1"/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0" fontId="1" fillId="6" borderId="0" xfId="0" applyFont="1" applyFill="1" applyAlignment="1"/>
    <xf numFmtId="0" fontId="1" fillId="7" borderId="0" xfId="0" applyFont="1" applyFill="1" applyAlignment="1"/>
    <xf numFmtId="4" fontId="1" fillId="2" borderId="0" xfId="0" applyNumberFormat="1" applyFont="1" applyFill="1"/>
    <xf numFmtId="0" fontId="1" fillId="8" borderId="0" xfId="0" applyFont="1" applyFill="1" applyAlignment="1"/>
    <xf numFmtId="0" fontId="1" fillId="9" borderId="0" xfId="0" applyFont="1" applyFill="1" applyAlignment="1"/>
    <xf numFmtId="0" fontId="2" fillId="6" borderId="0" xfId="0" applyFont="1" applyFill="1" applyAlignment="1">
      <alignment horizontal="left"/>
    </xf>
    <xf numFmtId="0" fontId="3" fillId="2" borderId="0" xfId="0" applyFont="1" applyFill="1"/>
    <xf numFmtId="10" fontId="1" fillId="0" borderId="0" xfId="0" applyNumberFormat="1" applyFont="1"/>
    <xf numFmtId="0" fontId="0" fillId="0" borderId="0" xfId="0" applyFont="1" applyAlignment="1"/>
    <xf numFmtId="10" fontId="4" fillId="4" borderId="0" xfId="0" applyNumberFormat="1" applyFont="1" applyFill="1" applyAlignment="1"/>
    <xf numFmtId="0" fontId="5" fillId="0" borderId="0" xfId="0" applyFont="1" applyAlignment="1"/>
    <xf numFmtId="0" fontId="0" fillId="0" borderId="2" xfId="0" applyFont="1" applyBorder="1" applyAlignment="1"/>
    <xf numFmtId="0" fontId="1" fillId="0" borderId="3" xfId="0" applyFont="1" applyBorder="1" applyAlignment="1"/>
    <xf numFmtId="10" fontId="1" fillId="0" borderId="4" xfId="0" applyNumberFormat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6" fillId="0" borderId="0" xfId="0" applyFont="1" applyAlignment="1"/>
    <xf numFmtId="0" fontId="1" fillId="0" borderId="0" xfId="0" applyFont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/>
    <xf numFmtId="0" fontId="6" fillId="10" borderId="0" xfId="0" applyFont="1" applyFill="1" applyBorder="1" applyAlignment="1"/>
    <xf numFmtId="0" fontId="1" fillId="10" borderId="7" xfId="0" applyFont="1" applyFill="1" applyBorder="1" applyAlignment="1"/>
    <xf numFmtId="0" fontId="6" fillId="10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1" fillId="12" borderId="3" xfId="0" applyFont="1" applyFill="1" applyBorder="1" applyAlignment="1"/>
    <xf numFmtId="0" fontId="1" fillId="12" borderId="0" xfId="0" applyFont="1" applyFill="1" applyBorder="1"/>
    <xf numFmtId="0" fontId="1" fillId="12" borderId="0" xfId="0" applyFont="1" applyFill="1" applyBorder="1" applyAlignment="1"/>
    <xf numFmtId="0" fontId="1" fillId="12" borderId="4" xfId="0" applyFont="1" applyFill="1" applyBorder="1" applyAlignment="1"/>
    <xf numFmtId="0" fontId="1" fillId="11" borderId="3" xfId="0" applyFont="1" applyFill="1" applyBorder="1" applyAlignment="1"/>
    <xf numFmtId="0" fontId="1" fillId="11" borderId="0" xfId="0" applyFont="1" applyFill="1" applyBorder="1" applyAlignment="1"/>
    <xf numFmtId="0" fontId="1" fillId="11" borderId="4" xfId="0" applyFont="1" applyFill="1" applyBorder="1" applyAlignment="1"/>
    <xf numFmtId="0" fontId="7" fillId="0" borderId="1" xfId="0" applyFont="1" applyBorder="1" applyAlignment="1"/>
    <xf numFmtId="0" fontId="6" fillId="10" borderId="7" xfId="0" applyFont="1" applyFill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7" fillId="0" borderId="1" xfId="0" applyFont="1" applyFill="1" applyBorder="1" applyAlignment="1"/>
    <xf numFmtId="0" fontId="0" fillId="0" borderId="7" xfId="0" applyFont="1" applyBorder="1" applyAlignment="1"/>
    <xf numFmtId="0" fontId="5" fillId="0" borderId="7" xfId="0" applyFont="1" applyBorder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7" fillId="0" borderId="0" xfId="0" applyFont="1" applyAlignment="1"/>
    <xf numFmtId="0" fontId="1" fillId="0" borderId="0" xfId="0" applyFont="1" applyFill="1" applyAlignment="1"/>
    <xf numFmtId="0" fontId="6" fillId="13" borderId="3" xfId="0" applyFont="1" applyFill="1" applyBorder="1" applyAlignment="1"/>
    <xf numFmtId="0" fontId="0" fillId="13" borderId="0" xfId="0" applyFont="1" applyFill="1" applyBorder="1" applyAlignment="1"/>
    <xf numFmtId="0" fontId="5" fillId="13" borderId="0" xfId="0" applyFont="1" applyFill="1" applyBorder="1" applyAlignment="1"/>
    <xf numFmtId="0" fontId="0" fillId="13" borderId="4" xfId="0" applyFont="1" applyFill="1" applyBorder="1" applyAlignment="1"/>
    <xf numFmtId="0" fontId="1" fillId="14" borderId="3" xfId="0" applyFont="1" applyFill="1" applyBorder="1" applyAlignment="1"/>
    <xf numFmtId="0" fontId="5" fillId="13" borderId="4" xfId="0" applyFont="1" applyFill="1" applyBorder="1" applyAlignment="1"/>
    <xf numFmtId="0" fontId="5" fillId="13" borderId="5" xfId="0" applyFont="1" applyFill="1" applyBorder="1" applyAlignment="1"/>
    <xf numFmtId="0" fontId="0" fillId="13" borderId="8" xfId="0" applyFont="1" applyFill="1" applyBorder="1" applyAlignment="1"/>
    <xf numFmtId="0" fontId="5" fillId="13" borderId="6" xfId="0" applyFont="1" applyFill="1" applyBorder="1" applyAlignment="1"/>
    <xf numFmtId="0" fontId="6" fillId="14" borderId="3" xfId="0" applyFont="1" applyFill="1" applyBorder="1" applyAlignment="1"/>
    <xf numFmtId="0" fontId="0" fillId="0" borderId="1" xfId="0" applyFont="1" applyBorder="1" applyAlignment="1"/>
    <xf numFmtId="0" fontId="5" fillId="0" borderId="2" xfId="0" applyFont="1" applyBorder="1" applyAlignment="1"/>
    <xf numFmtId="0" fontId="0" fillId="13" borderId="3" xfId="0" applyFont="1" applyFill="1" applyBorder="1" applyAlignment="1"/>
    <xf numFmtId="0" fontId="0" fillId="13" borderId="5" xfId="0" applyFont="1" applyFill="1" applyBorder="1" applyAlignment="1"/>
    <xf numFmtId="0" fontId="0" fillId="13" borderId="6" xfId="0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819150</xdr:colOff>
      <xdr:row>0</xdr:row>
      <xdr:rowOff>142875</xdr:rowOff>
    </xdr:from>
    <xdr:ext cx="4143375" cy="1438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0</xdr:row>
      <xdr:rowOff>0</xdr:rowOff>
    </xdr:from>
    <xdr:ext cx="7200900" cy="35337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42.5" customWidth="1"/>
    <col min="3" max="3" width="17" customWidth="1"/>
    <col min="5" max="5" width="12.1640625" customWidth="1"/>
    <col min="7" max="7" width="14.5" style="22"/>
  </cols>
  <sheetData>
    <row r="1" spans="1:9" ht="15.75" customHeight="1" x14ac:dyDescent="0.2">
      <c r="A1" s="48" t="s">
        <v>94</v>
      </c>
      <c r="B1" s="25"/>
      <c r="C1" s="58" t="s">
        <v>106</v>
      </c>
    </row>
    <row r="2" spans="1:9" ht="15.75" customHeight="1" x14ac:dyDescent="0.15">
      <c r="A2" s="26" t="s">
        <v>0</v>
      </c>
      <c r="B2" s="27">
        <v>0.04</v>
      </c>
      <c r="C2" s="56" t="s">
        <v>77</v>
      </c>
      <c r="D2" s="57"/>
      <c r="E2" s="56">
        <v>5</v>
      </c>
    </row>
    <row r="3" spans="1:9" ht="15.75" customHeight="1" thickBot="1" x14ac:dyDescent="0.2">
      <c r="A3" s="28" t="s">
        <v>1</v>
      </c>
      <c r="B3" s="29">
        <v>10</v>
      </c>
      <c r="C3" s="56" t="s">
        <v>41</v>
      </c>
      <c r="D3" s="57"/>
      <c r="E3" s="56">
        <v>150000</v>
      </c>
    </row>
    <row r="4" spans="1:9" s="22" customFormat="1" ht="15.75" customHeight="1" x14ac:dyDescent="0.15">
      <c r="A4" s="31"/>
      <c r="B4" s="31"/>
      <c r="C4" s="56" t="s">
        <v>108</v>
      </c>
      <c r="D4" s="57"/>
      <c r="E4" s="59">
        <v>200</v>
      </c>
    </row>
    <row r="5" spans="1:9" s="22" customFormat="1" ht="15.75" customHeight="1" thickBot="1" x14ac:dyDescent="0.2">
      <c r="A5" s="1"/>
      <c r="B5" s="1"/>
    </row>
    <row r="6" spans="1:9" s="22" customFormat="1" ht="15.75" customHeight="1" x14ac:dyDescent="0.2">
      <c r="A6" s="48" t="s">
        <v>97</v>
      </c>
      <c r="B6" s="35" t="s">
        <v>8</v>
      </c>
      <c r="C6" s="35" t="s">
        <v>9</v>
      </c>
      <c r="D6" s="35" t="s">
        <v>10</v>
      </c>
      <c r="E6" s="35" t="s">
        <v>11</v>
      </c>
      <c r="F6" s="35" t="s">
        <v>12</v>
      </c>
      <c r="G6" s="49" t="s">
        <v>96</v>
      </c>
      <c r="H6" s="36" t="s">
        <v>107</v>
      </c>
      <c r="I6" s="34" t="s">
        <v>111</v>
      </c>
    </row>
    <row r="7" spans="1:9" s="22" customFormat="1" ht="15.75" customHeight="1" x14ac:dyDescent="0.15">
      <c r="A7" s="37" t="s">
        <v>44</v>
      </c>
      <c r="B7" s="32">
        <v>110</v>
      </c>
      <c r="C7" s="32">
        <v>1</v>
      </c>
      <c r="D7" s="32">
        <v>95</v>
      </c>
      <c r="E7" s="32">
        <v>35</v>
      </c>
      <c r="F7" s="33">
        <v>24</v>
      </c>
      <c r="G7" s="32">
        <v>1.66</v>
      </c>
      <c r="H7" s="38">
        <v>10</v>
      </c>
    </row>
    <row r="8" spans="1:9" s="22" customFormat="1" ht="15.75" customHeight="1" x14ac:dyDescent="0.15">
      <c r="A8" s="39" t="s">
        <v>95</v>
      </c>
      <c r="B8" s="40">
        <f>24/100</f>
        <v>0.24</v>
      </c>
      <c r="C8" s="32">
        <f>35/100</f>
        <v>0.35</v>
      </c>
      <c r="D8" s="40">
        <f>13/100</f>
        <v>0.13</v>
      </c>
      <c r="E8" s="32">
        <f>5/100</f>
        <v>0.05</v>
      </c>
      <c r="F8" s="33">
        <f>70/100</f>
        <v>0.7</v>
      </c>
      <c r="G8" s="32">
        <f>70/100</f>
        <v>0.7</v>
      </c>
      <c r="H8" s="38">
        <v>1E-3</v>
      </c>
    </row>
    <row r="9" spans="1:9" ht="15.75" customHeight="1" x14ac:dyDescent="0.15">
      <c r="A9" s="41" t="s">
        <v>18</v>
      </c>
      <c r="B9" s="42">
        <v>1300</v>
      </c>
      <c r="C9" s="43">
        <v>3000</v>
      </c>
      <c r="D9" s="43">
        <v>800</v>
      </c>
      <c r="E9" s="43">
        <v>900</v>
      </c>
      <c r="F9" s="43">
        <v>1587</v>
      </c>
      <c r="G9" s="43">
        <v>4500</v>
      </c>
      <c r="H9" s="44">
        <f>E4*E2</f>
        <v>1000</v>
      </c>
    </row>
    <row r="10" spans="1:9" ht="15.75" customHeight="1" x14ac:dyDescent="0.15">
      <c r="A10" s="41" t="s">
        <v>19</v>
      </c>
      <c r="B10" s="42">
        <v>45</v>
      </c>
      <c r="C10" s="43">
        <v>114</v>
      </c>
      <c r="D10" s="43">
        <v>20</v>
      </c>
      <c r="E10" s="43">
        <v>36</v>
      </c>
      <c r="F10" s="43">
        <v>250</v>
      </c>
      <c r="G10" s="43">
        <v>200</v>
      </c>
      <c r="H10" s="44">
        <v>40</v>
      </c>
    </row>
    <row r="11" spans="1:9" ht="15.75" customHeight="1" x14ac:dyDescent="0.15">
      <c r="A11" s="41" t="s">
        <v>20</v>
      </c>
      <c r="B11" s="43">
        <v>0</v>
      </c>
      <c r="C11" s="43">
        <v>0</v>
      </c>
      <c r="D11" s="43">
        <v>0</v>
      </c>
      <c r="E11" s="43">
        <v>50</v>
      </c>
      <c r="F11" s="43">
        <v>5.5</v>
      </c>
      <c r="G11" s="43">
        <v>5.5</v>
      </c>
      <c r="H11" s="44">
        <v>0</v>
      </c>
    </row>
    <row r="12" spans="1:9" ht="15.75" customHeight="1" x14ac:dyDescent="0.15">
      <c r="A12" s="41" t="s">
        <v>22</v>
      </c>
      <c r="B12" s="43">
        <v>50</v>
      </c>
      <c r="C12" s="43">
        <v>100</v>
      </c>
      <c r="D12" s="43">
        <v>30</v>
      </c>
      <c r="E12" s="43">
        <v>100</v>
      </c>
      <c r="F12" s="43">
        <v>1000</v>
      </c>
      <c r="G12" s="43">
        <v>1000</v>
      </c>
      <c r="H12" s="44">
        <v>0</v>
      </c>
    </row>
    <row r="13" spans="1:9" ht="15.75" customHeight="1" x14ac:dyDescent="0.15">
      <c r="A13" s="45" t="s">
        <v>31</v>
      </c>
      <c r="B13" s="46">
        <v>1</v>
      </c>
      <c r="C13" s="46">
        <v>1</v>
      </c>
      <c r="D13" s="46">
        <v>1</v>
      </c>
      <c r="E13" s="46">
        <v>3</v>
      </c>
      <c r="F13" s="46">
        <v>0.5</v>
      </c>
      <c r="G13" s="46">
        <v>12</v>
      </c>
      <c r="H13" s="47">
        <v>1</v>
      </c>
    </row>
    <row r="14" spans="1:9" ht="15.75" customHeight="1" x14ac:dyDescent="0.15">
      <c r="A14" s="45" t="s">
        <v>36</v>
      </c>
      <c r="B14" s="46">
        <v>25</v>
      </c>
      <c r="C14" s="46">
        <v>30</v>
      </c>
      <c r="D14" s="46">
        <v>25</v>
      </c>
      <c r="E14" s="46">
        <v>30</v>
      </c>
      <c r="F14" s="46">
        <v>10</v>
      </c>
      <c r="G14" s="46">
        <v>60</v>
      </c>
      <c r="H14" s="47">
        <v>10</v>
      </c>
    </row>
    <row r="15" spans="1:9" ht="15.75" customHeight="1" x14ac:dyDescent="0.15">
      <c r="A15" s="45" t="s">
        <v>41</v>
      </c>
      <c r="B15" s="46">
        <v>12</v>
      </c>
      <c r="C15" s="46">
        <v>20</v>
      </c>
      <c r="D15" s="46">
        <v>44</v>
      </c>
      <c r="E15" s="46">
        <v>469</v>
      </c>
      <c r="F15" s="46">
        <v>12</v>
      </c>
      <c r="G15" s="46">
        <v>12</v>
      </c>
      <c r="H15" s="47">
        <f>E3*E2/H14/(H8*8760)</f>
        <v>8561.6438356164381</v>
      </c>
      <c r="I15" s="24" t="s">
        <v>109</v>
      </c>
    </row>
    <row r="16" spans="1:9" ht="15.75" customHeight="1" thickBot="1" x14ac:dyDescent="0.2">
      <c r="A16" s="50"/>
      <c r="B16" s="51"/>
      <c r="C16" s="51"/>
      <c r="D16" s="51"/>
      <c r="E16" s="51"/>
      <c r="F16" s="51"/>
      <c r="G16" s="51"/>
      <c r="H16" s="52"/>
    </row>
    <row r="17" spans="1:11" ht="15.75" customHeight="1" thickBot="1" x14ac:dyDescent="0.2"/>
    <row r="18" spans="1:11" ht="15.75" customHeight="1" x14ac:dyDescent="0.2">
      <c r="A18" s="53" t="s">
        <v>98</v>
      </c>
      <c r="B18" s="70"/>
      <c r="C18" s="54"/>
      <c r="D18" s="54"/>
      <c r="E18" s="54"/>
      <c r="F18" s="54"/>
      <c r="G18" s="54"/>
      <c r="H18" s="54"/>
      <c r="I18" s="71" t="s">
        <v>100</v>
      </c>
      <c r="J18" s="55" t="s">
        <v>105</v>
      </c>
      <c r="K18" s="25"/>
    </row>
    <row r="19" spans="1:11" s="22" customFormat="1" ht="15.75" customHeight="1" x14ac:dyDescent="0.15">
      <c r="A19" s="60" t="s">
        <v>102</v>
      </c>
      <c r="B19" s="72">
        <f>MixElectrique!C37</f>
        <v>231.26400000000001</v>
      </c>
      <c r="C19" s="61">
        <f>MixElectrique!D37</f>
        <v>3.0659999999999998</v>
      </c>
      <c r="D19" s="61">
        <f>MixElectrique!E37</f>
        <v>108.18600000000001</v>
      </c>
      <c r="E19" s="61">
        <f>MixElectrique!F37</f>
        <v>15.33</v>
      </c>
      <c r="F19" s="61">
        <f>MixElectrique!G37</f>
        <v>147.16800000000001</v>
      </c>
      <c r="G19" s="61">
        <f>MixElectrique!H37</f>
        <v>10.179119999999999</v>
      </c>
      <c r="H19" s="61">
        <f>MixElectrique!I37</f>
        <v>8.7600000000000011E-2</v>
      </c>
      <c r="I19" s="63">
        <f>SUM(B19:H19)</f>
        <v>515.28071999999997</v>
      </c>
      <c r="J19" s="62"/>
      <c r="K19" s="63"/>
    </row>
    <row r="20" spans="1:11" ht="15.75" customHeight="1" x14ac:dyDescent="0.15">
      <c r="A20" s="64" t="s">
        <v>56</v>
      </c>
      <c r="B20" s="72">
        <f>MixElectrique!C38</f>
        <v>2.7751680000000003</v>
      </c>
      <c r="C20" s="61">
        <f>MixElectrique!D38</f>
        <v>6.1319999999999993E-2</v>
      </c>
      <c r="D20" s="61">
        <f>MixElectrique!E38</f>
        <v>4.7601840000000006</v>
      </c>
      <c r="E20" s="61">
        <f>MixElectrique!F38</f>
        <v>7.1897700000000002</v>
      </c>
      <c r="F20" s="61">
        <f>MixElectrique!G38</f>
        <v>1.766016</v>
      </c>
      <c r="G20" s="61">
        <f>MixElectrique!H38</f>
        <v>0.12214944</v>
      </c>
      <c r="H20" s="61">
        <f>MixElectrique!I38</f>
        <v>0.75000000000000011</v>
      </c>
      <c r="I20" s="63">
        <f>SUM(B20:H20)</f>
        <v>17.424607440000003</v>
      </c>
      <c r="J20" s="61">
        <f>I20/I19*1000</f>
        <v>33.81575666172801</v>
      </c>
      <c r="K20" s="65" t="s">
        <v>103</v>
      </c>
    </row>
    <row r="21" spans="1:11" s="22" customFormat="1" ht="15.75" customHeight="1" x14ac:dyDescent="0.15">
      <c r="A21" s="69" t="s">
        <v>110</v>
      </c>
      <c r="B21" s="72">
        <f>MixElectrique!C45</f>
        <v>70.026483892260899</v>
      </c>
      <c r="C21" s="61">
        <f>MixElectrique!D45</f>
        <v>104.02327599423556</v>
      </c>
      <c r="D21" s="61">
        <f>MixElectrique!E45</f>
        <v>72.852253509644058</v>
      </c>
      <c r="E21" s="61">
        <f>MixElectrique!F45</f>
        <v>330.91967587678823</v>
      </c>
      <c r="F21" s="61">
        <f>MixElectrique!G45</f>
        <v>188.15562475853022</v>
      </c>
      <c r="G21" s="61">
        <f>MixElectrique!H45</f>
        <v>94.355082071706434</v>
      </c>
      <c r="H21" s="61">
        <f>MixElectrique!I45</f>
        <v>18726.135197504176</v>
      </c>
      <c r="I21" s="63"/>
      <c r="J21" s="61"/>
      <c r="K21" s="65"/>
    </row>
    <row r="22" spans="1:11" ht="15.75" customHeight="1" thickBot="1" x14ac:dyDescent="0.2">
      <c r="A22" s="66" t="s">
        <v>101</v>
      </c>
      <c r="B22" s="73">
        <f>MixElectrique!C51</f>
        <v>16.194604770859826</v>
      </c>
      <c r="C22" s="67">
        <f>MixElectrique!D51</f>
        <v>0.31893536419832624</v>
      </c>
      <c r="D22" s="67">
        <f>MixElectrique!E51</f>
        <v>7.8815938981943523</v>
      </c>
      <c r="E22" s="67">
        <f>MixElectrique!F51</f>
        <v>5.0729986311911635</v>
      </c>
      <c r="F22" s="67">
        <f>MixElectrique!G51</f>
        <v>27.690486984463377</v>
      </c>
      <c r="G22" s="67">
        <f>MixElectrique!H51</f>
        <v>0.96045170301774829</v>
      </c>
      <c r="H22" s="67">
        <f>MixElectrique!I51</f>
        <v>1.6404094433013661</v>
      </c>
      <c r="I22" s="74">
        <f>SUM(B22:H22)</f>
        <v>59.759480795226153</v>
      </c>
      <c r="J22" s="67">
        <f>I22/I19*1000</f>
        <v>115.97461049042579</v>
      </c>
      <c r="K22" s="6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51"/>
  <sheetViews>
    <sheetView tabSelected="1" topLeftCell="A21" workbookViewId="0">
      <selection activeCell="H48" sqref="H48"/>
    </sheetView>
  </sheetViews>
  <sheetFormatPr baseColWidth="10" defaultColWidth="14.5" defaultRowHeight="15.75" customHeight="1" outlineLevelCol="1" x14ac:dyDescent="0.15"/>
  <cols>
    <col min="1" max="1" width="14" customWidth="1" outlineLevel="1"/>
    <col min="2" max="2" width="43.83203125" customWidth="1" outlineLevel="1"/>
    <col min="7" max="7" width="19.5" customWidth="1"/>
    <col min="8" max="8" width="19.5" style="22" customWidth="1"/>
    <col min="10" max="10" width="18.33203125" customWidth="1"/>
    <col min="13" max="13" width="29.1640625" customWidth="1"/>
    <col min="14" max="14" width="19.5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1"/>
      <c r="B2" s="1"/>
    </row>
    <row r="3" spans="1:2" ht="15.75" customHeight="1" x14ac:dyDescent="0.15">
      <c r="A3" s="1"/>
      <c r="B3" s="1"/>
    </row>
    <row r="4" spans="1:2" ht="15.75" customHeight="1" x14ac:dyDescent="0.15">
      <c r="A4" s="1"/>
      <c r="B4" s="1"/>
    </row>
    <row r="5" spans="1:2" ht="15.75" customHeight="1" x14ac:dyDescent="0.15">
      <c r="A5" s="1"/>
      <c r="B5" s="1"/>
    </row>
    <row r="6" spans="1:2" ht="15.75" customHeight="1" x14ac:dyDescent="0.15">
      <c r="A6" s="1"/>
      <c r="B6" s="1"/>
    </row>
    <row r="7" spans="1:2" ht="15.75" customHeight="1" x14ac:dyDescent="0.15">
      <c r="A7" s="1"/>
      <c r="B7" s="1"/>
    </row>
    <row r="8" spans="1:2" ht="15.75" customHeight="1" x14ac:dyDescent="0.15">
      <c r="A8" s="1"/>
      <c r="B8" s="1"/>
    </row>
    <row r="9" spans="1:2" ht="15.75" customHeight="1" x14ac:dyDescent="0.15">
      <c r="A9" s="1"/>
      <c r="B9" s="1"/>
    </row>
    <row r="10" spans="1:2" ht="15.75" customHeight="1" x14ac:dyDescent="0.15">
      <c r="A10" s="1"/>
      <c r="B10" s="1"/>
    </row>
    <row r="11" spans="1:2" ht="15.75" customHeight="1" x14ac:dyDescent="0.15">
      <c r="A11" s="1"/>
      <c r="B11" s="1"/>
    </row>
    <row r="12" spans="1:2" ht="15.75" customHeight="1" x14ac:dyDescent="0.15">
      <c r="A12" s="1"/>
      <c r="B12" s="1"/>
    </row>
    <row r="13" spans="1:2" ht="15.75" customHeight="1" x14ac:dyDescent="0.15">
      <c r="A13" s="1"/>
      <c r="B13" s="1"/>
    </row>
    <row r="14" spans="1:2" ht="15.75" customHeight="1" x14ac:dyDescent="0.15">
      <c r="A14" s="1"/>
      <c r="B14" s="1"/>
    </row>
    <row r="15" spans="1:2" ht="15.75" customHeight="1" x14ac:dyDescent="0.15">
      <c r="A15" s="1"/>
      <c r="B15" s="1"/>
    </row>
    <row r="16" spans="1:2" ht="15.75" customHeight="1" x14ac:dyDescent="0.15">
      <c r="A16" s="1"/>
      <c r="B16" s="1"/>
    </row>
    <row r="17" spans="1:16" ht="15.75" customHeight="1" x14ac:dyDescent="0.15">
      <c r="A17" s="1"/>
      <c r="B17" s="1"/>
    </row>
    <row r="18" spans="1:16" ht="15.75" customHeight="1" x14ac:dyDescent="0.15">
      <c r="A18" s="1"/>
      <c r="B18" s="1"/>
    </row>
    <row r="19" spans="1:16" ht="15.75" customHeight="1" x14ac:dyDescent="0.15">
      <c r="A19" s="1"/>
      <c r="B19" s="1"/>
    </row>
    <row r="20" spans="1:16" ht="15.75" customHeight="1" x14ac:dyDescent="0.15">
      <c r="A20" s="1"/>
      <c r="B20" s="3" t="s">
        <v>2</v>
      </c>
    </row>
    <row r="21" spans="1:16" ht="15.75" customHeight="1" x14ac:dyDescent="0.15">
      <c r="A21" s="1"/>
      <c r="B21" s="4" t="s">
        <v>3</v>
      </c>
      <c r="F21" s="1" t="s">
        <v>4</v>
      </c>
      <c r="G21" s="23">
        <f>Hypotheses!B2</f>
        <v>0.04</v>
      </c>
      <c r="H21" s="23"/>
    </row>
    <row r="22" spans="1:16" ht="15.75" customHeight="1" x14ac:dyDescent="0.15">
      <c r="A22" s="1"/>
      <c r="B22" s="6" t="s">
        <v>5</v>
      </c>
      <c r="F22" s="1" t="s">
        <v>6</v>
      </c>
      <c r="G22" s="4">
        <f>Hypotheses!B3</f>
        <v>10</v>
      </c>
      <c r="H22" s="4"/>
    </row>
    <row r="23" spans="1:16" ht="15.75" customHeight="1" x14ac:dyDescent="0.15">
      <c r="A23" s="1"/>
      <c r="B23" s="1"/>
    </row>
    <row r="24" spans="1:16" ht="15.75" customHeight="1" x14ac:dyDescent="0.15">
      <c r="A24" s="1"/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30" t="s">
        <v>99</v>
      </c>
      <c r="J24" s="1" t="s">
        <v>15</v>
      </c>
      <c r="K24" s="1" t="s">
        <v>16</v>
      </c>
      <c r="L24" s="1" t="s">
        <v>17</v>
      </c>
    </row>
    <row r="25" spans="1:16" ht="15.75" customHeight="1" x14ac:dyDescent="0.15">
      <c r="A25" s="75" t="s">
        <v>14</v>
      </c>
      <c r="B25" s="4" t="s">
        <v>18</v>
      </c>
      <c r="C25" s="8">
        <f>Hypotheses!B9</f>
        <v>1300</v>
      </c>
      <c r="D25" s="8">
        <f>Hypotheses!C9</f>
        <v>3000</v>
      </c>
      <c r="E25" s="8">
        <f>Hypotheses!D9</f>
        <v>800</v>
      </c>
      <c r="F25" s="8">
        <f>Hypotheses!E9</f>
        <v>900</v>
      </c>
      <c r="G25" s="8">
        <f>Hypotheses!F9</f>
        <v>1587</v>
      </c>
      <c r="H25" s="8">
        <f>Hypotheses!G9</f>
        <v>4500</v>
      </c>
      <c r="I25" s="8">
        <f>Hypotheses!H9</f>
        <v>1000</v>
      </c>
    </row>
    <row r="26" spans="1:16" ht="15.75" customHeight="1" x14ac:dyDescent="0.15">
      <c r="A26" s="76"/>
      <c r="B26" s="4" t="s">
        <v>19</v>
      </c>
      <c r="C26" s="8">
        <f>Hypotheses!B10</f>
        <v>45</v>
      </c>
      <c r="D26" s="8">
        <f>Hypotheses!C10</f>
        <v>114</v>
      </c>
      <c r="E26" s="8">
        <f>Hypotheses!D10</f>
        <v>20</v>
      </c>
      <c r="F26" s="8">
        <f>Hypotheses!E10</f>
        <v>36</v>
      </c>
      <c r="G26" s="8">
        <f>Hypotheses!F10</f>
        <v>250</v>
      </c>
      <c r="H26" s="8">
        <f>Hypotheses!G10</f>
        <v>200</v>
      </c>
      <c r="I26" s="8">
        <f>Hypotheses!H10</f>
        <v>40</v>
      </c>
      <c r="N26" s="1" t="s">
        <v>21</v>
      </c>
    </row>
    <row r="27" spans="1:16" ht="15.75" customHeight="1" x14ac:dyDescent="0.15">
      <c r="A27" s="76"/>
      <c r="B27" s="4" t="s">
        <v>20</v>
      </c>
      <c r="C27" s="8">
        <f>Hypotheses!B11</f>
        <v>0</v>
      </c>
      <c r="D27" s="8">
        <f>Hypotheses!C11</f>
        <v>0</v>
      </c>
      <c r="E27" s="8">
        <f>Hypotheses!D11</f>
        <v>0</v>
      </c>
      <c r="F27" s="8">
        <f>Hypotheses!E11</f>
        <v>50</v>
      </c>
      <c r="G27" s="8">
        <f>Hypotheses!F11</f>
        <v>5.5</v>
      </c>
      <c r="H27" s="8">
        <f>Hypotheses!G11</f>
        <v>5.5</v>
      </c>
      <c r="I27" s="8">
        <f>Hypotheses!H11</f>
        <v>0</v>
      </c>
      <c r="M27" s="1" t="s">
        <v>23</v>
      </c>
      <c r="N27" s="1" t="s">
        <v>24</v>
      </c>
      <c r="O27">
        <f>74.73/16/63*1000</f>
        <v>74.136904761904759</v>
      </c>
      <c r="P27" s="1" t="s">
        <v>27</v>
      </c>
    </row>
    <row r="28" spans="1:16" ht="15.75" customHeight="1" x14ac:dyDescent="0.15">
      <c r="A28" s="76"/>
      <c r="B28" s="4" t="s">
        <v>22</v>
      </c>
      <c r="C28" s="8">
        <f>Hypotheses!B12</f>
        <v>50</v>
      </c>
      <c r="D28" s="8">
        <f>Hypotheses!C12</f>
        <v>100</v>
      </c>
      <c r="E28" s="8">
        <f>Hypotheses!D12</f>
        <v>30</v>
      </c>
      <c r="F28" s="8">
        <f>Hypotheses!E12</f>
        <v>100</v>
      </c>
      <c r="G28" s="8">
        <f>Hypotheses!F12</f>
        <v>1000</v>
      </c>
      <c r="H28" s="8">
        <f>Hypotheses!G12</f>
        <v>1000</v>
      </c>
      <c r="I28" s="8">
        <f>Hypotheses!H12</f>
        <v>0</v>
      </c>
      <c r="M28" s="1" t="s">
        <v>28</v>
      </c>
      <c r="N28" s="1">
        <v>10.9</v>
      </c>
      <c r="O28" s="1">
        <f>10.9/63*1000</f>
        <v>173.01587301587301</v>
      </c>
    </row>
    <row r="29" spans="1:16" ht="15.75" customHeight="1" x14ac:dyDescent="0.15">
      <c r="A29" s="75" t="s">
        <v>25</v>
      </c>
      <c r="B29" s="6" t="s">
        <v>26</v>
      </c>
      <c r="C29" s="9">
        <f>$G$22</f>
        <v>10</v>
      </c>
      <c r="D29" s="9">
        <f>$G$22</f>
        <v>10</v>
      </c>
      <c r="E29" s="9">
        <f>$G$22</f>
        <v>10</v>
      </c>
      <c r="F29" s="9">
        <f>$G$22</f>
        <v>10</v>
      </c>
      <c r="G29" s="9">
        <f>$G$22</f>
        <v>10</v>
      </c>
      <c r="H29" s="9">
        <f t="shared" ref="H29:I29" si="0">$G$22</f>
        <v>10</v>
      </c>
      <c r="I29" s="9">
        <f t="shared" si="0"/>
        <v>10</v>
      </c>
      <c r="O29">
        <f>O27+O28</f>
        <v>247.15277777777777</v>
      </c>
    </row>
    <row r="30" spans="1:16" ht="15.75" customHeight="1" x14ac:dyDescent="0.15">
      <c r="A30" s="76"/>
      <c r="B30" s="6" t="s">
        <v>29</v>
      </c>
      <c r="C30" s="10">
        <f>$G$21</f>
        <v>0.04</v>
      </c>
      <c r="D30" s="10">
        <f>$G$21</f>
        <v>0.04</v>
      </c>
      <c r="E30" s="10">
        <f>$G$21</f>
        <v>0.04</v>
      </c>
      <c r="F30" s="10">
        <f>$G$21</f>
        <v>0.04</v>
      </c>
      <c r="G30" s="10">
        <f>$G$21</f>
        <v>0.04</v>
      </c>
      <c r="H30" s="10">
        <f t="shared" ref="H30:I30" si="1">$G$21</f>
        <v>0.04</v>
      </c>
      <c r="I30" s="10">
        <f t="shared" si="1"/>
        <v>0.04</v>
      </c>
      <c r="M30" s="1" t="s">
        <v>33</v>
      </c>
      <c r="N30" s="1" t="s">
        <v>34</v>
      </c>
      <c r="O30" s="1">
        <f>100/63*1000</f>
        <v>1587.3015873015872</v>
      </c>
    </row>
    <row r="31" spans="1:16" ht="15.75" customHeight="1" x14ac:dyDescent="0.15">
      <c r="A31" s="75" t="s">
        <v>30</v>
      </c>
      <c r="B31" s="4" t="s">
        <v>31</v>
      </c>
      <c r="C31" s="4">
        <f>Hypotheses!B13</f>
        <v>1</v>
      </c>
      <c r="D31" s="4">
        <f>Hypotheses!C13</f>
        <v>1</v>
      </c>
      <c r="E31" s="4">
        <f>Hypotheses!D13</f>
        <v>1</v>
      </c>
      <c r="F31" s="4">
        <f>Hypotheses!E13</f>
        <v>3</v>
      </c>
      <c r="G31" s="4">
        <f>Hypotheses!F13</f>
        <v>0.5</v>
      </c>
      <c r="H31" s="4">
        <f>Hypotheses!G13</f>
        <v>12</v>
      </c>
      <c r="I31" s="4">
        <f>Hypotheses!H13</f>
        <v>1</v>
      </c>
      <c r="M31" s="1" t="s">
        <v>35</v>
      </c>
    </row>
    <row r="32" spans="1:16" ht="15.75" customHeight="1" x14ac:dyDescent="0.15">
      <c r="A32" s="76"/>
      <c r="B32" s="6" t="s">
        <v>32</v>
      </c>
      <c r="C32" s="11">
        <f t="shared" ref="C32:G32" si="2">((1+C30)^(C31+1)-(1+C30))/C30</f>
        <v>1.040000000000002</v>
      </c>
      <c r="D32" s="11">
        <f t="shared" si="2"/>
        <v>1.040000000000002</v>
      </c>
      <c r="E32" s="11">
        <f t="shared" si="2"/>
        <v>1.040000000000002</v>
      </c>
      <c r="F32" s="11">
        <f t="shared" si="2"/>
        <v>3.2464640000000045</v>
      </c>
      <c r="G32" s="11">
        <f t="shared" si="2"/>
        <v>0.51490147068248282</v>
      </c>
      <c r="H32" s="11">
        <f t="shared" ref="H32:I32" si="3">((1+H30)^(H31+1)-(1+H30))/H30</f>
        <v>15.626837682759724</v>
      </c>
      <c r="I32" s="11">
        <f t="shared" si="3"/>
        <v>1.040000000000002</v>
      </c>
    </row>
    <row r="33" spans="1:15" ht="15.75" customHeight="1" x14ac:dyDescent="0.15">
      <c r="A33" s="76"/>
      <c r="B33" s="4" t="s">
        <v>36</v>
      </c>
      <c r="C33" s="4">
        <f>Hypotheses!B14</f>
        <v>25</v>
      </c>
      <c r="D33" s="4">
        <f>Hypotheses!C14</f>
        <v>30</v>
      </c>
      <c r="E33" s="4">
        <f>Hypotheses!D14</f>
        <v>25</v>
      </c>
      <c r="F33" s="4">
        <f>Hypotheses!E14</f>
        <v>30</v>
      </c>
      <c r="G33" s="4">
        <f>Hypotheses!F14</f>
        <v>10</v>
      </c>
      <c r="H33" s="4">
        <f>Hypotheses!G14</f>
        <v>60</v>
      </c>
      <c r="I33" s="4">
        <f>Hypotheses!H14</f>
        <v>10</v>
      </c>
      <c r="M33" s="1" t="s">
        <v>38</v>
      </c>
      <c r="N33" s="1">
        <v>11</v>
      </c>
      <c r="O33" s="1">
        <f>11/1.66</f>
        <v>6.6265060240963862</v>
      </c>
    </row>
    <row r="34" spans="1:15" ht="15.75" customHeight="1" x14ac:dyDescent="0.15">
      <c r="A34" s="76"/>
      <c r="B34" s="6" t="s">
        <v>37</v>
      </c>
      <c r="C34" s="11">
        <f t="shared" ref="C34:G34" si="4">((1+C30)-(1+C30)^(-C33+1))/C30</f>
        <v>16.246963141396943</v>
      </c>
      <c r="D34" s="11">
        <f t="shared" si="4"/>
        <v>17.983714632691072</v>
      </c>
      <c r="E34" s="11">
        <f t="shared" si="4"/>
        <v>16.246963141396943</v>
      </c>
      <c r="F34" s="11">
        <f t="shared" si="4"/>
        <v>17.983714632691072</v>
      </c>
      <c r="G34" s="11">
        <f t="shared" si="4"/>
        <v>8.4353316105292393</v>
      </c>
      <c r="H34" s="11">
        <f t="shared" ref="H34:I34" si="5">((1+H30)-(1+H30)^(-H33+1))/H30</f>
        <v>23.528429573456492</v>
      </c>
      <c r="I34" s="11">
        <f t="shared" si="5"/>
        <v>8.4353316105292393</v>
      </c>
      <c r="M34" s="1" t="s">
        <v>40</v>
      </c>
      <c r="N34" s="1">
        <v>4</v>
      </c>
      <c r="O34" s="1">
        <f>4/1.66*1000</f>
        <v>2409.6385542168678</v>
      </c>
    </row>
    <row r="35" spans="1:15" ht="15.75" customHeight="1" x14ac:dyDescent="0.15">
      <c r="A35" s="77" t="s">
        <v>39</v>
      </c>
      <c r="B35" s="4" t="s">
        <v>41</v>
      </c>
      <c r="C35" s="4">
        <f>Hypotheses!B15</f>
        <v>12</v>
      </c>
      <c r="D35" s="4">
        <f>Hypotheses!C15</f>
        <v>20</v>
      </c>
      <c r="E35" s="4">
        <f>Hypotheses!D15</f>
        <v>44</v>
      </c>
      <c r="F35" s="4">
        <f>Hypotheses!E15</f>
        <v>469</v>
      </c>
      <c r="G35" s="4">
        <f>Hypotheses!F15</f>
        <v>12</v>
      </c>
      <c r="H35" s="4">
        <f>Hypotheses!G15</f>
        <v>12</v>
      </c>
      <c r="I35" s="4">
        <f>Hypotheses!H15</f>
        <v>8561.6438356164381</v>
      </c>
    </row>
    <row r="36" spans="1:15" ht="15.75" customHeight="1" x14ac:dyDescent="0.15">
      <c r="A36" s="76"/>
      <c r="B36" s="3" t="s">
        <v>44</v>
      </c>
      <c r="C36" s="3">
        <f>Hypotheses!B7</f>
        <v>110</v>
      </c>
      <c r="D36" s="3">
        <f>Hypotheses!C7</f>
        <v>1</v>
      </c>
      <c r="E36" s="3">
        <f>Hypotheses!D7</f>
        <v>95</v>
      </c>
      <c r="F36" s="3">
        <f>Hypotheses!E7</f>
        <v>35</v>
      </c>
      <c r="G36" s="3">
        <f>Hypotheses!F7</f>
        <v>24</v>
      </c>
      <c r="H36" s="3">
        <f>Hypotheses!G7</f>
        <v>1.66</v>
      </c>
      <c r="I36" s="3">
        <f>Hypotheses!H7</f>
        <v>10</v>
      </c>
      <c r="K36">
        <f>SUM(C36:I36)</f>
        <v>276.66000000000003</v>
      </c>
      <c r="L36" s="1" t="s">
        <v>46</v>
      </c>
    </row>
    <row r="37" spans="1:15" ht="15.75" customHeight="1" x14ac:dyDescent="0.15">
      <c r="A37" s="76"/>
      <c r="B37" s="3" t="s">
        <v>47</v>
      </c>
      <c r="C37" s="3">
        <f>C36*8760*Hypotheses!B8/1000</f>
        <v>231.26400000000001</v>
      </c>
      <c r="D37" s="3">
        <f>D36*8760*Hypotheses!C8/1000</f>
        <v>3.0659999999999998</v>
      </c>
      <c r="E37" s="3">
        <f>E36*8760*Hypotheses!D8/1000</f>
        <v>108.18600000000001</v>
      </c>
      <c r="F37" s="3">
        <f>F36*8760*Hypotheses!E8/1000</f>
        <v>15.33</v>
      </c>
      <c r="G37" s="3">
        <f>G36*8760*Hypotheses!F8/1000</f>
        <v>147.16800000000001</v>
      </c>
      <c r="H37" s="3">
        <f>H36*8760*Hypotheses!G8/1000</f>
        <v>10.179119999999999</v>
      </c>
      <c r="I37" s="3">
        <f>I36*8760*Hypotheses!H8/1000</f>
        <v>8.7600000000000011E-2</v>
      </c>
      <c r="J37" s="1">
        <v>450</v>
      </c>
      <c r="K37">
        <f>SUM(C37:J37)</f>
        <v>965.28071999999997</v>
      </c>
    </row>
    <row r="38" spans="1:15" ht="15.75" customHeight="1" x14ac:dyDescent="0.15">
      <c r="A38" s="7"/>
      <c r="B38" s="6" t="s">
        <v>56</v>
      </c>
      <c r="C38" s="6">
        <f t="shared" ref="C38:G38" si="6">C37*C35/1000</f>
        <v>2.7751680000000003</v>
      </c>
      <c r="D38" s="6">
        <f t="shared" si="6"/>
        <v>6.1319999999999993E-2</v>
      </c>
      <c r="E38" s="6">
        <f t="shared" si="6"/>
        <v>4.7601840000000006</v>
      </c>
      <c r="F38" s="6">
        <f t="shared" si="6"/>
        <v>7.1897700000000002</v>
      </c>
      <c r="G38" s="6">
        <f t="shared" si="6"/>
        <v>1.766016</v>
      </c>
      <c r="H38" s="6">
        <f t="shared" ref="H38:I38" si="7">H37*H35/1000</f>
        <v>0.12214944</v>
      </c>
      <c r="I38" s="6">
        <f t="shared" si="7"/>
        <v>0.75000000000000011</v>
      </c>
      <c r="K38">
        <f>SUM(C38:I38)</f>
        <v>17.424607440000003</v>
      </c>
    </row>
    <row r="39" spans="1:15" ht="15.75" customHeight="1" x14ac:dyDescent="0.15">
      <c r="A39" s="12"/>
      <c r="B39" s="6" t="s">
        <v>60</v>
      </c>
      <c r="C39" s="9">
        <f t="shared" ref="C39:G39" si="8">C29*C35/1000</f>
        <v>0.12</v>
      </c>
      <c r="D39" s="9">
        <f t="shared" si="8"/>
        <v>0.2</v>
      </c>
      <c r="E39" s="9">
        <f t="shared" si="8"/>
        <v>0.44</v>
      </c>
      <c r="F39" s="9">
        <f t="shared" si="8"/>
        <v>4.6900000000000004</v>
      </c>
      <c r="G39" s="9">
        <f t="shared" si="8"/>
        <v>0.12</v>
      </c>
      <c r="H39" s="9">
        <f t="shared" ref="H39:I39" si="9">H29*H35/1000</f>
        <v>0.12</v>
      </c>
      <c r="I39" s="9">
        <f t="shared" si="9"/>
        <v>85.61643835616438</v>
      </c>
    </row>
    <row r="40" spans="1:15" ht="15.75" customHeight="1" x14ac:dyDescent="0.15">
      <c r="A40" s="12"/>
      <c r="I40" s="22"/>
      <c r="J40" s="1" t="s">
        <v>66</v>
      </c>
      <c r="K40" t="e">
        <f>Stockage!H29</f>
        <v>#REF!</v>
      </c>
      <c r="L40" s="1" t="s">
        <v>67</v>
      </c>
    </row>
    <row r="41" spans="1:15" ht="15.75" customHeight="1" x14ac:dyDescent="0.15">
      <c r="A41" s="77" t="s">
        <v>64</v>
      </c>
      <c r="B41" s="14" t="s">
        <v>65</v>
      </c>
      <c r="C41" s="9">
        <f t="shared" ref="C41:G41" si="10">IF(C37,C25*(C32/C31)/(C34*C37*1000/C36)*1000,0)</f>
        <v>39.58121747640368</v>
      </c>
      <c r="D41" s="9">
        <f t="shared" si="10"/>
        <v>56.585224201234254</v>
      </c>
      <c r="E41" s="9">
        <f t="shared" si="10"/>
        <v>44.96801038739352</v>
      </c>
      <c r="F41" s="9">
        <f t="shared" si="10"/>
        <v>123.64550510660095</v>
      </c>
      <c r="G41" s="9">
        <f t="shared" si="10"/>
        <v>31.595610272913994</v>
      </c>
      <c r="H41" s="9">
        <f t="shared" ref="H41:I41" si="11">IF(H37,H25*(H32/H31)/(H34*H37*1000/H36)*1000,0)</f>
        <v>40.616947528179985</v>
      </c>
      <c r="I41" s="9">
        <f t="shared" si="11"/>
        <v>14074.308713485914</v>
      </c>
      <c r="K41">
        <f>SUMPRODUCT(C41:I41,C$37:I$37)</f>
        <v>22383.812739787376</v>
      </c>
    </row>
    <row r="42" spans="1:15" ht="15.75" customHeight="1" x14ac:dyDescent="0.15">
      <c r="A42" s="76"/>
      <c r="B42" s="15" t="s">
        <v>68</v>
      </c>
      <c r="C42" s="9">
        <f t="shared" ref="C42:G42" si="12">IF(C37,C26/(C37*1000/C36)*1000,0)</f>
        <v>21.404109589041095</v>
      </c>
      <c r="D42" s="9">
        <f t="shared" si="12"/>
        <v>37.18199608610567</v>
      </c>
      <c r="E42" s="9">
        <f t="shared" si="12"/>
        <v>17.562346329469619</v>
      </c>
      <c r="F42" s="9">
        <f t="shared" si="12"/>
        <v>82.191780821917803</v>
      </c>
      <c r="G42" s="9">
        <f t="shared" si="12"/>
        <v>40.769732550554465</v>
      </c>
      <c r="H42" s="9">
        <f t="shared" ref="H42:I42" si="13">IF(H37,H26/(H37*1000/H36)*1000,0)</f>
        <v>32.615786040443574</v>
      </c>
      <c r="I42" s="9">
        <f t="shared" si="13"/>
        <v>4566.2100456621001</v>
      </c>
      <c r="K42">
        <f>SUMPRODUCT(C42:I42,C$37:I$37)</f>
        <v>14956</v>
      </c>
    </row>
    <row r="43" spans="1:15" ht="15.75" customHeight="1" x14ac:dyDescent="0.15">
      <c r="A43" s="76"/>
      <c r="B43" s="17" t="s">
        <v>69</v>
      </c>
      <c r="C43" s="9">
        <f t="shared" ref="C43:G43" si="14">IF(C37,C28/(1+C30)^C33*C36/C37,0)</f>
        <v>8.9211568268161088</v>
      </c>
      <c r="D43" s="9">
        <f t="shared" si="14"/>
        <v>10.05605570689564</v>
      </c>
      <c r="E43" s="9">
        <f t="shared" si="14"/>
        <v>9.8818967927809194</v>
      </c>
      <c r="F43" s="9">
        <f t="shared" si="14"/>
        <v>70.392389948269468</v>
      </c>
      <c r="G43" s="9">
        <f t="shared" si="14"/>
        <v>110.17028193506174</v>
      </c>
      <c r="H43" s="9">
        <f t="shared" ref="H43:I43" si="15">IF(H37,H28/(1+H30)^H33*H36/H37,0)</f>
        <v>15.502348503082871</v>
      </c>
      <c r="I43" s="9">
        <f t="shared" si="15"/>
        <v>0</v>
      </c>
    </row>
    <row r="44" spans="1:15" ht="15.75" customHeight="1" x14ac:dyDescent="0.15">
      <c r="A44" s="76"/>
      <c r="B44" s="18" t="s">
        <v>72</v>
      </c>
      <c r="C44" s="9">
        <f t="shared" ref="C44:G44" si="16">C27+C39</f>
        <v>0.12</v>
      </c>
      <c r="D44" s="9">
        <f t="shared" si="16"/>
        <v>0.2</v>
      </c>
      <c r="E44" s="9">
        <f t="shared" si="16"/>
        <v>0.44</v>
      </c>
      <c r="F44" s="9">
        <f t="shared" si="16"/>
        <v>54.69</v>
      </c>
      <c r="G44" s="9">
        <f t="shared" si="16"/>
        <v>5.62</v>
      </c>
      <c r="H44" s="9">
        <f t="shared" ref="H44:I44" si="17">H27+H39</f>
        <v>5.62</v>
      </c>
      <c r="I44" s="9">
        <f t="shared" si="17"/>
        <v>85.61643835616438</v>
      </c>
      <c r="K44">
        <f>SUMPRODUCT(C44:I44,C$37:I$37)</f>
        <v>1806.1552343999999</v>
      </c>
    </row>
    <row r="45" spans="1:15" ht="15.75" customHeight="1" x14ac:dyDescent="0.15">
      <c r="A45" s="76"/>
      <c r="B45" s="6" t="s">
        <v>73</v>
      </c>
      <c r="C45" s="9">
        <f t="shared" ref="C45:G45" si="18">C41+C42+C43+C44</f>
        <v>70.026483892260899</v>
      </c>
      <c r="D45" s="9">
        <f t="shared" si="18"/>
        <v>104.02327599423556</v>
      </c>
      <c r="E45" s="9">
        <f t="shared" si="18"/>
        <v>72.852253509644058</v>
      </c>
      <c r="F45" s="9">
        <f t="shared" si="18"/>
        <v>330.91967587678823</v>
      </c>
      <c r="G45" s="9">
        <f t="shared" si="18"/>
        <v>188.15562475853022</v>
      </c>
      <c r="H45" s="9">
        <f t="shared" ref="H45:I45" si="19">H41+H42+H43+H44</f>
        <v>94.355082071706434</v>
      </c>
      <c r="I45" s="9">
        <f t="shared" si="19"/>
        <v>18726.135197504176</v>
      </c>
      <c r="K45">
        <f>SUMPRODUCT(C45:I45,C$37:I$37)</f>
        <v>59759.480795226154</v>
      </c>
    </row>
    <row r="47" spans="1:15" ht="15.75" customHeight="1" x14ac:dyDescent="0.15">
      <c r="B47" s="15" t="s">
        <v>74</v>
      </c>
      <c r="C47">
        <f t="shared" ref="C47:I47" si="20">C26</f>
        <v>45</v>
      </c>
      <c r="D47">
        <f t="shared" si="20"/>
        <v>114</v>
      </c>
      <c r="E47">
        <f t="shared" si="20"/>
        <v>20</v>
      </c>
      <c r="F47">
        <f t="shared" si="20"/>
        <v>36</v>
      </c>
      <c r="G47">
        <f t="shared" si="20"/>
        <v>250</v>
      </c>
      <c r="H47" s="22">
        <f t="shared" ref="H47" si="21">H26</f>
        <v>200</v>
      </c>
      <c r="I47">
        <f t="shared" si="20"/>
        <v>40</v>
      </c>
      <c r="J47" s="1" t="s">
        <v>86</v>
      </c>
      <c r="K47" t="e">
        <f>K40+K45</f>
        <v>#REF!</v>
      </c>
      <c r="L47" s="1" t="s">
        <v>87</v>
      </c>
    </row>
    <row r="48" spans="1:15" ht="15.75" customHeight="1" x14ac:dyDescent="0.15">
      <c r="B48" s="19" t="s">
        <v>75</v>
      </c>
      <c r="C48" s="20">
        <f t="shared" ref="C48:I48" si="22">C32/C31*C25/C34</f>
        <v>83.215551622391089</v>
      </c>
      <c r="D48" s="20">
        <f t="shared" si="22"/>
        <v>173.49029740098422</v>
      </c>
      <c r="E48" s="20">
        <f t="shared" si="22"/>
        <v>51.209570229163745</v>
      </c>
      <c r="F48" s="20">
        <f t="shared" si="22"/>
        <v>54.156731236691215</v>
      </c>
      <c r="G48" s="20">
        <f t="shared" si="22"/>
        <v>193.74428219350861</v>
      </c>
      <c r="H48" s="20">
        <f t="shared" ref="H48" si="23">H32/H31*H25/H34</f>
        <v>249.06312224279964</v>
      </c>
      <c r="I48" s="20">
        <f t="shared" si="22"/>
        <v>123.29094433013661</v>
      </c>
      <c r="J48" s="1" t="s">
        <v>89</v>
      </c>
      <c r="K48" t="e">
        <f>K47/J37</f>
        <v>#REF!</v>
      </c>
      <c r="L48" s="1" t="s">
        <v>90</v>
      </c>
    </row>
    <row r="49" spans="2:12" ht="15.75" customHeight="1" x14ac:dyDescent="0.15">
      <c r="B49" s="1" t="s">
        <v>93</v>
      </c>
      <c r="C49">
        <f t="shared" ref="C49:I49" si="24">C47+C48</f>
        <v>128.2155516223911</v>
      </c>
      <c r="D49">
        <f t="shared" si="24"/>
        <v>287.49029740098422</v>
      </c>
      <c r="E49">
        <f t="shared" si="24"/>
        <v>71.209570229163745</v>
      </c>
      <c r="F49">
        <f t="shared" si="24"/>
        <v>90.156731236691215</v>
      </c>
      <c r="G49">
        <f t="shared" si="24"/>
        <v>443.74428219350864</v>
      </c>
      <c r="H49" s="22">
        <f t="shared" ref="H49" si="25">H47+H48</f>
        <v>449.06312224279964</v>
      </c>
      <c r="I49">
        <f t="shared" si="24"/>
        <v>163.2909443301366</v>
      </c>
    </row>
    <row r="50" spans="2:12" ht="15.75" customHeight="1" x14ac:dyDescent="0.15">
      <c r="B50" s="1"/>
      <c r="I50">
        <f>I37*Hypotheses!B10</f>
        <v>3.9420000000000006</v>
      </c>
      <c r="J50">
        <f>SUM(C50:I50)</f>
        <v>3.9420000000000006</v>
      </c>
      <c r="K50" s="21">
        <f>J50/19000</f>
        <v>2.0747368421052635E-4</v>
      </c>
      <c r="L50" s="1" t="s">
        <v>92</v>
      </c>
    </row>
    <row r="51" spans="2:12" ht="15.75" customHeight="1" x14ac:dyDescent="0.15">
      <c r="B51" s="30" t="s">
        <v>53</v>
      </c>
      <c r="C51">
        <f>C45*C37/1000</f>
        <v>16.194604770859826</v>
      </c>
      <c r="D51" s="22">
        <f t="shared" ref="D51:I51" si="26">D45*D37/1000</f>
        <v>0.31893536419832624</v>
      </c>
      <c r="E51" s="22">
        <f t="shared" si="26"/>
        <v>7.8815938981943523</v>
      </c>
      <c r="F51" s="22">
        <f t="shared" si="26"/>
        <v>5.0729986311911635</v>
      </c>
      <c r="G51" s="22">
        <f t="shared" si="26"/>
        <v>27.690486984463377</v>
      </c>
      <c r="H51" s="22">
        <f t="shared" si="26"/>
        <v>0.96045170301774829</v>
      </c>
      <c r="I51" s="22">
        <f t="shared" si="26"/>
        <v>1.6404094433013661</v>
      </c>
    </row>
  </sheetData>
  <mergeCells count="5">
    <mergeCell ref="A25:A28"/>
    <mergeCell ref="A29:A30"/>
    <mergeCell ref="A35:A37"/>
    <mergeCell ref="A41:A45"/>
    <mergeCell ref="A31:A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9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2" max="2" width="48.5" customWidth="1"/>
  </cols>
  <sheetData>
    <row r="1" spans="1:10" ht="15.75" customHeight="1" x14ac:dyDescent="0.15">
      <c r="A1" s="1"/>
      <c r="B1" s="3" t="s">
        <v>42</v>
      </c>
    </row>
    <row r="2" spans="1:10" ht="15.75" customHeight="1" x14ac:dyDescent="0.15">
      <c r="A2" s="1"/>
      <c r="B2" s="4" t="s">
        <v>43</v>
      </c>
      <c r="F2" s="1" t="s">
        <v>29</v>
      </c>
      <c r="G2" s="5">
        <f>MixElectrique!G21</f>
        <v>0.04</v>
      </c>
    </row>
    <row r="3" spans="1:10" ht="15.75" customHeight="1" x14ac:dyDescent="0.15">
      <c r="A3" s="1"/>
      <c r="B3" s="6" t="s">
        <v>45</v>
      </c>
      <c r="G3" s="4">
        <f>MixElectrique!G22</f>
        <v>10</v>
      </c>
    </row>
    <row r="4" spans="1:10" ht="15.75" customHeight="1" x14ac:dyDescent="0.15">
      <c r="A4" s="1"/>
      <c r="B4" s="1"/>
    </row>
    <row r="5" spans="1:10" ht="15.75" customHeight="1" x14ac:dyDescent="0.15">
      <c r="A5" s="1"/>
      <c r="B5" s="1" t="s">
        <v>48</v>
      </c>
      <c r="C5" s="1" t="s">
        <v>49</v>
      </c>
      <c r="D5" s="1" t="s">
        <v>50</v>
      </c>
      <c r="E5" s="1" t="s">
        <v>51</v>
      </c>
      <c r="F5" s="1" t="s">
        <v>52</v>
      </c>
      <c r="H5" s="1" t="s">
        <v>53</v>
      </c>
    </row>
    <row r="6" spans="1:10" ht="15.75" customHeight="1" x14ac:dyDescent="0.15">
      <c r="A6" s="75" t="s">
        <v>54</v>
      </c>
      <c r="B6" s="4" t="s">
        <v>55</v>
      </c>
      <c r="C6" s="4">
        <v>200</v>
      </c>
      <c r="D6" s="8"/>
      <c r="E6" s="8"/>
      <c r="F6" s="4"/>
      <c r="G6" s="8"/>
      <c r="H6" s="4"/>
      <c r="I6" s="13"/>
      <c r="J6" s="2"/>
    </row>
    <row r="7" spans="1:10" ht="15.75" customHeight="1" x14ac:dyDescent="0.15">
      <c r="A7" s="76"/>
      <c r="B7" s="4" t="s">
        <v>57</v>
      </c>
      <c r="C7" s="4"/>
      <c r="D7" s="4">
        <v>1000</v>
      </c>
      <c r="E7" s="4">
        <v>1500</v>
      </c>
      <c r="F7" s="4">
        <v>1500</v>
      </c>
      <c r="G7" s="8"/>
      <c r="H7" s="4"/>
      <c r="I7" s="13"/>
      <c r="J7" s="2"/>
    </row>
    <row r="8" spans="1:10" ht="15.75" customHeight="1" x14ac:dyDescent="0.15">
      <c r="A8" s="76"/>
      <c r="B8" s="4" t="s">
        <v>58</v>
      </c>
      <c r="C8" s="4">
        <v>1</v>
      </c>
      <c r="D8" s="4">
        <v>40</v>
      </c>
      <c r="E8" s="4">
        <v>40</v>
      </c>
      <c r="F8" s="4">
        <v>40</v>
      </c>
      <c r="G8" s="8"/>
      <c r="H8" s="4"/>
      <c r="I8" s="13"/>
      <c r="J8" s="13"/>
    </row>
    <row r="9" spans="1:10" ht="15.75" customHeight="1" x14ac:dyDescent="0.15">
      <c r="A9" s="75" t="s">
        <v>59</v>
      </c>
      <c r="B9" s="6" t="s">
        <v>1</v>
      </c>
      <c r="C9" s="9">
        <f>$G$3</f>
        <v>10</v>
      </c>
      <c r="D9" s="6">
        <v>30</v>
      </c>
      <c r="E9" s="9">
        <f t="shared" ref="E9:F9" si="0">$G$3</f>
        <v>10</v>
      </c>
      <c r="F9" s="9">
        <f t="shared" si="0"/>
        <v>10</v>
      </c>
      <c r="G9" s="9"/>
      <c r="H9" s="9"/>
      <c r="I9" s="13"/>
      <c r="J9" s="13"/>
    </row>
    <row r="10" spans="1:10" ht="15.75" customHeight="1" x14ac:dyDescent="0.15">
      <c r="A10" s="76"/>
      <c r="B10" s="6" t="s">
        <v>29</v>
      </c>
      <c r="C10" s="10">
        <f t="shared" ref="C10:F10" si="1">$G$2</f>
        <v>0.04</v>
      </c>
      <c r="D10" s="10">
        <f t="shared" si="1"/>
        <v>0.04</v>
      </c>
      <c r="E10" s="10">
        <f t="shared" si="1"/>
        <v>0.04</v>
      </c>
      <c r="F10" s="10">
        <f t="shared" si="1"/>
        <v>0.04</v>
      </c>
      <c r="G10" s="9"/>
      <c r="H10" s="9"/>
      <c r="I10" s="13"/>
      <c r="J10" s="13"/>
    </row>
    <row r="11" spans="1:10" ht="15.75" customHeight="1" x14ac:dyDescent="0.15">
      <c r="A11" s="75" t="s">
        <v>61</v>
      </c>
      <c r="B11" s="4" t="s">
        <v>62</v>
      </c>
      <c r="C11" s="4">
        <v>0.1</v>
      </c>
      <c r="D11" s="4">
        <v>0.5</v>
      </c>
      <c r="E11" s="4">
        <v>1</v>
      </c>
      <c r="F11" s="4">
        <v>2</v>
      </c>
      <c r="G11" s="4"/>
      <c r="H11" s="4"/>
      <c r="I11" s="2"/>
      <c r="J11" s="2"/>
    </row>
    <row r="12" spans="1:10" ht="15.75" customHeight="1" x14ac:dyDescent="0.15">
      <c r="A12" s="76"/>
      <c r="B12" s="6" t="s">
        <v>63</v>
      </c>
      <c r="C12" s="11">
        <f t="shared" ref="C12:F12" si="2">((1+C10)^(C11+1)-(1+C10))/C10</f>
        <v>0.10217409025721769</v>
      </c>
      <c r="D12" s="11">
        <f t="shared" si="2"/>
        <v>0.51490147068248282</v>
      </c>
      <c r="E12" s="11">
        <f t="shared" si="2"/>
        <v>1.040000000000002</v>
      </c>
      <c r="F12" s="11">
        <f t="shared" si="2"/>
        <v>2.1216000000000013</v>
      </c>
      <c r="G12" s="11"/>
      <c r="H12" s="11"/>
      <c r="I12" s="16"/>
      <c r="J12" s="16"/>
    </row>
    <row r="13" spans="1:10" ht="15.75" customHeight="1" x14ac:dyDescent="0.15">
      <c r="A13" s="76"/>
      <c r="B13" s="4" t="s">
        <v>70</v>
      </c>
      <c r="C13" s="4">
        <v>10</v>
      </c>
      <c r="D13" s="4">
        <v>30</v>
      </c>
      <c r="E13" s="4">
        <v>30</v>
      </c>
      <c r="F13" s="4">
        <v>50</v>
      </c>
      <c r="G13" s="4"/>
      <c r="H13" s="4"/>
      <c r="I13" s="2"/>
      <c r="J13" s="2"/>
    </row>
    <row r="14" spans="1:10" ht="15.75" customHeight="1" x14ac:dyDescent="0.15">
      <c r="A14" s="76"/>
      <c r="B14" s="6" t="s">
        <v>71</v>
      </c>
      <c r="C14" s="11">
        <f t="shared" ref="C14:F14" si="3">((1+C10)-(1+C10)^(-C13+1))/C10</f>
        <v>8.4353316105292393</v>
      </c>
      <c r="D14" s="11">
        <f t="shared" si="3"/>
        <v>17.983714632691072</v>
      </c>
      <c r="E14" s="11">
        <f t="shared" si="3"/>
        <v>17.983714632691072</v>
      </c>
      <c r="F14" s="11">
        <f t="shared" si="3"/>
        <v>22.341472001335777</v>
      </c>
      <c r="G14" s="11"/>
      <c r="H14" s="11"/>
      <c r="I14" s="16"/>
      <c r="J14" s="16"/>
    </row>
    <row r="15" spans="1:10" ht="15.75" customHeight="1" x14ac:dyDescent="0.15">
      <c r="A15" s="75" t="s">
        <v>76</v>
      </c>
      <c r="B15" s="4" t="s">
        <v>77</v>
      </c>
      <c r="C15" s="4">
        <v>8</v>
      </c>
      <c r="D15" s="4"/>
      <c r="E15" s="4"/>
      <c r="F15" s="4"/>
      <c r="G15" s="4"/>
      <c r="H15" s="4"/>
      <c r="I15" s="2"/>
      <c r="J15" s="2"/>
    </row>
    <row r="16" spans="1:10" ht="15.75" customHeight="1" x14ac:dyDescent="0.15">
      <c r="A16" s="76"/>
      <c r="B16" s="4" t="s">
        <v>41</v>
      </c>
      <c r="C16" s="4">
        <v>150000</v>
      </c>
      <c r="D16" s="4"/>
      <c r="E16" s="4"/>
      <c r="F16" s="4"/>
      <c r="G16" s="4"/>
      <c r="H16" s="4"/>
      <c r="I16" s="2"/>
      <c r="J16" s="2"/>
    </row>
    <row r="17" spans="1:10" ht="15.75" customHeight="1" x14ac:dyDescent="0.15">
      <c r="A17" s="76"/>
      <c r="B17" s="4" t="s">
        <v>78</v>
      </c>
      <c r="C17" s="4">
        <f>C15*C16</f>
        <v>1200000</v>
      </c>
      <c r="D17" s="4"/>
      <c r="E17" s="4">
        <v>0</v>
      </c>
      <c r="F17" s="4">
        <v>0</v>
      </c>
      <c r="G17" s="4"/>
      <c r="H17" s="4"/>
      <c r="I17" s="2"/>
      <c r="J17" s="2"/>
    </row>
    <row r="18" spans="1:10" ht="15.75" customHeight="1" x14ac:dyDescent="0.15">
      <c r="A18" s="76"/>
      <c r="B18" s="3" t="s">
        <v>44</v>
      </c>
      <c r="C18" s="3">
        <v>10</v>
      </c>
      <c r="D18" s="3">
        <v>1</v>
      </c>
      <c r="E18" s="6" t="e">
        <f>D18*(1-Hypotheses!B9)/Hypotheses!#REF!</f>
        <v>#REF!</v>
      </c>
      <c r="F18" s="3">
        <v>2</v>
      </c>
      <c r="G18" s="3"/>
      <c r="H18" s="3" t="e">
        <f>SUM(C18:G18)</f>
        <v>#REF!</v>
      </c>
      <c r="I18" s="13"/>
      <c r="J18" s="2"/>
    </row>
    <row r="19" spans="1:10" ht="15.75" customHeight="1" x14ac:dyDescent="0.15">
      <c r="A19" s="76"/>
      <c r="B19" s="3" t="s">
        <v>79</v>
      </c>
      <c r="C19" s="3"/>
      <c r="D19" s="3">
        <v>1000</v>
      </c>
      <c r="E19" s="3">
        <v>1000</v>
      </c>
      <c r="F19" s="3"/>
      <c r="G19" s="3"/>
      <c r="H19" s="3"/>
      <c r="I19" s="13"/>
      <c r="J19" s="2"/>
    </row>
    <row r="20" spans="1:10" ht="15.75" customHeight="1" x14ac:dyDescent="0.15">
      <c r="A20" s="76"/>
      <c r="B20" s="6" t="s">
        <v>80</v>
      </c>
      <c r="C20" s="6">
        <f>C18*C17/10^6/C13</f>
        <v>1.2</v>
      </c>
      <c r="D20" s="6"/>
      <c r="E20" s="6" t="e">
        <f t="shared" ref="E20:F20" si="4">E18*E17/10^6/E13</f>
        <v>#REF!</v>
      </c>
      <c r="F20" s="6">
        <f t="shared" si="4"/>
        <v>0</v>
      </c>
      <c r="G20" s="6"/>
      <c r="H20" s="6" t="e">
        <f>SUM(C20:F20)</f>
        <v>#REF!</v>
      </c>
      <c r="I20" s="2"/>
      <c r="J20" s="2"/>
    </row>
    <row r="21" spans="1:10" ht="15.75" customHeight="1" x14ac:dyDescent="0.15">
      <c r="A21" s="76"/>
      <c r="B21" s="6" t="s">
        <v>81</v>
      </c>
      <c r="C21" s="9" t="e">
        <f>Hypotheses!#REF!*C18*C15/C13</f>
        <v>#REF!</v>
      </c>
      <c r="D21" s="9"/>
      <c r="E21" s="9"/>
      <c r="F21" s="9"/>
      <c r="G21" s="9"/>
      <c r="H21" s="9"/>
      <c r="I21" s="13"/>
      <c r="J21" s="13"/>
    </row>
    <row r="22" spans="1:10" ht="15.75" customHeight="1" x14ac:dyDescent="0.15">
      <c r="A22" s="76"/>
      <c r="B22" s="6" t="s">
        <v>82</v>
      </c>
      <c r="C22" s="9"/>
      <c r="D22" s="9"/>
      <c r="E22" s="9" t="e">
        <f>E18*E19*Hypotheses!#REF!/1000</f>
        <v>#REF!</v>
      </c>
      <c r="F22" s="9"/>
      <c r="G22" s="9"/>
      <c r="H22" s="9"/>
      <c r="I22" s="13"/>
      <c r="J22" s="13"/>
    </row>
    <row r="23" spans="1:10" ht="15.75" customHeight="1" x14ac:dyDescent="0.15">
      <c r="A23" s="76"/>
      <c r="B23" s="6" t="s">
        <v>83</v>
      </c>
      <c r="C23" s="9"/>
      <c r="D23" s="9" t="e">
        <f>D18*Hypotheses!B9*D19*Hypotheses!#REF!/1000</f>
        <v>#REF!</v>
      </c>
      <c r="E23" s="9"/>
      <c r="F23" s="9"/>
      <c r="G23" s="9"/>
      <c r="H23" s="9"/>
      <c r="I23" s="13"/>
      <c r="J23" s="13"/>
    </row>
    <row r="24" spans="1:10" ht="15.75" customHeight="1" x14ac:dyDescent="0.15">
      <c r="A24" s="12"/>
      <c r="B24" s="1"/>
      <c r="I24" s="13"/>
      <c r="J24" s="13"/>
    </row>
    <row r="25" spans="1:10" ht="15.75" customHeight="1" x14ac:dyDescent="0.15">
      <c r="A25" s="12"/>
      <c r="B25" s="1"/>
      <c r="I25" s="13"/>
      <c r="J25" s="13"/>
    </row>
    <row r="26" spans="1:10" ht="15.75" customHeight="1" x14ac:dyDescent="0.15">
      <c r="A26" s="77" t="s">
        <v>84</v>
      </c>
      <c r="B26" s="6" t="s">
        <v>85</v>
      </c>
      <c r="C26" s="9">
        <f>IF(C18,C7*(C12/C11)/(C14),0)</f>
        <v>0</v>
      </c>
      <c r="D26" s="9"/>
      <c r="E26" s="9" t="e">
        <f t="shared" ref="E26:F26" si="5">IF(E18,E7*(E12/E11)/(E14),0)</f>
        <v>#REF!</v>
      </c>
      <c r="F26" s="9">
        <f t="shared" si="5"/>
        <v>71.221806687798576</v>
      </c>
      <c r="G26" s="9">
        <f>IF(G18,G7*(G12/G11)/(G14*1000/G18)*1000,0)</f>
        <v>0</v>
      </c>
      <c r="H26" s="9" t="e">
        <f>SUMPRODUCT(C26:G26,C18:G18)</f>
        <v>#REF!</v>
      </c>
      <c r="I26" s="13"/>
      <c r="J26" s="13"/>
    </row>
    <row r="27" spans="1:10" ht="15.75" customHeight="1" x14ac:dyDescent="0.15">
      <c r="A27" s="76"/>
      <c r="B27" s="6" t="s">
        <v>88</v>
      </c>
      <c r="C27" s="9">
        <f>IF(C18,C8,0)</f>
        <v>1</v>
      </c>
      <c r="D27" s="9"/>
      <c r="E27" s="9" t="e">
        <f t="shared" ref="E27:G27" si="6">IF(E18,E8,0)</f>
        <v>#REF!</v>
      </c>
      <c r="F27" s="9">
        <f t="shared" si="6"/>
        <v>40</v>
      </c>
      <c r="G27" s="9">
        <f t="shared" si="6"/>
        <v>0</v>
      </c>
      <c r="H27" s="9" t="e">
        <f t="shared" ref="H27:H28" si="7">SUM(C27:G27)</f>
        <v>#REF!</v>
      </c>
      <c r="I27" s="13"/>
      <c r="J27" s="13"/>
    </row>
    <row r="28" spans="1:10" ht="15.75" customHeight="1" x14ac:dyDescent="0.15">
      <c r="A28" s="76"/>
      <c r="B28" s="6" t="s">
        <v>91</v>
      </c>
      <c r="C28" s="9">
        <f t="shared" ref="C28:G28" si="8">C9*C17*C18/10^9</f>
        <v>0.12</v>
      </c>
      <c r="D28" s="9">
        <f t="shared" si="8"/>
        <v>0</v>
      </c>
      <c r="E28" s="9" t="e">
        <f t="shared" si="8"/>
        <v>#REF!</v>
      </c>
      <c r="F28" s="9">
        <f t="shared" si="8"/>
        <v>0</v>
      </c>
      <c r="G28" s="9">
        <f t="shared" si="8"/>
        <v>0</v>
      </c>
      <c r="H28" s="9" t="e">
        <f t="shared" si="7"/>
        <v>#REF!</v>
      </c>
      <c r="I28" s="13"/>
      <c r="J28" s="13"/>
    </row>
    <row r="29" spans="1:10" ht="15.75" customHeight="1" x14ac:dyDescent="0.15">
      <c r="A29" s="76"/>
      <c r="B29" s="6" t="s">
        <v>53</v>
      </c>
      <c r="C29" s="9">
        <f>(C26+C27+C28)</f>
        <v>1.1200000000000001</v>
      </c>
      <c r="D29" s="9">
        <f t="shared" ref="D29:G29" si="9">(D26+D27+D28)/10^9</f>
        <v>0</v>
      </c>
      <c r="E29" s="9" t="e">
        <f t="shared" si="9"/>
        <v>#REF!</v>
      </c>
      <c r="F29" s="9">
        <f t="shared" si="9"/>
        <v>1.1122180668779857E-7</v>
      </c>
      <c r="G29" s="9">
        <f t="shared" si="9"/>
        <v>0</v>
      </c>
      <c r="H29" s="9" t="e">
        <f>H26+H27+H28</f>
        <v>#REF!</v>
      </c>
      <c r="I29" s="13"/>
      <c r="J29" s="13"/>
    </row>
  </sheetData>
  <mergeCells count="5">
    <mergeCell ref="A6:A8"/>
    <mergeCell ref="A9:A10"/>
    <mergeCell ref="A11:A14"/>
    <mergeCell ref="A15:A23"/>
    <mergeCell ref="A26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Hypotheses</vt:lpstr>
      <vt:lpstr>MixElectrique</vt:lpstr>
      <vt:lpstr>Stockage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2021-09-15T16:36:17Z</dcterms:created>
  <dcterms:modified xsi:type="dcterms:W3CDTF">2021-11-16T16:50:06Z</dcterms:modified>
</cp:coreProperties>
</file>