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Volumes/USB/Portfolio/"/>
    </mc:Choice>
  </mc:AlternateContent>
  <bookViews>
    <workbookView xWindow="0" yWindow="460" windowWidth="33600" windowHeight="20460"/>
  </bookViews>
  <sheets>
    <sheet name="Summary" sheetId="1" r:id="rId1"/>
    <sheet name="Supplmentary" sheetId="3" r:id="rId2"/>
    <sheet name="Data" sheetId="2" r:id="rId3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G13" i="1"/>
  <c r="H13" i="1"/>
  <c r="M8" i="1"/>
  <c r="G8" i="1"/>
  <c r="H8" i="1"/>
  <c r="G6" i="1"/>
  <c r="E6" i="3"/>
  <c r="E5" i="3"/>
  <c r="Z7" i="2"/>
  <c r="Z8" i="2"/>
  <c r="Z6" i="2"/>
  <c r="U7" i="2"/>
  <c r="W7" i="2"/>
  <c r="X7" i="2"/>
  <c r="AA7" i="2"/>
  <c r="AD7" i="2"/>
  <c r="U8" i="2"/>
  <c r="W8" i="2"/>
  <c r="X8" i="2"/>
  <c r="AA8" i="2"/>
  <c r="AD8" i="2"/>
  <c r="U6" i="2"/>
  <c r="W6" i="2"/>
  <c r="X6" i="2"/>
  <c r="AA6" i="2"/>
  <c r="AD6" i="2"/>
  <c r="T10" i="2"/>
  <c r="Y10" i="2"/>
  <c r="Y7" i="2"/>
  <c r="Y8" i="2"/>
  <c r="Y6" i="2"/>
  <c r="T8" i="2"/>
  <c r="V8" i="2"/>
  <c r="AB8" i="2"/>
  <c r="AC8" i="2"/>
  <c r="T9" i="2"/>
  <c r="Z9" i="2"/>
  <c r="U9" i="2"/>
  <c r="V9" i="2"/>
  <c r="W9" i="2"/>
  <c r="AA9" i="2"/>
  <c r="AB9" i="2"/>
  <c r="AC9" i="2"/>
  <c r="U10" i="2"/>
  <c r="W10" i="2"/>
  <c r="AA10" i="2"/>
  <c r="AB10" i="2"/>
  <c r="AC10" i="2"/>
  <c r="S8" i="2"/>
  <c r="S9" i="2"/>
  <c r="S10" i="2"/>
  <c r="R8" i="2"/>
  <c r="R9" i="2"/>
  <c r="R10" i="2"/>
  <c r="R7" i="2"/>
  <c r="S7" i="2"/>
  <c r="T7" i="2"/>
  <c r="V7" i="2"/>
  <c r="AB7" i="2"/>
  <c r="AC7" i="2"/>
  <c r="AC6" i="2"/>
  <c r="AB6" i="2"/>
  <c r="V6" i="2"/>
  <c r="T6" i="2"/>
  <c r="S6" i="2"/>
  <c r="R6" i="2"/>
  <c r="Y9" i="2"/>
  <c r="Z10" i="2"/>
  <c r="X9" i="2"/>
  <c r="C4" i="3"/>
  <c r="C2" i="3"/>
  <c r="C3" i="3"/>
  <c r="E3" i="3"/>
  <c r="E2" i="3"/>
  <c r="AD9" i="2"/>
  <c r="G15" i="1"/>
  <c r="H15" i="1"/>
  <c r="H21" i="1"/>
  <c r="AD10" i="2"/>
  <c r="M7" i="1"/>
  <c r="M6" i="1"/>
  <c r="E4" i="3"/>
  <c r="N7" i="1"/>
  <c r="N8" i="1"/>
  <c r="G7" i="1"/>
  <c r="H6" i="1"/>
  <c r="H7" i="1"/>
  <c r="H14" i="1"/>
  <c r="H22" i="1"/>
</calcChain>
</file>

<file path=xl/sharedStrings.xml><?xml version="1.0" encoding="utf-8"?>
<sst xmlns="http://schemas.openxmlformats.org/spreadsheetml/2006/main" count="71" uniqueCount="68">
  <si>
    <t>Salesperson</t>
  </si>
  <si>
    <t>Tier Level</t>
  </si>
  <si>
    <t>Commission %</t>
  </si>
  <si>
    <t>Total</t>
  </si>
  <si>
    <t>Current Month Billings</t>
  </si>
  <si>
    <t>Commission Pay For Current Month</t>
  </si>
  <si>
    <t>Goal</t>
  </si>
  <si>
    <t>New Business Goal Progress</t>
  </si>
  <si>
    <t>Remaining for Tier Level</t>
  </si>
  <si>
    <t>Tier 2</t>
  </si>
  <si>
    <t>Tier 1</t>
  </si>
  <si>
    <t>Tier 3</t>
  </si>
  <si>
    <t>Sales Rep Total</t>
  </si>
  <si>
    <t>Bill Account No.</t>
  </si>
  <si>
    <t>Client ID</t>
  </si>
  <si>
    <t>Client Name</t>
  </si>
  <si>
    <t>Salesperson Code</t>
  </si>
  <si>
    <t>Document No</t>
  </si>
  <si>
    <t>OrderType</t>
  </si>
  <si>
    <t>ProductLineCode</t>
  </si>
  <si>
    <t>Description</t>
  </si>
  <si>
    <t>Posting Date</t>
  </si>
  <si>
    <t>Amount Invoiced</t>
  </si>
  <si>
    <t>First Invoice Date of client</t>
  </si>
  <si>
    <t>Month of Posting</t>
  </si>
  <si>
    <t>Month of First Invoice</t>
  </si>
  <si>
    <t>Month Difference</t>
  </si>
  <si>
    <t>Freight/Supplies?</t>
  </si>
  <si>
    <t>AM Sales?</t>
  </si>
  <si>
    <t>Other?</t>
  </si>
  <si>
    <t>GateFees?</t>
  </si>
  <si>
    <t>New Business?</t>
  </si>
  <si>
    <t>Retention?</t>
  </si>
  <si>
    <t>SB20</t>
  </si>
  <si>
    <t>Box?</t>
  </si>
  <si>
    <t>OEM?</t>
  </si>
  <si>
    <t>Quantity</t>
  </si>
  <si>
    <t>Unit of Measure</t>
  </si>
  <si>
    <t>Division Code</t>
  </si>
  <si>
    <t>Service Type</t>
  </si>
  <si>
    <t>New Businees Goals?</t>
  </si>
  <si>
    <t>Enter Month</t>
  </si>
  <si>
    <t>Total Sales Year to Date</t>
  </si>
  <si>
    <t>Total New Business Invoice Month To Date</t>
  </si>
  <si>
    <t>Total New Business Invoice Previous Months</t>
  </si>
  <si>
    <t>Total New Business Gate Fees Month to Date</t>
  </si>
  <si>
    <t>Total NON Gate Fees New Business Goals Month to Date</t>
  </si>
  <si>
    <t>Enter Sales Rep Name</t>
  </si>
  <si>
    <t>Category 1</t>
  </si>
  <si>
    <t>Category 2</t>
  </si>
  <si>
    <t>Category 3</t>
  </si>
  <si>
    <t>Category 4</t>
  </si>
  <si>
    <t>Category 5</t>
  </si>
  <si>
    <t>Category 6</t>
  </si>
  <si>
    <t>Category 7</t>
  </si>
  <si>
    <t>Category 8</t>
  </si>
  <si>
    <t>Category 9</t>
  </si>
  <si>
    <t>Category 10</t>
  </si>
  <si>
    <t>Category 11</t>
  </si>
  <si>
    <t>Category 12</t>
  </si>
  <si>
    <t>Category 13</t>
  </si>
  <si>
    <t>Progress Tacker</t>
  </si>
  <si>
    <t>SalesPerson1</t>
  </si>
  <si>
    <t>Salesperson1</t>
  </si>
  <si>
    <t>Salesperson2</t>
  </si>
  <si>
    <t>Salesperson3</t>
  </si>
  <si>
    <t>Salesperson4</t>
  </si>
  <si>
    <t>Salesperson5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</si>
</sst>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i/>
      <sz val="11"/>
      <color theme="1"/>
      <name val="Arial"/>
      <family val="2"/>
    </font>
  </fonts>
  <fills count="18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gradientFill degree="180">
        <stop position="0">
          <color theme="0"/>
        </stop>
        <stop position="1">
          <color theme="0" tint="-0.1490218817712943"/>
        </stop>
      </gradient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auto="1"/>
      </patternFill>
    </fill>
  </fills>
  <borders count="3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3" borderId="3" xfId="0" applyFont="1" applyFill="1" applyBorder="1"/>
    <xf numFmtId="0" fontId="4" fillId="3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4" fillId="5" borderId="5" xfId="0" applyFont="1" applyFill="1" applyBorder="1"/>
    <xf numFmtId="0" fontId="4" fillId="5" borderId="6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9" fontId="7" fillId="0" borderId="9" xfId="2" applyFont="1" applyBorder="1" applyAlignment="1">
      <alignment horizontal="center"/>
    </xf>
    <xf numFmtId="0" fontId="4" fillId="8" borderId="9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0" fontId="4" fillId="10" borderId="8" xfId="0" applyFont="1" applyFill="1" applyBorder="1"/>
    <xf numFmtId="9" fontId="7" fillId="0" borderId="11" xfId="2" applyFont="1" applyBorder="1" applyAlignment="1">
      <alignment horizontal="center"/>
    </xf>
    <xf numFmtId="9" fontId="7" fillId="0" borderId="10" xfId="2" applyFont="1" applyBorder="1" applyAlignment="1">
      <alignment horizontal="center"/>
    </xf>
    <xf numFmtId="0" fontId="4" fillId="5" borderId="6" xfId="0" applyFont="1" applyFill="1" applyBorder="1"/>
    <xf numFmtId="164" fontId="4" fillId="0" borderId="0" xfId="0" applyNumberFormat="1" applyFont="1" applyBorder="1"/>
    <xf numFmtId="164" fontId="4" fillId="7" borderId="15" xfId="0" applyNumberFormat="1" applyFont="1" applyFill="1" applyBorder="1"/>
    <xf numFmtId="164" fontId="4" fillId="0" borderId="0" xfId="1" applyFont="1" applyAlignment="1"/>
    <xf numFmtId="164" fontId="4" fillId="0" borderId="0" xfId="0" applyNumberFormat="1" applyFont="1"/>
    <xf numFmtId="164" fontId="4" fillId="13" borderId="15" xfId="0" applyNumberFormat="1" applyFont="1" applyFill="1" applyBorder="1"/>
    <xf numFmtId="164" fontId="9" fillId="15" borderId="19" xfId="1" applyFont="1" applyFill="1" applyBorder="1"/>
    <xf numFmtId="0" fontId="4" fillId="5" borderId="20" xfId="0" applyFont="1" applyFill="1" applyBorder="1"/>
    <xf numFmtId="164" fontId="4" fillId="0" borderId="11" xfId="0" applyNumberFormat="1" applyFont="1" applyBorder="1"/>
    <xf numFmtId="0" fontId="0" fillId="0" borderId="11" xfId="0" applyBorder="1"/>
    <xf numFmtId="164" fontId="9" fillId="15" borderId="16" xfId="1" applyFont="1" applyFill="1" applyBorder="1"/>
    <xf numFmtId="0" fontId="4" fillId="16" borderId="8" xfId="0" applyFont="1" applyFill="1" applyBorder="1"/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/>
    <xf numFmtId="0" fontId="2" fillId="14" borderId="1" xfId="0" applyFont="1" applyFill="1" applyBorder="1"/>
    <xf numFmtId="0" fontId="2" fillId="14" borderId="1" xfId="0" applyFont="1" applyFill="1" applyBorder="1" applyAlignment="1">
      <alignment horizontal="center"/>
    </xf>
    <xf numFmtId="0" fontId="2" fillId="14" borderId="21" xfId="0" applyFont="1" applyFill="1" applyBorder="1" applyAlignment="1">
      <alignment horizontal="center"/>
    </xf>
    <xf numFmtId="0" fontId="0" fillId="0" borderId="22" xfId="0" applyNumberFormat="1" applyBorder="1"/>
    <xf numFmtId="14" fontId="0" fillId="0" borderId="0" xfId="0" applyNumberFormat="1"/>
    <xf numFmtId="0" fontId="0" fillId="0" borderId="0" xfId="0" applyNumberFormat="1" applyBorder="1"/>
    <xf numFmtId="0" fontId="2" fillId="0" borderId="0" xfId="0" applyFont="1"/>
    <xf numFmtId="0" fontId="4" fillId="3" borderId="0" xfId="0" applyFont="1" applyFill="1" applyBorder="1"/>
    <xf numFmtId="0" fontId="4" fillId="5" borderId="23" xfId="0" applyFont="1" applyFill="1" applyBorder="1"/>
    <xf numFmtId="0" fontId="4" fillId="5" borderId="24" xfId="0" applyFont="1" applyFill="1" applyBorder="1"/>
    <xf numFmtId="164" fontId="4" fillId="14" borderId="25" xfId="1" applyFont="1" applyFill="1" applyBorder="1"/>
    <xf numFmtId="164" fontId="4" fillId="14" borderId="26" xfId="1" applyFont="1" applyFill="1" applyBorder="1"/>
    <xf numFmtId="164" fontId="4" fillId="14" borderId="27" xfId="1" applyFont="1" applyFill="1" applyBorder="1"/>
    <xf numFmtId="164" fontId="4" fillId="14" borderId="28" xfId="1" applyFont="1" applyFill="1" applyBorder="1"/>
    <xf numFmtId="0" fontId="4" fillId="5" borderId="29" xfId="0" applyFont="1" applyFill="1" applyBorder="1"/>
    <xf numFmtId="164" fontId="8" fillId="14" borderId="30" xfId="1" applyFont="1" applyFill="1" applyBorder="1"/>
    <xf numFmtId="0" fontId="2" fillId="0" borderId="0" xfId="0" applyFont="1" applyAlignment="1">
      <alignment horizontal="center"/>
    </xf>
    <xf numFmtId="164" fontId="9" fillId="14" borderId="21" xfId="1" applyFont="1" applyFill="1" applyBorder="1"/>
    <xf numFmtId="0" fontId="7" fillId="15" borderId="16" xfId="0" applyFont="1" applyFill="1" applyBorder="1" applyAlignment="1">
      <alignment horizontal="center"/>
    </xf>
    <xf numFmtId="0" fontId="7" fillId="15" borderId="17" xfId="0" applyFont="1" applyFill="1" applyBorder="1" applyAlignment="1">
      <alignment horizontal="center"/>
    </xf>
    <xf numFmtId="0" fontId="7" fillId="15" borderId="18" xfId="0" applyFont="1" applyFill="1" applyBorder="1" applyAlignment="1">
      <alignment horizontal="center"/>
    </xf>
    <xf numFmtId="0" fontId="3" fillId="17" borderId="19" xfId="0" applyFont="1" applyFill="1" applyBorder="1" applyAlignment="1">
      <alignment horizontal="center" vertical="center" wrapText="1"/>
    </xf>
    <xf numFmtId="0" fontId="3" fillId="17" borderId="31" xfId="0" applyFont="1" applyFill="1" applyBorder="1" applyAlignment="1">
      <alignment horizontal="center" vertical="center" wrapText="1"/>
    </xf>
    <xf numFmtId="0" fontId="3" fillId="17" borderId="32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7" fillId="11" borderId="12" xfId="0" applyFont="1" applyFill="1" applyBorder="1" applyAlignment="1">
      <alignment horizontal="center"/>
    </xf>
    <xf numFmtId="0" fontId="7" fillId="11" borderId="13" xfId="0" applyFont="1" applyFill="1" applyBorder="1" applyAlignment="1">
      <alignment horizontal="center"/>
    </xf>
    <xf numFmtId="0" fontId="7" fillId="11" borderId="14" xfId="0" applyFont="1" applyFill="1" applyBorder="1" applyAlignment="1">
      <alignment horizontal="center"/>
    </xf>
    <xf numFmtId="0" fontId="6" fillId="12" borderId="10" xfId="0" applyFont="1" applyFill="1" applyBorder="1" applyAlignment="1">
      <alignment horizontal="center" vertical="center"/>
    </xf>
    <xf numFmtId="0" fontId="6" fillId="12" borderId="8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D6" sqref="D6:D13"/>
    </sheetView>
  </sheetViews>
  <sheetFormatPr baseColWidth="10" defaultColWidth="8.83203125" defaultRowHeight="15" x14ac:dyDescent="0.2"/>
  <cols>
    <col min="1" max="1" width="10.83203125" bestFit="1" customWidth="1"/>
    <col min="3" max="3" width="18.5" bestFit="1" customWidth="1"/>
    <col min="4" max="4" width="19.1640625" bestFit="1" customWidth="1"/>
    <col min="5" max="5" width="19.83203125" bestFit="1" customWidth="1"/>
    <col min="6" max="6" width="17" customWidth="1"/>
    <col min="7" max="7" width="13.1640625" bestFit="1" customWidth="1"/>
    <col min="8" max="8" width="15.1640625" bestFit="1" customWidth="1"/>
    <col min="12" max="12" width="14.83203125" bestFit="1" customWidth="1"/>
    <col min="13" max="13" width="17.5" customWidth="1"/>
    <col min="14" max="14" width="14.83203125" bestFit="1" customWidth="1"/>
    <col min="16" max="16" width="31" bestFit="1" customWidth="1"/>
  </cols>
  <sheetData>
    <row r="1" spans="1:14" ht="16" thickBot="1" x14ac:dyDescent="0.25">
      <c r="A1" s="35" t="s">
        <v>41</v>
      </c>
      <c r="B1">
        <v>4</v>
      </c>
    </row>
    <row r="2" spans="1:14" ht="27.5" customHeight="1" thickBot="1" x14ac:dyDescent="0.25">
      <c r="L2" s="50" t="s">
        <v>61</v>
      </c>
      <c r="M2" s="51"/>
      <c r="N2" s="52"/>
    </row>
    <row r="3" spans="1:14" ht="73" thickBot="1" x14ac:dyDescent="0.25">
      <c r="D3" s="1" t="s">
        <v>0</v>
      </c>
      <c r="E3" s="1" t="s">
        <v>1</v>
      </c>
      <c r="F3" s="1" t="s">
        <v>2</v>
      </c>
      <c r="G3" s="1" t="s">
        <v>4</v>
      </c>
      <c r="H3" s="1" t="s">
        <v>5</v>
      </c>
      <c r="L3" s="1" t="s">
        <v>6</v>
      </c>
      <c r="M3" s="1" t="s">
        <v>7</v>
      </c>
      <c r="N3" s="1" t="s">
        <v>8</v>
      </c>
    </row>
    <row r="4" spans="1:14" ht="16" thickBot="1" x14ac:dyDescent="0.25">
      <c r="D4" s="2"/>
      <c r="E4" s="3"/>
      <c r="F4" s="4"/>
      <c r="G4" s="3"/>
      <c r="H4" s="3"/>
      <c r="L4" s="36"/>
      <c r="M4" s="36"/>
      <c r="N4" s="36"/>
    </row>
    <row r="5" spans="1:14" ht="17" thickBot="1" x14ac:dyDescent="0.25">
      <c r="C5" s="35" t="s">
        <v>47</v>
      </c>
      <c r="D5" s="5" t="s">
        <v>62</v>
      </c>
      <c r="E5" s="6"/>
      <c r="F5" s="7"/>
      <c r="G5" s="15"/>
      <c r="H5" s="22"/>
      <c r="L5" s="37"/>
      <c r="M5" s="43"/>
      <c r="N5" s="38"/>
    </row>
    <row r="6" spans="1:14" x14ac:dyDescent="0.2">
      <c r="D6" s="53"/>
      <c r="E6" s="8" t="s">
        <v>48</v>
      </c>
      <c r="F6" s="9">
        <v>7.0000000000000007E-2</v>
      </c>
      <c r="G6" s="16">
        <f>IF(SUMIFS(Data!$P$6:$P$10,Data!$J$6:$J$10,Summary!D5,Data!$Y$6:$Y$10,1,Data!$X$6:$X$10,1,Data!$R$6:$R$10,Summary!$B$1)=0,0,IF(AND(M6&lt;&gt;0,M7=0,M8=0),SUMIFS(Data!$P$6:$P$10,Data!$J$6:$J$10,Summary!D5,Data!$Y$6:$Y$10,1,Data!$X$6:$X$10,1,Data!$R$6:$R$10,Summary!$B$1),IF(AND(Summary!M6&lt;&gt;0,Summary!M7&lt;&gt;0,OR(Summary!M8=0,Summary!M8&lt;&gt;0)),IF(((499999-Supplmentary!E4))-Supplmentary!E6&gt;0,(499999-Supplmentary!E4)-Supplmentary!E6,0),"ERROR")))</f>
        <v>0</v>
      </c>
      <c r="H6" s="23">
        <f>G6*F6</f>
        <v>0</v>
      </c>
      <c r="K6" s="45" t="s">
        <v>10</v>
      </c>
      <c r="L6" s="39">
        <v>0</v>
      </c>
      <c r="M6" s="46">
        <f>IF(Supplmentary!E2&lt;=499999,Supplmentary!E2,499999)</f>
        <v>200000</v>
      </c>
      <c r="N6" s="40">
        <v>0</v>
      </c>
    </row>
    <row r="7" spans="1:14" x14ac:dyDescent="0.2">
      <c r="D7" s="54"/>
      <c r="E7" s="10" t="s">
        <v>49</v>
      </c>
      <c r="F7" s="9">
        <v>0.1</v>
      </c>
      <c r="G7" s="16">
        <f>IF(AND(M6&lt;&gt;0,M7&lt;&gt;0,M8=0),SUMIFS(Data!$P$6:$P$10,Data!$J$6:$J$10,Summary!D5,Data!$Y$6:$Y$10,1,Data!$X$6:$X$10,1,Data!$R$6:$R$10,Summary!$B$1)-G6,IF(AND(M6&lt;&gt;0,M7&lt;&gt;0,M8&lt;&gt;0),999999-Supplmentary!E4,0))</f>
        <v>0</v>
      </c>
      <c r="H7" s="23">
        <f>G7*F7</f>
        <v>0</v>
      </c>
      <c r="K7" s="45" t="s">
        <v>9</v>
      </c>
      <c r="L7" s="39">
        <v>500000</v>
      </c>
      <c r="M7" s="46">
        <f>IF(AND(Supplmentary!E2&gt;=500000,Supplmentary!E2&lt;=999999),Supplmentary!E2,IF(Supplmentary!E2&gt;=1000000,999999,0))</f>
        <v>0</v>
      </c>
      <c r="N7" s="40">
        <f>IF(499999-M6=0,0,499999-M6)</f>
        <v>299999</v>
      </c>
    </row>
    <row r="8" spans="1:14" ht="16" thickBot="1" x14ac:dyDescent="0.25">
      <c r="D8" s="54"/>
      <c r="E8" s="11" t="s">
        <v>50</v>
      </c>
      <c r="F8" s="9">
        <v>0.12</v>
      </c>
      <c r="G8" s="16">
        <f>IF(M8&lt;&gt;0,Supplmentary!E5-Summary!G7,0)</f>
        <v>0</v>
      </c>
      <c r="H8" s="23">
        <f>G8*F8</f>
        <v>0</v>
      </c>
      <c r="K8" s="45" t="s">
        <v>11</v>
      </c>
      <c r="L8" s="41">
        <v>1000000</v>
      </c>
      <c r="M8" s="44">
        <f>IF(SUMIFS(Data!$P$6:$P$10,Data!$J$6:$J$10,Summary!D5,Data!$AD$6:$AD$10,1,Data!$R$6:$R$10,"&lt;="&amp;Summary!$B$1)&lt;=999999,0,IF(SUMIFS(Data!$P$6:$P$10,Data!$J$6:$J$10,Summary!D5,Data!$AD$6:$AD$10,1,Data!$R$6:$R$10,"&lt;="&amp;Summary!$B$1)&gt;999999,SUMIFS(Data!$P$6:$P$10,Data!$J$6:$J$10,Summary!D5,Data!$AD$6:$AD$10,1,Data!$R$6:$R$10,"&lt;="&amp;Summary!$B$1),0))</f>
        <v>0</v>
      </c>
      <c r="N8" s="42">
        <f>IF(N7=0,999999-M7,999999-M6)</f>
        <v>799999</v>
      </c>
    </row>
    <row r="9" spans="1:14" x14ac:dyDescent="0.2">
      <c r="D9" s="54"/>
      <c r="E9" s="26" t="s">
        <v>51</v>
      </c>
      <c r="F9" s="9">
        <v>0.02</v>
      </c>
      <c r="G9" s="16"/>
      <c r="H9" s="23">
        <f t="shared" ref="H9:H13" si="0">G9*F9</f>
        <v>0</v>
      </c>
    </row>
    <row r="10" spans="1:14" x14ac:dyDescent="0.2">
      <c r="D10" s="54"/>
      <c r="E10" s="26" t="s">
        <v>52</v>
      </c>
      <c r="F10" s="9">
        <v>0.02</v>
      </c>
      <c r="G10" s="16"/>
      <c r="H10" s="23">
        <f t="shared" si="0"/>
        <v>0</v>
      </c>
    </row>
    <row r="11" spans="1:14" x14ac:dyDescent="0.2">
      <c r="D11" s="54"/>
      <c r="E11" s="26" t="s">
        <v>53</v>
      </c>
      <c r="F11" s="9">
        <v>7.0000000000000007E-2</v>
      </c>
      <c r="G11" s="16"/>
      <c r="H11" s="23">
        <f t="shared" si="0"/>
        <v>0</v>
      </c>
    </row>
    <row r="12" spans="1:14" x14ac:dyDescent="0.2">
      <c r="D12" s="54"/>
      <c r="E12" s="26" t="s">
        <v>54</v>
      </c>
      <c r="F12" s="9"/>
      <c r="H12" s="23">
        <f t="shared" si="0"/>
        <v>0</v>
      </c>
    </row>
    <row r="13" spans="1:14" ht="16" thickBot="1" x14ac:dyDescent="0.25">
      <c r="D13" s="54"/>
      <c r="E13" s="26" t="s">
        <v>55</v>
      </c>
      <c r="F13" s="13">
        <v>0.03</v>
      </c>
      <c r="G13" s="16">
        <f>SUMIFS(Data!$P$6:$P$10,Data!$J$6:$J$10,Summary!D5,Data!$Y$6:$Y$10,1,Data!$V$6:$V$10,1,Data!$R$6:$R$10,Summary!$B$1)</f>
        <v>0</v>
      </c>
      <c r="H13" s="23">
        <f t="shared" si="0"/>
        <v>0</v>
      </c>
    </row>
    <row r="14" spans="1:14" ht="17" thickTop="1" thickBot="1" x14ac:dyDescent="0.25">
      <c r="D14" s="55" t="s">
        <v>3</v>
      </c>
      <c r="E14" s="56"/>
      <c r="F14" s="57"/>
      <c r="G14" s="17"/>
      <c r="H14" s="20">
        <f>SUM(H6:H13)</f>
        <v>0</v>
      </c>
    </row>
    <row r="15" spans="1:14" ht="16" thickTop="1" x14ac:dyDescent="0.2">
      <c r="D15" s="58"/>
      <c r="E15" s="8" t="s">
        <v>48</v>
      </c>
      <c r="F15" s="14">
        <v>0.02</v>
      </c>
      <c r="G15" s="18">
        <f>SUMIFS(Data!$P$6:$P$10,Data!$J$6:$J$10,Summary!D5,Data!$X$6:$X$10,1,Data!$Z$6:$Z$10,1)</f>
        <v>0</v>
      </c>
      <c r="H15" s="23">
        <f>G15*F15</f>
        <v>0</v>
      </c>
    </row>
    <row r="16" spans="1:14" x14ac:dyDescent="0.2">
      <c r="D16" s="58"/>
      <c r="E16" s="12" t="s">
        <v>56</v>
      </c>
      <c r="F16" s="9">
        <v>0.02</v>
      </c>
      <c r="G16" s="18"/>
      <c r="H16" s="23"/>
    </row>
    <row r="17" spans="4:8" x14ac:dyDescent="0.2">
      <c r="D17" s="58"/>
      <c r="E17" s="12" t="s">
        <v>57</v>
      </c>
      <c r="F17" s="9">
        <v>0.02</v>
      </c>
      <c r="G17" s="19"/>
      <c r="H17" s="23"/>
    </row>
    <row r="18" spans="4:8" x14ac:dyDescent="0.2">
      <c r="D18" s="58"/>
      <c r="E18" s="12" t="s">
        <v>58</v>
      </c>
      <c r="F18" s="9">
        <v>7.0000000000000007E-2</v>
      </c>
      <c r="G18" s="18"/>
      <c r="H18" s="23"/>
    </row>
    <row r="19" spans="4:8" x14ac:dyDescent="0.2">
      <c r="D19" s="58"/>
      <c r="E19" s="12" t="s">
        <v>59</v>
      </c>
      <c r="F19" s="9"/>
      <c r="G19" s="18"/>
      <c r="H19" s="23"/>
    </row>
    <row r="20" spans="4:8" ht="16" thickBot="1" x14ac:dyDescent="0.25">
      <c r="D20" s="59"/>
      <c r="E20" s="12" t="s">
        <v>60</v>
      </c>
      <c r="F20" s="13">
        <v>0.03</v>
      </c>
      <c r="G20" s="18"/>
      <c r="H20" s="24"/>
    </row>
    <row r="21" spans="4:8" ht="17" thickTop="1" thickBot="1" x14ac:dyDescent="0.25">
      <c r="D21" s="55" t="s">
        <v>3</v>
      </c>
      <c r="E21" s="56"/>
      <c r="F21" s="57"/>
      <c r="G21" s="17"/>
      <c r="H21" s="20">
        <f>SUM(H15:H20)</f>
        <v>0</v>
      </c>
    </row>
    <row r="22" spans="4:8" ht="17" thickTop="1" thickBot="1" x14ac:dyDescent="0.25">
      <c r="D22" s="47" t="s">
        <v>12</v>
      </c>
      <c r="E22" s="48"/>
      <c r="F22" s="49"/>
      <c r="G22" s="21"/>
      <c r="H22" s="25">
        <f>SUM(H14,H21)</f>
        <v>0</v>
      </c>
    </row>
  </sheetData>
  <mergeCells count="6">
    <mergeCell ref="D22:F22"/>
    <mergeCell ref="L2:N2"/>
    <mergeCell ref="D6:D13"/>
    <mergeCell ref="D14:F14"/>
    <mergeCell ref="D15:D20"/>
    <mergeCell ref="D21:F21"/>
  </mergeCells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workbookViewId="0">
      <selection activeCell="B24" sqref="B24"/>
    </sheetView>
  </sheetViews>
  <sheetFormatPr baseColWidth="10" defaultColWidth="8.83203125" defaultRowHeight="15" x14ac:dyDescent="0.2"/>
  <cols>
    <col min="2" max="2" width="45.5" bestFit="1" customWidth="1"/>
  </cols>
  <sheetData>
    <row r="2" spans="2:5" x14ac:dyDescent="0.2">
      <c r="B2" t="s">
        <v>42</v>
      </c>
      <c r="C2">
        <f>SUMIFS(Data!$P$6:$P$10,Data!$J$6:$J$10,Summary!D5,Data!$Y$6:$Y$10,1,Data!$X$6:$X$10,1)+SUMIFS(Data!$P$6:$P$10,Data!$J$6:$J$10,Summary!D5,Data!$Y$6:$Y$10,1,Data!U6:U10,1)+SUMIFS(Data!$P$6:$P$10,Data!$J$6:$J$10,Summary!D5,Data!$Y$6:$Y$10,1,Data!$V$6:$V$10,1)+SUMIFS(Data!$P$6:$P$10,Data!$J$6:$J$10,Summary!D5,Data!$Y$6:$Y$10,1,Data!$AB$6:$AB$10,1)</f>
        <v>200000</v>
      </c>
      <c r="E2">
        <f>SUMIFS(Data!$P$6:$P$10,Data!$J$6:$J$10,Summary!D5,Data!$Y$6:$Y$10,1,Data!$X$6:$X$10,1)+SUMIFS(Data!$P$6:$P$10,Data!$J$6:$J$10,Summary!D5,Data!$Y$6:$Y$10,1,Data!U6:U10,1)+SUMIFS(Data!$P$6:$P$10,Data!$J$6:$J$10,Summary!D5,Data!$Y$6:$Y$10,1,Data!$V$6:$V$10,1)+SUMIFS(Data!$P$6:$P$10,Data!$J$6:$J$10,Summary!D5,Data!$Y$6:$Y$10,1,Data!$AB$6:$AB$10,1)</f>
        <v>200000</v>
      </c>
    </row>
    <row r="3" spans="2:5" x14ac:dyDescent="0.2">
      <c r="B3" t="s">
        <v>43</v>
      </c>
      <c r="C3">
        <f>SUMIFS(Data!$P$6:$P$10,Data!$J$6:$J$10,Summary!D5,Data!$Y$6:$Y$10,1,Data!$X$6:$X$10,1,Data!$R$6:$R$10,Summary!$B$1)+SUMIFS(Data!$P$6:$P$10,Data!$J$6:$J$10,Summary!D5,Data!$Y$6:$Y$10,1,Data!U6:U10,1,Data!$R$6:$R$10,Summary!$B$1)+SUMIFS(Data!$P$6:$P$10,Data!$J$6:$J$10,Summary!D5,Data!$Y$6:$Y$10,1,Data!$V$6:$V$10,1,Data!$R$6:$R$10,Summary!$B$1)+SUMIFS(Data!$P$6:$P$10,Data!$J$6:$J$10,Summary!D5,Data!$Y$6:$Y$10,1,Data!$AB$6:$AB$10,1,Data!$R$6:$R$10,Summary!$B$1)</f>
        <v>0</v>
      </c>
      <c r="E3">
        <f>SUMIFS(Data!$P$6:$P$10,Data!$J$6:$J$10,Summary!D5,Data!$Y$6:$Y$10,1,Data!$X$6:$X$10,1,Data!$R$6:$R$10,Summary!$B$1)+SUMIFS(Data!$P$6:$P$10,Data!$J$6:$J$10,Summary!D5,Data!$Y$6:$Y$10,1,Data!U6:U10,1,Data!$R$6:$R$10,Summary!$B$1)+SUMIFS(Data!$P$6:$P$10,Data!$J$6:$J$10,Summary!D5,Data!$Y$6:$Y$10,1,Data!$V$6:$V$10,1,Data!$R$6:$R$10,Summary!$B$1)+SUMIFS(Data!$P$6:$P$10,Data!$J$6:$J$10,Summary!D5,Data!$Y$6:$Y$10,1,Data!$AB$6:$AB$10,1,Data!$R$6:$R$10,Summary!$B$1)</f>
        <v>0</v>
      </c>
    </row>
    <row r="4" spans="2:5" x14ac:dyDescent="0.2">
      <c r="B4" t="s">
        <v>44</v>
      </c>
      <c r="C4">
        <f>SUMIFS(Data!$P$6:$P$10,Data!$J$6:$J$10,Summary!D5,Data!$Y$6:$Y$10,1,Data!$X$6:$X$10,1,Data!$R$6:$R$10,Summary!$B$1-1)+SUMIFS(Data!$P$6:$P$10,Data!$J$6:$J$10,Summary!D5,Data!$Y$6:$Y$10,1,Data!U6:U10,1,Data!$R$6:$R$10,Summary!$B$1-1)+SUMIFS(Data!$P$6:$P$10,Data!$J$6:$J$10,Summary!D5,Data!$Y$6:$Y$10,1,Data!$V$6:$V$10,1,Data!$R$6:$R$10,Summary!$B$1-1)+SUMIFS(Data!$P$6:$P$10,Data!$J$6:$J$10,Summary!D5,Data!$Y$6:$Y$10,1,Data!$AB$6:$AB$10,1,Data!$R$6:$R$10,Summary!$B$1-1)</f>
        <v>200000</v>
      </c>
      <c r="E4">
        <f>E2-E3</f>
        <v>200000</v>
      </c>
    </row>
    <row r="5" spans="2:5" x14ac:dyDescent="0.2">
      <c r="B5" t="s">
        <v>45</v>
      </c>
      <c r="E5">
        <f>SUMIFS(Data!$P$6:$P$10,Data!$J$6:$J$10,Summary!D5,Data!$Y$6:$Y$10,1,Data!$X$6:$X$10,1,Data!$R$6:$R$10,Summary!$B$1)</f>
        <v>0</v>
      </c>
    </row>
    <row r="6" spans="2:5" x14ac:dyDescent="0.2">
      <c r="B6" t="s">
        <v>46</v>
      </c>
      <c r="E6">
        <f>SUMIFS(Data!$P$6:$P$10,Data!$J$6:$J$10,Summary!D5,Data!$Y$6:$Y$10,1,Data!$R$6:$R$10,Summary!$B$1,Data!$U$6:$U$10,1)+SUMIFS(Data!$P$6:$P$10,Data!$J$6:$J$10,Summary!D5,Data!$Y$6:$Y$10,1,Data!$R$6:$R$10,Summary!$B$1,Data!$V$6:$V$10,1)+SUMIFS(Data!$P$6:$P$10,Data!$J$6:$J$10,Summary!D5,Data!$Y$6:$Y$10,1,Data!$R$6:$R$10,Summary!$B$1,Data!$AB$6:$AB$10,1)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AH12"/>
  <sheetViews>
    <sheetView zoomScale="80" zoomScaleNormal="80" zoomScalePageLayoutView="80" workbookViewId="0">
      <selection activeCell="J7" sqref="J7"/>
    </sheetView>
  </sheetViews>
  <sheetFormatPr baseColWidth="10" defaultColWidth="8.83203125" defaultRowHeight="15" x14ac:dyDescent="0.2"/>
  <cols>
    <col min="6" max="6" width="13.5" bestFit="1" customWidth="1"/>
    <col min="7" max="7" width="7.83203125" bestFit="1" customWidth="1"/>
    <col min="8" max="8" width="10.6640625" bestFit="1" customWidth="1"/>
    <col min="9" max="9" width="15" bestFit="1" customWidth="1"/>
    <col min="10" max="10" width="10.5" bestFit="1" customWidth="1"/>
    <col min="11" max="11" width="11.83203125" bestFit="1" customWidth="1"/>
    <col min="12" max="12" width="9.5" bestFit="1" customWidth="1"/>
    <col min="13" max="13" width="14.5" bestFit="1" customWidth="1"/>
    <col min="14" max="14" width="10" bestFit="1" customWidth="1"/>
    <col min="15" max="15" width="11" bestFit="1" customWidth="1"/>
    <col min="16" max="16" width="14.5" bestFit="1" customWidth="1"/>
    <col min="17" max="17" width="21.83203125" bestFit="1" customWidth="1"/>
    <col min="18" max="18" width="14.6640625" bestFit="1" customWidth="1"/>
    <col min="19" max="19" width="18.5" bestFit="1" customWidth="1"/>
    <col min="20" max="20" width="15.1640625" bestFit="1" customWidth="1"/>
    <col min="21" max="21" width="14.83203125" bestFit="1" customWidth="1"/>
    <col min="22" max="22" width="9.1640625" bestFit="1" customWidth="1"/>
    <col min="23" max="23" width="6.5" bestFit="1" customWidth="1"/>
    <col min="24" max="24" width="9.33203125" bestFit="1" customWidth="1"/>
    <col min="25" max="25" width="12.83203125" bestFit="1" customWidth="1"/>
    <col min="26" max="26" width="9.83203125" bestFit="1" customWidth="1"/>
    <col min="27" max="27" width="5" bestFit="1" customWidth="1"/>
    <col min="28" max="28" width="4.83203125" bestFit="1" customWidth="1"/>
    <col min="29" max="29" width="5.83203125" bestFit="1" customWidth="1"/>
    <col min="30" max="30" width="18.1640625" bestFit="1" customWidth="1"/>
    <col min="31" max="31" width="7.83203125" bestFit="1" customWidth="1"/>
    <col min="32" max="32" width="13.83203125" bestFit="1" customWidth="1"/>
    <col min="33" max="33" width="11.6640625" bestFit="1" customWidth="1"/>
    <col min="34" max="34" width="10.83203125" bestFit="1" customWidth="1"/>
  </cols>
  <sheetData>
    <row r="4" spans="6:34" ht="16" thickBot="1" x14ac:dyDescent="0.25"/>
    <row r="5" spans="6:34" ht="16" thickBot="1" x14ac:dyDescent="0.25">
      <c r="F5" s="27" t="s">
        <v>13</v>
      </c>
      <c r="G5" s="27" t="s">
        <v>14</v>
      </c>
      <c r="H5" s="27" t="s">
        <v>15</v>
      </c>
      <c r="I5" s="27" t="s">
        <v>16</v>
      </c>
      <c r="J5" s="27" t="s">
        <v>0</v>
      </c>
      <c r="K5" s="27" t="s">
        <v>17</v>
      </c>
      <c r="L5" s="27" t="s">
        <v>18</v>
      </c>
      <c r="M5" s="27" t="s">
        <v>19</v>
      </c>
      <c r="N5" s="27" t="s">
        <v>20</v>
      </c>
      <c r="O5" s="28" t="s">
        <v>21</v>
      </c>
      <c r="P5" s="28" t="s">
        <v>22</v>
      </c>
      <c r="Q5" s="28" t="s">
        <v>23</v>
      </c>
      <c r="R5" s="29" t="s">
        <v>24</v>
      </c>
      <c r="S5" s="29" t="s">
        <v>25</v>
      </c>
      <c r="T5" s="29" t="s">
        <v>26</v>
      </c>
      <c r="U5" s="30" t="s">
        <v>27</v>
      </c>
      <c r="V5" s="30" t="s">
        <v>28</v>
      </c>
      <c r="W5" s="30" t="s">
        <v>29</v>
      </c>
      <c r="X5" s="30" t="s">
        <v>30</v>
      </c>
      <c r="Y5" s="30" t="s">
        <v>31</v>
      </c>
      <c r="Z5" s="30" t="s">
        <v>32</v>
      </c>
      <c r="AA5" s="30" t="s">
        <v>33</v>
      </c>
      <c r="AB5" s="30" t="s">
        <v>34</v>
      </c>
      <c r="AC5" s="30" t="s">
        <v>35</v>
      </c>
      <c r="AD5" s="30" t="s">
        <v>40</v>
      </c>
      <c r="AE5" s="30" t="s">
        <v>36</v>
      </c>
      <c r="AF5" s="30" t="s">
        <v>37</v>
      </c>
      <c r="AG5" s="31" t="s">
        <v>38</v>
      </c>
      <c r="AH5" s="31" t="s">
        <v>39</v>
      </c>
    </row>
    <row r="6" spans="6:34" ht="16" thickBot="1" x14ac:dyDescent="0.25">
      <c r="F6">
        <v>40100</v>
      </c>
      <c r="J6" t="s">
        <v>63</v>
      </c>
      <c r="O6" s="33">
        <v>42430</v>
      </c>
      <c r="P6">
        <v>200000</v>
      </c>
      <c r="Q6" s="33">
        <v>42370</v>
      </c>
      <c r="R6" s="32">
        <f>MONTH(O6)</f>
        <v>3</v>
      </c>
      <c r="S6" s="32">
        <f>MONTH(Q6)</f>
        <v>1</v>
      </c>
      <c r="T6" s="32">
        <f>(YEAR(O6)-YEAR(Q6))*12+MONTH(O6)-MONTH(Q6)</f>
        <v>2</v>
      </c>
      <c r="U6" s="32">
        <f>IF(OR(ISNUMBER(SEARCH("*Freight*",N6)),ISNUMBER(SEARCH("*Supplies*",N6)),ISNUMBER(SEARCH("*Freigh*",N6))),1,0)</f>
        <v>0</v>
      </c>
      <c r="V6" s="32">
        <f>IF((ISNUMBER(SEARCH("*AM*",M6))),1,0)</f>
        <v>0</v>
      </c>
      <c r="W6" s="32">
        <f>IF(OR(ISNUMBER(SEARCH("*Other*",N6))),1,0)</f>
        <v>0</v>
      </c>
      <c r="X6" s="32">
        <f>IF(AND(F6=40100,U6=0,V6=0,W6=0,AB6=0),1,0)</f>
        <v>1</v>
      </c>
      <c r="Y6" s="32">
        <f>IF(T6&lt;=6,1,0)</f>
        <v>1</v>
      </c>
      <c r="Z6" s="32">
        <f>IF(OR(T6&gt;6,R6=1),1,0)</f>
        <v>0</v>
      </c>
      <c r="AA6" s="32">
        <f>IF(OR(ISNUMBER(SEARCH("*VDD*",N6))),1,0)</f>
        <v>0</v>
      </c>
      <c r="AB6" s="32">
        <f>IF(OR(ISNUMBER(SEARCH("*BOX*",L6))),1,0)</f>
        <v>0</v>
      </c>
      <c r="AC6" s="32">
        <f>IF(AND($AG$6=145,$AH$6=108),1,0)</f>
        <v>0</v>
      </c>
      <c r="AD6" s="34">
        <f>IF(AND(Y6=1,OR(X6=1,V6,U6=1,AB6=1,AA6=1),R6&lt;&gt;1),1,0)</f>
        <v>1</v>
      </c>
    </row>
    <row r="7" spans="6:34" ht="17" thickTop="1" thickBot="1" x14ac:dyDescent="0.25">
      <c r="F7">
        <v>40100</v>
      </c>
      <c r="J7" t="s">
        <v>64</v>
      </c>
      <c r="O7" s="33">
        <v>42401</v>
      </c>
      <c r="P7">
        <v>0</v>
      </c>
      <c r="Q7" s="33">
        <v>42370</v>
      </c>
      <c r="R7" s="32">
        <f>MONTH(O7)</f>
        <v>2</v>
      </c>
      <c r="S7" s="32">
        <f>MONTH(Q7)</f>
        <v>1</v>
      </c>
      <c r="T7" s="32">
        <f>(YEAR(O7)-YEAR(Q7))*12+MONTH(O7)-MONTH(Q7)</f>
        <v>1</v>
      </c>
      <c r="U7" s="32">
        <f>IF(OR(ISNUMBER(SEARCH("*Freight*",N7)),ISNUMBER(SEARCH("*Supplies*",N7)),ISNUMBER(SEARCH("*Freigh*",N7))),1,0)</f>
        <v>0</v>
      </c>
      <c r="V7" s="32">
        <f>IF((ISNUMBER(SEARCH("*AM*",M7))),1,0)</f>
        <v>0</v>
      </c>
      <c r="W7" s="32">
        <f>IF(OR(ISNUMBER(SEARCH("*Other*",N7))),1,0)</f>
        <v>0</v>
      </c>
      <c r="X7" s="32">
        <f>IF(AND(F7=40100,U7=0,V7=0,W7=0,AB7=0),1,0)</f>
        <v>1</v>
      </c>
      <c r="Y7" s="32">
        <f t="shared" ref="Y7:Y10" si="0">IF(T7&lt;=6,1,0)</f>
        <v>1</v>
      </c>
      <c r="Z7" s="32">
        <f t="shared" ref="Z7:Z10" si="1">IF(OR(T7&gt;6,R7=1),1,0)</f>
        <v>0</v>
      </c>
      <c r="AA7" s="32">
        <f>IF(OR(ISNUMBER(SEARCH("*VDD*",N7))),1,0)</f>
        <v>0</v>
      </c>
      <c r="AB7" s="32">
        <f>IF(OR(ISNUMBER(SEARCH("*BOX*",L7))),1,0)</f>
        <v>0</v>
      </c>
      <c r="AC7" s="32">
        <f>IF(AND($AG$6=145,$AH$6=108),1,0)</f>
        <v>0</v>
      </c>
      <c r="AD7" s="34">
        <f t="shared" ref="AD7:AD10" si="2">IF(AND(Y7=1,OR(X7=1,V7,U7=1,AB7=1,AA7=1),R7&lt;&gt;1),1,0)</f>
        <v>1</v>
      </c>
    </row>
    <row r="8" spans="6:34" ht="17" thickTop="1" thickBot="1" x14ac:dyDescent="0.25">
      <c r="F8">
        <v>40100</v>
      </c>
      <c r="J8" t="s">
        <v>65</v>
      </c>
      <c r="O8" s="33">
        <v>42401</v>
      </c>
      <c r="P8">
        <v>200000</v>
      </c>
      <c r="Q8" s="33">
        <v>42370</v>
      </c>
      <c r="R8" s="32">
        <f t="shared" ref="R8:R10" si="3">MONTH(O8)</f>
        <v>2</v>
      </c>
      <c r="S8" s="32">
        <f t="shared" ref="S8:S10" si="4">MONTH(Q8)</f>
        <v>1</v>
      </c>
      <c r="T8" s="32">
        <f t="shared" ref="T8:T10" si="5">(YEAR(O8)-YEAR(Q8))*12+MONTH(O8)-MONTH(Q8)</f>
        <v>1</v>
      </c>
      <c r="U8" s="32">
        <f t="shared" ref="U8:U10" si="6">IF(OR(ISNUMBER(SEARCH("*Freight*",N8)),ISNUMBER(SEARCH("*Supplies*",N8)),ISNUMBER(SEARCH("*Freigh*",N8))),1,0)</f>
        <v>0</v>
      </c>
      <c r="V8" s="32">
        <f t="shared" ref="V8:V9" si="7">IF((ISNUMBER(SEARCH("*AM*",M8))),1,0)</f>
        <v>0</v>
      </c>
      <c r="W8" s="32">
        <f t="shared" ref="W8:W10" si="8">IF(OR(ISNUMBER(SEARCH("*Other*",N8))),1,0)</f>
        <v>0</v>
      </c>
      <c r="X8" s="32">
        <f t="shared" ref="X8:X9" si="9">IF(AND(F8=40100,U8=0,V8=0,W8=0,AB8=0),1,0)</f>
        <v>1</v>
      </c>
      <c r="Y8" s="32">
        <f t="shared" si="0"/>
        <v>1</v>
      </c>
      <c r="Z8" s="32">
        <f t="shared" si="1"/>
        <v>0</v>
      </c>
      <c r="AA8" s="32">
        <f t="shared" ref="AA8:AA10" si="10">IF(OR(ISNUMBER(SEARCH("*VDD*",N8))),1,0)</f>
        <v>0</v>
      </c>
      <c r="AB8" s="32">
        <f t="shared" ref="AB8:AB10" si="11">IF(OR(ISNUMBER(SEARCH("*BOX*",L8))),1,0)</f>
        <v>0</v>
      </c>
      <c r="AC8" s="32">
        <f t="shared" ref="AC8:AC10" si="12">IF(AND($AG$6=145,$AH$6=108),1,0)</f>
        <v>0</v>
      </c>
      <c r="AD8" s="34">
        <f t="shared" si="2"/>
        <v>1</v>
      </c>
    </row>
    <row r="9" spans="6:34" ht="17" thickTop="1" thickBot="1" x14ac:dyDescent="0.25">
      <c r="F9">
        <v>40100</v>
      </c>
      <c r="J9" t="s">
        <v>66</v>
      </c>
      <c r="O9" s="33">
        <v>42461</v>
      </c>
      <c r="P9">
        <v>50</v>
      </c>
      <c r="Q9" s="33">
        <v>42370</v>
      </c>
      <c r="R9" s="32">
        <f t="shared" si="3"/>
        <v>4</v>
      </c>
      <c r="S9" s="32">
        <f t="shared" si="4"/>
        <v>1</v>
      </c>
      <c r="T9" s="32">
        <f t="shared" si="5"/>
        <v>3</v>
      </c>
      <c r="U9" s="32">
        <f t="shared" si="6"/>
        <v>0</v>
      </c>
      <c r="V9" s="32">
        <f t="shared" si="7"/>
        <v>0</v>
      </c>
      <c r="W9" s="32">
        <f t="shared" si="8"/>
        <v>0</v>
      </c>
      <c r="X9" s="32">
        <f t="shared" si="9"/>
        <v>1</v>
      </c>
      <c r="Y9" s="32">
        <f t="shared" si="0"/>
        <v>1</v>
      </c>
      <c r="Z9" s="32">
        <f t="shared" si="1"/>
        <v>0</v>
      </c>
      <c r="AA9" s="32">
        <f t="shared" si="10"/>
        <v>0</v>
      </c>
      <c r="AB9" s="32">
        <f t="shared" si="11"/>
        <v>0</v>
      </c>
      <c r="AC9" s="32">
        <f t="shared" si="12"/>
        <v>0</v>
      </c>
      <c r="AD9" s="34">
        <f t="shared" si="2"/>
        <v>1</v>
      </c>
    </row>
    <row r="10" spans="6:34" ht="17" thickTop="1" thickBot="1" x14ac:dyDescent="0.25">
      <c r="F10">
        <v>40100</v>
      </c>
      <c r="J10" t="s">
        <v>67</v>
      </c>
      <c r="O10" s="33">
        <v>42462</v>
      </c>
      <c r="P10">
        <v>100000</v>
      </c>
      <c r="Q10" s="33">
        <v>42371</v>
      </c>
      <c r="R10" s="32">
        <f t="shared" si="3"/>
        <v>4</v>
      </c>
      <c r="S10" s="32">
        <f t="shared" si="4"/>
        <v>1</v>
      </c>
      <c r="T10" s="32">
        <f t="shared" si="5"/>
        <v>3</v>
      </c>
      <c r="U10" s="32">
        <f t="shared" si="6"/>
        <v>0</v>
      </c>
      <c r="V10" s="32">
        <v>1</v>
      </c>
      <c r="W10" s="32">
        <f t="shared" si="8"/>
        <v>0</v>
      </c>
      <c r="X10" s="32">
        <v>0</v>
      </c>
      <c r="Y10" s="32">
        <f t="shared" si="0"/>
        <v>1</v>
      </c>
      <c r="Z10" s="32">
        <f t="shared" si="1"/>
        <v>0</v>
      </c>
      <c r="AA10" s="32">
        <f t="shared" si="10"/>
        <v>0</v>
      </c>
      <c r="AB10" s="32">
        <f t="shared" si="11"/>
        <v>0</v>
      </c>
      <c r="AC10" s="32">
        <f t="shared" si="12"/>
        <v>0</v>
      </c>
      <c r="AD10" s="34">
        <f t="shared" si="2"/>
        <v>1</v>
      </c>
    </row>
    <row r="11" spans="6:34" ht="16" thickTop="1" x14ac:dyDescent="0.2">
      <c r="O11" s="33"/>
    </row>
    <row r="12" spans="6:34" x14ac:dyDescent="0.2">
      <c r="O12" s="33"/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Supplmentary</vt:lpstr>
      <vt:lpstr>Data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Phetsavong</dc:creator>
  <cp:lastModifiedBy>Microsoft Office User</cp:lastModifiedBy>
  <cp:lastPrinted>2016-02-10T18:38:43Z</cp:lastPrinted>
  <dcterms:created xsi:type="dcterms:W3CDTF">2016-02-10T16:41:54Z</dcterms:created>
  <dcterms:modified xsi:type="dcterms:W3CDTF">2016-03-07T04:28:10Z</dcterms:modified>
</cp:coreProperties>
</file>