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Dia 2024-10-13" sheetId="1" state="visible" r:id="rId1"/>
    <sheet name="Dia 2024-10-14" sheetId="2" state="visible" r:id="rId2"/>
  </sheets>
  <definedNames/>
  <calcPr calcId="124519" fullCalcOnLoad="1"/>
</workbook>
</file>

<file path=xl/styles.xml><?xml version="1.0" encoding="utf-8"?>
<styleSheet xmlns="http://schemas.openxmlformats.org/spreadsheetml/2006/main">
  <numFmts count="1">
    <numFmt numFmtId="164" formatCode="0.0"/>
  </numFmts>
  <fonts count="3">
    <font>
      <name val="Calibri"/>
      <family val="2"/>
      <color theme="1"/>
      <sz val="11"/>
      <scheme val="minor"/>
    </font>
    <font>
      <sz val="14"/>
    </font>
    <font>
      <b val="1"/>
    </font>
  </fonts>
  <fills count="3">
    <fill>
      <patternFill/>
    </fill>
    <fill>
      <patternFill patternType="gray125"/>
    </fill>
    <fill>
      <patternFill patternType="solid">
        <fgColor rgb="00dbf3d3"/>
      </patternFill>
    </fill>
  </fills>
  <borders count="13">
    <border>
      <left/>
      <right/>
      <top/>
      <bottom/>
      <diagonal/>
    </border>
    <border>
      <left style="thin"/>
      <right style="thin"/>
      <top style="thin"/>
      <bottom style="thin"/>
    </border>
    <border>
      <left style="thin"/>
      <right/>
      <top/>
      <bottom/>
      <diagonal/>
    </border>
    <border>
      <left style="thin"/>
      <right style="thin"/>
      <top/>
      <bottom/>
      <diagonal/>
    </border>
    <border>
      <left style="thin"/>
      <right style="thin"/>
      <top/>
      <bottom style="thin"/>
      <diagonal/>
    </border>
    <border>
      <left/>
      <right/>
      <top style="thin"/>
      <bottom/>
      <diagonal/>
    </border>
    <border>
      <left/>
      <right style="thin"/>
      <top style="thin"/>
      <bottom/>
      <diagonal/>
    </border>
    <border>
      <left/>
      <right/>
      <top style="thin"/>
      <bottom style="thin"/>
      <diagonal/>
    </border>
    <border>
      <left/>
      <right style="thin"/>
      <top style="thin"/>
      <bottom style="thin"/>
      <diagonal/>
    </border>
    <border>
      <left/>
      <right style="thin"/>
      <top/>
      <bottom/>
      <diagonal/>
    </border>
    <border>
      <left style="thin"/>
      <right/>
      <top/>
      <bottom style="thin"/>
      <diagonal/>
    </border>
    <border>
      <left/>
      <right/>
      <top/>
      <bottom style="thin"/>
      <diagonal/>
    </border>
    <border>
      <left/>
      <right style="thin"/>
      <top/>
      <bottom style="thin"/>
      <diagonal/>
    </border>
  </borders>
  <cellStyleXfs count="1">
    <xf numFmtId="0" fontId="0" fillId="0" borderId="0"/>
  </cellStyleXfs>
  <cellXfs count="26">
    <xf numFmtId="0" fontId="0" fillId="0" borderId="0" pivotButton="0" quotePrefix="0" xfId="0"/>
    <xf numFmtId="0" fontId="1" fillId="0" borderId="1" pivotButton="0" quotePrefix="0" xfId="0"/>
    <xf numFmtId="0" fontId="0" fillId="0" borderId="1" pivotButton="0" quotePrefix="0" xfId="0"/>
    <xf numFmtId="0" fontId="1" fillId="2" borderId="1" pivotButton="0" quotePrefix="0" xfId="0"/>
    <xf numFmtId="0" fontId="2" fillId="2" borderId="1" applyAlignment="1" pivotButton="0" quotePrefix="0" xfId="0">
      <alignment horizontal="center" vertical="center" wrapText="1"/>
    </xf>
    <xf numFmtId="0" fontId="0" fillId="0" borderId="7" pivotButton="0" quotePrefix="0" xfId="0"/>
    <xf numFmtId="0" fontId="0" fillId="0" borderId="8" pivotButton="0" quotePrefix="0" xfId="0"/>
    <xf numFmtId="0" fontId="0" fillId="0" borderId="1" applyAlignment="1" pivotButton="0" quotePrefix="0" xfId="0">
      <alignment horizontal="center" vertical="center" wrapText="1"/>
    </xf>
    <xf numFmtId="0" fontId="0" fillId="0" borderId="1" applyAlignment="1" pivotButton="0" quotePrefix="0" xfId="0">
      <alignment horizontal="left" vertical="top"/>
    </xf>
    <xf numFmtId="0" fontId="0" fillId="0" borderId="1" applyAlignment="1" pivotButton="0" quotePrefix="0" xfId="0">
      <alignment vertical="top"/>
    </xf>
    <xf numFmtId="164" fontId="0" fillId="0" borderId="1" applyAlignment="1" pivotButton="0" quotePrefix="0" xfId="0">
      <alignment horizontal="left" vertical="top"/>
    </xf>
    <xf numFmtId="2" fontId="0" fillId="0" borderId="1" applyAlignment="1" pivotButton="0" quotePrefix="0" xfId="0">
      <alignment horizontal="left" vertical="top"/>
    </xf>
    <xf numFmtId="0" fontId="0" fillId="0" borderId="1" applyAlignment="1" pivotButton="0" quotePrefix="0" xfId="0">
      <alignment vertical="center" wrapText="1"/>
    </xf>
    <xf numFmtId="0" fontId="0" fillId="0" borderId="3" pivotButton="0" quotePrefix="0" xfId="0"/>
    <xf numFmtId="0" fontId="2" fillId="0" borderId="1" applyAlignment="1" pivotButton="0" quotePrefix="0" xfId="0">
      <alignment horizontal="left" vertical="top"/>
    </xf>
    <xf numFmtId="0" fontId="0" fillId="0" borderId="8" applyAlignment="1" pivotButton="0" quotePrefix="0" xfId="0">
      <alignment vertical="top"/>
    </xf>
    <xf numFmtId="0" fontId="0" fillId="0" borderId="5" applyAlignment="1" pivotButton="0" quotePrefix="0" xfId="0">
      <alignment vertical="top"/>
    </xf>
    <xf numFmtId="0" fontId="0" fillId="0" borderId="6" applyAlignment="1" pivotButton="0" quotePrefix="0" xfId="0">
      <alignment vertical="center" wrapText="1"/>
    </xf>
    <xf numFmtId="0" fontId="0" fillId="0" borderId="4" pivotButton="0" quotePrefix="0" xfId="0"/>
    <xf numFmtId="164" fontId="0" fillId="0" borderId="7" applyAlignment="1" pivotButton="0" quotePrefix="0" xfId="0">
      <alignment horizontal="left" vertical="top"/>
    </xf>
    <xf numFmtId="164" fontId="0" fillId="0" borderId="8" applyAlignment="1" pivotButton="0" quotePrefix="0" xfId="0">
      <alignment horizontal="left" vertical="top"/>
    </xf>
    <xf numFmtId="2" fontId="0" fillId="0" borderId="7" applyAlignment="1" pivotButton="0" quotePrefix="0" xfId="0">
      <alignment horizontal="left" vertical="top"/>
    </xf>
    <xf numFmtId="2" fontId="0" fillId="0" borderId="8" applyAlignment="1" pivotButton="0" quotePrefix="0" xfId="0">
      <alignment horizontal="left" vertical="top"/>
    </xf>
    <xf numFmtId="0" fontId="0" fillId="0" borderId="10" applyAlignment="1" pivotButton="0" quotePrefix="0" xfId="0">
      <alignment vertical="top"/>
    </xf>
    <xf numFmtId="0" fontId="0" fillId="0" borderId="11" applyAlignment="1" pivotButton="0" quotePrefix="0" xfId="0">
      <alignment vertical="top"/>
    </xf>
    <xf numFmtId="0" fontId="0" fillId="0" borderId="12" applyAlignment="1" pivotButton="0" quotePrefix="0" xfId="0">
      <alignment vertical="center"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2:N159"/>
  <sheetViews>
    <sheetView workbookViewId="0">
      <selection activeCell="A1" sqref="A1"/>
    </sheetView>
  </sheetViews>
  <sheetFormatPr baseColWidth="8" defaultRowHeight="15"/>
  <cols>
    <col width="20" customWidth="1" min="3" max="3"/>
    <col width="16" customWidth="1" min="4" max="4"/>
    <col width="25" customWidth="1" min="5" max="5"/>
    <col width="15" customWidth="1" min="6" max="6"/>
    <col width="15" customWidth="1" min="7" max="7"/>
    <col width="15" customWidth="1" min="8" max="8"/>
    <col width="15" customWidth="1" min="9" max="9"/>
    <col width="15" customWidth="1" min="10" max="10"/>
    <col width="15" customWidth="1" min="11" max="11"/>
    <col width="15" customWidth="1" min="12" max="12"/>
    <col width="15" customWidth="1" min="13" max="13"/>
    <col width="180" customWidth="1" min="14" max="14"/>
  </cols>
  <sheetData>
    <row r="2">
      <c r="C2" s="1" t="inlineStr">
        <is>
          <t>FORMATO DE DESCONEXIONES DIARIAS</t>
        </is>
      </c>
      <c r="E2" s="2" t="n"/>
    </row>
    <row r="3">
      <c r="C3" s="1" t="inlineStr">
        <is>
          <t>EMPRESA:</t>
        </is>
      </c>
      <c r="D3" s="3" t="inlineStr">
        <is>
          <t>CENTROSUR</t>
        </is>
      </c>
      <c r="E3" s="2" t="n"/>
    </row>
    <row r="4">
      <c r="C4" s="1" t="inlineStr">
        <is>
          <t>FECHA:</t>
        </is>
      </c>
      <c r="D4" s="3" t="inlineStr">
        <is>
          <t>2024-10-13</t>
        </is>
      </c>
      <c r="E4" s="2" t="n"/>
    </row>
    <row r="6">
      <c r="C6" s="4" t="inlineStr">
        <is>
          <t>BLOQUE 1</t>
        </is>
      </c>
      <c r="D6" s="4" t="inlineStr">
        <is>
          <t>SUBESTACIÓN</t>
        </is>
      </c>
      <c r="E6" s="4" t="inlineStr">
        <is>
          <t>PRIMARIOS A DESCONECTAR</t>
        </is>
      </c>
      <c r="F6" s="4" t="inlineStr">
        <is>
          <t># CLIENTES</t>
        </is>
      </c>
      <c r="G6" s="5" t="n"/>
      <c r="H6" s="6" t="n"/>
      <c r="I6" s="4" t="inlineStr">
        <is>
          <t>DEMANDA PROMEDIO DE LOS PERIODOS (MWh)</t>
        </is>
      </c>
      <c r="J6" s="5" t="n"/>
      <c r="K6" s="6" t="n"/>
      <c r="L6" s="4" t="inlineStr">
        <is>
          <t>PROVINCIA</t>
        </is>
      </c>
      <c r="M6" s="4" t="inlineStr">
        <is>
          <t>CANTON</t>
        </is>
      </c>
      <c r="N6" s="4" t="inlineStr">
        <is>
          <t>SECTORES</t>
        </is>
      </c>
    </row>
    <row r="7">
      <c r="C7" s="2" t="n"/>
      <c r="D7" s="2" t="n"/>
      <c r="E7" s="2" t="n"/>
      <c r="F7" s="4" t="inlineStr">
        <is>
          <t>RESIDENCIAL</t>
        </is>
      </c>
      <c r="G7" s="4" t="inlineStr">
        <is>
          <t>INDUSTRIAL</t>
        </is>
      </c>
      <c r="H7" s="4" t="inlineStr">
        <is>
          <t>COMERCIAL</t>
        </is>
      </c>
      <c r="I7" s="4" t="inlineStr">
        <is>
          <t>RESIDENCIAL</t>
        </is>
      </c>
      <c r="J7" s="4" t="inlineStr">
        <is>
          <t>INDUSTRIAL</t>
        </is>
      </c>
      <c r="K7" s="4" t="inlineStr">
        <is>
          <t>COMERCIAL</t>
        </is>
      </c>
      <c r="L7" s="2" t="n"/>
      <c r="M7" s="2" t="n"/>
      <c r="N7" s="2" t="n"/>
    </row>
    <row r="8">
      <c r="C8" s="7" t="inlineStr">
        <is>
          <t>00:00:00-03:00:00 09:00:00-15:00:00</t>
        </is>
      </c>
      <c r="D8" s="8" t="n">
        <v>8</v>
      </c>
      <c r="E8" s="9" t="inlineStr">
        <is>
          <t>0821/CABECERA</t>
        </is>
      </c>
      <c r="F8" s="10" t="n">
        <v>2720</v>
      </c>
      <c r="G8" s="10" t="n">
        <v>39</v>
      </c>
      <c r="H8" s="10" t="n">
        <v>605</v>
      </c>
      <c r="I8" s="11">
        <f>0.472275306291731*9.0*2.986026</f>
        <v/>
      </c>
      <c r="J8" s="11">
        <f>0.124497547910391*9.0*2.986026</f>
        <v/>
      </c>
      <c r="K8" s="11">
        <f>0.403227145797878*9.0*2.986026</f>
        <v/>
      </c>
      <c r="L8" s="9" t="inlineStr">
        <is>
          <t>AZUAY</t>
        </is>
      </c>
      <c r="M8" s="9" t="inlineStr">
        <is>
          <t>CUENCA</t>
        </is>
      </c>
      <c r="N8" s="12" t="inlineStr">
        <is>
          <t>TURI, 24 DE MAYO ENTRE REDONDEL DE GAPAL Y TRES PUENTES, PRIMERO DE MAYO ENTRE TRES PUENTES Y LOJA, 10 DE AGOSTO ENTRE SOLANO Y LOJA, LORENZO PIEDRA, REMIGIO CRESPO ENTRE SOLANO Y LOJA.</t>
        </is>
      </c>
    </row>
    <row r="9">
      <c r="C9" s="13" t="n"/>
      <c r="D9" s="8" t="n">
        <v>8</v>
      </c>
      <c r="E9" s="9" t="inlineStr">
        <is>
          <t>0823/CABECERA</t>
        </is>
      </c>
      <c r="F9" s="10" t="n">
        <v>2096</v>
      </c>
      <c r="G9" s="10" t="n">
        <v>20</v>
      </c>
      <c r="H9" s="10" t="n">
        <v>89</v>
      </c>
      <c r="I9" s="11">
        <f>0.873364820769687*9.0*0.634942</f>
        <v/>
      </c>
      <c r="J9" s="11">
        <f>0.022125796066539*9.0*0.634942</f>
        <v/>
      </c>
      <c r="K9" s="11">
        <f>0.104509383163774*9.0*0.634942</f>
        <v/>
      </c>
      <c r="L9" s="9" t="inlineStr">
        <is>
          <t>AZUAY</t>
        </is>
      </c>
      <c r="M9" s="9" t="inlineStr">
        <is>
          <t>CUENCA</t>
        </is>
      </c>
      <c r="N9" s="12" t="inlineStr">
        <is>
          <t>LA QUEBRADA DE TURI, BELLAVISTA, PUNTA CORRAL;  CORAZÓN DE JESÚS, SAN PEDRO DE HIERBA BUENA; EL VERDE; GULLANZHAPA, GUALALCAY, VIA A LOS LAURELES, VIA A  PAREDONES, TRES ESTRELLAS, TOTORACOCHA ALTA Y BAJA DE GUALALCAY, TRANCAPAMBA,  SAN PEDRO DE YUNGA, PARACOLOMA, MORASCALLE, TAÑILOMA, CHILCATOTORA, CHILACACHAPARRA, SAN FRANCISCO, TARQUI CENTRO.</t>
        </is>
      </c>
    </row>
    <row r="10">
      <c r="C10" s="13" t="n"/>
      <c r="D10" s="8" t="n">
        <v>12</v>
      </c>
      <c r="E10" s="9" t="inlineStr">
        <is>
          <t>1223/CABECERA</t>
        </is>
      </c>
      <c r="F10" s="10" t="n">
        <v>2187</v>
      </c>
      <c r="G10" s="10" t="n">
        <v>12</v>
      </c>
      <c r="H10" s="10" t="n">
        <v>132</v>
      </c>
      <c r="I10" s="11">
        <f>0.819896248912789*9.0*1.288462</f>
        <v/>
      </c>
      <c r="J10" s="11">
        <f>0.0179090960880945*9.0*1.288462</f>
        <v/>
      </c>
      <c r="K10" s="11">
        <f>0.162194654999116*9.0*1.288462</f>
        <v/>
      </c>
      <c r="L10" s="9" t="inlineStr">
        <is>
          <t>AZUAY</t>
        </is>
      </c>
      <c r="M10" s="9" t="inlineStr">
        <is>
          <t>PAUTE</t>
        </is>
      </c>
      <c r="N10" s="12" t="inlineStr">
        <is>
          <t>EL CABO, ZHUMIR, GUACHAPALA, LUGMAPAMBA, RUMIHURCO, LA ESTANCIA, AGUAS BLANCAS, CHICÁN, COPZHAL, MARAS, ALGARROBO, CHICTY, SAN PEDRO, TUTUCAN, PARIG, GUACHAPALA, ÑUÑURCO, DON JULO, GUABLID, SACRE, SAN VICENTE, SA.NTA TERESITA, LA MERCED, EL PAN, LA TINA, SEVILLA DE ORO, CHIMUL, LA UNIÓN, SANTA ROSA, CENTRO DE PALMAS, CHALACAY, OSOYACU</t>
        </is>
      </c>
    </row>
    <row r="11">
      <c r="C11" s="13" t="n"/>
      <c r="D11" s="8" t="n">
        <v>14</v>
      </c>
      <c r="E11" s="9" t="inlineStr">
        <is>
          <t>1422/CABECERA</t>
        </is>
      </c>
      <c r="F11" s="10" t="n">
        <v>2650</v>
      </c>
      <c r="G11" s="10" t="n">
        <v>17</v>
      </c>
      <c r="H11" s="10" t="n">
        <v>182</v>
      </c>
      <c r="I11" s="11">
        <f>0.714384293822761*9.0*1.057104</f>
        <v/>
      </c>
      <c r="J11" s="11">
        <f>0.0513412569341073*9.0*1.057104</f>
        <v/>
      </c>
      <c r="K11" s="11">
        <f>0.234274449243132*9.0*1.057104</f>
        <v/>
      </c>
      <c r="L11" s="9" t="inlineStr">
        <is>
          <t>AZUAY</t>
        </is>
      </c>
      <c r="M11" s="9" t="inlineStr">
        <is>
          <t>NABÓN</t>
        </is>
      </c>
      <c r="N11" s="12" t="inlineStr">
        <is>
          <t>LENTAG BOHEMIA DRINKS, PAREDONES SAN FELIPE DE OÑA, YUQUIS, MEMBRILLO, NABÓN, ÑAMARÍN, COCHAPATA, ZHIÑA, LA CRUZ, HERMANO MIGUEL, PICHANILLAS, LA JARATA, AYALOMA, LA RAMADA,  MORASLOMA, PATADEL, BAIJÓN, CASADEL, RUMILOMA, LAS NIEVES CHAYA, BAYÁN, COCHAPATA, PUCA, TAMBO VIEJO, LA PAZ, PUTUPANO, PURÍN, ROSAS, RODEO, MORASLOMA DE OÑA, CHUNAZANA, RAÑAS, TRANCAPATA LAS NIEVES CHAYA, PUCALLPA, CHACAPATA, RAMBRAN SAN FELIPE DE OÑA, ULUCATA, PICHANILLAS,  CHARQUI, EL PASO, LLIMBI, UDUZHAPA, PUEBLO VIEJO, BAIJÓN, SANTA ELENA, COPACABANA, PARAMO DE TINAJILLAS, RARIG, OÑAZHAPA, TINTACRUZ, COCHAPATA.</t>
        </is>
      </c>
    </row>
    <row r="12">
      <c r="C12" s="13" t="n"/>
      <c r="D12" s="8" t="n">
        <v>14</v>
      </c>
      <c r="E12" s="9" t="inlineStr">
        <is>
          <t>1423/CABECERA</t>
        </is>
      </c>
      <c r="F12" s="10" t="n">
        <v>2582</v>
      </c>
      <c r="G12" s="10" t="n">
        <v>16</v>
      </c>
      <c r="H12" s="10" t="n">
        <v>288</v>
      </c>
      <c r="I12" s="11">
        <f>0.741670008138861*9.0*1.777388</f>
        <v/>
      </c>
      <c r="J12" s="11">
        <f>0.0454995530236035*9.0*1.777388</f>
        <v/>
      </c>
      <c r="K12" s="11">
        <f>0.212830438837535*9.0*1.777388</f>
        <v/>
      </c>
      <c r="L12" s="9" t="inlineStr">
        <is>
          <t>AZUAY</t>
        </is>
      </c>
      <c r="M12" s="9" t="inlineStr">
        <is>
          <t>GIRÓN</t>
        </is>
      </c>
      <c r="N12" s="12" t="inlineStr">
        <is>
          <t>BALZAPAMBA, MOISEN, PACAY, PUCUCARI, ROSAS, SANTO CRISTO, ASUNCIÓN, LAS NIEVES, RUMILOMA, RUMIPAMBA, SANTA ROSA, COCHALOMA, SAN JOSE, SAN FERNANDO, PARTE ALTA DE CALEDONIAS, RIRCAY, PONGO GRANDE, RIRCAY, GIGANTONES, CALEDONIAS, PONGO CHICO, RUMIPAMBA, LEOCAPAC, PARCUSPAMBA, TABLON, GIRÓN CENTRO, MAZTA CHICO, MAZTA GRANDE, ZAPATA, EL VERDE, PORTETE, EL CHORRO, CARMEN DEL CHORRO, FATIMA, NARAMBOTE, PUCALLPA, CHORRO GRANDE, SANTA ANA CAUQUIL BESTION, SAN GERARDO, SAN MARTIN GRANDE, CHUMBLIN, CRISTAL AGUARONGOS.</t>
        </is>
      </c>
    </row>
    <row r="13">
      <c r="C13" s="13" t="n"/>
      <c r="D13" s="8" t="n">
        <v>15</v>
      </c>
      <c r="E13" s="9" t="inlineStr">
        <is>
          <t>1522/CABECERA</t>
        </is>
      </c>
      <c r="F13" s="10" t="n">
        <v>5464</v>
      </c>
      <c r="G13" s="10" t="n">
        <v>143</v>
      </c>
      <c r="H13" s="10" t="n">
        <v>1640</v>
      </c>
      <c r="I13" s="11">
        <f>0.564280983112145*9.0*1.667042</f>
        <v/>
      </c>
      <c r="J13" s="11">
        <f>0.0844223890416682*9.0*1.667042</f>
        <v/>
      </c>
      <c r="K13" s="11">
        <f>0.351296627846187*9.0*1.667042</f>
        <v/>
      </c>
      <c r="L13" s="9" t="inlineStr">
        <is>
          <t>AZUAY</t>
        </is>
      </c>
      <c r="M13" s="9" t="inlineStr">
        <is>
          <t>GUALACEO</t>
        </is>
      </c>
      <c r="N13" s="12" t="inlineStr">
        <is>
          <t>GUALACEO CENTRO, AYALOMA, VÍA QUIMZHI - DOTAXI, PARCULOMA, SALAGUICHAY,  AV. POLICÍA NACIONAL, AV. CIRCUNVALACIÓN, CALLE EUGENIO ESPEJO, EL PROGRESO, BARRIO LINDO, BULZHÚN, TOCTELOMA, PATUL, LLAMPASAY, BULLCAY, ILUNCAY, SAN PEDRO DE LOS OLIVOS, CAGUAZHÚN CHICO, PUENTE EUROPA</t>
        </is>
      </c>
    </row>
    <row r="14">
      <c r="C14" s="13" t="n"/>
      <c r="D14" s="8" t="n">
        <v>18</v>
      </c>
      <c r="E14" s="9" t="inlineStr">
        <is>
          <t>1825/CABECERA (SIN SUSCALPAMBA VIEJO)</t>
        </is>
      </c>
      <c r="F14" s="10" t="n">
        <v>1156</v>
      </c>
      <c r="G14" s="10" t="n">
        <v>4</v>
      </c>
      <c r="H14" s="10" t="n">
        <v>35</v>
      </c>
      <c r="I14" s="11">
        <f>0.852108456340781*9.0*0.307740571428572</f>
        <v/>
      </c>
      <c r="J14" s="11">
        <f>0.0112626485842459*9.0*0.307740571428572</f>
        <v/>
      </c>
      <c r="K14" s="11">
        <f>0.136628895074973*9.0*0.307740571428572</f>
        <v/>
      </c>
      <c r="L14" s="9" t="inlineStr">
        <is>
          <t>CAÑAR</t>
        </is>
      </c>
      <c r="M14" s="9" t="inlineStr">
        <is>
          <t>CAÑAR</t>
        </is>
      </c>
      <c r="N14" s="12" t="inlineStr">
        <is>
          <t>SAN RAFAEL, JIRINCAY, SHUYA, CHARACAY, GUN CHICO, YANACANCHIS, CHACARPAMBA, CASHUIN, RIRPUR, GUALLETURO, GULAG</t>
        </is>
      </c>
    </row>
    <row r="15">
      <c r="C15" s="13" t="n"/>
      <c r="D15" s="14" t="inlineStr">
        <is>
          <t>TOTALES PARCIALES:</t>
        </is>
      </c>
      <c r="E15" s="15" t="n"/>
      <c r="F15" s="10">
        <f>SUM(F8:F14)</f>
        <v/>
      </c>
      <c r="G15" s="10">
        <f>SUM(G8:G14)</f>
        <v/>
      </c>
      <c r="H15" s="10">
        <f>SUM(H8:H14)</f>
        <v/>
      </c>
      <c r="I15" s="11">
        <f>SUM(I8:I14)</f>
        <v/>
      </c>
      <c r="J15" s="11">
        <f>SUM(J8:J14)</f>
        <v/>
      </c>
      <c r="K15" s="11">
        <f>SUM(K8:K14)</f>
        <v/>
      </c>
      <c r="L15" s="9" t="n"/>
      <c r="M15" s="16" t="n"/>
      <c r="N15" s="17" t="n"/>
    </row>
    <row r="16">
      <c r="C16" s="18" t="n"/>
      <c r="D16" s="14" t="inlineStr">
        <is>
          <t>TOTAL:</t>
        </is>
      </c>
      <c r="E16" s="15" t="n"/>
      <c r="F16" s="10">
        <f>SUM(F15, G15, H15)</f>
        <v/>
      </c>
      <c r="G16" s="19" t="n"/>
      <c r="H16" s="20" t="n"/>
      <c r="I16" s="11">
        <f>SUM(I15, J15, K15)</f>
        <v/>
      </c>
      <c r="J16" s="21" t="n"/>
      <c r="K16" s="22" t="n"/>
      <c r="L16" s="23" t="n"/>
      <c r="M16" s="24" t="n"/>
      <c r="N16" s="25" t="n"/>
    </row>
    <row r="18">
      <c r="C18" s="4" t="inlineStr">
        <is>
          <t>BLOQUE 2</t>
        </is>
      </c>
      <c r="D18" s="4" t="inlineStr">
        <is>
          <t>SUBESTACIÓN</t>
        </is>
      </c>
      <c r="E18" s="4" t="inlineStr">
        <is>
          <t>PRIMARIOS A DESCONECTAR</t>
        </is>
      </c>
      <c r="F18" s="4" t="inlineStr">
        <is>
          <t># CLIENTES</t>
        </is>
      </c>
      <c r="G18" s="5" t="n"/>
      <c r="H18" s="6" t="n"/>
      <c r="I18" s="4" t="inlineStr">
        <is>
          <t>DEMANDA PROMEDIO DE LOS PERIODOS (MWh)</t>
        </is>
      </c>
      <c r="J18" s="5" t="n"/>
      <c r="K18" s="6" t="n"/>
      <c r="L18" s="4" t="inlineStr">
        <is>
          <t>PROVINCIA</t>
        </is>
      </c>
      <c r="M18" s="4" t="inlineStr">
        <is>
          <t>CANTON</t>
        </is>
      </c>
      <c r="N18" s="4" t="inlineStr">
        <is>
          <t>SECTORES</t>
        </is>
      </c>
    </row>
    <row r="19">
      <c r="C19" s="2" t="n"/>
      <c r="D19" s="2" t="n"/>
      <c r="E19" s="2" t="n"/>
      <c r="F19" s="4" t="inlineStr">
        <is>
          <t>RESIDENCIAL</t>
        </is>
      </c>
      <c r="G19" s="4" t="inlineStr">
        <is>
          <t>INDUSTRIAL</t>
        </is>
      </c>
      <c r="H19" s="4" t="inlineStr">
        <is>
          <t>COMERCIAL</t>
        </is>
      </c>
      <c r="I19" s="4" t="inlineStr">
        <is>
          <t>RESIDENCIAL</t>
        </is>
      </c>
      <c r="J19" s="4" t="inlineStr">
        <is>
          <t>INDUSTRIAL</t>
        </is>
      </c>
      <c r="K19" s="4" t="inlineStr">
        <is>
          <t>COMERCIAL</t>
        </is>
      </c>
      <c r="L19" s="2" t="n"/>
      <c r="M19" s="2" t="n"/>
      <c r="N19" s="2" t="n"/>
    </row>
    <row r="20">
      <c r="C20" s="7" t="inlineStr">
        <is>
          <t>00:00:00-05:00:00 10:00:00-14:00:00</t>
        </is>
      </c>
      <c r="D20" s="8" t="n">
        <v>4</v>
      </c>
      <c r="E20" s="9" t="inlineStr">
        <is>
          <t>0427/CABECERA (SIN LA COMPAÑIA)</t>
        </is>
      </c>
      <c r="F20" s="10" t="n">
        <v>4467</v>
      </c>
      <c r="G20" s="10" t="n">
        <v>79</v>
      </c>
      <c r="H20" s="10" t="n">
        <v>203</v>
      </c>
      <c r="I20" s="11">
        <f>0.729873048214227*9.0*1.571921</f>
        <v/>
      </c>
      <c r="J20" s="11">
        <f>0.0657904036579479*9.0*1.571921</f>
        <v/>
      </c>
      <c r="K20" s="11">
        <f>0.204336548127825*9.0*1.571921</f>
        <v/>
      </c>
      <c r="L20" s="9" t="inlineStr">
        <is>
          <t>AZUAY</t>
        </is>
      </c>
      <c r="M20" s="9" t="inlineStr">
        <is>
          <t>CUENCA</t>
        </is>
      </c>
      <c r="N20" s="12" t="inlineStr">
        <is>
          <t>VÍA A PATAMARCA, LA COMPANÍA, MAYANCELA, CIUDADELA EL ROSAL, SAN VICENTE DE SININCAY, TRIGALES, ORQUÍDEAS, BEMANI, AV DEL TORIL, AV LOS CHASQUIS, CDLA LOS MECANICOS.</t>
        </is>
      </c>
    </row>
    <row r="21">
      <c r="C21" s="13" t="n"/>
      <c r="D21" s="8" t="n">
        <v>4</v>
      </c>
      <c r="E21" s="9" t="inlineStr">
        <is>
          <t>0427/RECONECT: SAN ANDRES1</t>
        </is>
      </c>
      <c r="F21" s="10" t="n">
        <v>2445</v>
      </c>
      <c r="G21" s="10" t="n">
        <v>22</v>
      </c>
      <c r="H21" s="10" t="n">
        <v>125</v>
      </c>
      <c r="I21" s="11">
        <f>0.566916254877431*9.0*0.362751</f>
        <v/>
      </c>
      <c r="J21" s="11">
        <f>0.348095908348235*9.0*0.362751</f>
        <v/>
      </c>
      <c r="K21" s="11">
        <f>0.0849878367743344*9.0*0.362751</f>
        <v/>
      </c>
      <c r="L21" s="9" t="inlineStr">
        <is>
          <t>AZUAY</t>
        </is>
      </c>
      <c r="M21" s="9" t="inlineStr">
        <is>
          <t>CUENCA</t>
        </is>
      </c>
      <c r="N21" s="12" t="inlineStr">
        <is>
          <t>CHIQUINTAD, VIRGEN DE LA NUBE, CORPANCHE, SAN ANDRÉS, CHECA, CORPANCHE, SAYMIRIN, SAUCAY, SAN JOSE DE CHIQUINTAD,</t>
        </is>
      </c>
    </row>
    <row r="22">
      <c r="C22" s="13" t="n"/>
      <c r="D22" s="8" t="n">
        <v>4</v>
      </c>
      <c r="E22" s="9" t="inlineStr">
        <is>
          <t>0427/RECONECT: SAN SILVESTRE</t>
        </is>
      </c>
      <c r="F22" s="10" t="n">
        <v>4467</v>
      </c>
      <c r="G22" s="10" t="n">
        <v>66</v>
      </c>
      <c r="H22" s="10" t="n">
        <v>169</v>
      </c>
      <c r="I22" s="11">
        <f>0.829886743233281*9.0*0.483668</f>
        <v/>
      </c>
      <c r="J22" s="11">
        <f>0.0510684611129031*9.0*0.483668</f>
        <v/>
      </c>
      <c r="K22" s="11">
        <f>0.119044795653816*9.0*0.483668</f>
        <v/>
      </c>
      <c r="L22" s="9" t="inlineStr">
        <is>
          <t>AZUAY</t>
        </is>
      </c>
      <c r="M22" s="9" t="inlineStr">
        <is>
          <t>CUENCA</t>
        </is>
      </c>
      <c r="N22" s="12" t="inlineStr">
        <is>
          <t>CALLES: SAN SILVESTRE, GREGORIO CORDERO, PEDRO ARIAS, GASPAR DE GALLEGOS, VICENTE ALVARADO, FERNANDO LOPEZ, VICENTE SERRANO, AUSTIN CRESPO, DUITAMA, ISABEL ANTON, ALFONSO RIVERA, IGNACIO CORTAZAR, RODRIGO DE NARVAEZ, DE LA FEDERACION DEPORTIVA DEL AZUAY. DE LA COMPAÑIA, HEROES DEL CENEPA, CUEVA DE LOS TAYOS, PARROQUI CHAUCHA, CONSTITUCIÓN, DIEGO ABAD.</t>
        </is>
      </c>
    </row>
    <row r="23">
      <c r="C23" s="13" t="n"/>
      <c r="D23" s="8" t="n">
        <v>17</v>
      </c>
      <c r="E23" s="9" t="inlineStr">
        <is>
          <t>1723/CABECERA (SIN CEREZOS)</t>
        </is>
      </c>
      <c r="F23" s="10" t="n">
        <v>1753</v>
      </c>
      <c r="G23" s="10" t="n">
        <v>22</v>
      </c>
      <c r="H23" s="10" t="n">
        <v>75</v>
      </c>
      <c r="I23" s="11">
        <f>0.869396386585709*9.0*0.340953236061793</f>
        <v/>
      </c>
      <c r="J23" s="11">
        <f>0.0552906756392175*9.0*0.340953236061793</f>
        <v/>
      </c>
      <c r="K23" s="11">
        <f>0.0753129377750741*9.0*0.340953236061793</f>
        <v/>
      </c>
      <c r="L23" s="9" t="inlineStr">
        <is>
          <t>AZUAY</t>
        </is>
      </c>
      <c r="M23" s="9" t="inlineStr">
        <is>
          <t>CUENCA</t>
        </is>
      </c>
      <c r="N23" s="12" t="inlineStr">
        <is>
          <t>LA GREVILLA, AV. LOS CEREZOS, SECTORES SAN VICENTE DE LAS CALERAS, COLEGIO SANTA ANA, CDLA. EL ROSARIO</t>
        </is>
      </c>
    </row>
    <row r="24">
      <c r="C24" s="13" t="n"/>
      <c r="D24" s="14" t="inlineStr">
        <is>
          <t>TOTALES PARCIALES:</t>
        </is>
      </c>
      <c r="E24" s="15" t="n"/>
      <c r="F24" s="10">
        <f>SUM(F20:F23)</f>
        <v/>
      </c>
      <c r="G24" s="10">
        <f>SUM(G20:G23)</f>
        <v/>
      </c>
      <c r="H24" s="10">
        <f>SUM(H20:H23)</f>
        <v/>
      </c>
      <c r="I24" s="11">
        <f>SUM(I20:I23)</f>
        <v/>
      </c>
      <c r="J24" s="11">
        <f>SUM(J20:J23)</f>
        <v/>
      </c>
      <c r="K24" s="11">
        <f>SUM(K20:K23)</f>
        <v/>
      </c>
      <c r="L24" s="9" t="n"/>
      <c r="M24" s="16" t="n"/>
      <c r="N24" s="17" t="n"/>
    </row>
    <row r="25">
      <c r="C25" s="18" t="n"/>
      <c r="D25" s="14" t="inlineStr">
        <is>
          <t>TOTAL:</t>
        </is>
      </c>
      <c r="E25" s="15" t="n"/>
      <c r="F25" s="10">
        <f>SUM(F24, G24, H24)</f>
        <v/>
      </c>
      <c r="G25" s="19" t="n"/>
      <c r="H25" s="20" t="n"/>
      <c r="I25" s="11">
        <f>SUM(I24, J24, K24)</f>
        <v/>
      </c>
      <c r="J25" s="21" t="n"/>
      <c r="K25" s="22" t="n"/>
      <c r="L25" s="23" t="n"/>
      <c r="M25" s="24" t="n"/>
      <c r="N25" s="25" t="n"/>
    </row>
    <row r="27">
      <c r="C27" s="4" t="inlineStr">
        <is>
          <t>BLOQUE 3</t>
        </is>
      </c>
      <c r="D27" s="4" t="inlineStr">
        <is>
          <t>SUBESTACIÓN</t>
        </is>
      </c>
      <c r="E27" s="4" t="inlineStr">
        <is>
          <t>PRIMARIOS A DESCONECTAR</t>
        </is>
      </c>
      <c r="F27" s="4" t="inlineStr">
        <is>
          <t># CLIENTES</t>
        </is>
      </c>
      <c r="G27" s="5" t="n"/>
      <c r="H27" s="6" t="n"/>
      <c r="I27" s="4" t="inlineStr">
        <is>
          <t>DEMANDA PROMEDIO DE LOS PERIODOS (MWh)</t>
        </is>
      </c>
      <c r="J27" s="5" t="n"/>
      <c r="K27" s="6" t="n"/>
      <c r="L27" s="4" t="inlineStr">
        <is>
          <t>PROVINCIA</t>
        </is>
      </c>
      <c r="M27" s="4" t="inlineStr">
        <is>
          <t>CANTON</t>
        </is>
      </c>
      <c r="N27" s="4" t="inlineStr">
        <is>
          <t>SECTORES</t>
        </is>
      </c>
    </row>
    <row r="28">
      <c r="C28" s="2" t="n"/>
      <c r="D28" s="2" t="n"/>
      <c r="E28" s="2" t="n"/>
      <c r="F28" s="4" t="inlineStr">
        <is>
          <t>RESIDENCIAL</t>
        </is>
      </c>
      <c r="G28" s="4" t="inlineStr">
        <is>
          <t>INDUSTRIAL</t>
        </is>
      </c>
      <c r="H28" s="4" t="inlineStr">
        <is>
          <t>COMERCIAL</t>
        </is>
      </c>
      <c r="I28" s="4" t="inlineStr">
        <is>
          <t>RESIDENCIAL</t>
        </is>
      </c>
      <c r="J28" s="4" t="inlineStr">
        <is>
          <t>INDUSTRIAL</t>
        </is>
      </c>
      <c r="K28" s="4" t="inlineStr">
        <is>
          <t>COMERCIAL</t>
        </is>
      </c>
      <c r="L28" s="2" t="n"/>
      <c r="M28" s="2" t="n"/>
      <c r="N28" s="2" t="n"/>
    </row>
    <row r="29">
      <c r="C29" s="7" t="inlineStr">
        <is>
          <t>00:00:00-05:00:00 16:00:00-20:00:00</t>
        </is>
      </c>
      <c r="D29" s="8" t="n">
        <v>4</v>
      </c>
      <c r="E29" s="9" t="inlineStr">
        <is>
          <t>0422/CABECERA (SIN CASTILLO AMERICAS2)</t>
        </is>
      </c>
      <c r="F29" s="10" t="n">
        <v>1372</v>
      </c>
      <c r="G29" s="10" t="n">
        <v>77</v>
      </c>
      <c r="H29" s="10" t="n">
        <v>309</v>
      </c>
      <c r="I29" s="11">
        <f>0.281956914171621*9.0*1.77807298741071</f>
        <v/>
      </c>
      <c r="J29" s="11">
        <f>0.327190938725887*9.0*1.77807298741071</f>
        <v/>
      </c>
      <c r="K29" s="11">
        <f>0.390852147102492*9.0*1.77807298741071</f>
        <v/>
      </c>
      <c r="L29" s="9" t="inlineStr">
        <is>
          <t>AZUAY</t>
        </is>
      </c>
      <c r="M29" s="9" t="inlineStr">
        <is>
          <t>CUENCA</t>
        </is>
      </c>
      <c r="N29" s="12" t="inlineStr">
        <is>
          <t>AV. DEL TORIL ENTRE HUAGRA UMA Y AV. DE LAS AMÉRICAS, AV. DE LAS AMÉRICAS ENTRE TURUHUAYCO E INDEPENDENCIA, JUAN LAVALLE, AV. INDEPENDENCIA, GENERAL CÓRDOVA, DE LA INDEPENDENCIA, DE LA QUEBRADA, MILCHICHIG, HORNILLOS, EL TABLÓN, BENIGNO PALACIOS, BATALLÓN NUMANCIA, CALLE VIEJA ENTRE ARMENILLAS Y DE LAS LADERAS, UPS, GIL RAMÍREZ DÁVALOS ENTRE PEDREGAL Y ARMENILLAS, TELERAMA, AV. ESPAÑA ENTRE GIL RAMÍREZ DÁVALOS Y SEGOVIA. TURUHUAYCO ENTRE ESPAÑA Y AV. DE LAS AMÉRICAS, CIUDADELA INDEPENDENCIA.</t>
        </is>
      </c>
    </row>
    <row r="30">
      <c r="C30" s="13" t="n"/>
      <c r="D30" s="8" t="n">
        <v>5</v>
      </c>
      <c r="E30" s="9" t="inlineStr">
        <is>
          <t>0524/RECONECT: MIGUEL CABELLO</t>
        </is>
      </c>
      <c r="F30" s="10" t="n">
        <v>1423</v>
      </c>
      <c r="G30" s="10" t="n">
        <v>24</v>
      </c>
      <c r="H30" s="10" t="n">
        <v>132</v>
      </c>
      <c r="I30" s="11">
        <f>0.630638823253638*9.0*0.472720689655172</f>
        <v/>
      </c>
      <c r="J30" s="11">
        <f>0.141386785701477*9.0*0.472720689655172</f>
        <v/>
      </c>
      <c r="K30" s="11">
        <f>0.227974391044885*9.0*0.472720689655172</f>
        <v/>
      </c>
      <c r="L30" s="9" t="inlineStr">
        <is>
          <t>AZUAY</t>
        </is>
      </c>
      <c r="M30" s="9" t="inlineStr">
        <is>
          <t>CUENCA</t>
        </is>
      </c>
      <c r="N30" s="12" t="inlineStr">
        <is>
          <t>MIGUEL CABELLO BALBOA, FRAY GASPAR DE CARVAJAL ENTRE MIGUEL CABELLO E ISABEL LA CATÓLICA, FRAY GASPAR DE VILLAROEL, EL SALADO ENTRE ALONSO CABRERA Y LOJA; LOJA ENTRE ALONSO CABRERA Y CIEZA DE LEÓN, AV. PRIMERO DE MAYO ENTRE GASPAR DE VILLAROEL Y LOJA, PEDRO CALDERÓN DE LA BARCA, CRISTOBAL COLÓN ENTRE LOJA Y MIGUEL DE SERVANTES, MENENDEZ PIDAL, ALONSO QUIJANO, FELIPE LEÓN, ALONSO CABRERA.</t>
        </is>
      </c>
    </row>
    <row r="31">
      <c r="C31" s="13" t="n"/>
      <c r="D31" s="8" t="n">
        <v>5</v>
      </c>
      <c r="E31" s="9" t="inlineStr">
        <is>
          <t>0524/RECONECT: SUPER STOK</t>
        </is>
      </c>
      <c r="F31" s="10" t="n">
        <v>3769</v>
      </c>
      <c r="G31" s="10" t="n">
        <v>84</v>
      </c>
      <c r="H31" s="10" t="n">
        <v>261</v>
      </c>
      <c r="I31" s="11">
        <f>0.702460678126892*9.0*1.06362155172414</f>
        <v/>
      </c>
      <c r="J31" s="11">
        <f>0.121388597429965*9.0*1.06362155172414</f>
        <v/>
      </c>
      <c r="K31" s="11">
        <f>0.176150724443143*9.0*1.06362155172414</f>
        <v/>
      </c>
      <c r="L31" s="9" t="inlineStr">
        <is>
          <t>AZUAY</t>
        </is>
      </c>
      <c r="M31" s="9" t="inlineStr">
        <is>
          <t>CUENCA</t>
        </is>
      </c>
      <c r="N31" s="12" t="inlineStr">
        <is>
          <t>AV. DE LAS AMÉRICAS CARRIL DE ENTRADA A LA CIUDAD ENTRE CORAL CENTRO Y AV. LOJA; AV. LOJA ENTRE RICARDO DURAN Y AV. DON BOSCO, GONZÁLEZ DÍAZ, EL SALADO ENTRE LOJA Y NICOLAS DE ROCHA, RODRIGO ARIAS, VICENTE PINZÓN, ALONSO PINZÓN,  RÍO TARQUI, AUTOPISTA DESDE LAS AMÉRICAS HASTA DIEGO DE ALMAGRO, DIEGO DE ALMAGRO, PUERTO DE PALOS, FRANCISCO ORELLANA ENTRE DIEGO DE ALMAGRO Y CALLE DE LA CONQUISTA, SANTA MARIA ENTRE ALONSO PINZON Y GABRIEL SANCHEZ, LA PINTA ENTRE PEDRO PUELLES Y AV. DE LOS CONQUISTADORES, LA NIÑA HASTA LA AV. DE LOS CONQUISDORES, LA RABIDA; DIEGO DE DAZA, RODRIGO DE TRIANA, DE LOS CONQUISTADORES ENTRE LOJA Y LA NIÑA, DIARIO EL TIEMPO, CIRCO SOCIAL, SAN MARCOS, EL CARMEN DE GUZHO, TIERRAS BLANCAS, EL CALVARIO, HUARIVIÑA, RUMILOMA, LA MERCED.</t>
        </is>
      </c>
    </row>
    <row r="32">
      <c r="C32" s="13" t="n"/>
      <c r="D32" s="8" t="n">
        <v>7</v>
      </c>
      <c r="E32" s="9" t="inlineStr">
        <is>
          <t>0723/RECONECT: LA DOLOROSA</t>
        </is>
      </c>
      <c r="F32" s="10" t="n">
        <v>4277</v>
      </c>
      <c r="G32" s="10" t="n">
        <v>21</v>
      </c>
      <c r="H32" s="10" t="n">
        <v>133</v>
      </c>
      <c r="I32" s="11">
        <f>0.871402312985794*9.0*1.50668914473684</f>
        <v/>
      </c>
      <c r="J32" s="11">
        <f>0.0180871174652105*9.0*1.50668914473684</f>
        <v/>
      </c>
      <c r="K32" s="11">
        <f>0.110510569548996*9.0*1.50668914473684</f>
        <v/>
      </c>
      <c r="L32" s="9" t="inlineStr">
        <is>
          <t>AZUAY</t>
        </is>
      </c>
      <c r="M32" s="9" t="inlineStr">
        <is>
          <t>CUENCA</t>
        </is>
      </c>
      <c r="N32" s="12" t="inlineStr">
        <is>
          <t>LA DOLOROSA RICAURTE, MARIA AUXILIADORA RICAURTE, SEÑOR DEL GRAN PODER, SIDCAY, BIBÍN, CRISTO DEL CONSUELO, EL ROCÍO, LA CALDERA/ SAN JOSE DE SIDCAY / PUEBLO VIEJO / SECTOR DORA CANELOS.</t>
        </is>
      </c>
    </row>
    <row r="33">
      <c r="C33" s="13" t="n"/>
      <c r="D33" s="8" t="n">
        <v>7</v>
      </c>
      <c r="E33" s="9" t="inlineStr">
        <is>
          <t>0723/RECONECT: VIA A DELEG</t>
        </is>
      </c>
      <c r="F33" s="10" t="n">
        <v>1658</v>
      </c>
      <c r="G33" s="10" t="n">
        <v>22</v>
      </c>
      <c r="H33" s="10" t="n">
        <v>23</v>
      </c>
      <c r="I33" s="11">
        <f>0.912036981267419*9.0*0.262032894736842</f>
        <v/>
      </c>
      <c r="J33" s="11">
        <f>0.0680211088127416*9.0*0.262032894736842</f>
        <v/>
      </c>
      <c r="K33" s="11">
        <f>0.019941909919839*9.0*0.262032894736842</f>
        <v/>
      </c>
      <c r="L33" s="9" t="inlineStr">
        <is>
          <t>AZUAY</t>
        </is>
      </c>
      <c r="M33" s="9" t="inlineStr">
        <is>
          <t>CUENCA</t>
        </is>
      </c>
      <c r="N33" s="12" t="inlineStr">
        <is>
          <t>VIA DELEG DESDE EL ARENAL DE RICAURTE HASTA LA RAYA, URB. MIRAVALLE, EL GUABO, CRISTO REY, PATRON SANTIAGO, AZHAPUD, ADOBEPAMBA, GUABISHUN, LOS ANGELES, EL CALVARIO.</t>
        </is>
      </c>
    </row>
    <row r="34">
      <c r="C34" s="13" t="n"/>
      <c r="D34" s="8" t="n">
        <v>17</v>
      </c>
      <c r="E34" s="9" t="inlineStr">
        <is>
          <t>1724/RECONECT: RIO AMARILLO</t>
        </is>
      </c>
      <c r="F34" s="10" t="n">
        <v>4664</v>
      </c>
      <c r="G34" s="10" t="n">
        <v>73</v>
      </c>
      <c r="H34" s="10" t="n">
        <v>279</v>
      </c>
      <c r="I34" s="11">
        <f>0.748903492381328*9.0*1.03559636061008</f>
        <v/>
      </c>
      <c r="J34" s="11">
        <f>0.067164021668796*9.0*1.03559636061008</f>
        <v/>
      </c>
      <c r="K34" s="11">
        <f>0.183932485949876*9.0*1.03559636061008</f>
        <v/>
      </c>
      <c r="L34" s="9" t="inlineStr">
        <is>
          <t>AZUAY</t>
        </is>
      </c>
      <c r="M34" s="9" t="inlineStr">
        <is>
          <t>CUENCA</t>
        </is>
      </c>
      <c r="N34" s="12" t="inlineStr">
        <is>
          <t>AV. ORDÓÑEZ LASSO ENTRE DEL ARRIERO Y ENRIQUE ARÍZAGA TORAL, VÍA A SAN MIGUEL DE PUTUSHÍ, SAN MIGUEL DE PUTUSHÍ, DE LA MENTA ENTRE ORDÓÑEZ LASSO Y DEL MATORRAL, DE LA ORTIGA, DEL ORÉGANO, DEL CULANTRO, BELLAVISTA.</t>
        </is>
      </c>
    </row>
    <row r="35">
      <c r="C35" s="13" t="n"/>
      <c r="D35" s="8" t="n">
        <v>50</v>
      </c>
      <c r="E35" s="9" t="inlineStr">
        <is>
          <t>5015/RECONECT: RUIDOSO CHICO</t>
        </is>
      </c>
      <c r="F35" s="10" t="n">
        <v>770</v>
      </c>
      <c r="G35" s="10" t="n">
        <v>4</v>
      </c>
      <c r="H35" s="10" t="n">
        <v>38</v>
      </c>
      <c r="I35" s="11">
        <f>0.566343589996526*9.0*0.306956246020978</f>
        <v/>
      </c>
      <c r="J35" s="11">
        <f>0.341448629135528*9.0*0.306956246020978</f>
        <v/>
      </c>
      <c r="K35" s="11">
        <f>0.0922077808679461*9.0*0.306956246020978</f>
        <v/>
      </c>
      <c r="L35" s="9" t="inlineStr">
        <is>
          <t>CAÑAR</t>
        </is>
      </c>
      <c r="M35" s="9" t="inlineStr">
        <is>
          <t>LA TRONCAL</t>
        </is>
      </c>
      <c r="N35" s="12" t="inlineStr">
        <is>
          <t>PRODUCARGO, PUNTILLA PARCIAL, BASURERO, RUIDOSO CHICO, 10 DE AGOSTO, ZHUCAY, MANTAREAL, ESTERO HONDO, PUTUCAY, CENTRO PATUL, POGYOS</t>
        </is>
      </c>
    </row>
    <row r="36">
      <c r="C36" s="13" t="n"/>
      <c r="D36" s="14" t="inlineStr">
        <is>
          <t>TOTALES PARCIALES:</t>
        </is>
      </c>
      <c r="E36" s="15" t="n"/>
      <c r="F36" s="10">
        <f>SUM(F29:F35)</f>
        <v/>
      </c>
      <c r="G36" s="10">
        <f>SUM(G29:G35)</f>
        <v/>
      </c>
      <c r="H36" s="10">
        <f>SUM(H29:H35)</f>
        <v/>
      </c>
      <c r="I36" s="11">
        <f>SUM(I29:I35)</f>
        <v/>
      </c>
      <c r="J36" s="11">
        <f>SUM(J29:J35)</f>
        <v/>
      </c>
      <c r="K36" s="11">
        <f>SUM(K29:K35)</f>
        <v/>
      </c>
      <c r="L36" s="9" t="n"/>
      <c r="M36" s="16" t="n"/>
      <c r="N36" s="17" t="n"/>
    </row>
    <row r="37">
      <c r="C37" s="18" t="n"/>
      <c r="D37" s="14" t="inlineStr">
        <is>
          <t>TOTAL:</t>
        </is>
      </c>
      <c r="E37" s="15" t="n"/>
      <c r="F37" s="10">
        <f>SUM(F36, G36, H36)</f>
        <v/>
      </c>
      <c r="G37" s="19" t="n"/>
      <c r="H37" s="20" t="n"/>
      <c r="I37" s="11">
        <f>SUM(I36, J36, K36)</f>
        <v/>
      </c>
      <c r="J37" s="21" t="n"/>
      <c r="K37" s="22" t="n"/>
      <c r="L37" s="23" t="n"/>
      <c r="M37" s="24" t="n"/>
      <c r="N37" s="25" t="n"/>
    </row>
    <row r="39">
      <c r="C39" s="4" t="inlineStr">
        <is>
          <t>BLOQUE 4</t>
        </is>
      </c>
      <c r="D39" s="4" t="inlineStr">
        <is>
          <t>SUBESTACIÓN</t>
        </is>
      </c>
      <c r="E39" s="4" t="inlineStr">
        <is>
          <t>PRIMARIOS A DESCONECTAR</t>
        </is>
      </c>
      <c r="F39" s="4" t="inlineStr">
        <is>
          <t># CLIENTES</t>
        </is>
      </c>
      <c r="G39" s="5" t="n"/>
      <c r="H39" s="6" t="n"/>
      <c r="I39" s="4" t="inlineStr">
        <is>
          <t>DEMANDA PROMEDIO DE LOS PERIODOS (MWh)</t>
        </is>
      </c>
      <c r="J39" s="5" t="n"/>
      <c r="K39" s="6" t="n"/>
      <c r="L39" s="4" t="inlineStr">
        <is>
          <t>PROVINCIA</t>
        </is>
      </c>
      <c r="M39" s="4" t="inlineStr">
        <is>
          <t>CANTON</t>
        </is>
      </c>
      <c r="N39" s="4" t="inlineStr">
        <is>
          <t>SECTORES</t>
        </is>
      </c>
    </row>
    <row r="40">
      <c r="C40" s="2" t="n"/>
      <c r="D40" s="2" t="n"/>
      <c r="E40" s="2" t="n"/>
      <c r="F40" s="4" t="inlineStr">
        <is>
          <t>RESIDENCIAL</t>
        </is>
      </c>
      <c r="G40" s="4" t="inlineStr">
        <is>
          <t>INDUSTRIAL</t>
        </is>
      </c>
      <c r="H40" s="4" t="inlineStr">
        <is>
          <t>COMERCIAL</t>
        </is>
      </c>
      <c r="I40" s="4" t="inlineStr">
        <is>
          <t>RESIDENCIAL</t>
        </is>
      </c>
      <c r="J40" s="4" t="inlineStr">
        <is>
          <t>INDUSTRIAL</t>
        </is>
      </c>
      <c r="K40" s="4" t="inlineStr">
        <is>
          <t>COMERCIAL</t>
        </is>
      </c>
      <c r="L40" s="2" t="n"/>
      <c r="M40" s="2" t="n"/>
      <c r="N40" s="2" t="n"/>
    </row>
    <row r="41">
      <c r="C41" s="7" t="inlineStr">
        <is>
          <t>00:00:00-06:00:00</t>
        </is>
      </c>
      <c r="D41" s="8" t="n">
        <v>4</v>
      </c>
      <c r="E41" s="9" t="inlineStr">
        <is>
          <t>0421/CABECERA</t>
        </is>
      </c>
      <c r="F41" s="10" t="n">
        <v>1</v>
      </c>
      <c r="G41" s="10" t="n">
        <v>13</v>
      </c>
      <c r="H41" s="10" t="n">
        <v>18</v>
      </c>
      <c r="I41" s="11">
        <f>8.38301238989834e-06*6.0*1.6865591421875</f>
        <v/>
      </c>
      <c r="J41" s="11">
        <f>0.950257104657092*6.0*1.6865591421875</f>
        <v/>
      </c>
      <c r="K41" s="11">
        <f>0.0497345123305178*6.0*1.6865591421875</f>
        <v/>
      </c>
      <c r="L41" s="9" t="inlineStr">
        <is>
          <t>AZUAY</t>
        </is>
      </c>
      <c r="M41" s="9" t="inlineStr">
        <is>
          <t>CUENCA</t>
        </is>
      </c>
      <c r="N41" s="12" t="inlineStr">
        <is>
          <t>CALLE FRANK TOSI, CORNELIO VINTIMILLA, OCTAVIO CHACÓN, CARLOS TOSI</t>
        </is>
      </c>
    </row>
    <row r="42">
      <c r="C42" s="13" t="n"/>
      <c r="D42" s="8" t="n">
        <v>4</v>
      </c>
      <c r="E42" s="9" t="inlineStr">
        <is>
          <t>0422/CABECERA</t>
        </is>
      </c>
      <c r="F42" s="10" t="n">
        <v>1372</v>
      </c>
      <c r="G42" s="10" t="n">
        <v>77</v>
      </c>
      <c r="H42" s="10" t="n">
        <v>309</v>
      </c>
      <c r="I42" s="11">
        <f>0.328402987083477*6.0*1.59248632</f>
        <v/>
      </c>
      <c r="J42" s="11">
        <f>0.333837276538188*6.0*1.59248632</f>
        <v/>
      </c>
      <c r="K42" s="11">
        <f>0.337759736378335*6.0*1.59248632</f>
        <v/>
      </c>
      <c r="L42" s="9" t="inlineStr">
        <is>
          <t>AZUAY</t>
        </is>
      </c>
      <c r="M42" s="9" t="inlineStr">
        <is>
          <t>CUENCA</t>
        </is>
      </c>
      <c r="N42" s="12" t="inlineStr">
        <is>
          <t>AV. DE LAS AMÉRICAS ENTRE INDEPENDENCIA Y GONZÁLEZ SUÁREZ, QUINTA CHICA, PASEO MILCHICHIG ENTRE AV. ESPAÑA Y HUANCABILCAS.</t>
        </is>
      </c>
    </row>
    <row r="43">
      <c r="C43" s="13" t="n"/>
      <c r="D43" s="8" t="n">
        <v>4</v>
      </c>
      <c r="E43" s="9" t="inlineStr">
        <is>
          <t>0426/CABECERA</t>
        </is>
      </c>
      <c r="F43" s="10" t="n">
        <v>1</v>
      </c>
      <c r="G43" s="10" t="n">
        <v>29</v>
      </c>
      <c r="H43" s="10" t="n">
        <v>20</v>
      </c>
      <c r="I43" s="11">
        <f>4.79061248742808e-05*6.0*2.16825</f>
        <v/>
      </c>
      <c r="J43" s="11">
        <f>0.941717232994241*6.0*2.16825</f>
        <v/>
      </c>
      <c r="K43" s="11">
        <f>0.0582348608808848*6.0*2.16825</f>
        <v/>
      </c>
      <c r="L43" s="9" t="inlineStr">
        <is>
          <t>AZUAY</t>
        </is>
      </c>
      <c r="M43" s="9" t="inlineStr">
        <is>
          <t>CUENCA</t>
        </is>
      </c>
      <c r="N43" s="12" t="inlineStr">
        <is>
          <t>Av. Del Toril, Av Américas entre Cornelio Vintimilla y Octavio Chacón, Calle Octavio Chacón, Calle Primera, Miguel Narvaez, Carlos Tosi, Cornelio Vintimilla</t>
        </is>
      </c>
    </row>
    <row r="44">
      <c r="C44" s="13" t="n"/>
      <c r="D44" s="8" t="n">
        <v>4</v>
      </c>
      <c r="E44" s="9" t="inlineStr">
        <is>
          <t>0427/CABECERA</t>
        </is>
      </c>
      <c r="F44" s="10" t="n">
        <v>4467</v>
      </c>
      <c r="G44" s="10" t="n">
        <v>79</v>
      </c>
      <c r="H44" s="10" t="n">
        <v>203</v>
      </c>
      <c r="I44" s="11">
        <f>0.607528080493764*6.0*2.3799</f>
        <v/>
      </c>
      <c r="J44" s="11">
        <f>0.260492169771328*6.0*2.3799</f>
        <v/>
      </c>
      <c r="K44" s="11">
        <f>0.131979749734908*6.0*2.3799</f>
        <v/>
      </c>
      <c r="L44" s="9" t="inlineStr">
        <is>
          <t>AZUAY</t>
        </is>
      </c>
      <c r="M44" s="9" t="inlineStr">
        <is>
          <t>CUENCA</t>
        </is>
      </c>
      <c r="N44" s="12" t="inlineStr">
        <is>
          <t>VÍA A PATAMARCA, LA COMPANÍA, MAYANCELA, CIUDADELA EL ROSAL, SAN VICENTE DE SININCAY, TRIGALES, ORQUÍDEAS, BEMANI, AV DEL TORIL, AV LOS CHASQUIS, CDLA LOS MECANICOS.</t>
        </is>
      </c>
    </row>
    <row r="45">
      <c r="C45" s="13" t="n"/>
      <c r="D45" s="8" t="n">
        <v>5</v>
      </c>
      <c r="E45" s="9" t="inlineStr">
        <is>
          <t>0524/CABECERA</t>
        </is>
      </c>
      <c r="F45" s="10" t="n">
        <v>2763</v>
      </c>
      <c r="G45" s="10" t="n">
        <v>67</v>
      </c>
      <c r="H45" s="10" t="n">
        <v>209</v>
      </c>
      <c r="I45" s="11">
        <f>0.414945430327986*6.0*1.9502</f>
        <v/>
      </c>
      <c r="J45" s="11">
        <f>0.383019952359501*6.0*1.9502</f>
        <v/>
      </c>
      <c r="K45" s="11">
        <f>0.202034617312513*6.0*1.9502</f>
        <v/>
      </c>
      <c r="L45" s="9" t="inlineStr">
        <is>
          <t>AZUAY</t>
        </is>
      </c>
      <c r="M45" s="9" t="inlineStr">
        <is>
          <t>CUENCA</t>
        </is>
      </c>
      <c r="N45" s="12" t="inlineStr">
        <is>
          <t>CALLE MANUEL CISNEROS ENTRE TARQUINO CORDERO Y AV. AMÉRICAS, AV AMÉRICAS LADO DEL CORAL  ENTRE MIGUEL CABELLO Y FRANCISCO TRELLES, CALLE DE ROCHAS NICOLAS, CALLE ANTONIO LLORET ENTRE AMERICAS Y LOJA, AV DON BOSCO ENTRE AMÉRICAS Y LOJA, MIGUEL CABELLO BALBOA, FRAY GASPAR DE CARVAJAL ENTRE MIGUEL CABELLO E ISABEL LA CATÓLICA, FRAY GASPAR DE VILLAROEL, EL SALADO ENTRE ALONSO CABRERA Y LOJA; LOJA ENTRE ALONSO CABRERA Y CIEZA DE LEÓN, AV. PRIMERO DE MAYO ENTRE GASPAR DE VILLAROEL Y LOJA, PEDRO CALDERÓN DE LA BARCA, CRISTOBAL COLÓN ENTRE LOJA Y MIGUEL DE SERVANTES, MENENDEZ PIDAL, ALONSO QUIJANO, FELIPE LEÓN, ALONSO CABRERA.  AV. DE LAS AMÉRICAS CARRIL DE ENTRADA A LA CIUDAD ENTRE CORAL CENTRO Y AV. LOJA; AV. LOJA ENTRE RICARDO DURAN Y AV. DON BOSCO, GONZÁLEZ DÍAZ, EL SALADO ENTRE LOJA Y NICOLAS DE ROCHA, RODRIGO ARIAS, VICENTE PINZÓN, ALONSO PINZÓN,  RÍO TARQUI, AUTOPISTA DESDE LAS AMÉRICAS HASTA DIEGO DE ALMAGRO, DIEGO DE ALMAGRO, PUERTO DE PALOS, FRANCISCO ORELLANA ENTRE DIEGO DE ALMAGRO Y CALLE DE LA CONQUISTA, SANTA MARIA ENTRE ALONSO PINZON Y GABRIEL SANCHEZ, LA PINTA ENTRE PEDRO PUELLES Y AV. DE LOS CONQUISTADORES, LA NIÑA HASTA LA AV. DE LOS CONQUISDORES, LA RABIDA; DIEGO DE DAZA, RODRIGO DE TRIANA, DE LOS CONQUISTADORES ENTRE LOJA Y LA NIÑA, DIARIO EL TIEMPO, CIRCO SOCIAL, SAN MARCOS, EL CARMEN DE GUZHO, TIERRAS BLANCAS, EL CALVARIO, HUARIVIÑA, RUMILOMA, LA MERCED.</t>
        </is>
      </c>
    </row>
    <row r="46">
      <c r="C46" s="13" t="n"/>
      <c r="D46" s="8" t="n">
        <v>7</v>
      </c>
      <c r="E46" s="9" t="inlineStr">
        <is>
          <t>0723/CABECERA</t>
        </is>
      </c>
      <c r="F46" s="10" t="n">
        <v>3208</v>
      </c>
      <c r="G46" s="10" t="n">
        <v>49</v>
      </c>
      <c r="H46" s="10" t="n">
        <v>294</v>
      </c>
      <c r="I46" s="11">
        <f>0.321008821752526*6.0*4.06273333333333</f>
        <v/>
      </c>
      <c r="J46" s="11">
        <f>0.609088025268667*6.0*4.06273333333333</f>
        <v/>
      </c>
      <c r="K46" s="11">
        <f>0.069903152978807*6.0*4.06273333333333</f>
        <v/>
      </c>
      <c r="L46" s="9" t="inlineStr">
        <is>
          <t>AZUAY</t>
        </is>
      </c>
      <c r="M46" s="9" t="inlineStr">
        <is>
          <t>CUENCA</t>
        </is>
      </c>
      <c r="N46" s="12" t="inlineStr">
        <is>
          <t>CENTRO RICAURTE, CALLE VICENTE PACHECO, CALLE MIGUEL UZHCA, AV 25 DE MARZO, CALLE VICENTE PACHECO, LA DOLOROSA RICAURTE, MARIA AUXILIADORA RICAURTE, SEÑOR DEL GRAN PODER, SIDCAY, BIBÍN, CRISTO DEL CONSUELO, EL ROCÍO, LA CALDERA/ SAN JOSE DE SIDCAY / PUEBLO VIEJO / SECTOR DORA CANELOS,  SIDCAY, BIBÍN, CRISTO DEL CONSUELO, EL ROCÍO, CHECA, CHIQUINTAD, VIA DELEG DESDE EL ARENAL DE RICAURTE HASTA LA RAYA, URB. MIRAVALLE, EL GUABO, CRISTO REY, PATRON SANTIAGO, AZHAPUD, ADOBEPAMBA, GUABISHUN, LOS ANGELES, EL CALVARIO..</t>
        </is>
      </c>
    </row>
    <row r="47">
      <c r="C47" s="13" t="n"/>
      <c r="D47" s="8" t="n">
        <v>17</v>
      </c>
      <c r="E47" s="9" t="inlineStr">
        <is>
          <t>1723/CABECERA</t>
        </is>
      </c>
      <c r="F47" s="10" t="n">
        <v>4840</v>
      </c>
      <c r="G47" s="10" t="n">
        <v>57</v>
      </c>
      <c r="H47" s="10" t="n">
        <v>177</v>
      </c>
      <c r="I47" s="11">
        <f>0.35343319344543*6.0*2.31949793338776</f>
        <v/>
      </c>
      <c r="J47" s="11">
        <f>0.511875274980887*6.0*2.31949793338776</f>
        <v/>
      </c>
      <c r="K47" s="11">
        <f>0.134691531573683*6.0*2.31949793338776</f>
        <v/>
      </c>
      <c r="L47" s="9" t="inlineStr">
        <is>
          <t>AZUAY</t>
        </is>
      </c>
      <c r="M47" s="9" t="inlineStr">
        <is>
          <t>CUENCA</t>
        </is>
      </c>
      <c r="N47" s="12" t="inlineStr">
        <is>
          <t>LA GREVILLA, AV. LOS CEREZOS, SECTORES SAN VICENTE DE LAS CALERAS, COLEGIO SANTA ANA, CDLA. EL ROSARIO, SAN MATEO DE LA CERÁMICA, RACAR PLAZA, MUTUALISTA AZUAY 2, SANTÍSIMA TRINIDAD, EL CHORRO, SIGCHO, ANTENAS DE RADIO SPLENDID, SININCAY CENTRO, LA DOLOROSA, PAMPAS DE ROSAS, EL SALADO.</t>
        </is>
      </c>
    </row>
    <row r="48">
      <c r="C48" s="13" t="n"/>
      <c r="D48" s="8" t="n">
        <v>17</v>
      </c>
      <c r="E48" s="9" t="inlineStr">
        <is>
          <t>1724/CABECERA</t>
        </is>
      </c>
      <c r="F48" s="10" t="n">
        <v>4664</v>
      </c>
      <c r="G48" s="10" t="n">
        <v>73</v>
      </c>
      <c r="H48" s="10" t="n">
        <v>279</v>
      </c>
      <c r="I48" s="11">
        <f>0.433296128125416*6.0*2.0503579980135</f>
        <v/>
      </c>
      <c r="J48" s="11">
        <f>0.472285485909317*6.0*2.0503579980135</f>
        <v/>
      </c>
      <c r="K48" s="11">
        <f>0.0944183859652673*6.0*2.0503579980135</f>
        <v/>
      </c>
      <c r="L48" s="9" t="inlineStr">
        <is>
          <t>AZUAY</t>
        </is>
      </c>
      <c r="M48" s="9" t="inlineStr">
        <is>
          <t>CUENCA</t>
        </is>
      </c>
      <c r="N48" s="12" t="inlineStr">
        <is>
          <t>AV. ORDÓÑEZ LASSO ENTRE DEL ARRIERO Y ENRIQUE ARÍZAGA TORAL, VÍA A SAN MIGUEL DE PUTUSHÍ, SAN MIGUEL DE PUTUSHÍ, DE LA MENTA ENTRE ORDÓÑEZ LASSO Y DEL MATORRAL, DE LA ORTIGA, DEL ORÉGANO, DEL CULANTRO, BELLAVISTA.</t>
        </is>
      </c>
    </row>
    <row r="49">
      <c r="C49" s="13" t="n"/>
      <c r="D49" s="8" t="n">
        <v>50</v>
      </c>
      <c r="E49" s="9" t="inlineStr">
        <is>
          <t>5015/CABECERA</t>
        </is>
      </c>
      <c r="F49" s="10" t="n">
        <v>770</v>
      </c>
      <c r="G49" s="10" t="n">
        <v>4</v>
      </c>
      <c r="H49" s="10" t="n">
        <v>38</v>
      </c>
      <c r="I49" s="11">
        <f>0.137141157126853*6.0*1.49068636413574</f>
        <v/>
      </c>
      <c r="J49" s="11">
        <f>0.834499369314957*6.0*1.49068636413574</f>
        <v/>
      </c>
      <c r="K49" s="11">
        <f>0.0283594735581893*6.0*1.49068636413574</f>
        <v/>
      </c>
      <c r="L49" s="9" t="inlineStr">
        <is>
          <t>CAÑAR</t>
        </is>
      </c>
      <c r="M49" s="9" t="inlineStr">
        <is>
          <t>LA TRONCAL</t>
        </is>
      </c>
      <c r="N49" s="12" t="inlineStr">
        <is>
          <t>PRODUCARGO, PUNTILLA PARCIAL, BASURERO, RUIDOSO CHICO, 10 DE AGOSTO, ZHUCAY, MANTAREAL, ESTERO HONDO, PUTUCAY, CENTRO PATUL, POGYOS</t>
        </is>
      </c>
    </row>
    <row r="50">
      <c r="C50" s="13" t="n"/>
      <c r="D50" s="14" t="inlineStr">
        <is>
          <t>TOTALES PARCIALES:</t>
        </is>
      </c>
      <c r="E50" s="15" t="n"/>
      <c r="F50" s="10">
        <f>SUM(F41:F49)</f>
        <v/>
      </c>
      <c r="G50" s="10">
        <f>SUM(G41:G49)</f>
        <v/>
      </c>
      <c r="H50" s="10">
        <f>SUM(H41:H49)</f>
        <v/>
      </c>
      <c r="I50" s="11">
        <f>SUM(I41:I49)</f>
        <v/>
      </c>
      <c r="J50" s="11">
        <f>SUM(J41:J49)</f>
        <v/>
      </c>
      <c r="K50" s="11">
        <f>SUM(K41:K49)</f>
        <v/>
      </c>
      <c r="L50" s="9" t="n"/>
      <c r="M50" s="16" t="n"/>
      <c r="N50" s="17" t="n"/>
    </row>
    <row r="51">
      <c r="C51" s="18" t="n"/>
      <c r="D51" s="14" t="inlineStr">
        <is>
          <t>TOTAL:</t>
        </is>
      </c>
      <c r="E51" s="15" t="n"/>
      <c r="F51" s="10">
        <f>SUM(F50, G50, H50)</f>
        <v/>
      </c>
      <c r="G51" s="19" t="n"/>
      <c r="H51" s="20" t="n"/>
      <c r="I51" s="11">
        <f>SUM(I50, J50, K50)</f>
        <v/>
      </c>
      <c r="J51" s="21" t="n"/>
      <c r="K51" s="22" t="n"/>
      <c r="L51" s="23" t="n"/>
      <c r="M51" s="24" t="n"/>
      <c r="N51" s="25" t="n"/>
    </row>
    <row r="53">
      <c r="C53" s="4" t="inlineStr">
        <is>
          <t>BLOQUE 5</t>
        </is>
      </c>
      <c r="D53" s="4" t="inlineStr">
        <is>
          <t>SUBESTACIÓN</t>
        </is>
      </c>
      <c r="E53" s="4" t="inlineStr">
        <is>
          <t>PRIMARIOS A DESCONECTAR</t>
        </is>
      </c>
      <c r="F53" s="4" t="inlineStr">
        <is>
          <t># CLIENTES</t>
        </is>
      </c>
      <c r="G53" s="5" t="n"/>
      <c r="H53" s="6" t="n"/>
      <c r="I53" s="4" t="inlineStr">
        <is>
          <t>DEMANDA PROMEDIO DE LOS PERIODOS (MWh)</t>
        </is>
      </c>
      <c r="J53" s="5" t="n"/>
      <c r="K53" s="6" t="n"/>
      <c r="L53" s="4" t="inlineStr">
        <is>
          <t>PROVINCIA</t>
        </is>
      </c>
      <c r="M53" s="4" t="inlineStr">
        <is>
          <t>CANTON</t>
        </is>
      </c>
      <c r="N53" s="4" t="inlineStr">
        <is>
          <t>SECTORES</t>
        </is>
      </c>
    </row>
    <row r="54">
      <c r="C54" s="2" t="n"/>
      <c r="D54" s="2" t="n"/>
      <c r="E54" s="2" t="n"/>
      <c r="F54" s="4" t="inlineStr">
        <is>
          <t>RESIDENCIAL</t>
        </is>
      </c>
      <c r="G54" s="4" t="inlineStr">
        <is>
          <t>INDUSTRIAL</t>
        </is>
      </c>
      <c r="H54" s="4" t="inlineStr">
        <is>
          <t>COMERCIAL</t>
        </is>
      </c>
      <c r="I54" s="4" t="inlineStr">
        <is>
          <t>RESIDENCIAL</t>
        </is>
      </c>
      <c r="J54" s="4" t="inlineStr">
        <is>
          <t>INDUSTRIAL</t>
        </is>
      </c>
      <c r="K54" s="4" t="inlineStr">
        <is>
          <t>COMERCIAL</t>
        </is>
      </c>
      <c r="L54" s="2" t="n"/>
      <c r="M54" s="2" t="n"/>
      <c r="N54" s="2" t="n"/>
    </row>
    <row r="55">
      <c r="C55" s="7" t="inlineStr">
        <is>
          <t>00:00:00-06:00:00 14:00:00-18:00:00</t>
        </is>
      </c>
      <c r="D55" s="8" t="n">
        <v>9</v>
      </c>
      <c r="E55" s="9" t="inlineStr">
        <is>
          <t>0921/CABECERA</t>
        </is>
      </c>
      <c r="F55" s="10" t="n">
        <v>4731</v>
      </c>
      <c r="G55" s="10" t="n">
        <v>50</v>
      </c>
      <c r="H55" s="10" t="n">
        <v>456</v>
      </c>
      <c r="I55" s="11">
        <f>0.683455705988635*10.0*1.63705166666667</f>
        <v/>
      </c>
      <c r="J55" s="11">
        <f>0.10948986520129*10.0*1.63705166666667</f>
        <v/>
      </c>
      <c r="K55" s="11">
        <f>0.207054428810074*10.0*1.63705166666667</f>
        <v/>
      </c>
      <c r="L55" s="9" t="inlineStr">
        <is>
          <t>CAÑAR</t>
        </is>
      </c>
      <c r="M55" s="9" t="inlineStr">
        <is>
          <t>BIBLIÁN</t>
        </is>
      </c>
      <c r="N55" s="12" t="inlineStr">
        <is>
          <t>AUTOPISTA CUENCA AZOGUES, BIBLIÁN, TURUPAMBA, SAN LUIS DE MANGÁN, EL EMPALME, CUITUM BAJO, MANGÁN, NAZÓN, TENENCORAY, LA VAQUERIA, CAMPO ALEGRE, GULUAY, TASQUI..</t>
        </is>
      </c>
    </row>
    <row r="56">
      <c r="C56" s="13" t="n"/>
      <c r="D56" s="14" t="inlineStr">
        <is>
          <t>TOTALES PARCIALES:</t>
        </is>
      </c>
      <c r="E56" s="15" t="n"/>
      <c r="F56" s="10">
        <f>SUM(F55:F55)</f>
        <v/>
      </c>
      <c r="G56" s="10">
        <f>SUM(G55:G55)</f>
        <v/>
      </c>
      <c r="H56" s="10">
        <f>SUM(H55:H55)</f>
        <v/>
      </c>
      <c r="I56" s="11">
        <f>SUM(I55:I55)</f>
        <v/>
      </c>
      <c r="J56" s="11">
        <f>SUM(J55:J55)</f>
        <v/>
      </c>
      <c r="K56" s="11">
        <f>SUM(K55:K55)</f>
        <v/>
      </c>
      <c r="L56" s="9" t="n"/>
      <c r="M56" s="16" t="n"/>
      <c r="N56" s="17" t="n"/>
    </row>
    <row r="57">
      <c r="C57" s="18" t="n"/>
      <c r="D57" s="14" t="inlineStr">
        <is>
          <t>TOTAL:</t>
        </is>
      </c>
      <c r="E57" s="15" t="n"/>
      <c r="F57" s="10">
        <f>SUM(F56, G56, H56)</f>
        <v/>
      </c>
      <c r="G57" s="19" t="n"/>
      <c r="H57" s="20" t="n"/>
      <c r="I57" s="11">
        <f>SUM(I56, J56, K56)</f>
        <v/>
      </c>
      <c r="J57" s="21" t="n"/>
      <c r="K57" s="22" t="n"/>
      <c r="L57" s="23" t="n"/>
      <c r="M57" s="24" t="n"/>
      <c r="N57" s="25" t="n"/>
    </row>
    <row r="59">
      <c r="C59" s="4" t="inlineStr">
        <is>
          <t>BLOQUE 6</t>
        </is>
      </c>
      <c r="D59" s="4" t="inlineStr">
        <is>
          <t>SUBESTACIÓN</t>
        </is>
      </c>
      <c r="E59" s="4" t="inlineStr">
        <is>
          <t>PRIMARIOS A DESCONECTAR</t>
        </is>
      </c>
      <c r="F59" s="4" t="inlineStr">
        <is>
          <t># CLIENTES</t>
        </is>
      </c>
      <c r="G59" s="5" t="n"/>
      <c r="H59" s="6" t="n"/>
      <c r="I59" s="4" t="inlineStr">
        <is>
          <t>DEMANDA PROMEDIO DE LOS PERIODOS (MWh)</t>
        </is>
      </c>
      <c r="J59" s="5" t="n"/>
      <c r="K59" s="6" t="n"/>
      <c r="L59" s="4" t="inlineStr">
        <is>
          <t>PROVINCIA</t>
        </is>
      </c>
      <c r="M59" s="4" t="inlineStr">
        <is>
          <t>CANTON</t>
        </is>
      </c>
      <c r="N59" s="4" t="inlineStr">
        <is>
          <t>SECTORES</t>
        </is>
      </c>
    </row>
    <row r="60">
      <c r="C60" s="2" t="n"/>
      <c r="D60" s="2" t="n"/>
      <c r="E60" s="2" t="n"/>
      <c r="F60" s="4" t="inlineStr">
        <is>
          <t>RESIDENCIAL</t>
        </is>
      </c>
      <c r="G60" s="4" t="inlineStr">
        <is>
          <t>INDUSTRIAL</t>
        </is>
      </c>
      <c r="H60" s="4" t="inlineStr">
        <is>
          <t>COMERCIAL</t>
        </is>
      </c>
      <c r="I60" s="4" t="inlineStr">
        <is>
          <t>RESIDENCIAL</t>
        </is>
      </c>
      <c r="J60" s="4" t="inlineStr">
        <is>
          <t>INDUSTRIAL</t>
        </is>
      </c>
      <c r="K60" s="4" t="inlineStr">
        <is>
          <t>COMERCIAL</t>
        </is>
      </c>
      <c r="L60" s="2" t="n"/>
      <c r="M60" s="2" t="n"/>
      <c r="N60" s="2" t="n"/>
    </row>
    <row r="61">
      <c r="C61" s="7" t="inlineStr">
        <is>
          <t>05:00:00-09:00:00 15:00:00-20:00:00</t>
        </is>
      </c>
      <c r="D61" s="8" t="n">
        <v>5</v>
      </c>
      <c r="E61" s="9" t="inlineStr">
        <is>
          <t>0522/RECONECT: MEXICO</t>
        </is>
      </c>
      <c r="F61" s="10" t="n">
        <v>4616</v>
      </c>
      <c r="G61" s="10" t="n">
        <v>75</v>
      </c>
      <c r="H61" s="10" t="n">
        <v>1194</v>
      </c>
      <c r="I61" s="11">
        <f>0.444167049800987*9.0*1.7413264</f>
        <v/>
      </c>
      <c r="J61" s="11">
        <f>0.0205791186800433*9.0*1.7413264</f>
        <v/>
      </c>
      <c r="K61" s="11">
        <f>0.53525383151897*9.0*1.7413264</f>
        <v/>
      </c>
      <c r="L61" s="9" t="inlineStr">
        <is>
          <t>AZUAY</t>
        </is>
      </c>
      <c r="M61" s="9" t="inlineStr">
        <is>
          <t>CUENCA</t>
        </is>
      </c>
      <c r="N61" s="12" t="inlineStr">
        <is>
          <t>AV. AMAZONAS, BARRIO LOS SENDEROS, CALLES ECUADOR, COLOMBIA, PARAGUAY, URUGUAY, CHILE, PADUA, AV. UNIDAD NACIONAL, GUAYAS ENTRE UNIDAD NACIONAL Y REMIGIO TAMARIZ, AV. REMIGIO CRESPO ENTRE AMÉRICAS Y LOJA, AV. DEL BATÁN ENTRE AMÉRICAS Y LOS RÍOS, AV. 12 DE ABRIL ENTRE AMÉRICAS Y LOS RÍOS, COLISEO JEFFERSON PÉREZ, PISCINA OLÍMPICA, AV. GRAN COLOMBIA ENTRE AMÉRICAS Y MIGUEL MOROCHO, ZONA ROSA.</t>
        </is>
      </c>
    </row>
    <row r="62">
      <c r="C62" s="13" t="n"/>
      <c r="D62" s="8" t="n">
        <v>18</v>
      </c>
      <c r="E62" s="9" t="inlineStr">
        <is>
          <t>1824/RECONECT: CAÑAR 24 MAYO</t>
        </is>
      </c>
      <c r="F62" s="10" t="n">
        <v>1194</v>
      </c>
      <c r="G62" s="10" t="n">
        <v>12</v>
      </c>
      <c r="H62" s="10" t="n">
        <v>64</v>
      </c>
      <c r="I62" s="11">
        <f>0.655647871220512*9.0*0.201403666666667</f>
        <v/>
      </c>
      <c r="J62" s="11">
        <f>0.209451343227898*9.0*0.201403666666667</f>
        <v/>
      </c>
      <c r="K62" s="11">
        <f>0.13490078555159*9.0*0.201403666666667</f>
        <v/>
      </c>
      <c r="L62" s="9" t="inlineStr">
        <is>
          <t>CAÑAR</t>
        </is>
      </c>
      <c r="M62" s="9" t="inlineStr">
        <is>
          <t>CAÑAR</t>
        </is>
      </c>
      <c r="N62" s="12" t="inlineStr">
        <is>
          <t>SIGSIHUAYCO/ LA PLAYA TAMBO/ COYOCTOR</t>
        </is>
      </c>
    </row>
    <row r="63">
      <c r="C63" s="13" t="n"/>
      <c r="D63" s="8" t="n">
        <v>21</v>
      </c>
      <c r="E63" s="9" t="inlineStr">
        <is>
          <t>2121/RECONECTADOR MANUEL MONCAYO</t>
        </is>
      </c>
      <c r="F63" s="10" t="n">
        <v>1559</v>
      </c>
      <c r="G63" s="10" t="n">
        <v>12</v>
      </c>
      <c r="H63" s="10" t="n">
        <v>493</v>
      </c>
      <c r="I63" s="11">
        <f>0.565926720234159*9.0*1.0516675</f>
        <v/>
      </c>
      <c r="J63" s="11">
        <f>0.0177536980735285*9.0*1.0516675</f>
        <v/>
      </c>
      <c r="K63" s="11">
        <f>0.416319581692313*9.0*1.0516675</f>
        <v/>
      </c>
      <c r="L63" s="9" t="inlineStr">
        <is>
          <t>MORONA SANTIAGO</t>
        </is>
      </c>
      <c r="M63" s="9" t="inlineStr">
        <is>
          <t>MORONA</t>
        </is>
      </c>
      <c r="N63" s="12" t="inlineStr">
        <is>
          <t>BARRIO ROSARIO DESDE LA CALLE HERMITA AL SUR, BARRIO LOS VERGELES, BARRIO VALLE DEL UPANO, LA ALBORADA, AV. LUIS FELIPE JARAMILLO, TERMINAL TERRESTRE DE MACAS, BARRIO AMAZONAS (DESDE LA AV. AMAZONAS HASTA LA CALLE RODRIGO NÚÑEZ DE BONILLA), SECTOR DE LAS PISCINAS MUNICIPALES, PASAJE LOS CANELOS, ANTIGUO HOSPITAL DE MACAS, AV. 24 DE MAYO (HASTA LA CALLE QUITO), SECTOR LA BARBACOA, BAJA DEL UPANO HASTA LA AV. DE LA CIUDAD, BANCO DEL PICHINCHA, COLISEO LOS CANELOS, CUERPO DE BOMBEROS DE MACAS, SECTOR COLEGIO DON BOSCO, SECTOR COLEGIO MARÍA AUXILIADORA, GOBIERNO MUNICIPAL DE MORONA, GOBIERNO PROVINCIAL DE MORONA SANTIAGO, CNT, COLISEO 29 DE MAYO, AV. DON BOSCO, PARQUE RECREACIONAL, SECTOR COLISEO LA LAGUNA, PASAJE MIRADOR, UNIVERSIDAD ESPOCH, ESTADIO TITO NAVARRETE, SECTOR RECINTO FERIAL, CALLE PADRE ALBINO DEL CURTO, BARRIO TINGUICHACA DESDE LA CALLE VICTORIA CARVAJAL, BARRIO 5 DE OCTUBRE DESDE LA CALLE CATALINA VILLAREAL, BARRIO JARDÍN DEL UPANO DESDE LA AV. 13 DE ABRIL, VÍA A PROAÑO, GENERAL PROAÑO SECTOR PARQUE CENTRAL Y JUNTA PARROQUIAL, NUEVO JERUSALÉN, PACCHA, HUACHO - DOMINGO, SAN ISIDRO.</t>
        </is>
      </c>
    </row>
    <row r="64">
      <c r="C64" s="13" t="n"/>
      <c r="D64" s="8" t="n">
        <v>22</v>
      </c>
      <c r="E64" s="9" t="inlineStr">
        <is>
          <t>2213/CABECERA</t>
        </is>
      </c>
      <c r="F64" s="10" t="n">
        <v>753</v>
      </c>
      <c r="G64" s="10" t="n">
        <v>6</v>
      </c>
      <c r="H64" s="10" t="n">
        <v>138</v>
      </c>
      <c r="I64" s="11">
        <f>0.44263052261519*9.0*0.484314</f>
        <v/>
      </c>
      <c r="J64" s="11">
        <f>0.0106714922809435*9.0*0.484314</f>
        <v/>
      </c>
      <c r="K64" s="11">
        <f>0.546697985103866*9.0*0.484314</f>
        <v/>
      </c>
      <c r="L64" s="9" t="inlineStr">
        <is>
          <t>MORONA SANTIAGO</t>
        </is>
      </c>
      <c r="M64" s="9" t="inlineStr">
        <is>
          <t>SANTIAGO DE MÉNDEZ Y TIWINTZA</t>
        </is>
      </c>
      <c r="N64" s="12" t="inlineStr">
        <is>
          <t>SANTIAGO, SAN JOSÉ DE MORONA, PATUCA, YAUPI.</t>
        </is>
      </c>
    </row>
    <row r="65">
      <c r="C65" s="13" t="n"/>
      <c r="D65" s="8" t="n">
        <v>50</v>
      </c>
      <c r="E65" s="9" t="inlineStr">
        <is>
          <t>5012/RECONECT: EL ZAFRERO</t>
        </is>
      </c>
      <c r="F65" s="10" t="n">
        <v>2223</v>
      </c>
      <c r="G65" s="10" t="n">
        <v>5</v>
      </c>
      <c r="H65" s="10" t="n">
        <v>256</v>
      </c>
      <c r="I65" s="11">
        <f>0.750604541499888*9.0*1.05523595884603</f>
        <v/>
      </c>
      <c r="J65" s="11">
        <f>0.00364921111130392*9.0*1.05523595884603</f>
        <v/>
      </c>
      <c r="K65" s="11">
        <f>0.245746247388808*9.0*1.05523595884603</f>
        <v/>
      </c>
      <c r="L65" s="9" t="inlineStr">
        <is>
          <t>CAÑAR</t>
        </is>
      </c>
      <c r="M65" s="9" t="inlineStr">
        <is>
          <t>LA TRONCAL</t>
        </is>
      </c>
      <c r="N65" s="12" t="inlineStr">
        <is>
          <t>SAN VALENTIN, BCO DE LA VIVIENDA, JUAN HIDALGO, COLISEO, CDLA MENDIETA, MARTA DE ROLDOS, ZONA NORTE VOLUNTAD DE DIOS</t>
        </is>
      </c>
    </row>
    <row r="66">
      <c r="C66" s="13" t="n"/>
      <c r="D66" s="8" t="n">
        <v>50</v>
      </c>
      <c r="E66" s="9" t="inlineStr">
        <is>
          <t>5014/CABECERA</t>
        </is>
      </c>
      <c r="F66" s="10" t="n">
        <v>1763</v>
      </c>
      <c r="G66" s="10" t="n">
        <v>7</v>
      </c>
      <c r="H66" s="10" t="n">
        <v>331</v>
      </c>
      <c r="I66" s="11">
        <f>0.5066328009409*9.0*1.18908780688477</f>
        <v/>
      </c>
      <c r="J66" s="11">
        <f>0.00982550621127626*9.0*1.18908780688477</f>
        <v/>
      </c>
      <c r="K66" s="11">
        <f>0.483541692847823*9.0*1.18908780688477</f>
        <v/>
      </c>
      <c r="L66" s="9" t="inlineStr">
        <is>
          <t>CAÑAR</t>
        </is>
      </c>
      <c r="M66" s="9" t="inlineStr">
        <is>
          <t>LA TRONCAL</t>
        </is>
      </c>
      <c r="N66" s="12" t="inlineStr">
        <is>
          <t>CDLA. UNIDOS VENCEREMOS, TERMINAL TERRESTRE, PUNTILLA, PANCHO NEGRO, LA NORMITA, 40 CUADRAS, LA MOLIENDA, BALNEARIO PEDREGAL, SAN LUIS, SAN VICENTE EL CISNE, EL PORVENIR.</t>
        </is>
      </c>
    </row>
    <row r="67">
      <c r="C67" s="13" t="n"/>
      <c r="D67" s="14" t="inlineStr">
        <is>
          <t>TOTALES PARCIALES:</t>
        </is>
      </c>
      <c r="E67" s="15" t="n"/>
      <c r="F67" s="10">
        <f>SUM(F61:F66)</f>
        <v/>
      </c>
      <c r="G67" s="10">
        <f>SUM(G61:G66)</f>
        <v/>
      </c>
      <c r="H67" s="10">
        <f>SUM(H61:H66)</f>
        <v/>
      </c>
      <c r="I67" s="11">
        <f>SUM(I61:I66)</f>
        <v/>
      </c>
      <c r="J67" s="11">
        <f>SUM(J61:J66)</f>
        <v/>
      </c>
      <c r="K67" s="11">
        <f>SUM(K61:K66)</f>
        <v/>
      </c>
      <c r="L67" s="9" t="n"/>
      <c r="M67" s="16" t="n"/>
      <c r="N67" s="17" t="n"/>
    </row>
    <row r="68">
      <c r="C68" s="18" t="n"/>
      <c r="D68" s="14" t="inlineStr">
        <is>
          <t>TOTAL:</t>
        </is>
      </c>
      <c r="E68" s="15" t="n"/>
      <c r="F68" s="10">
        <f>SUM(F67, G67, H67)</f>
        <v/>
      </c>
      <c r="G68" s="19" t="n"/>
      <c r="H68" s="20" t="n"/>
      <c r="I68" s="11">
        <f>SUM(I67, J67, K67)</f>
        <v/>
      </c>
      <c r="J68" s="21" t="n"/>
      <c r="K68" s="22" t="n"/>
      <c r="L68" s="23" t="n"/>
      <c r="M68" s="24" t="n"/>
      <c r="N68" s="25" t="n"/>
    </row>
    <row r="70">
      <c r="C70" s="4" t="inlineStr">
        <is>
          <t>BLOQUE 7</t>
        </is>
      </c>
      <c r="D70" s="4" t="inlineStr">
        <is>
          <t>SUBESTACIÓN</t>
        </is>
      </c>
      <c r="E70" s="4" t="inlineStr">
        <is>
          <t>PRIMARIOS A DESCONECTAR</t>
        </is>
      </c>
      <c r="F70" s="4" t="inlineStr">
        <is>
          <t># CLIENTES</t>
        </is>
      </c>
      <c r="G70" s="5" t="n"/>
      <c r="H70" s="6" t="n"/>
      <c r="I70" s="4" t="inlineStr">
        <is>
          <t>DEMANDA PROMEDIO DE LOS PERIODOS (MWh)</t>
        </is>
      </c>
      <c r="J70" s="5" t="n"/>
      <c r="K70" s="6" t="n"/>
      <c r="L70" s="4" t="inlineStr">
        <is>
          <t>PROVINCIA</t>
        </is>
      </c>
      <c r="M70" s="4" t="inlineStr">
        <is>
          <t>CANTON</t>
        </is>
      </c>
      <c r="N70" s="4" t="inlineStr">
        <is>
          <t>SECTORES</t>
        </is>
      </c>
    </row>
    <row r="71">
      <c r="C71" s="2" t="n"/>
      <c r="D71" s="2" t="n"/>
      <c r="E71" s="2" t="n"/>
      <c r="F71" s="4" t="inlineStr">
        <is>
          <t>RESIDENCIAL</t>
        </is>
      </c>
      <c r="G71" s="4" t="inlineStr">
        <is>
          <t>INDUSTRIAL</t>
        </is>
      </c>
      <c r="H71" s="4" t="inlineStr">
        <is>
          <t>COMERCIAL</t>
        </is>
      </c>
      <c r="I71" s="4" t="inlineStr">
        <is>
          <t>RESIDENCIAL</t>
        </is>
      </c>
      <c r="J71" s="4" t="inlineStr">
        <is>
          <t>INDUSTRIAL</t>
        </is>
      </c>
      <c r="K71" s="4" t="inlineStr">
        <is>
          <t>COMERCIAL</t>
        </is>
      </c>
      <c r="L71" s="2" t="n"/>
      <c r="M71" s="2" t="n"/>
      <c r="N71" s="2" t="n"/>
    </row>
    <row r="72">
      <c r="C72" s="7" t="inlineStr">
        <is>
          <t>05:00:00-10:00:00 14:00:00-19:00:00</t>
        </is>
      </c>
      <c r="D72" s="8" t="n">
        <v>8</v>
      </c>
      <c r="E72" s="9" t="inlineStr">
        <is>
          <t>0822/RECONECT: 12 OCTUBRE 1</t>
        </is>
      </c>
      <c r="F72" s="10" t="n">
        <v>3357</v>
      </c>
      <c r="G72" s="10" t="n">
        <v>44</v>
      </c>
      <c r="H72" s="10" t="n">
        <v>379</v>
      </c>
      <c r="I72" s="11">
        <f>0.704182834136683*10.0*0.8324925</f>
        <v/>
      </c>
      <c r="J72" s="11">
        <f>0.0545201746452118*10.0*0.8324925</f>
        <v/>
      </c>
      <c r="K72" s="11">
        <f>0.241296991218105*10.0*0.8324925</f>
        <v/>
      </c>
      <c r="L72" s="9" t="inlineStr">
        <is>
          <t>AZUAY</t>
        </is>
      </c>
      <c r="M72" s="9" t="inlineStr">
        <is>
          <t>CUENCA</t>
        </is>
      </c>
      <c r="N72" s="12" t="inlineStr">
        <is>
          <t>AV. DON BOSCO Y 12 DE OCTUBRE; AV. DON BOSCO Y LAS CALLES TRANSVERSALES VAZCO NUÑEZ DE BALBOA, BARTOLOME RUIZ, FRANCISCO DE ORELLA, MIGUEL DE CERVANTES, LA PINTA, SANTA MARIA;  CALLE UNAMUNO; CALLE MENDEZ PIDAL Y MIGUEL DE CERVANTES; CALLE CRISTOBAL COLON Y LAS TRASVERSALES LOPE DE VEGA, MIGUEL HERNANDEZ, PIO BAROJA, FRANCISCO DE ORELLANA, FEDERICO GARCIA LORCA; CALLE FEDERICO GARCIA LORCA; CALLE GASPAR DE JOVELLANOS; CALLE ISABELA CATOLICA, CALLE PEDRO DE ROCHA; CALLE PEDRO CALDERON DE LA BARCA, CALLE GUSTAVO ADOLFO BECQUER, CALLE LOS JUGLARES; SECTOR AV. ISABELA CATOLICA Y LAS CALLES TRANSVERSALES FRANCISCO DE ORELLANA, RAMON Y CAJAL, MIGUEL ANGEL ASTURIAS, MIGUEL DE CERVANTES</t>
        </is>
      </c>
    </row>
    <row r="73">
      <c r="C73" s="13" t="n"/>
      <c r="D73" s="8" t="n">
        <v>8</v>
      </c>
      <c r="E73" s="9" t="inlineStr">
        <is>
          <t>0822/RECONECT: 12 OCTUBRE 2</t>
        </is>
      </c>
      <c r="F73" s="10" t="n">
        <v>960</v>
      </c>
      <c r="G73" s="10" t="n">
        <v>19</v>
      </c>
      <c r="H73" s="10" t="n">
        <v>137</v>
      </c>
      <c r="I73" s="11">
        <f>0.251279609417439*10.0*1.179364375</f>
        <v/>
      </c>
      <c r="J73" s="11">
        <f>0.0158650397378102*10.0*1.179364375</f>
        <v/>
      </c>
      <c r="K73" s="11">
        <f>0.732855350844751*10.0*1.179364375</f>
        <v/>
      </c>
      <c r="L73" s="9" t="inlineStr">
        <is>
          <t>AZUAY</t>
        </is>
      </c>
      <c r="M73" s="9" t="inlineStr">
        <is>
          <t>CUENCA</t>
        </is>
      </c>
      <c r="N73" s="12" t="inlineStr">
        <is>
          <t>DON BOSCO ENTRE 12 DE OCTUBRE Y TRES PUENTES, FELIPE II ENTRE DON BOSCO Y AUTOPISTA. JOSÉ ORTEGA Y GASSET, FERNANDO DE ARAGÓN, FRAY LUIS DE LEÓN</t>
        </is>
      </c>
    </row>
    <row r="74">
      <c r="C74" s="13" t="n"/>
      <c r="D74" s="8" t="n">
        <v>8</v>
      </c>
      <c r="E74" s="9" t="inlineStr">
        <is>
          <t>0824/RECONECT: SAN ANTONIO GAPAL</t>
        </is>
      </c>
      <c r="F74" s="10" t="n">
        <v>5739</v>
      </c>
      <c r="G74" s="10" t="n">
        <v>69</v>
      </c>
      <c r="H74" s="10" t="n">
        <v>295</v>
      </c>
      <c r="I74" s="11">
        <f>0.844580939396776*10.0*0.958601285714286</f>
        <v/>
      </c>
      <c r="J74" s="11">
        <f>0.0239631045672536*10.0*0.958601285714286</f>
        <v/>
      </c>
      <c r="K74" s="11">
        <f>0.131455956035971*10.0*0.958601285714286</f>
        <v/>
      </c>
      <c r="L74" s="9" t="inlineStr">
        <is>
          <t>AZUAY</t>
        </is>
      </c>
      <c r="M74" s="9" t="inlineStr">
        <is>
          <t>CUENCA</t>
        </is>
      </c>
      <c r="N74" s="12" t="inlineStr">
        <is>
          <t>VIRGEN DEL CISNE, SAN JOSÉ DE LA PLAYA, SAN MIGUEL DE EL VALLE, MOROCHO QUIGUA,  LA PLAYA EL VALLE, LOS LAURELES CENTRO, EL VALLE CENTRO, LA VICTORIA, POLOMA, SANTA MARTHA VALLE, CASTILLA CRUZ, CHILCAPAMBA, QUILLOPUNGO, SAN ANTONIO DE EL VALLE, PAREDONES DE EL VALLE, CRUZ DEL CAMINO.QUILLOPUNGO, SAN ANTONIO VALLE, PAREDONES VALLE, CRUZ DEL CAMINO, CURIQUINGA, MALUAY, MOSQUERA.</t>
        </is>
      </c>
    </row>
    <row r="75">
      <c r="C75" s="13" t="n"/>
      <c r="D75" s="8" t="n">
        <v>12</v>
      </c>
      <c r="E75" s="9" t="inlineStr">
        <is>
          <t>1221/CABECERA</t>
        </is>
      </c>
      <c r="F75" s="10" t="n">
        <v>2209</v>
      </c>
      <c r="G75" s="10" t="n">
        <v>13</v>
      </c>
      <c r="H75" s="10" t="n">
        <v>151</v>
      </c>
      <c r="I75" s="11">
        <f>0.533909840824107*10.0*2.641684</f>
        <v/>
      </c>
      <c r="J75" s="11">
        <f>0.126483775554921*10.0*2.641684</f>
        <v/>
      </c>
      <c r="K75" s="11">
        <f>0.339606383620972*10.0*2.641684</f>
        <v/>
      </c>
      <c r="L75" s="9" t="inlineStr">
        <is>
          <t>AZUAY</t>
        </is>
      </c>
      <c r="M75" s="9" t="inlineStr">
        <is>
          <t>CUENCA</t>
        </is>
      </c>
      <c r="N75" s="12" t="inlineStr">
        <is>
          <t>AUTOPISTA CUENCA AZOGUES DESDE LA CALLE CULTURA SALASACA HASTA COLINAS DE CHALLUABAMBA, CALLES: PUEBLO DE LOS QUITUS, CULTURA YUMBO, DOÑA LEONORCITA FAJARDO SAENZ, CULTURA MANTEÑA, CULTURA LOS PASTOS, CULTURA HUANCAVILCA, CULTURA IMBAYA, CULTURA MONJASHUAYCO, CULTURA LOS PASTOS, CULTURA MANTEÑA, CULTURA JAMA, CULTURA CHIRIJE, CULTURA GUANGALA, CULTURA COSANGA, CULTURA QUILLASINGA, CULTURA COSANGA, CULTURA PIRINCAY,QUEBRADA ALLPAYACU,  CULTURA EL ÁNGEL, CULTURA EL INGA, CULTURA LAS VEGAS, GUILLERMO VÁZQUEZ, DE LOS DIAMANATES, DE LOS RUBÍES, DE LOS CRISTALES, DE LOS TOPACIOS, DEL ONIX, DEL BOMBERO, PUEBLO DE LOS QUITUS, DON REINALDO, SECTORES: NULTI, APANGORAS, EL PLATEADO, LLATCÓN, PUICAY, TABLÓN NULTI, CHALLUABAMBA, IGUILA, GUAGUALSHUMI, EL ARENAL NULTI, PANAMERICANA NORTE DESDE EL DESCANSO HACIA ZONA AUSTROGAS. PETROCOMERCIAL, ROCA AZUL, CRUZLOMA,EL DESCANSO, GUACHÚN, SAN CRISTÓBAL, LA VICTORIA, LA RAMADA, PASTOPAMBA, PUEBLO NUEVO, GUANGARCUCHO, SAN JUANPAMBA, LLATCON, CHOCARSÍ, EL PROGRESO, VEGASPAMBA, JADÁN, GRANDA, INGAMULLO, CHICHÍN, LLAZHATAN, JABASPAMBA, GRANDA.</t>
        </is>
      </c>
    </row>
    <row r="76">
      <c r="C76" s="13" t="n"/>
      <c r="D76" s="8" t="n">
        <v>15</v>
      </c>
      <c r="E76" s="9" t="inlineStr">
        <is>
          <t>1524/CABECERA</t>
        </is>
      </c>
      <c r="F76" s="10" t="n">
        <v>3722</v>
      </c>
      <c r="G76" s="10" t="n">
        <v>73</v>
      </c>
      <c r="H76" s="10" t="n">
        <v>580</v>
      </c>
      <c r="I76" s="11">
        <f>0.71840523437999*10.0*1.839446</f>
        <v/>
      </c>
      <c r="J76" s="11">
        <f>0.0374394876060223*10.0*1.839446</f>
        <v/>
      </c>
      <c r="K76" s="11">
        <f>0.244155278013988*10.0*1.839446</f>
        <v/>
      </c>
      <c r="L76" s="9" t="inlineStr">
        <is>
          <t>AZUAY</t>
        </is>
      </c>
      <c r="M76" s="9" t="inlineStr">
        <is>
          <t>CHORDELEG</t>
        </is>
      </c>
      <c r="N76" s="12" t="inlineStr">
        <is>
          <t>CHORDELEG CENTRO, LA UNIÓN, SAN MARTÍN DE PUZHIO, CAPILLAPAMBA, DELEGSOL, PRINCIPAL, GUEL, PANZHA, RURCAJ, VÍA ZHOTOR - GUEL, CALLE ESPINOZA, CALLE DE LA COMUNA DE SAN SEBASTIÁN, CALLE SUCRE, CALLE BOLÍVAR, CALLE TORRES, 16 DE ABRIL, LUIS MOSCOSO DÁVILA, MUNICIPIO, VEGA MUÑOZ, RERON, CURÍN, ZHOTOR ALTO.</t>
        </is>
      </c>
    </row>
    <row r="77">
      <c r="C77" s="13" t="n"/>
      <c r="D77" s="8" t="n">
        <v>21</v>
      </c>
      <c r="E77" s="9" t="inlineStr">
        <is>
          <t>2127/CABECERA</t>
        </is>
      </c>
      <c r="F77" s="10" t="n">
        <v>1544</v>
      </c>
      <c r="G77" s="10" t="n">
        <v>9</v>
      </c>
      <c r="H77" s="10" t="n">
        <v>406</v>
      </c>
      <c r="I77" s="11">
        <f>0.608984565317737*10.0*1.674578</f>
        <v/>
      </c>
      <c r="J77" s="11">
        <f>0.0376527587978653*10.0*1.674578</f>
        <v/>
      </c>
      <c r="K77" s="11">
        <f>0.353362675884398*10.0*1.674578</f>
        <v/>
      </c>
      <c r="L77" s="9" t="inlineStr">
        <is>
          <t>MORONA SANTIAGO</t>
        </is>
      </c>
      <c r="M77" s="9" t="inlineStr">
        <is>
          <t>SUCÚA Y LOGROÑO</t>
        </is>
      </c>
      <c r="N77" s="12" t="inlineStr">
        <is>
          <t>PARROQUIA SANTA MARIANITA DESDE LA AV. TRONCAL AMAZÓNICA HASTA LA CALLE H, BARRIO EL BELÉN DESDE LA AV. TRONCAL AMAZÓNICA HASTA EL RÍO SUNGAIME, BARRIO EL TERMINAL DESDE LA AV. TRONCAL AMAZONIA HASTA EL RÍO SUNGAIME, URBANIZACIÓN AMAZONAS, BARRIO LA CRUZ, BARRIO NORTE, BARRIO EL PARAÍSO, BARRIO EL PROGRESO, BARRIO CENTRO, BARRIO 8 DE DICIEMBRE, BARRIO 12 DE FEBRERO, BARRIO SUR, BARRIO AEROPUERTO,  BARRIO 4 DE OCTUBRE, BARRIO LOS ARTESANOS, BARRIO EL NAZARENO, PARROQUIA LA ASUNCIÓN Y SUS COMUNIDADES, EL TRIUNFO, HUAMBINIMI, PARROQUIA HUAMBI Y SUS COMUNIDADES, LOGROÑO Y SUS COMUNIDADES, PARROQUIA SHIMPIS Y SUS COMUNIDADES.</t>
        </is>
      </c>
    </row>
    <row r="78">
      <c r="C78" s="13" t="n"/>
      <c r="D78" s="14" t="inlineStr">
        <is>
          <t>TOTALES PARCIALES:</t>
        </is>
      </c>
      <c r="E78" s="15" t="n"/>
      <c r="F78" s="10">
        <f>SUM(F72:F77)</f>
        <v/>
      </c>
      <c r="G78" s="10">
        <f>SUM(G72:G77)</f>
        <v/>
      </c>
      <c r="H78" s="10">
        <f>SUM(H72:H77)</f>
        <v/>
      </c>
      <c r="I78" s="11">
        <f>SUM(I72:I77)</f>
        <v/>
      </c>
      <c r="J78" s="11">
        <f>SUM(J72:J77)</f>
        <v/>
      </c>
      <c r="K78" s="11">
        <f>SUM(K72:K77)</f>
        <v/>
      </c>
      <c r="L78" s="9" t="n"/>
      <c r="M78" s="16" t="n"/>
      <c r="N78" s="17" t="n"/>
    </row>
    <row r="79">
      <c r="C79" s="18" t="n"/>
      <c r="D79" s="14" t="inlineStr">
        <is>
          <t>TOTAL:</t>
        </is>
      </c>
      <c r="E79" s="15" t="n"/>
      <c r="F79" s="10">
        <f>SUM(F78, G78, H78)</f>
        <v/>
      </c>
      <c r="G79" s="19" t="n"/>
      <c r="H79" s="20" t="n"/>
      <c r="I79" s="11">
        <f>SUM(I78, J78, K78)</f>
        <v/>
      </c>
      <c r="J79" s="21" t="n"/>
      <c r="K79" s="22" t="n"/>
      <c r="L79" s="23" t="n"/>
      <c r="M79" s="24" t="n"/>
      <c r="N79" s="25" t="n"/>
    </row>
    <row r="81">
      <c r="C81" s="4" t="inlineStr">
        <is>
          <t>BLOQUE 8</t>
        </is>
      </c>
      <c r="D81" s="4" t="inlineStr">
        <is>
          <t>SUBESTACIÓN</t>
        </is>
      </c>
      <c r="E81" s="4" t="inlineStr">
        <is>
          <t>PRIMARIOS A DESCONECTAR</t>
        </is>
      </c>
      <c r="F81" s="4" t="inlineStr">
        <is>
          <t># CLIENTES</t>
        </is>
      </c>
      <c r="G81" s="5" t="n"/>
      <c r="H81" s="6" t="n"/>
      <c r="I81" s="4" t="inlineStr">
        <is>
          <t>DEMANDA PROMEDIO DE LOS PERIODOS (MWh)</t>
        </is>
      </c>
      <c r="J81" s="5" t="n"/>
      <c r="K81" s="6" t="n"/>
      <c r="L81" s="4" t="inlineStr">
        <is>
          <t>PROVINCIA</t>
        </is>
      </c>
      <c r="M81" s="4" t="inlineStr">
        <is>
          <t>CANTON</t>
        </is>
      </c>
      <c r="N81" s="4" t="inlineStr">
        <is>
          <t>SECTORES</t>
        </is>
      </c>
    </row>
    <row r="82">
      <c r="C82" s="2" t="n"/>
      <c r="D82" s="2" t="n"/>
      <c r="E82" s="2" t="n"/>
      <c r="F82" s="4" t="inlineStr">
        <is>
          <t>RESIDENCIAL</t>
        </is>
      </c>
      <c r="G82" s="4" t="inlineStr">
        <is>
          <t>INDUSTRIAL</t>
        </is>
      </c>
      <c r="H82" s="4" t="inlineStr">
        <is>
          <t>COMERCIAL</t>
        </is>
      </c>
      <c r="I82" s="4" t="inlineStr">
        <is>
          <t>RESIDENCIAL</t>
        </is>
      </c>
      <c r="J82" s="4" t="inlineStr">
        <is>
          <t>INDUSTRIAL</t>
        </is>
      </c>
      <c r="K82" s="4" t="inlineStr">
        <is>
          <t>COMERCIAL</t>
        </is>
      </c>
      <c r="L82" s="2" t="n"/>
      <c r="M82" s="2" t="n"/>
      <c r="N82" s="2" t="n"/>
    </row>
    <row r="83">
      <c r="C83" s="7" t="inlineStr">
        <is>
          <t>06:00:00-10:00:00 15:00:00-21:00:00</t>
        </is>
      </c>
      <c r="D83" s="8" t="n">
        <v>1</v>
      </c>
      <c r="E83" s="9" t="inlineStr">
        <is>
          <t>0102/CABECERA</t>
        </is>
      </c>
      <c r="F83" s="10" t="n">
        <v>768</v>
      </c>
      <c r="G83" s="10" t="n">
        <v>12</v>
      </c>
      <c r="H83" s="10" t="n">
        <v>1324</v>
      </c>
      <c r="I83" s="11">
        <f>0.142866103356568*10.0*0.790060213928223</f>
        <v/>
      </c>
      <c r="J83" s="11">
        <f>0.0082564822216657*10.0*0.790060213928223</f>
        <v/>
      </c>
      <c r="K83" s="11">
        <f>0.848877414421767*10.0*0.790060213928223</f>
        <v/>
      </c>
      <c r="L83" s="9" t="inlineStr">
        <is>
          <t>AZUAY</t>
        </is>
      </c>
      <c r="M83" s="9" t="inlineStr">
        <is>
          <t>CUENCA</t>
        </is>
      </c>
      <c r="N83" s="12" t="inlineStr">
        <is>
          <t>SANGURIMA ENTRE LUIS CORDERO Y HEMANO MIGUEL, LAMAR ENTRE LUIS CORDERO Y MARIANO CUEVA, GRAN COLOMBIA ENTRE BENIGNO MALO  Y HERMANO MIGUEL, BOLÍVAR ENTRE BENIGNO MALO Y MARIANO CUEVA, SUCRE ENTRE BORRERO Y HMNO. MIGUEL, GOBERNACIÓN, IESS. LUIS CORDERO ENTRE SANGURIMA Y RAFAEL MARÍA ARÍZAGA, LUIS CORDERO ENTRE BOLÍVAR Y GRAN COLOMBIA, BENIGNO MALO ENTRE BOLÍVAR Y LAMAR, BORRERO ENTRE PRESIDENTE CÓRDOVA Y VEGA MUÑOZ, HERMANO MIGUEL ENTRE SUCRE Y SANGURIMA, MARIANO CUEVA ENTRE SUCRE Y BOLÍVAR.</t>
        </is>
      </c>
    </row>
    <row r="84">
      <c r="C84" s="13" t="n"/>
      <c r="D84" s="8" t="n">
        <v>2</v>
      </c>
      <c r="E84" s="9" t="inlineStr">
        <is>
          <t>0204/CABECERA</t>
        </is>
      </c>
      <c r="F84" s="10" t="n">
        <v>359</v>
      </c>
      <c r="G84" s="10" t="n">
        <v>2</v>
      </c>
      <c r="H84" s="10" t="n">
        <v>632</v>
      </c>
      <c r="I84" s="11">
        <f>0.116247929431062*10.0*1.1255175</f>
        <v/>
      </c>
      <c r="J84" s="11">
        <f>0.000142882425098463*10.0*1.1255175</f>
        <v/>
      </c>
      <c r="K84" s="11">
        <f>0.88360918814384*10.0*1.1255175</f>
        <v/>
      </c>
      <c r="L84" s="9" t="inlineStr">
        <is>
          <t>AZUAY</t>
        </is>
      </c>
      <c r="M84" s="9" t="inlineStr">
        <is>
          <t>CUENCA</t>
        </is>
      </c>
      <c r="N84" s="12" t="inlineStr">
        <is>
          <t>PARQUE DE LA MADRE, HOSPITAL MILITAR, SINDICATO CHOFERES, CORTE SUPREMA, MILENIUM. AV. 12 DE ABRIL ENTRE SOLANO Y LOS FRESNOS, FLORENCIA ASTUDILLO ENTRE SOLANO Y DOCE DE ABRIL, JOSÉ PERALTA ENTRE DOCE DE ABRIL Y ESTADIO, MUNUEL J CALLE ENTRE DOCE DE ABRIL Y ESTADIO</t>
        </is>
      </c>
    </row>
    <row r="85">
      <c r="C85" s="13" t="n"/>
      <c r="D85" s="8" t="n">
        <v>4</v>
      </c>
      <c r="E85" s="9" t="inlineStr">
        <is>
          <t>0423/CABECERA</t>
        </is>
      </c>
      <c r="F85" s="10" t="n">
        <v>4534</v>
      </c>
      <c r="G85" s="10" t="n">
        <v>118</v>
      </c>
      <c r="H85" s="10" t="n">
        <v>362</v>
      </c>
      <c r="I85" s="11">
        <f>0.733541971538894*10.0*2.683834064375</f>
        <v/>
      </c>
      <c r="J85" s="11">
        <f>0.0586117665387264*10.0*2.683834064375</f>
        <v/>
      </c>
      <c r="K85" s="11">
        <f>0.20784626192238*10.0*2.683834064375</f>
        <v/>
      </c>
      <c r="L85" s="9" t="inlineStr">
        <is>
          <t>AZUAY</t>
        </is>
      </c>
      <c r="M85" s="9" t="inlineStr">
        <is>
          <t>CUENCA</t>
        </is>
      </c>
      <c r="N85" s="12" t="inlineStr">
        <is>
          <t>EL CARMEN DE SININCAY, CRUCE DEL CARMEN, BARRIO SANTA FE, EL TABLÓN DE LAS ORQUÍDEAS, AV. BARRIAL BLANCO, DE LAS AREPAS, AV. TURUHUAYCO, AV. MANUEL ANTONIO MUÑOZ BORRERO, CUMANA.</t>
        </is>
      </c>
    </row>
    <row r="86">
      <c r="C86" s="13" t="n"/>
      <c r="D86" s="8" t="n">
        <v>5</v>
      </c>
      <c r="E86" s="9" t="inlineStr">
        <is>
          <t>0523/CABECERA</t>
        </is>
      </c>
      <c r="F86" s="10" t="n">
        <v>1869</v>
      </c>
      <c r="G86" s="10" t="n">
        <v>30</v>
      </c>
      <c r="H86" s="10" t="n">
        <v>190</v>
      </c>
      <c r="I86" s="11">
        <f>0.554241881589713*10.0*0.5676</f>
        <v/>
      </c>
      <c r="J86" s="11">
        <f>0.132250381509159*10.0*0.5676</f>
        <v/>
      </c>
      <c r="K86" s="11">
        <f>0.313507736901128*10.0*0.5676</f>
        <v/>
      </c>
      <c r="L86" s="9" t="inlineStr">
        <is>
          <t>AZUAY</t>
        </is>
      </c>
      <c r="M86" s="9" t="inlineStr">
        <is>
          <t>CUENCA</t>
        </is>
      </c>
      <c r="N86" s="12" t="inlineStr">
        <is>
          <t>CARLOS ARÍZAGA VEGA, JUAN GIRÓN SANCHEZ, ISAURO RODRÍGUEZ, ENRIQUE ARÍZAGA TORAL, VÍCTOR TINOCO CHACÓN, CARMELA MALO, TARQUINO CORDERO, CARLOS ARÍZAGA TORAL.</t>
        </is>
      </c>
    </row>
    <row r="87">
      <c r="C87" s="13" t="n"/>
      <c r="D87" s="8" t="n">
        <v>5</v>
      </c>
      <c r="E87" s="9" t="inlineStr">
        <is>
          <t>0526/CABECERA</t>
        </is>
      </c>
      <c r="F87" s="10" t="n">
        <v>4923</v>
      </c>
      <c r="G87" s="10" t="n">
        <v>67</v>
      </c>
      <c r="H87" s="10" t="n">
        <v>890</v>
      </c>
      <c r="I87" s="11">
        <f>0.52313907910973*10.0*2.025225</f>
        <v/>
      </c>
      <c r="J87" s="11">
        <f>0.0756316723253942*10.0*2.025225</f>
        <v/>
      </c>
      <c r="K87" s="11">
        <f>0.401229248564876*10.0*2.025225</f>
        <v/>
      </c>
      <c r="L87" s="9" t="inlineStr">
        <is>
          <t>AZUAY</t>
        </is>
      </c>
      <c r="M87" s="9" t="inlineStr">
        <is>
          <t>CUENCA</t>
        </is>
      </c>
      <c r="N87" s="12" t="inlineStr">
        <is>
          <t>AV. DE LAS AMERICAS, DEL CEBOLLAR, CAMINO DEL CEBOLLAR, CALLE JARAMIJO, CAMINO SAN PEDRO DEL CEBOLLAR, CALLE DEL PEREJIL, TARQUINO MARTINEZ BORRERO, PEDRO LOPEZ ARGUDO, GLORIA PESANTEZ BERMUDEZ.</t>
        </is>
      </c>
    </row>
    <row r="88">
      <c r="C88" s="13" t="n"/>
      <c r="D88" s="8" t="n">
        <v>5</v>
      </c>
      <c r="E88" s="9" t="inlineStr">
        <is>
          <t>0527/CABECERA (SIN SAN JOAQUIN 2)</t>
        </is>
      </c>
      <c r="F88" s="10" t="n">
        <v>3899</v>
      </c>
      <c r="G88" s="10" t="n">
        <v>28</v>
      </c>
      <c r="H88" s="10" t="n">
        <v>184</v>
      </c>
      <c r="I88" s="11">
        <f>0.716211463749825*10.0*1.67787643579545</f>
        <v/>
      </c>
      <c r="J88" s="11">
        <f>0.0327178007698173*10.0*1.67787643579545</f>
        <v/>
      </c>
      <c r="K88" s="11">
        <f>0.251070735480357*10.0*1.67787643579545</f>
        <v/>
      </c>
      <c r="L88" s="9" t="inlineStr">
        <is>
          <t>AZUAY</t>
        </is>
      </c>
      <c r="M88" s="9" t="inlineStr">
        <is>
          <t>CUENCA</t>
        </is>
      </c>
      <c r="N88" s="12" t="inlineStr">
        <is>
          <t>MISICATA, SAN JOAQUÍN, SAYAUSÍ, CULEBRILLAS, MOLLETURO, HIERBABUENA.</t>
        </is>
      </c>
    </row>
    <row r="89">
      <c r="C89" s="13" t="n"/>
      <c r="D89" s="8" t="n">
        <v>7</v>
      </c>
      <c r="E89" s="9" t="inlineStr">
        <is>
          <t>0721/CABECERA (SIN 4 ESQUINAS 2)</t>
        </is>
      </c>
      <c r="F89" s="10" t="n">
        <v>2489</v>
      </c>
      <c r="G89" s="10" t="n">
        <v>44</v>
      </c>
      <c r="H89" s="10" t="n">
        <v>206</v>
      </c>
      <c r="I89" s="11">
        <f>0.146553265073955*10.0*0.798439285714286</f>
        <v/>
      </c>
      <c r="J89" s="11">
        <f>0.800162607360988*10.0*0.798439285714286</f>
        <v/>
      </c>
      <c r="K89" s="11">
        <f>0.0532841275650572*10.0*0.798439285714286</f>
        <v/>
      </c>
      <c r="L89" s="9" t="inlineStr">
        <is>
          <t>AZUAY</t>
        </is>
      </c>
      <c r="M89" s="9" t="inlineStr">
        <is>
          <t>CUENCA</t>
        </is>
      </c>
      <c r="N89" s="12" t="inlineStr">
        <is>
          <t>EL EJECUTIVO, CUARTEL CAYAMBE, CDLA KENNEDY, CALLES GRAL URBINA, GRAL URDANETA, CORONEL DELGADO, PAQUISHA, CORONEL REMIGIO MACHUCA, QUINTA CHICA ALTA, CALLES CUBILCHE, LLAVIUCO, CUICOCHA, SAN PABLO DEL LAGO ENTRE PAN. NORTE Y  SURROCUCHO.</t>
        </is>
      </c>
    </row>
    <row r="90">
      <c r="C90" s="13" t="n"/>
      <c r="D90" s="8" t="n">
        <v>7</v>
      </c>
      <c r="E90" s="9" t="inlineStr">
        <is>
          <t>0722/CABECERA</t>
        </is>
      </c>
      <c r="F90" s="10" t="n">
        <v>2111</v>
      </c>
      <c r="G90" s="10" t="n">
        <v>31</v>
      </c>
      <c r="H90" s="10" t="n">
        <v>124</v>
      </c>
      <c r="I90" s="11">
        <f>0.461507366890039*10.0*1.86725</f>
        <v/>
      </c>
      <c r="J90" s="11">
        <f>0.44412152570902*10.0*1.86725</f>
        <v/>
      </c>
      <c r="K90" s="11">
        <f>0.0943711074009408*10.0*1.86725</f>
        <v/>
      </c>
      <c r="L90" s="9" t="inlineStr">
        <is>
          <t>AZUAY</t>
        </is>
      </c>
      <c r="M90" s="9" t="inlineStr">
        <is>
          <t>CUENCA</t>
        </is>
      </c>
      <c r="N90" s="12" t="inlineStr">
        <is>
          <t>CALLES LONDRES, PARÍS, TRES, AMSTERDAM, BL, MACCHU PICCHU, ROMA, OSLO, REDONDEL CHOLAS DE PIEDRA, GONZALEZ SUAREZ SECTOR CDLA DE LOS INGENIEROS, CALLES A, B, CUMANDÁ, RAMAYANA, BEN HUR, ARAUCANA, DEL INGENIERO, TABARÉ, CAMINO A PACCHA, INTERCAMBIADOR DE PACCHA, AUTOPISTA ENTRE ENTRADA A NULTI Y H. DEL RIO, UCUBAMBA, UCUBAMBA ALTO, HIGOSPAMBA, POLÍGONO DE TIRO, NARANJOS, VIOLA, CABULLIN, PACCHA, ARENAL DE NULTI, PUCUNGO, FERIA DE CARROS, HIERBABUENA, NULTI, PANAMERICANA NORTE, SIDCAY, CUARTEL DÁVALOS, CALLES ITALIA, FRANCIA, ALEMANIA, UNIÓN SOVIETICA.</t>
        </is>
      </c>
    </row>
    <row r="91">
      <c r="C91" s="13" t="n"/>
      <c r="D91" s="8" t="n">
        <v>14</v>
      </c>
      <c r="E91" s="9" t="inlineStr">
        <is>
          <t>1424/CABECERA</t>
        </is>
      </c>
      <c r="F91" s="10" t="n">
        <v>1827</v>
      </c>
      <c r="G91" s="10" t="n">
        <v>25</v>
      </c>
      <c r="H91" s="10" t="n">
        <v>82</v>
      </c>
      <c r="I91" s="11">
        <f>0.196440603232889*10.0*4.733785</f>
        <v/>
      </c>
      <c r="J91" s="11">
        <f>0.762110339688585*10.0*4.733785</f>
        <v/>
      </c>
      <c r="K91" s="11">
        <f>0.041449057078526*10.0*4.733785</f>
        <v/>
      </c>
      <c r="L91" s="9" t="inlineStr">
        <is>
          <t>AZUAY</t>
        </is>
      </c>
      <c r="M91" s="9" t="inlineStr">
        <is>
          <t>SANTA ISABEL</t>
        </is>
      </c>
      <c r="N91" s="12" t="inlineStr">
        <is>
          <t>MOLINOPATA, CORAZARI, CATAVIÑA, SAN JAVIER, EL ALMIBAR, GUALDÉLEG, PILCOCAJAS, LA UNION, CERCALOMA, LA PAZ DE PORTOVELO, GUAZHAPAMBA, GUAYARA, QUILLOSISA, GUABOPAMBA, EL GUAGUAL, PILANCÓN, TRANCAPAMBA, CAÑARIBAMBA, CHUVIN, TOTORAS, SAN PEDRO, CHAMANA, EL TABLON, CEBADILLAS, EL LIMON, DEUTA, ÑUGROPAMBA, ABISPOLOMA, SAN ANTONIO DE ÑUGRO, PINGULLO, YUNGACORRAL, HUASIPAMBA, TORTAPALI, SALINAS, SAN ALFONSO, LA LIBERTAD, SARAMALOMA, AYACAÑA, SHAGLLI, TUNTÚN, CARACHULA, PEDERNALES, SANTA TERESA, MINAS, TANGEO, HUERTAS, HORNILLOS, PUCULCAY, CHILCA, NAZARI, AURIN, LAGUNAS DE AURIN, CEBADAS, MANGAN, PALMAS, MULLO, RAMOS, LAS NIEVES, GUABIDUCA, BUENAS ESPERANZA, SANTA ROSA, BUENA VISTA, CHALAXI, RAMBRAN, LA DOLOROSA DE CHUQUI, PELINCAY, EL MANZANO, ZHALO, PUCARA CENTRO, CALIGUIÑA, SAN MARCOS, MANZANILLA, SAUCAL, JARQUIN, SAN MIGUEL DE LAS PALMERAS, QUINUAS, LA MACARENA, GUENA, CACHI, LA ENRAMADA, SAN VICENTE, SAN GERARDO, SAN JUAN DE NARANJILLAS, EL PROGRESO, LA FLORIDA, SAN JACINTO DE IÑAN, SAN ANTONIO, GRANADILLAS, LA FORTUNA, QUEBRADA FRIA, LA UNION.</t>
        </is>
      </c>
    </row>
    <row r="92">
      <c r="C92" s="13" t="n"/>
      <c r="D92" s="8" t="n">
        <v>18</v>
      </c>
      <c r="E92" s="9" t="inlineStr">
        <is>
          <t>1822/CABECERA (SIN TAMBO)</t>
        </is>
      </c>
      <c r="F92" s="10" t="n">
        <v>3739</v>
      </c>
      <c r="G92" s="10" t="n">
        <v>21</v>
      </c>
      <c r="H92" s="10" t="n">
        <v>265</v>
      </c>
      <c r="I92" s="11">
        <f>0.721451834536432*10.0*0.815585625</f>
        <v/>
      </c>
      <c r="J92" s="11">
        <f>0.0575443728184105*10.0*0.815585625</f>
        <v/>
      </c>
      <c r="K92" s="11">
        <f>0.221003792645157*10.0*0.815585625</f>
        <v/>
      </c>
      <c r="L92" s="9" t="inlineStr">
        <is>
          <t>CAÑAR</t>
        </is>
      </c>
      <c r="M92" s="9" t="inlineStr">
        <is>
          <t>CAÑAR</t>
        </is>
      </c>
      <c r="N92" s="12" t="inlineStr">
        <is>
          <t>LA POSTA, TAMBO, CUCHOCORRAL, PILCOPATA, CUCHUCÚN CAÑAR, CARAZHAO, SAN RAFAEL, JIRINCAY, GUARAHUIN, CHARACAY, SHUYA.</t>
        </is>
      </c>
    </row>
    <row r="93">
      <c r="C93" s="13" t="n"/>
      <c r="D93" s="8" t="n">
        <v>23</v>
      </c>
      <c r="E93" s="9" t="inlineStr">
        <is>
          <t>2311/CABECERA</t>
        </is>
      </c>
      <c r="F93" s="10" t="n">
        <v>1034</v>
      </c>
      <c r="G93" s="10" t="n">
        <v>32</v>
      </c>
      <c r="H93" s="10" t="n">
        <v>209</v>
      </c>
      <c r="I93" s="11">
        <f>0.581877819996352*10.0*0.565875</f>
        <v/>
      </c>
      <c r="J93" s="11">
        <f>0.138497099597406*10.0*0.565875</f>
        <v/>
      </c>
      <c r="K93" s="11">
        <f>0.279625080406242*10.0*0.565875</f>
        <v/>
      </c>
      <c r="L93" s="9" t="inlineStr">
        <is>
          <t>MORONA SANTIAGO</t>
        </is>
      </c>
      <c r="M93" s="9" t="inlineStr">
        <is>
          <t>LIMÓN INDANZA</t>
        </is>
      </c>
      <c r="N93" s="12" t="inlineStr">
        <is>
          <t>CENTRO CANTONAL DE LIMÓN INDANZA, PARROQUIAS: YUNGANZA, CHIVIAZA, SAN ANTONIO.</t>
        </is>
      </c>
    </row>
    <row r="94">
      <c r="C94" s="13" t="n"/>
      <c r="D94" s="14" t="inlineStr">
        <is>
          <t>TOTALES PARCIALES:</t>
        </is>
      </c>
      <c r="E94" s="15" t="n"/>
      <c r="F94" s="10">
        <f>SUM(F83:F93)</f>
        <v/>
      </c>
      <c r="G94" s="10">
        <f>SUM(G83:G93)</f>
        <v/>
      </c>
      <c r="H94" s="10">
        <f>SUM(H83:H93)</f>
        <v/>
      </c>
      <c r="I94" s="11">
        <f>SUM(I83:I93)</f>
        <v/>
      </c>
      <c r="J94" s="11">
        <f>SUM(J83:J93)</f>
        <v/>
      </c>
      <c r="K94" s="11">
        <f>SUM(K83:K93)</f>
        <v/>
      </c>
      <c r="L94" s="9" t="n"/>
      <c r="M94" s="16" t="n"/>
      <c r="N94" s="17" t="n"/>
    </row>
    <row r="95">
      <c r="C95" s="18" t="n"/>
      <c r="D95" s="14" t="inlineStr">
        <is>
          <t>TOTAL:</t>
        </is>
      </c>
      <c r="E95" s="15" t="n"/>
      <c r="F95" s="10">
        <f>SUM(F94, G94, H94)</f>
        <v/>
      </c>
      <c r="G95" s="19" t="n"/>
      <c r="H95" s="20" t="n"/>
      <c r="I95" s="11">
        <f>SUM(I94, J94, K94)</f>
        <v/>
      </c>
      <c r="J95" s="21" t="n"/>
      <c r="K95" s="22" t="n"/>
      <c r="L95" s="23" t="n"/>
      <c r="M95" s="24" t="n"/>
      <c r="N95" s="25" t="n"/>
    </row>
    <row r="97">
      <c r="C97" s="4" t="inlineStr">
        <is>
          <t>BLOQUE 9</t>
        </is>
      </c>
      <c r="D97" s="4" t="inlineStr">
        <is>
          <t>SUBESTACIÓN</t>
        </is>
      </c>
      <c r="E97" s="4" t="inlineStr">
        <is>
          <t>PRIMARIOS A DESCONECTAR</t>
        </is>
      </c>
      <c r="F97" s="4" t="inlineStr">
        <is>
          <t># CLIENTES</t>
        </is>
      </c>
      <c r="G97" s="5" t="n"/>
      <c r="H97" s="6" t="n"/>
      <c r="I97" s="4" t="inlineStr">
        <is>
          <t>DEMANDA PROMEDIO DE LOS PERIODOS (MWh)</t>
        </is>
      </c>
      <c r="J97" s="5" t="n"/>
      <c r="K97" s="6" t="n"/>
      <c r="L97" s="4" t="inlineStr">
        <is>
          <t>PROVINCIA</t>
        </is>
      </c>
      <c r="M97" s="4" t="inlineStr">
        <is>
          <t>CANTON</t>
        </is>
      </c>
      <c r="N97" s="4" t="inlineStr">
        <is>
          <t>SECTORES</t>
        </is>
      </c>
    </row>
    <row r="98">
      <c r="C98" s="2" t="n"/>
      <c r="D98" s="2" t="n"/>
      <c r="E98" s="2" t="n"/>
      <c r="F98" s="4" t="inlineStr">
        <is>
          <t>RESIDENCIAL</t>
        </is>
      </c>
      <c r="G98" s="4" t="inlineStr">
        <is>
          <t>INDUSTRIAL</t>
        </is>
      </c>
      <c r="H98" s="4" t="inlineStr">
        <is>
          <t>COMERCIAL</t>
        </is>
      </c>
      <c r="I98" s="4" t="inlineStr">
        <is>
          <t>RESIDENCIAL</t>
        </is>
      </c>
      <c r="J98" s="4" t="inlineStr">
        <is>
          <t>INDUSTRIAL</t>
        </is>
      </c>
      <c r="K98" s="4" t="inlineStr">
        <is>
          <t>COMERCIAL</t>
        </is>
      </c>
      <c r="L98" s="2" t="n"/>
      <c r="M98" s="2" t="n"/>
      <c r="N98" s="2" t="n"/>
    </row>
    <row r="99">
      <c r="C99" s="7" t="inlineStr">
        <is>
          <t>06:00:00-12:00:00 16:00:00-20:00:00</t>
        </is>
      </c>
      <c r="D99" s="8" t="n">
        <v>1</v>
      </c>
      <c r="E99" s="9" t="inlineStr">
        <is>
          <t>0103/CABECERA</t>
        </is>
      </c>
      <c r="F99" s="10" t="n">
        <v>1245</v>
      </c>
      <c r="G99" s="10" t="n">
        <v>22</v>
      </c>
      <c r="H99" s="10" t="n">
        <v>937</v>
      </c>
      <c r="I99" s="11">
        <f>0.355206632315921*10.0*0.638691859893799</f>
        <v/>
      </c>
      <c r="J99" s="11">
        <f>0.0154275187438766*10.0*0.638691859893799</f>
        <v/>
      </c>
      <c r="K99" s="11">
        <f>0.629365848940203*10.0*0.638691859893799</f>
        <v/>
      </c>
      <c r="L99" s="9" t="inlineStr">
        <is>
          <t>AZUAY</t>
        </is>
      </c>
      <c r="M99" s="9" t="inlineStr">
        <is>
          <t>CUENCA</t>
        </is>
      </c>
      <c r="N99" s="12" t="inlineStr">
        <is>
          <t>VEGA MUÑOZ ENTRE GENERAL TORRES Y BENIGNO MALO, SANGURIMA ENTRE JUAN MONTALVO Y BENIGNO MALO, GRAN COLOMBIA ENTRE ESTÉVEZ DE TORAL Y BENIGNO MALO, LAMAR ENTRE JUAN MONTALVO Y LUIS CORDERO,BOLÍVAR ENTRE TARQUI Y JUAN MONTALVO</t>
        </is>
      </c>
    </row>
    <row r="100">
      <c r="C100" s="13" t="n"/>
      <c r="D100" s="8" t="n">
        <v>12</v>
      </c>
      <c r="E100" s="9" t="inlineStr">
        <is>
          <t>1222/CABECERA</t>
        </is>
      </c>
      <c r="F100" s="10" t="n">
        <v>1504</v>
      </c>
      <c r="G100" s="10" t="n">
        <v>16</v>
      </c>
      <c r="H100" s="10" t="n">
        <v>98</v>
      </c>
      <c r="I100" s="11">
        <f>0.502427778770044*10.0*0.958055</f>
        <v/>
      </c>
      <c r="J100" s="11">
        <f>0.352897294284509*10.0*0.958055</f>
        <v/>
      </c>
      <c r="K100" s="11">
        <f>0.144674926945447*10.0*0.958055</f>
        <v/>
      </c>
      <c r="L100" s="9" t="inlineStr">
        <is>
          <t>AZUAY</t>
        </is>
      </c>
      <c r="M100" s="9" t="inlineStr">
        <is>
          <t>PAUTE</t>
        </is>
      </c>
      <c r="N100" s="12" t="inlineStr">
        <is>
          <t>LUGMAMPAMBA, PUENTE EUROPA, CHICTICAY, LA JOSEFINA, EL CABO, ZHUMIR, PAUTE, DUG DUG, TOMEBAMBA, GUARAINAG, AMALUZA, SUMAG, TUNTAG, LLAMACONJURUPILLOS OSOHUAYCO, PARTE DE PALMAS GUARUMALES SECTOR ESTADIO, SECTOR LA PLAYA .</t>
        </is>
      </c>
    </row>
    <row r="101">
      <c r="C101" s="13" t="n"/>
      <c r="D101" s="8" t="n">
        <v>14</v>
      </c>
      <c r="E101" s="9" t="inlineStr">
        <is>
          <t>1421/CABECERA</t>
        </is>
      </c>
      <c r="F101" s="10" t="n">
        <v>2965</v>
      </c>
      <c r="G101" s="10" t="n">
        <v>28</v>
      </c>
      <c r="H101" s="10" t="n">
        <v>296</v>
      </c>
      <c r="I101" s="11">
        <f>0.726921652509307*10.0*2.31350666666667</f>
        <v/>
      </c>
      <c r="J101" s="11">
        <f>0.089830790203674*10.0*2.31350666666667</f>
        <v/>
      </c>
      <c r="K101" s="11">
        <f>0.183247557287019*10.0*2.31350666666667</f>
        <v/>
      </c>
      <c r="L101" s="9" t="inlineStr">
        <is>
          <t>AZUAY</t>
        </is>
      </c>
      <c r="M101" s="9" t="inlineStr">
        <is>
          <t>SANTA ISABEL</t>
        </is>
      </c>
      <c r="N101" s="12" t="inlineStr">
        <is>
          <t>SANTA ISABEL CENTRO, TOBACHIRÍ, SAN ANTONIO, EL PORTÓN, PARQUE EXTREMO, CATAVIÑA, LA ATALAYA, LA UNIÓN, PORTOVELO, QUILLOSISA, VÍA GIRÓN PASAJE, ESTRELLAS DE SUR, GUABOPAMBA, CERCALOMA, PATAPATA, LACAY, EL RAMAL, SULUPALI, JUBONES, PEÑA BLANCA, AZHIDEL, PUENTE LOMA, TUGULA, DANDAN, EL TABLÓN, MINAS DE HUASCACHACA, SUMAIPAMBA, SAN SEBASTIÁN DE YÚLUC.</t>
        </is>
      </c>
    </row>
    <row r="102">
      <c r="C102" s="13" t="n"/>
      <c r="D102" s="8" t="n">
        <v>14</v>
      </c>
      <c r="E102" s="9" t="inlineStr">
        <is>
          <t>1425/CABECERA</t>
        </is>
      </c>
      <c r="F102" s="10" t="n">
        <v>1157</v>
      </c>
      <c r="G102" s="10" t="n">
        <v>29</v>
      </c>
      <c r="H102" s="10" t="n">
        <v>178</v>
      </c>
      <c r="I102" s="11">
        <f>0.616485253300172*10.0*0.414485000000001</f>
        <v/>
      </c>
      <c r="J102" s="11">
        <f>0.0683692010620058*10.0*0.414485000000001</f>
        <v/>
      </c>
      <c r="K102" s="11">
        <f>0.315145545637823*10.0*0.414485000000001</f>
        <v/>
      </c>
      <c r="L102" s="9" t="inlineStr">
        <is>
          <t>AZUAY</t>
        </is>
      </c>
      <c r="M102" s="9" t="inlineStr">
        <is>
          <t>OÑA / SANTA ISABEL</t>
        </is>
      </c>
      <c r="N102" s="12" t="inlineStr">
        <is>
          <t>RIRCAY, YARITZAGUA, EL MOLINO, SANTA ROSA, EL PROGRESO, PORTETILLO, LA CRÍA, SAN ISIDRO, CORRALEJA,  SUSUDEL, YUNGUILLAPAMBA, OÑA CENTRO, EL TABLÓN.</t>
        </is>
      </c>
    </row>
    <row r="103">
      <c r="C103" s="13" t="n"/>
      <c r="D103" s="8" t="n">
        <v>15</v>
      </c>
      <c r="E103" s="9" t="inlineStr">
        <is>
          <t>1521/CABECERA</t>
        </is>
      </c>
      <c r="F103" s="10" t="n">
        <v>4261</v>
      </c>
      <c r="G103" s="10" t="n">
        <v>24</v>
      </c>
      <c r="H103" s="10" t="n">
        <v>320</v>
      </c>
      <c r="I103" s="11">
        <f>0.78095091393233*10.0*0.497175</f>
        <v/>
      </c>
      <c r="J103" s="11">
        <f>0.0197738774485623*10.0*0.497175</f>
        <v/>
      </c>
      <c r="K103" s="11">
        <f>0.199275208619108*10.0*0.497175</f>
        <v/>
      </c>
      <c r="L103" s="9" t="inlineStr">
        <is>
          <t>AZUAY</t>
        </is>
      </c>
      <c r="M103" s="9" t="inlineStr">
        <is>
          <t>SIGSIG</t>
        </is>
      </c>
      <c r="N103" s="12" t="inlineStr">
        <is>
          <t>GUALACEO: (NALLIG, UZHAR, SAN LUIS, DUNDLA, SAN JUAN, SARACTAR, LA TRANCA, SAN MIGUEL, SAN ANTONIO, VÍA GUALACEO SAN JUAN.)   SÍGSIG: (YAGUARSOL, SIGSIGLLANO, SIPTA, LA UNIÓN, DELEGSOL, SORCHE, SUGUNSORCHE, GUANÑA, TIGAPALI PANZHA, TULTUL, PAMARCHACRIN, CHININ, CRUZ LOMA, PIQUETES, ALGARROBOS, ZHIMBRUG, PEÑAS BLANCAS, PIBLIA, PITAGMA, AV. MARÍA AUXILIADORA, AV. HÉROES DEL CENEPA, AV. KENNEDY, CALLE RESTAURACIÓN, ZHINGATE, BARRIO PEDERNAL, CINCO ESQUINAS, VÍA AL ORIENTE, MERCADO MUNICIPAL, HOSPITAL MUNICIPAL, CALLE GARCÍA MORENO, CALLE GONZÁLEZ SUÁREZ, CALLE IGNACIO ARCENTALES, ROSAS, VÍA A DACTE, PUEBLO VIEJO, CALLANCAY, ZHIPIR, ZHUZHU, TASQUI, PARROQUIA CUTCIL, CEBADILLAS, ALTARHURCO, CHURUCO, NARIG, CHOBSI, TULLUPAMBA, PUCUNDEL, GUTÚN, SAN ANTONIO DE JACARCAR, PINGLLO, SARAR, BUENAVISTA, LOMA LARGA, VIRGENPAMBA, LUDO, HATOBOLO, LA DOLOROSA, CAZHAPUGRO, SERRAG, YARIGUIÑA ) GUALAQUIZA: (GRANADILLAS, TENDALES, SANGURIMA, PARROQUIA CHIGUINDA, PARROQUIA BERMEJOS, SAN MARTÍN, EL BOLICHE).</t>
        </is>
      </c>
    </row>
    <row r="104">
      <c r="C104" s="13" t="n"/>
      <c r="D104" s="8" t="n">
        <v>17</v>
      </c>
      <c r="E104" s="9" t="inlineStr">
        <is>
          <t>1722/CABECERA</t>
        </is>
      </c>
      <c r="F104" s="10" t="n">
        <v>1969</v>
      </c>
      <c r="G104" s="10" t="n">
        <v>17</v>
      </c>
      <c r="H104" s="10" t="n">
        <v>121</v>
      </c>
      <c r="I104" s="11">
        <f>0.789923343166621*10.0*0.381171009838581</f>
        <v/>
      </c>
      <c r="J104" s="11">
        <f>0.074331201980188*10.0*0.381171009838581</f>
        <v/>
      </c>
      <c r="K104" s="11">
        <f>0.135745454853191*10.0*0.381171009838581</f>
        <v/>
      </c>
      <c r="L104" s="9" t="inlineStr">
        <is>
          <t>AZUAY</t>
        </is>
      </c>
      <c r="M104" s="9" t="inlineStr">
        <is>
          <t>CUENCA</t>
        </is>
      </c>
      <c r="N104" s="12" t="inlineStr">
        <is>
          <t>ORDÓÑEZ LASSO, CAMINO DEL TEJAR, LAS PENCAS.</t>
        </is>
      </c>
    </row>
    <row r="105">
      <c r="C105" s="13" t="n"/>
      <c r="D105" s="8" t="n">
        <v>18</v>
      </c>
      <c r="E105" s="9" t="inlineStr">
        <is>
          <t>1821/CABECERA</t>
        </is>
      </c>
      <c r="F105" s="10" t="n">
        <v>2083</v>
      </c>
      <c r="G105" s="10" t="n">
        <v>6</v>
      </c>
      <c r="H105" s="10" t="n">
        <v>92</v>
      </c>
      <c r="I105" s="11">
        <f>0.699981761055295*10.0*0.823905000000001</f>
        <v/>
      </c>
      <c r="J105" s="11">
        <f>0.0458063757800946*10.0*0.823905000000001</f>
        <v/>
      </c>
      <c r="K105" s="11">
        <f>0.25421186316461*10.0*0.823905000000001</f>
        <v/>
      </c>
      <c r="L105" s="9" t="inlineStr">
        <is>
          <t>CAÑAR</t>
        </is>
      </c>
      <c r="M105" s="9" t="inlineStr">
        <is>
          <t>CAÑAR</t>
        </is>
      </c>
      <c r="N105" s="12" t="inlineStr">
        <is>
          <t>INGANILLA, YANACARI CRUZ, CHUGUÍN GRANDE, INGAPIRCA, SISID CHICO, SISID, HACIENDA SANTA CLARA, CAJÓN TAMBO, INGA, TINDICUCHA, MASANQUE, SAN PEDRO DE CURIQUINGUE, ATUHUAYCU, GALLO RUMI, SAN PEDRO INGAPIRCA, PUCARSOL, LA CAPILLA, TRETÓN, MOLOBOG CHICO, CITACAR, CHOROCOPTE, GUAYRAPUNGO, SAN JOSÉ, HONORATO VÁSQUEZ, TAMBO VIEJO, PUCARÁ INGAPIRCA, ATO DE LA VIRGEN.</t>
        </is>
      </c>
    </row>
    <row r="106">
      <c r="C106" s="13" t="n"/>
      <c r="D106" s="8" t="n">
        <v>21</v>
      </c>
      <c r="E106" s="9" t="inlineStr">
        <is>
          <t>2125/CABECERA</t>
        </is>
      </c>
      <c r="F106" s="10" t="n">
        <v>1823</v>
      </c>
      <c r="G106" s="10" t="n">
        <v>24</v>
      </c>
      <c r="H106" s="10" t="n">
        <v>921</v>
      </c>
      <c r="I106" s="11">
        <f>0.41067792947462*10.0*1.26485</f>
        <v/>
      </c>
      <c r="J106" s="11">
        <f>0.0120124842313943*10.0*1.26485</f>
        <v/>
      </c>
      <c r="K106" s="11">
        <f>0.577309586293985*10.0*1.26485</f>
        <v/>
      </c>
      <c r="L106" s="9" t="inlineStr">
        <is>
          <t>MORONA SANTIAGO</t>
        </is>
      </c>
      <c r="M106" s="9" t="inlineStr">
        <is>
          <t>MORONA</t>
        </is>
      </c>
      <c r="N106" s="12" t="inlineStr">
        <is>
          <t>BARRIO EL ROSARIO, DESDE LA CALLE HERMITA AL NORTE, AV. 29 DE MAYO DESDE EL PUENTE DEL JURUMBAINO HASTA EL REDONDEL DE LOS MACABEOS, POLICÍA NACIONAL, SECTOR DE LA EMPRESA ELÉCTRICA, BARRIO 27 DE FEBRERO (DESDE LA CALLE BENJAMÍN DELGADO, EXCEPTO LAS CALLES INCA ATAHUALPA Y GENERAL RUMIÑAHUI), COLEGIO 27 DE FEBRERO, AV. JAIME ROLDÓS AGUILERA, ECU 911, BARRIO LA UNIÓN, REGISTRO CIVIL DE MACAS, CALLE FRANCISCO FLOR, DEFENSORÍA DEL PUEBLO, SECTOR PARQUE DEL NIÑO, UNIVERSIDAD CATÓLICA SEDE MACAS, JUAN DE SALINAS DESDE LA AV. 29 DE MAYO HASTA LA SOASTI, GOBERNACIÓN DE MORONA SANTIAGO, KIRUBA (DESDE LA AV. 29 DE MAYO HASTA LA SOASTI), JUAN DE LA CRUZ (DESDE LA GUAMOTE HASTA LA 24 DE MAYO), AV. AMAZONAS, AV. SOASTI, SECTOR MERCADO CENTRAL DE MACAS, CENTRO COMERCIAL TÍA, CALLE GUAMOTE, CALLE TARQUI (DESDE LA SOASTI HASTA LA GUAMOTE), DIRECCIÓN DE AVIACIÓN CIVIL (AEROPUERTO),  CALLE QUITO, SECTOR DEL COLISEO LA LOMA, CHAKUAP, COMUNIDAD SALESIANA DE MACAS, 9 DE OCTUBRE (DESDE CALLE RIOBAMBA HASTA RAFAEL RIVADENEIRA, LAS SIGUIENTES CALLES DESDE LA 24 DE MAYO HASTA LA AMAZONAS (SUCRE, CUENCA, 5 DE AGOSTO, RIOBAMBA), CALLE HERNANDO DE BENAVENTE, SECTOR ESCUELA ELOY ALFARO, COLEGIO MACAS, BARRIO TINGUICHACHA (DESDE LA CALLE PADRE JUAN VIGNA HASTA LA CALLE CATALINA VILLAREAL).</t>
        </is>
      </c>
    </row>
    <row r="107">
      <c r="C107" s="13" t="n"/>
      <c r="D107" s="8" t="n">
        <v>50</v>
      </c>
      <c r="E107" s="9" t="inlineStr">
        <is>
          <t>5016/CABECERA</t>
        </is>
      </c>
      <c r="F107" s="10" t="n">
        <v>2254</v>
      </c>
      <c r="G107" s="10" t="n">
        <v>8</v>
      </c>
      <c r="H107" s="10" t="n">
        <v>214</v>
      </c>
      <c r="I107" s="11">
        <f>0.609861770492238*10.0*0.888873933493296</f>
        <v/>
      </c>
      <c r="J107" s="11">
        <f>0.194080550073198*10.0*0.888873933493296</f>
        <v/>
      </c>
      <c r="K107" s="11">
        <f>0.196057679434564*10.0*0.888873933493296</f>
        <v/>
      </c>
      <c r="L107" s="9" t="inlineStr">
        <is>
          <t>CAÑAR</t>
        </is>
      </c>
      <c r="M107" s="9" t="inlineStr">
        <is>
          <t>LA TRONCAL</t>
        </is>
      </c>
      <c r="N107" s="12" t="inlineStr">
        <is>
          <t>CASA PARA TODOS, PASO LATERAL, EL DORADO, HUERTOS FAMILIARES, COCHANCAY, COPALILLOS, LA DELICIA, EL AMARILLAL.</t>
        </is>
      </c>
    </row>
    <row r="108">
      <c r="C108" s="13" t="n"/>
      <c r="D108" s="14" t="inlineStr">
        <is>
          <t>TOTALES PARCIALES:</t>
        </is>
      </c>
      <c r="E108" s="15" t="n"/>
      <c r="F108" s="10">
        <f>SUM(F99:F107)</f>
        <v/>
      </c>
      <c r="G108" s="10">
        <f>SUM(G99:G107)</f>
        <v/>
      </c>
      <c r="H108" s="10">
        <f>SUM(H99:H107)</f>
        <v/>
      </c>
      <c r="I108" s="11">
        <f>SUM(I99:I107)</f>
        <v/>
      </c>
      <c r="J108" s="11">
        <f>SUM(J99:J107)</f>
        <v/>
      </c>
      <c r="K108" s="11">
        <f>SUM(K99:K107)</f>
        <v/>
      </c>
      <c r="L108" s="9" t="n"/>
      <c r="M108" s="16" t="n"/>
      <c r="N108" s="17" t="n"/>
    </row>
    <row r="109">
      <c r="C109" s="18" t="n"/>
      <c r="D109" s="14" t="inlineStr">
        <is>
          <t>TOTAL:</t>
        </is>
      </c>
      <c r="E109" s="15" t="n"/>
      <c r="F109" s="10">
        <f>SUM(F108, G108, H108)</f>
        <v/>
      </c>
      <c r="G109" s="19" t="n"/>
      <c r="H109" s="20" t="n"/>
      <c r="I109" s="11">
        <f>SUM(I108, J108, K108)</f>
        <v/>
      </c>
      <c r="J109" s="21" t="n"/>
      <c r="K109" s="22" t="n"/>
      <c r="L109" s="23" t="n"/>
      <c r="M109" s="24" t="n"/>
      <c r="N109" s="25" t="n"/>
    </row>
    <row r="111">
      <c r="C111" s="4" t="inlineStr">
        <is>
          <t>BLOQUE 10</t>
        </is>
      </c>
      <c r="D111" s="4" t="inlineStr">
        <is>
          <t>SUBESTACIÓN</t>
        </is>
      </c>
      <c r="E111" s="4" t="inlineStr">
        <is>
          <t>PRIMARIOS A DESCONECTAR</t>
        </is>
      </c>
      <c r="F111" s="4" t="inlineStr">
        <is>
          <t># CLIENTES</t>
        </is>
      </c>
      <c r="G111" s="5" t="n"/>
      <c r="H111" s="6" t="n"/>
      <c r="I111" s="4" t="inlineStr">
        <is>
          <t>DEMANDA PROMEDIO DE LOS PERIODOS (MWh)</t>
        </is>
      </c>
      <c r="J111" s="5" t="n"/>
      <c r="K111" s="6" t="n"/>
      <c r="L111" s="4" t="inlineStr">
        <is>
          <t>PROVINCIA</t>
        </is>
      </c>
      <c r="M111" s="4" t="inlineStr">
        <is>
          <t>CANTON</t>
        </is>
      </c>
      <c r="N111" s="4" t="inlineStr">
        <is>
          <t>SECTORES</t>
        </is>
      </c>
    </row>
    <row r="112">
      <c r="C112" s="2" t="n"/>
      <c r="D112" s="2" t="n"/>
      <c r="E112" s="2" t="n"/>
      <c r="F112" s="4" t="inlineStr">
        <is>
          <t>RESIDENCIAL</t>
        </is>
      </c>
      <c r="G112" s="4" t="inlineStr">
        <is>
          <t>INDUSTRIAL</t>
        </is>
      </c>
      <c r="H112" s="4" t="inlineStr">
        <is>
          <t>COMERCIAL</t>
        </is>
      </c>
      <c r="I112" s="4" t="inlineStr">
        <is>
          <t>RESIDENCIAL</t>
        </is>
      </c>
      <c r="J112" s="4" t="inlineStr">
        <is>
          <t>INDUSTRIAL</t>
        </is>
      </c>
      <c r="K112" s="4" t="inlineStr">
        <is>
          <t>COMERCIAL</t>
        </is>
      </c>
      <c r="L112" s="2" t="n"/>
      <c r="M112" s="2" t="n"/>
      <c r="N112" s="2" t="n"/>
    </row>
    <row r="113">
      <c r="C113" s="7" t="inlineStr">
        <is>
          <t>09:00:00-14:00:00 18:00:00-23:00:00</t>
        </is>
      </c>
      <c r="D113" s="8" t="n">
        <v>1</v>
      </c>
      <c r="E113" s="9" t="inlineStr">
        <is>
          <t>0104/CABECERA</t>
        </is>
      </c>
      <c r="F113" s="10" t="n">
        <v>3006</v>
      </c>
      <c r="G113" s="10" t="n">
        <v>62</v>
      </c>
      <c r="H113" s="10" t="n">
        <v>365</v>
      </c>
      <c r="I113" s="11">
        <f>0.579831537139662*10.0*1.48944966906738</f>
        <v/>
      </c>
      <c r="J113" s="11">
        <f>0.109251544447873*10.0*1.48944966906738</f>
        <v/>
      </c>
      <c r="K113" s="11">
        <f>0.310916918412465*10.0*1.48944966906738</f>
        <v/>
      </c>
      <c r="L113" s="9" t="inlineStr">
        <is>
          <t>AZUAY</t>
        </is>
      </c>
      <c r="M113" s="9" t="inlineStr">
        <is>
          <t>CUENCA</t>
        </is>
      </c>
      <c r="N113" s="12" t="inlineStr">
        <is>
          <t>HÉROES DE VERDELOMA ENTRE TARQUI Y TOMÁS ORDÓÑEZ, TERCERA ZONA MILITAR, ALBERTO MUÑOZ VERNAZA ENTRE CORONEL TALBOT Y TOMÁS ORDÓÑEZ, RAFAEL MARÍA ARÍZAGA ENTRE OCTAVIO CORDERO PALACIOS Y LUIS CORDERO, PÍO BRAVO ENTRE MIGUEL VELEZ Y BENIGNO MALO, VEGA MUÑOZ ENTRE GASPAR SANGURIMA Y BENIGNO MALO, SANGURIMA ENTRE DANIEL ALVARADO Y ESTÉVEZ DE TORAL.</t>
        </is>
      </c>
    </row>
    <row r="114">
      <c r="C114" s="13" t="n"/>
      <c r="D114" s="8" t="n">
        <v>2</v>
      </c>
      <c r="E114" s="9" t="inlineStr">
        <is>
          <t>0201/CABECERA</t>
        </is>
      </c>
      <c r="F114" s="10" t="n">
        <v>1499</v>
      </c>
      <c r="G114" s="10" t="n">
        <v>18</v>
      </c>
      <c r="H114" s="10" t="n">
        <v>634</v>
      </c>
      <c r="I114" s="11">
        <f>0.367031587347678*10.0*0.890494</f>
        <v/>
      </c>
      <c r="J114" s="11">
        <f>0.0120540944935901*10.0*0.890494</f>
        <v/>
      </c>
      <c r="K114" s="11">
        <f>0.620914318158732*10.0*0.890494</f>
        <v/>
      </c>
      <c r="L114" s="9" t="inlineStr">
        <is>
          <t>AZUAY</t>
        </is>
      </c>
      <c r="M114" s="9" t="inlineStr">
        <is>
          <t>CUENCA</t>
        </is>
      </c>
      <c r="N114" s="12" t="inlineStr">
        <is>
          <t>CALLE LARGA ENTRE BENIGNO MALO Y AV. HUAYNA CÁPAC, CALLE ALFONSO JERVES ENTRE TOMÁS ORDÓÑEZ Y AV. HUYNA CÁPAC, HONORATO VÁSQUEZ ENTRE LA TOMÁS ORDÓÑEZ Y AV. HUAYNA CÁPAC, JUAN JARAMILLO ENTRE VARGAS MACHUCA Y AV. HUYNA CÁPAC, SUCRE ENTRE HERMANO MIGUEL Y AV. HUYNA CÁPAC, TOMÁS ORDÓÑEZ ENTRE LARGA Y SIMÓN BOLÍVAR,  MANUEL VEGA ENTRE LARGA Y PRESIDENTE CÓRDOVA, PARQUE SAN BLAS.</t>
        </is>
      </c>
    </row>
    <row r="115">
      <c r="C115" s="13" t="n"/>
      <c r="D115" s="8" t="n">
        <v>21</v>
      </c>
      <c r="E115" s="9" t="inlineStr">
        <is>
          <t>2122/RECONECTADOR MECANICA MUNICIPAL</t>
        </is>
      </c>
      <c r="F115" s="10" t="n">
        <v>768</v>
      </c>
      <c r="G115" s="10" t="n">
        <v>7</v>
      </c>
      <c r="H115" s="10" t="n">
        <v>98</v>
      </c>
      <c r="I115" s="11">
        <f>0.668401623322799*10.0*0.257556</f>
        <v/>
      </c>
      <c r="J115" s="11">
        <f>0.00731147788241358*10.0*0.257556</f>
        <v/>
      </c>
      <c r="K115" s="11">
        <f>0.324286898794788*10.0*0.257556</f>
        <v/>
      </c>
      <c r="L115" s="9" t="inlineStr">
        <is>
          <t>MORONA SANTIAGO</t>
        </is>
      </c>
      <c r="M115" s="9" t="inlineStr">
        <is>
          <t>MORONA</t>
        </is>
      </c>
      <c r="N115" s="12" t="inlineStr">
        <is>
          <t>CALLE 13 DE ABRIL, EL PALACIO DEL NIÑO (CEFAS), SECTOR POLIDEPORTIVO, BARRIO 13 DE ABRIL, SECTOR CORTE DE JUSTICIA, ESTADIO DE GENERAL PROAÑO, GENERAL PROAÑO (DESDE LA JUNTA PARROQUIAL DE PROAÑO, HASTA EL REDONDEL A JIMBITONO), JIMBITONO, TANQUES DE AGUA DE JIMBITONO, 9 DE OCTUBRE, ZUÑAC.</t>
        </is>
      </c>
    </row>
    <row r="116">
      <c r="C116" s="13" t="n"/>
      <c r="D116" s="8" t="n">
        <v>22</v>
      </c>
      <c r="E116" s="9" t="inlineStr">
        <is>
          <t>2212/CABECERA</t>
        </is>
      </c>
      <c r="F116" s="10" t="n">
        <v>875</v>
      </c>
      <c r="G116" s="10" t="n">
        <v>10</v>
      </c>
      <c r="H116" s="10" t="n">
        <v>238</v>
      </c>
      <c r="I116" s="11">
        <f>0.550954154253714*10.0*0.580334</f>
        <v/>
      </c>
      <c r="J116" s="11">
        <f>0.0168629071034814*10.0*0.580334</f>
        <v/>
      </c>
      <c r="K116" s="11">
        <f>0.432182938642805*10.0*0.580334</f>
        <v/>
      </c>
      <c r="L116" s="9" t="inlineStr">
        <is>
          <t>MORONA SANTIAGO</t>
        </is>
      </c>
      <c r="M116" s="9" t="inlineStr">
        <is>
          <t>SANTIAGO DE MÉNDEZ</t>
        </is>
      </c>
      <c r="N116" s="12" t="inlineStr">
        <is>
          <t>MÉNDEZ, COPAL, CHUPIANZA.</t>
        </is>
      </c>
    </row>
    <row r="117">
      <c r="C117" s="13" t="n"/>
      <c r="D117" s="8" t="n">
        <v>50</v>
      </c>
      <c r="E117" s="9" t="inlineStr">
        <is>
          <t>5013/RECONECT: ALFONSO ANDRADE</t>
        </is>
      </c>
      <c r="F117" s="10" t="n">
        <v>1880</v>
      </c>
      <c r="G117" s="10" t="n">
        <v>8</v>
      </c>
      <c r="H117" s="10" t="n">
        <v>358</v>
      </c>
      <c r="I117" s="11">
        <f>0.645826853472821*10.0*0.675577479035751</f>
        <v/>
      </c>
      <c r="J117" s="11">
        <f>0.0506584439363633*10.0*0.675577479035751</f>
        <v/>
      </c>
      <c r="K117" s="11">
        <f>0.303514702590815*10.0*0.675577479035751</f>
        <v/>
      </c>
      <c r="L117" s="9" t="inlineStr">
        <is>
          <t>CAÑAR</t>
        </is>
      </c>
      <c r="M117" s="9" t="inlineStr">
        <is>
          <t>LA TROCAL</t>
        </is>
      </c>
      <c r="N117" s="12" t="inlineStr">
        <is>
          <t>ZONA SUR COMERCIAL DE LA TRONCAL, CALLES GUAYAS, MANABI, LOS RIOS, ESMERALDAS, LAS AMÉRICAS, 16 ESTE, 17 ESTE, 18 ESTE</t>
        </is>
      </c>
    </row>
    <row r="118">
      <c r="C118" s="13" t="n"/>
      <c r="D118" s="14" t="inlineStr">
        <is>
          <t>TOTALES PARCIALES:</t>
        </is>
      </c>
      <c r="E118" s="15" t="n"/>
      <c r="F118" s="10">
        <f>SUM(F113:F117)</f>
        <v/>
      </c>
      <c r="G118" s="10">
        <f>SUM(G113:G117)</f>
        <v/>
      </c>
      <c r="H118" s="10">
        <f>SUM(H113:H117)</f>
        <v/>
      </c>
      <c r="I118" s="11">
        <f>SUM(I113:I117)</f>
        <v/>
      </c>
      <c r="J118" s="11">
        <f>SUM(J113:J117)</f>
        <v/>
      </c>
      <c r="K118" s="11">
        <f>SUM(K113:K117)</f>
        <v/>
      </c>
      <c r="L118" s="9" t="n"/>
      <c r="M118" s="16" t="n"/>
      <c r="N118" s="17" t="n"/>
    </row>
    <row r="119">
      <c r="C119" s="18" t="n"/>
      <c r="D119" s="14" t="inlineStr">
        <is>
          <t>TOTAL:</t>
        </is>
      </c>
      <c r="E119" s="15" t="n"/>
      <c r="F119" s="10">
        <f>SUM(F118, G118, H118)</f>
        <v/>
      </c>
      <c r="G119" s="19" t="n"/>
      <c r="H119" s="20" t="n"/>
      <c r="I119" s="11">
        <f>SUM(I118, J118, K118)</f>
        <v/>
      </c>
      <c r="J119" s="21" t="n"/>
      <c r="K119" s="22" t="n"/>
      <c r="L119" s="23" t="n"/>
      <c r="M119" s="24" t="n"/>
      <c r="N119" s="25" t="n"/>
    </row>
    <row r="121">
      <c r="C121" s="4" t="inlineStr">
        <is>
          <t>BLOQUE 11</t>
        </is>
      </c>
      <c r="D121" s="4" t="inlineStr">
        <is>
          <t>SUBESTACIÓN</t>
        </is>
      </c>
      <c r="E121" s="4" t="inlineStr">
        <is>
          <t>PRIMARIOS A DESCONECTAR</t>
        </is>
      </c>
      <c r="F121" s="4" t="inlineStr">
        <is>
          <t># CLIENTES</t>
        </is>
      </c>
      <c r="G121" s="5" t="n"/>
      <c r="H121" s="6" t="n"/>
      <c r="I121" s="4" t="inlineStr">
        <is>
          <t>DEMANDA PROMEDIO DE LOS PERIODOS (MWh)</t>
        </is>
      </c>
      <c r="J121" s="5" t="n"/>
      <c r="K121" s="6" t="n"/>
      <c r="L121" s="4" t="inlineStr">
        <is>
          <t>PROVINCIA</t>
        </is>
      </c>
      <c r="M121" s="4" t="inlineStr">
        <is>
          <t>CANTON</t>
        </is>
      </c>
      <c r="N121" s="4" t="inlineStr">
        <is>
          <t>SECTORES</t>
        </is>
      </c>
    </row>
    <row r="122">
      <c r="C122" s="2" t="n"/>
      <c r="D122" s="2" t="n"/>
      <c r="E122" s="2" t="n"/>
      <c r="F122" s="4" t="inlineStr">
        <is>
          <t>RESIDENCIAL</t>
        </is>
      </c>
      <c r="G122" s="4" t="inlineStr">
        <is>
          <t>INDUSTRIAL</t>
        </is>
      </c>
      <c r="H122" s="4" t="inlineStr">
        <is>
          <t>COMERCIAL</t>
        </is>
      </c>
      <c r="I122" s="4" t="inlineStr">
        <is>
          <t>RESIDENCIAL</t>
        </is>
      </c>
      <c r="J122" s="4" t="inlineStr">
        <is>
          <t>INDUSTRIAL</t>
        </is>
      </c>
      <c r="K122" s="4" t="inlineStr">
        <is>
          <t>COMERCIAL</t>
        </is>
      </c>
      <c r="L122" s="2" t="n"/>
      <c r="M122" s="2" t="n"/>
      <c r="N122" s="2" t="n"/>
    </row>
    <row r="123">
      <c r="C123" s="7" t="inlineStr">
        <is>
          <t>10:00:00-15:00:00 19:00:00-00:00:00</t>
        </is>
      </c>
      <c r="D123" s="8" t="n">
        <v>2</v>
      </c>
      <c r="E123" s="9" t="inlineStr">
        <is>
          <t>0205/CABECERA</t>
        </is>
      </c>
      <c r="F123" s="10" t="n">
        <v>1456</v>
      </c>
      <c r="G123" s="10" t="n">
        <v>19</v>
      </c>
      <c r="H123" s="10" t="n">
        <v>626</v>
      </c>
      <c r="I123" s="11">
        <f>0.311972172089436*10.0*1.003506</f>
        <v/>
      </c>
      <c r="J123" s="11">
        <f>0.00707168953192914*10.0*1.003506</f>
        <v/>
      </c>
      <c r="K123" s="11">
        <f>0.680956138378635*10.0*1.003506</f>
        <v/>
      </c>
      <c r="L123" s="9" t="inlineStr">
        <is>
          <t>AZUAY</t>
        </is>
      </c>
      <c r="M123" s="9" t="inlineStr">
        <is>
          <t>CUENCA</t>
        </is>
      </c>
      <c r="N123" s="12" t="inlineStr">
        <is>
          <t>DOCE DE ABRIL ENTRE SOLANO Y EL ORO, AV. TRES DE NOVIEMBRE ENTRE LOJA Y SIMÓN BOLÍVAR, AV. LOJA ENTRE DOCE DE ABRIL Y REMIGIO TAMARIZ, AGUSTÍN CUEVA ENTRE DOCE DE ABRIL Y REMIGIO TAMARIZ, FEDERICO PROAÑO ENTRE DANIEL CÓRDOVA Y REMIGIO TAMARIZ, BENJAMÍN DE LA CADENA.</t>
        </is>
      </c>
    </row>
    <row r="124">
      <c r="C124" s="13" t="n"/>
      <c r="D124" s="8" t="n">
        <v>3</v>
      </c>
      <c r="E124" s="9" t="inlineStr">
        <is>
          <t>0323/CABECERA(SIN 10 DE AGOSTO)</t>
        </is>
      </c>
      <c r="F124" s="10" t="n">
        <v>1416</v>
      </c>
      <c r="G124" s="10" t="n">
        <v>12</v>
      </c>
      <c r="H124" s="10" t="n">
        <v>131</v>
      </c>
      <c r="I124" s="11">
        <f>0.367493911283192*10.0*1.12265925925926</f>
        <v/>
      </c>
      <c r="J124" s="11">
        <f>0.00707233229713688*10.0*1.12265925925926</f>
        <v/>
      </c>
      <c r="K124" s="11">
        <f>0.625433756419671*10.0*1.12265925925926</f>
        <v/>
      </c>
      <c r="L124" s="9" t="inlineStr">
        <is>
          <t>AZUAY</t>
        </is>
      </c>
      <c r="M124" s="9" t="inlineStr">
        <is>
          <t>CUENCA</t>
        </is>
      </c>
      <c r="N124" s="12" t="inlineStr">
        <is>
          <t>AV. 24 DE MAYO DESDE MAX UHLE HASTA REDONDEL GAPAL, AV. DIEZ DE AGOSTO DESDE EL PARQUE EL PARAISO HASTA EL REDONDEL DE ETAPA, LOS GERANIOS, CASA DE CHAGUARCHIMBANA, CALLE DAVID DIAZ, FASEC, CRA, PARQUE EL PARAISO, CIUDADELA CHAGUARCHIMBANA, CIUDADELA CASA PARA TODOS.</t>
        </is>
      </c>
    </row>
    <row r="125">
      <c r="C125" s="13" t="n"/>
      <c r="D125" s="8" t="n">
        <v>3</v>
      </c>
      <c r="E125" s="9" t="inlineStr">
        <is>
          <t>0325/CABECERA</t>
        </is>
      </c>
      <c r="F125" s="10" t="n">
        <v>4053</v>
      </c>
      <c r="G125" s="10" t="n">
        <v>106</v>
      </c>
      <c r="H125" s="10" t="n">
        <v>426</v>
      </c>
      <c r="I125" s="11">
        <f>0.659218580605221*10.0*2.58112</f>
        <v/>
      </c>
      <c r="J125" s="11">
        <f>0.0390106132271579*10.0*2.58112</f>
        <v/>
      </c>
      <c r="K125" s="11">
        <f>0.301770806167621*10.0*2.58112</f>
        <v/>
      </c>
      <c r="L125" s="9" t="inlineStr">
        <is>
          <t>AZUAY</t>
        </is>
      </c>
      <c r="M125" s="9" t="inlineStr">
        <is>
          <t>CUENCA</t>
        </is>
      </c>
      <c r="N125" s="12" t="inlineStr">
        <is>
          <t>HURTADO DE MENDOZA, CDLA. TOSI, CDLA. BANCO DE LA VIVIENDA, CENTRAL TELEFÓNICA ETAPA, YANAHURCO, RÍO CURARAY, FASAYÑÁN, SARAURCO, ALLCUQUIRO, BUERÁN, CORDILLERA, ANTISANA, PARQUE CURIQUINGA, AV. LOS ANDES, COMPLEJO TOTORACOCHA, PASEO MILCHICHIG, CALLES DEL CÓNDOR, DE LOS HUANCAVILCAS, YAGUARCOCHA, TOTORACOCHA, HUILA, PAN DE AZÚCAR, REVENTADOR, PASEO MILCHICHIG.</t>
        </is>
      </c>
    </row>
    <row r="126">
      <c r="C126" s="13" t="n"/>
      <c r="D126" s="8" t="n">
        <v>5</v>
      </c>
      <c r="E126" s="9" t="inlineStr">
        <is>
          <t>0525/CABECERA</t>
        </is>
      </c>
      <c r="F126" s="10" t="n">
        <v>5393</v>
      </c>
      <c r="G126" s="10" t="n">
        <v>71</v>
      </c>
      <c r="H126" s="10" t="n">
        <v>325</v>
      </c>
      <c r="I126" s="11">
        <f>0.781372359180689*10.0*2.30486</f>
        <v/>
      </c>
      <c r="J126" s="11">
        <f>0.0406288419548275*10.0*2.30486</f>
        <v/>
      </c>
      <c r="K126" s="11">
        <f>0.177998798864483*10.0*2.30486</f>
        <v/>
      </c>
      <c r="L126" s="9" t="inlineStr">
        <is>
          <t>AZUAY</t>
        </is>
      </c>
      <c r="M126" s="9" t="inlineStr">
        <is>
          <t>CUENCA</t>
        </is>
      </c>
      <c r="N126" s="12" t="inlineStr">
        <is>
          <t>CALLE ANTONIO LLORET, JUAN PIO MONTUFAR, DOS DE AGOSTO, JUAN LARREA GUERRERO, MANUELA CAÑIZARES, CANTON BUENA FE,  AV. RICARDO DURAN, BAÑOS CENTRO, UCHULOMA, SECTOR HUISHIL, MINAS DE BAÑOS, SUSTAG, SOLDADOS, TANGEO, PIMO, EL BARCO, SAN ANTONIO, SAN GABRIEL DE CHAUCHA, LA IBERIA, CARMEN DE PIJILÍ.</t>
        </is>
      </c>
    </row>
    <row r="127">
      <c r="C127" s="13" t="n"/>
      <c r="D127" s="8" t="n">
        <v>13</v>
      </c>
      <c r="E127" s="9" t="inlineStr">
        <is>
          <t>1323/CABECERA</t>
        </is>
      </c>
      <c r="F127" s="10" t="n">
        <v>5485</v>
      </c>
      <c r="G127" s="10" t="n">
        <v>50</v>
      </c>
      <c r="H127" s="10" t="n">
        <v>203</v>
      </c>
      <c r="I127" s="11">
        <f>0.653585971150715*10.0*1.4587821457386</f>
        <v/>
      </c>
      <c r="J127" s="11">
        <f>0.0967184399480474*10.0*1.4587821457386</f>
        <v/>
      </c>
      <c r="K127" s="11">
        <f>0.249695588901237*10.0*1.4587821457386</f>
        <v/>
      </c>
      <c r="L127" s="9" t="inlineStr">
        <is>
          <t>AZUAY</t>
        </is>
      </c>
      <c r="M127" s="9" t="inlineStr">
        <is>
          <t>CUENCA</t>
        </is>
      </c>
      <c r="N127" s="12" t="inlineStr">
        <is>
          <t>BELLAVISTA TARQUI, ESTACIÓN DE CUMBRE,SAN PEDRO DE ESCALERAS, LA MERCED CUMBE, VICTORIA DEL PORTETE, CHURUGUSHO, IRQUIS, SAN VICENTE DE ARRAYÁN, RODEO CUMBE, SIMBALO, UCURURRO, TIERRA BLANCA, GAÑADEL, TACADEL, VIOLA LA UNIÓN, JIMA, SAN JOSE DE RARANGA, LA ESMERALDA DE SAN JOSÉ DE RARANGA, CUSHING, MOYA, SAN MIGUEL DE CUYES, AMAZONAS</t>
        </is>
      </c>
    </row>
    <row r="128">
      <c r="C128" s="13" t="n"/>
      <c r="D128" s="8" t="n">
        <v>21</v>
      </c>
      <c r="E128" s="9" t="inlineStr">
        <is>
          <t>2123/RECONECT: ESC AMAZONAS</t>
        </is>
      </c>
      <c r="F128" s="10" t="n">
        <v>2962</v>
      </c>
      <c r="G128" s="10" t="n">
        <v>13</v>
      </c>
      <c r="H128" s="10" t="n">
        <v>239</v>
      </c>
      <c r="I128" s="11">
        <f>0.68830780885558*10.0*1.30541666666667</f>
        <v/>
      </c>
      <c r="J128" s="11">
        <f>0.00974340304977923*10.0*1.30541666666667</f>
        <v/>
      </c>
      <c r="K128" s="11">
        <f>0.301948788094641*10.0*1.30541666666667</f>
        <v/>
      </c>
      <c r="L128" s="9" t="inlineStr">
        <is>
          <t>MORONA SANTIAGO</t>
        </is>
      </c>
      <c r="M128" s="9" t="inlineStr">
        <is>
          <t>MORONA, TAISHA Y HUAMBOYA</t>
        </is>
      </c>
      <c r="N128" s="12" t="inlineStr">
        <is>
          <t>SANTA ANA, PARROQUIA SEVILLA DON BOSCO, ESCUELA DEL MILENIO, SAN LUIS DE IÑINQUIS, GUADALUPE</t>
        </is>
      </c>
    </row>
    <row r="129">
      <c r="C129" s="13" t="n"/>
      <c r="D129" s="14" t="inlineStr">
        <is>
          <t>TOTALES PARCIALES:</t>
        </is>
      </c>
      <c r="E129" s="15" t="n"/>
      <c r="F129" s="10">
        <f>SUM(F123:F128)</f>
        <v/>
      </c>
      <c r="G129" s="10">
        <f>SUM(G123:G128)</f>
        <v/>
      </c>
      <c r="H129" s="10">
        <f>SUM(H123:H128)</f>
        <v/>
      </c>
      <c r="I129" s="11">
        <f>SUM(I123:I128)</f>
        <v/>
      </c>
      <c r="J129" s="11">
        <f>SUM(J123:J128)</f>
        <v/>
      </c>
      <c r="K129" s="11">
        <f>SUM(K123:K128)</f>
        <v/>
      </c>
      <c r="L129" s="9" t="n"/>
      <c r="M129" s="16" t="n"/>
      <c r="N129" s="17" t="n"/>
    </row>
    <row r="130">
      <c r="C130" s="18" t="n"/>
      <c r="D130" s="14" t="inlineStr">
        <is>
          <t>TOTAL:</t>
        </is>
      </c>
      <c r="E130" s="15" t="n"/>
      <c r="F130" s="10">
        <f>SUM(F129, G129, H129)</f>
        <v/>
      </c>
      <c r="G130" s="19" t="n"/>
      <c r="H130" s="20" t="n"/>
      <c r="I130" s="11">
        <f>SUM(I129, J129, K129)</f>
        <v/>
      </c>
      <c r="J130" s="21" t="n"/>
      <c r="K130" s="22" t="n"/>
      <c r="L130" s="23" t="n"/>
      <c r="M130" s="24" t="n"/>
      <c r="N130" s="25" t="n"/>
    </row>
    <row r="132">
      <c r="C132" s="4" t="inlineStr">
        <is>
          <t>BLOQUE 12</t>
        </is>
      </c>
      <c r="D132" s="4" t="inlineStr">
        <is>
          <t>SUBESTACIÓN</t>
        </is>
      </c>
      <c r="E132" s="4" t="inlineStr">
        <is>
          <t>PRIMARIOS A DESCONECTAR</t>
        </is>
      </c>
      <c r="F132" s="4" t="inlineStr">
        <is>
          <t># CLIENTES</t>
        </is>
      </c>
      <c r="G132" s="5" t="n"/>
      <c r="H132" s="6" t="n"/>
      <c r="I132" s="4" t="inlineStr">
        <is>
          <t>DEMANDA PROMEDIO DE LOS PERIODOS (MWh)</t>
        </is>
      </c>
      <c r="J132" s="5" t="n"/>
      <c r="K132" s="6" t="n"/>
      <c r="L132" s="4" t="inlineStr">
        <is>
          <t>PROVINCIA</t>
        </is>
      </c>
      <c r="M132" s="4" t="inlineStr">
        <is>
          <t>CANTON</t>
        </is>
      </c>
      <c r="N132" s="4" t="inlineStr">
        <is>
          <t>SECTORES</t>
        </is>
      </c>
    </row>
    <row r="133">
      <c r="C133" s="2" t="n"/>
      <c r="D133" s="2" t="n"/>
      <c r="E133" s="2" t="n"/>
      <c r="F133" s="4" t="inlineStr">
        <is>
          <t>RESIDENCIAL</t>
        </is>
      </c>
      <c r="G133" s="4" t="inlineStr">
        <is>
          <t>INDUSTRIAL</t>
        </is>
      </c>
      <c r="H133" s="4" t="inlineStr">
        <is>
          <t>COMERCIAL</t>
        </is>
      </c>
      <c r="I133" s="4" t="inlineStr">
        <is>
          <t>RESIDENCIAL</t>
        </is>
      </c>
      <c r="J133" s="4" t="inlineStr">
        <is>
          <t>INDUSTRIAL</t>
        </is>
      </c>
      <c r="K133" s="4" t="inlineStr">
        <is>
          <t>COMERCIAL</t>
        </is>
      </c>
      <c r="L133" s="2" t="n"/>
      <c r="M133" s="2" t="n"/>
      <c r="N133" s="2" t="n"/>
    </row>
    <row r="134">
      <c r="C134" s="7" t="inlineStr">
        <is>
          <t>10:00:00-16:00:00 20:00:00-00:00:00</t>
        </is>
      </c>
      <c r="D134" s="8" t="n">
        <v>1</v>
      </c>
      <c r="E134" s="9" t="inlineStr">
        <is>
          <t>0101/CABECERA</t>
        </is>
      </c>
      <c r="F134" s="10" t="n">
        <v>2459</v>
      </c>
      <c r="G134" s="10" t="n">
        <v>46</v>
      </c>
      <c r="H134" s="10" t="n">
        <v>1371</v>
      </c>
      <c r="I134" s="11">
        <f>0.410872788755644*10.0*1.3910890814209</f>
        <v/>
      </c>
      <c r="J134" s="11">
        <f>0.0194072262238242*10.0*1.3910890814209</f>
        <v/>
      </c>
      <c r="K134" s="11">
        <f>0.569719985020532*10.0*1.3910890814209</f>
        <v/>
      </c>
      <c r="L134" s="9" t="inlineStr">
        <is>
          <t>AZUAY</t>
        </is>
      </c>
      <c r="M134" s="9" t="inlineStr">
        <is>
          <t>CUENCA</t>
        </is>
      </c>
      <c r="N134" s="12" t="inlineStr">
        <is>
          <t>CALLE PÍO BRAVO ENTRE LUIS CORDERO Y AV. HUAYNA CÁPAC, ANTONIO VEGA MUÑOZ ENTRE MARIANO CUEVA Y AV. HUAYNA CÁPAC, GASPAR SANGURIMA ENTRE HERMANO MIGUEL Y AV. HUAYNA CÁPAC, LAMAR ENTRE MARIANO CUEVA Y AV. HUAYNA CÁPAC, GRAN COLOMBIA ENTE MARIANO CUEVA Y AV. HUYANA CÁPAC, BOLÍVAR ENTRE MARIANO CUEVA Y VARGAS MACHUCA, MARIANO CUEVA ENTRE  SUCRE Y RAFAEL MARÍA ARÍZAGA, VARGAS MACHUCA ENTRE BOLÍVAR Y RAFAEL MARÍA ARÍZAGA, TOMÁS ORDÓÑEZ ENTRE GRAN COLOMBIA Y RAFAEL MARÍA ARÍZAGA, MANUEL VEGA DESDE LA BOLÍVAR HASTA RAFAEL MARÍA ARÍZAGA. MERCADO NUEVE DE OCTUBRE Y PLAZA ROTARY, CONSEJO PROVINCIAL.</t>
        </is>
      </c>
    </row>
    <row r="135">
      <c r="C135" s="13" t="n"/>
      <c r="D135" s="8" t="n">
        <v>2</v>
      </c>
      <c r="E135" s="9" t="inlineStr">
        <is>
          <t>0203/CABECERA</t>
        </is>
      </c>
      <c r="F135" s="10" t="n">
        <v>1341</v>
      </c>
      <c r="G135" s="10" t="n">
        <v>21</v>
      </c>
      <c r="H135" s="10" t="n">
        <v>1120</v>
      </c>
      <c r="I135" s="11">
        <f>0.28629013259863*10.0*1.11945166666667</f>
        <v/>
      </c>
      <c r="J135" s="11">
        <f>0.0172820886427456*10.0*1.11945166666667</f>
        <v/>
      </c>
      <c r="K135" s="11">
        <f>0.696427778758624*10.0*1.11945166666667</f>
        <v/>
      </c>
      <c r="L135" s="9" t="inlineStr">
        <is>
          <t>AZUAY</t>
        </is>
      </c>
      <c r="M135" s="9" t="inlineStr">
        <is>
          <t>CUENCA</t>
        </is>
      </c>
      <c r="N135" s="12" t="inlineStr">
        <is>
          <t>BOLÍVAR ENTRE MIGUEL VELEZ Y JUAN MONTALVO, CLINICA BOLÍVAR, SUCRE SENTRE MIGUEL VELEZ Y GENERAL TORRES, PLAZA SAN FRANCISCO, LA CONDAMINE</t>
        </is>
      </c>
    </row>
    <row r="136">
      <c r="C136" s="13" t="n"/>
      <c r="D136" s="8" t="n">
        <v>3</v>
      </c>
      <c r="E136" s="9" t="inlineStr">
        <is>
          <t>0321/CABECERA (SIN CENSO1)</t>
        </is>
      </c>
      <c r="F136" s="10" t="n">
        <v>6027</v>
      </c>
      <c r="G136" s="10" t="n">
        <v>79</v>
      </c>
      <c r="H136" s="10" t="n">
        <v>205</v>
      </c>
      <c r="I136" s="11">
        <f>0.800949288459429*10.0*1.31604606060606</f>
        <v/>
      </c>
      <c r="J136" s="11">
        <f>0.0708167154512099*10.0*1.31604606060606</f>
        <v/>
      </c>
      <c r="K136" s="11">
        <f>0.128233996089361*10.0*1.31604606060606</f>
        <v/>
      </c>
      <c r="L136" s="9" t="inlineStr">
        <is>
          <t>AZUAY</t>
        </is>
      </c>
      <c r="M136" s="9" t="inlineStr">
        <is>
          <t>CUENCA</t>
        </is>
      </c>
      <c r="N136" s="12" t="inlineStr">
        <is>
          <t>AV. 24 DE MAYO, REDONDEL DEL IESS, RAYOLOMA, BARRIO EMILIO SARMIENTO, BAGUANCHI, CRUCE DE MONAY, CARAPUNGO, EL TABLON DE PACCHA, EL CEDILLO, COLEGIO ALEMAN, GUNCAY, SANTA CATALINA, SAN PEDRO DE BAHUANCHI, EL CEMENTERIO DE EL VALLE, SAN MIGUEL DE BAGUANCHI, BAGUANCHI CHICO, COCHAS DE PACCHA, EL CARMEN, TORREOS, TOCTEPAMBA.</t>
        </is>
      </c>
    </row>
    <row r="137">
      <c r="C137" s="13" t="n"/>
      <c r="D137" s="8" t="n">
        <v>3</v>
      </c>
      <c r="E137" s="9" t="inlineStr">
        <is>
          <t>0321/RECONECT: BELLA UNION</t>
        </is>
      </c>
      <c r="F137" s="10" t="n">
        <v>2157</v>
      </c>
      <c r="G137" s="10" t="n">
        <v>3</v>
      </c>
      <c r="H137" s="10" t="n">
        <v>83</v>
      </c>
      <c r="I137" s="11">
        <f>0.839442098405008*10.0*0.143048484848485</f>
        <v/>
      </c>
      <c r="J137" s="11">
        <f>0.0132710938819114*10.0*0.143048484848485</f>
        <v/>
      </c>
      <c r="K137" s="11">
        <f>0.14728680771308*10.0*0.143048484848485</f>
        <v/>
      </c>
      <c r="L137" s="9" t="inlineStr">
        <is>
          <t>AZUAY</t>
        </is>
      </c>
      <c r="M137" s="9" t="inlineStr">
        <is>
          <t>CUENCA</t>
        </is>
      </c>
      <c r="N137" s="12" t="inlineStr">
        <is>
          <t>BELLA UNIÓN, SANTA BARBARA, SAN PEDRO, GANANCAY, SIGSICOCHA, LA LIBERTAD, SAN BARTOLOMÉ.</t>
        </is>
      </c>
    </row>
    <row r="138">
      <c r="C138" s="13" t="n"/>
      <c r="D138" s="8" t="n">
        <v>3</v>
      </c>
      <c r="E138" s="9" t="inlineStr">
        <is>
          <t>0321/RECONECT: DISHA</t>
        </is>
      </c>
      <c r="F138" s="10" t="n">
        <v>2664</v>
      </c>
      <c r="G138" s="10" t="n">
        <v>5</v>
      </c>
      <c r="H138" s="10" t="n">
        <v>83</v>
      </c>
      <c r="I138" s="11">
        <f>0.843498746021522*10.0*0.143048484848485</f>
        <v/>
      </c>
      <c r="J138" s="11">
        <f>0.010653828157508*10.0*0.143048484848485</f>
        <v/>
      </c>
      <c r="K138" s="11">
        <f>0.14584742582097*10.0*0.143048484848485</f>
        <v/>
      </c>
      <c r="L138" s="9" t="inlineStr">
        <is>
          <t>AZUAY</t>
        </is>
      </c>
      <c r="M138" s="9" t="inlineStr">
        <is>
          <t>CUENCA</t>
        </is>
      </c>
      <c r="N138" s="12" t="inlineStr">
        <is>
          <t>EL VERDE QUINGEO, MEMBRILLO SANTA ANA, COCHAPAMBA QUINGEO, RUNAMACAS, MACAS QUINGEO, MONJAS QUINGEO, GARAUSHI, PIRICOCHA, CASPICORRAL, HUAIRAPUNGO, LA ESPERANZA SAN JOSE DE RARANGA</t>
        </is>
      </c>
    </row>
    <row r="139">
      <c r="C139" s="13" t="n"/>
      <c r="D139" s="8" t="n">
        <v>3</v>
      </c>
      <c r="E139" s="9" t="inlineStr">
        <is>
          <t>0321/RECONECT: SANTA ANA</t>
        </is>
      </c>
      <c r="F139" s="10" t="n">
        <v>1867</v>
      </c>
      <c r="G139" s="10" t="n">
        <v>22</v>
      </c>
      <c r="H139" s="10" t="n">
        <v>58</v>
      </c>
      <c r="I139" s="11">
        <f>0.853705350809247*10.0*0.171658181818182</f>
        <v/>
      </c>
      <c r="J139" s="11">
        <f>0.0469087202526929*10.0*0.171658181818182</f>
        <v/>
      </c>
      <c r="K139" s="11">
        <f>0.0993859289380603*10.0*0.171658181818182</f>
        <v/>
      </c>
      <c r="L139" s="9" t="inlineStr">
        <is>
          <t>AZUAY</t>
        </is>
      </c>
      <c r="M139" s="9" t="inlineStr">
        <is>
          <t>CUENCA</t>
        </is>
      </c>
      <c r="N139" s="12" t="inlineStr">
        <is>
          <t>SANTA ANA, TIGAPAL, GORDELEG, ZHIDMAD, GUANDUG, CAZHAPATA, EL GUAYAN, CHICOLALCOTE, SAN JOSE DE LALCOTE, EL CARMEN DE JADAN, BAYZHUN, EL TABLON, YUDO.</t>
        </is>
      </c>
    </row>
    <row r="140">
      <c r="C140" s="13" t="n"/>
      <c r="D140" s="8" t="n">
        <v>3</v>
      </c>
      <c r="E140" s="9" t="inlineStr">
        <is>
          <t>0322/RECONECT: BOCATTI (SIN G SUAREZ1)</t>
        </is>
      </c>
      <c r="F140" s="10" t="n">
        <v>2851</v>
      </c>
      <c r="G140" s="10" t="n">
        <v>34</v>
      </c>
      <c r="H140" s="10" t="n">
        <v>233</v>
      </c>
      <c r="I140" s="11">
        <f>0.653155253471421*10.0*2.52049777777778</f>
        <v/>
      </c>
      <c r="J140" s="11">
        <f>0.070816625495524*10.0*2.52049777777778</f>
        <v/>
      </c>
      <c r="K140" s="11">
        <f>0.276028121033055*10.0*2.52049777777778</f>
        <v/>
      </c>
      <c r="L140" s="9" t="inlineStr">
        <is>
          <t>AZUAY</t>
        </is>
      </c>
      <c r="M140" s="9" t="inlineStr">
        <is>
          <t>CUENCA</t>
        </is>
      </c>
      <c r="N140" s="12" t="inlineStr">
        <is>
          <t>GONZÁLEZ SUÁREZ DESDE LA MAX UHLE  HASTA AV. TAHUANTINSUYO,  CALLE CARPENTER, GENERAL ARTIGAS, CONSTANCIO VIGIL, GABRIELA MISTRAL, PANCHO VILLA, BENITO JUAREZ, JOSE MARTI, 13 DE ABRIL, DE LOS MAYAS, RAFAEL GALARZA, MANUEL MUÑOZ, HERNAN CORDERO, TEOTIHUACAN, ATAHUALPA, OCTAVIO PAZ, PABLO NERUDA, EL TIEMPO HASTA WASHINGTON, SECTOR CURTIEMBRE, MULTIFALILIARES EUCALIPTOS, SECTOR PARQUE INTERANDINO, CALLE LOS SHIRIS, ALTIPLANO, PRINCESA PACCHA, PINTAG.</t>
        </is>
      </c>
    </row>
    <row r="141">
      <c r="C141" s="13" t="n"/>
      <c r="D141" s="8" t="n">
        <v>5</v>
      </c>
      <c r="E141" s="9" t="inlineStr">
        <is>
          <t>0521/CABECERA</t>
        </is>
      </c>
      <c r="F141" s="10" t="n">
        <v>4452</v>
      </c>
      <c r="G141" s="10" t="n">
        <v>57</v>
      </c>
      <c r="H141" s="10" t="n">
        <v>276</v>
      </c>
      <c r="I141" s="11">
        <f>0.664386804234088*10.0*1.84275</f>
        <v/>
      </c>
      <c r="J141" s="11">
        <f>0.131026759966154*10.0*1.84275</f>
        <v/>
      </c>
      <c r="K141" s="11">
        <f>0.204586435799758*10.0*1.84275</f>
        <v/>
      </c>
      <c r="L141" s="9" t="inlineStr">
        <is>
          <t>AZUAY</t>
        </is>
      </c>
      <c r="M141" s="9" t="inlineStr">
        <is>
          <t>CUENCA</t>
        </is>
      </c>
      <c r="N141" s="12" t="inlineStr">
        <is>
          <t>AV. DE LAS AMERICAS CARRIL DE SALIDA DE LA CIUDAD DESDE LA CALLE MANUEL DE CISNEROS HASTA LA AUTOPISTA, PANAMERICANA SUR DESDE NARANCAY HASTA TARQUI, SECTORES PLATAFORMA ITINERANTE DE NARANCAY, NARANCAY BAJO, PROPARTES, CALLES ISAAC ALBENIZ, BEETHOVEN, MOZART, ESCUELA HÍPICA DE LA POLÍCIA, CERÁMICA CUENCA, CAVA SAN MIGUEL, SEÑOR DEL CAUTIVO, LA PRADERA, ZHUCAY, ZHUCAY LOMA, TUTUPALI GRANDE Y CHICO, ATUCLOMA, BELLAVISTA, COTAPAMBA, TRANCAPAMBA, SANTA ROSA, AGCHAYACU, CORAZÓN DE JESÚS, TRES CLAVELES, RUTA SUNSUN, HASTA LA PLANTA DE TRATAMIENTO NERO, SECTOR BARRIO CHAULLAYACU</t>
        </is>
      </c>
    </row>
    <row r="142">
      <c r="C142" s="13" t="n"/>
      <c r="D142" s="8" t="n">
        <v>5</v>
      </c>
      <c r="E142" s="9" t="inlineStr">
        <is>
          <t>05210/CABECERA</t>
        </is>
      </c>
      <c r="F142" s="10" t="n">
        <v>3258</v>
      </c>
      <c r="G142" s="10" t="n">
        <v>31</v>
      </c>
      <c r="H142" s="10" t="n">
        <v>590</v>
      </c>
      <c r="I142" s="11">
        <f>0.582824639294663*10.0*1.84275</f>
        <v/>
      </c>
      <c r="J142" s="11">
        <f>0.0149753813906275*10.0*1.84275</f>
        <v/>
      </c>
      <c r="K142" s="11">
        <f>0.40219997931471*10.0*1.84275</f>
        <v/>
      </c>
      <c r="L142" s="9" t="inlineStr">
        <is>
          <t>AZUAY</t>
        </is>
      </c>
      <c r="M142" s="9" t="inlineStr">
        <is>
          <t>CUENCA</t>
        </is>
      </c>
      <c r="N142" s="12" t="inlineStr">
        <is>
          <t>FRANCISCO CISNEROS, MIGUEL ORTEGA ALCOCER, FRANCISCO AGUILAR, MARIANO ESTRELLA, GENERAL ESCANDÓN, RICARDO DARQUEA GRANDA, VÍCTOR MANUEL ALBORNOZ, ORDÓÑEZ LASSO DESDE LOS CEREZOS HASTA LOS ALAMOS, PASEO TRES DE NOVIEMBRE.</t>
        </is>
      </c>
    </row>
    <row r="143">
      <c r="C143" s="13" t="n"/>
      <c r="D143" s="8" t="n">
        <v>5</v>
      </c>
      <c r="E143" s="9" t="inlineStr">
        <is>
          <t>0529/CABECERA</t>
        </is>
      </c>
      <c r="F143" s="10" t="n">
        <v>1995</v>
      </c>
      <c r="G143" s="10" t="n">
        <v>29</v>
      </c>
      <c r="H143" s="10" t="n">
        <v>152</v>
      </c>
      <c r="I143" s="11">
        <f>0.78001906170597*10.0*0.588082479100847</f>
        <v/>
      </c>
      <c r="J143" s="11">
        <f>0.0614044363193506*10.0*0.588082479100847</f>
        <v/>
      </c>
      <c r="K143" s="11">
        <f>0.15857650197468*10.0*0.588082479100847</f>
        <v/>
      </c>
      <c r="L143" s="9" t="inlineStr">
        <is>
          <t>AZUAY</t>
        </is>
      </c>
      <c r="M143" s="9" t="inlineStr">
        <is>
          <t>CUENCA</t>
        </is>
      </c>
      <c r="N143" s="12" t="inlineStr">
        <is>
          <t>1ERO DE MAYO ENTRE LOJA Y SOLANO, 10 DE AGOSTO EN MIGUEL DIAZ Y LOJA, LORENZO PIEDRA ENTRE ISABEL LANDIBAR Y REMIGIO CRESPO, REMIGIO CRESPO ENTRE LOJA Y SOLANO, JULIO MATOVELLE ENTRE LOJA Y JUAN IÑIGUEZ.</t>
        </is>
      </c>
    </row>
    <row r="144">
      <c r="C144" s="13" t="n"/>
      <c r="D144" s="8" t="n">
        <v>7</v>
      </c>
      <c r="E144" s="9" t="inlineStr">
        <is>
          <t>0724/CABECERA(SIN CAPULISPAMBA)</t>
        </is>
      </c>
      <c r="F144" s="10" t="n">
        <v>823</v>
      </c>
      <c r="G144" s="10" t="n">
        <v>8</v>
      </c>
      <c r="H144" s="10" t="n">
        <v>29</v>
      </c>
      <c r="I144" s="11">
        <f>0.739454036693904*10.0*0.235364035087719</f>
        <v/>
      </c>
      <c r="J144" s="11">
        <f>0.149692373816179*10.0*0.235364035087719</f>
        <v/>
      </c>
      <c r="K144" s="11">
        <f>0.110853589489917*10.0*0.235364035087719</f>
        <v/>
      </c>
      <c r="L144" s="9" t="inlineStr">
        <is>
          <t>AZUAY</t>
        </is>
      </c>
      <c r="M144" s="9" t="inlineStr">
        <is>
          <t>CUENCA</t>
        </is>
      </c>
      <c r="N144" s="12" t="inlineStr">
        <is>
          <t>HUAJIBAMBA LA MERCED, LA MERCED RICAURTE.</t>
        </is>
      </c>
    </row>
    <row r="145">
      <c r="C145" s="13" t="n"/>
      <c r="D145" s="8" t="n">
        <v>7</v>
      </c>
      <c r="E145" s="9" t="inlineStr">
        <is>
          <t>0724/RECONECT: LLACAO</t>
        </is>
      </c>
      <c r="F145" s="10" t="n">
        <v>1561</v>
      </c>
      <c r="G145" s="10" t="n">
        <v>13</v>
      </c>
      <c r="H145" s="10" t="n">
        <v>51</v>
      </c>
      <c r="I145" s="11">
        <f>0.692863789523765*10.0*0.282436842105263</f>
        <v/>
      </c>
      <c r="J145" s="11">
        <f>0.136808492490613*10.0*0.282436842105263</f>
        <v/>
      </c>
      <c r="K145" s="11">
        <f>0.170327717985622*10.0*0.282436842105263</f>
        <v/>
      </c>
      <c r="L145" s="9" t="inlineStr">
        <is>
          <t>AZUAY</t>
        </is>
      </c>
      <c r="M145" s="9" t="inlineStr">
        <is>
          <t>CUENCA</t>
        </is>
      </c>
      <c r="N145" s="12" t="inlineStr">
        <is>
          <t>LLACAO CENTRO, REINA DEL CISNE, EL MIRADOR, LA PLAYA, LA UNIÓN, STA MARIA, BARRIO BUENA ESPERANZA LA NUEVA DOLOROSA.</t>
        </is>
      </c>
    </row>
    <row r="146">
      <c r="C146" s="13" t="n"/>
      <c r="D146" s="8" t="n">
        <v>15</v>
      </c>
      <c r="E146" s="9" t="inlineStr">
        <is>
          <t>1523/RECONECT: NOCAY</t>
        </is>
      </c>
      <c r="F146" s="10" t="n">
        <v>2907</v>
      </c>
      <c r="G146" s="10" t="n">
        <v>53</v>
      </c>
      <c r="H146" s="10" t="n">
        <v>634</v>
      </c>
      <c r="I146" s="11">
        <f>0.577259652063926*10.0*1.39719047619048</f>
        <v/>
      </c>
      <c r="J146" s="11">
        <f>0.0699240461180803*10.0*1.39719047619048</f>
        <v/>
      </c>
      <c r="K146" s="11">
        <f>0.352816301817994*10.0*1.39719047619048</f>
        <v/>
      </c>
      <c r="L146" s="9" t="inlineStr">
        <is>
          <t>AZUAY</t>
        </is>
      </c>
      <c r="M146" s="9" t="inlineStr">
        <is>
          <t>PAUTE</t>
        </is>
      </c>
      <c r="N146" s="12" t="inlineStr">
        <is>
          <t>UZHUPUD, COLEGIO AGRONOMICO, SAN IGNACION, SANJUANPAMBA, ZHUMIR, SAN JOSE DE HUACAS, TACAPAMBA, VILLAFLOR, VANTE, PIRINCAY, PAUTE CENTRO, PLAZAPAMBA, EL CALVARIO, VIRGENPAMBA, PUCALOMA, MARCOLOMA, ZECAY, SUMAN, GUAYAN, BULAN, TEJAR, TAMBILLO PADREHURCO</t>
        </is>
      </c>
    </row>
    <row r="147">
      <c r="C147" s="13" t="n"/>
      <c r="D147" s="8" t="n">
        <v>18</v>
      </c>
      <c r="E147" s="9" t="inlineStr">
        <is>
          <t>1823/CABECERA</t>
        </is>
      </c>
      <c r="F147" s="10" t="n">
        <v>1170</v>
      </c>
      <c r="G147" s="10" t="n">
        <v>7</v>
      </c>
      <c r="H147" s="10" t="n">
        <v>114</v>
      </c>
      <c r="I147" s="11">
        <f>0.77196414716552*10.0*0.491815</f>
        <v/>
      </c>
      <c r="J147" s="11">
        <f>0.00939515550107798*10.0*0.491815</f>
        <v/>
      </c>
      <c r="K147" s="11">
        <f>0.218640697333402*10.0*0.491815</f>
        <v/>
      </c>
      <c r="L147" s="9" t="inlineStr">
        <is>
          <t>CAÑAR</t>
        </is>
      </c>
      <c r="M147" s="9" t="inlineStr">
        <is>
          <t>CAÑAR</t>
        </is>
      </c>
      <c r="N147" s="12" t="inlineStr">
        <is>
          <t>SANTA ROSA DUCUR, CHICAL, BOTIJA PAQUINA, ENEN, GUN ZHUD, ANGAS ZHUD, TRANCALOMA, TIPOCOCHA,  ZHUD, LOMA REDONDA, ARRAYÁN DORMIDO, LAS COPAS, SAN ANTONIO DUCUR, SAN MIGUEL CHONTAMARCA, SHIRCAY, YANAYACU, BAYO CRUZ, BACHIRÍN, CHAUPIYUNGA, SAN MARCOS DUCUR, CHOCAR ZHUD, CHIGLEDEL, SAN CARLOS CHONTAMARCA, CIMIENTOS, MOYANCÓN, SAN ANTONIO, CHACARPAMBA, JAVÍN DUCUR, LA MERCED DUCUR, PIMO ZHUD,  CORDILLERA DE BULUBULU, LAS CRUCES, GENERAL MORALES, SAN FRANCISCO, SAN ANTONIO, CARGALCHINA, SUSCAL, PUCANGO, PUMATOGLIA, SAN LUIS CHONTAMARCA, YANAHURCO, LA CLEMENTINA, PAPAYAL.</t>
        </is>
      </c>
    </row>
    <row r="148">
      <c r="C148" s="13" t="n"/>
      <c r="D148" s="8" t="n">
        <v>21</v>
      </c>
      <c r="E148" s="9" t="inlineStr">
        <is>
          <t>2128/CABECERA</t>
        </is>
      </c>
      <c r="F148" s="10" t="n">
        <v>2341</v>
      </c>
      <c r="G148" s="10" t="n">
        <v>11</v>
      </c>
      <c r="H148" s="10" t="n">
        <v>260</v>
      </c>
      <c r="I148" s="11">
        <f>0.702264393132924*10.0*0.785066666666667</f>
        <v/>
      </c>
      <c r="J148" s="11">
        <f>0.0377147480921527*10.0*0.785066666666667</f>
        <v/>
      </c>
      <c r="K148" s="11">
        <f>0.260020858774923*10.0*0.785066666666667</f>
        <v/>
      </c>
      <c r="L148" s="9" t="inlineStr">
        <is>
          <t>MORONA SANTIAGO</t>
        </is>
      </c>
      <c r="M148" s="9" t="inlineStr">
        <is>
          <t>SUCÚA</t>
        </is>
      </c>
      <c r="N148" s="12" t="inlineStr">
        <is>
          <t>PARROQUIA SANTA MARIANITA DESDE LA AV. TRONCAL AMAZÓNICA HASTA RÍO UPANO, BARRIO EL BELÉN DESDE LA AV. TRONCAL AMAZÓNICA HASTA HACIA EL RÍO UPANO, BARRIO EL TERMINAL DESDE LA AV. TRONCAL AMAZÓNICA HASTA LA AV. 2000, BARRIO UPANO, BARRIO AMAZONAS, BARRIO 3 DE NOVIEMBRE, BARRIO 5 ESQUINAS, BARRIO 31 DE AGOSTO, BARRIO LA PROVIDENCIA, BARRIO NUEVO ISRAEL, SANTA ROSA, SAN PABLO, PINCHUNAINT, TUNDAYM, SEIP, FLOR DEL BOSQUE, SAN LUIS, YUKUTEIS, KAYAMAS.</t>
        </is>
      </c>
    </row>
    <row r="149">
      <c r="C149" s="13" t="n"/>
      <c r="D149" s="8" t="n">
        <v>22</v>
      </c>
      <c r="E149" s="9" t="inlineStr">
        <is>
          <t>2211/CABECERA</t>
        </is>
      </c>
      <c r="F149" s="10" t="n">
        <v>775</v>
      </c>
      <c r="G149" s="10" t="n">
        <v>7</v>
      </c>
      <c r="H149" s="10" t="n">
        <v>89</v>
      </c>
      <c r="I149" s="11">
        <f>0.686648207199656*10.0*0.160051666666667</f>
        <v/>
      </c>
      <c r="J149" s="11">
        <f>0.0164916121117939*10.0*0.160051666666667</f>
        <v/>
      </c>
      <c r="K149" s="11">
        <f>0.29686018068855*10.0*0.160051666666667</f>
        <v/>
      </c>
      <c r="L149" s="9" t="inlineStr">
        <is>
          <t>MORONA SANTIAGO</t>
        </is>
      </c>
      <c r="M149" s="9" t="inlineStr">
        <is>
          <t>SANTIAGO DE MÉNDEZ</t>
        </is>
      </c>
      <c r="N149" s="12" t="inlineStr">
        <is>
          <t>Y DE PATUCA, TAYUZA, SAN FRANCISCO DE CHINIMBIMI.</t>
        </is>
      </c>
    </row>
    <row r="150">
      <c r="C150" s="13" t="n"/>
      <c r="D150" s="8" t="n">
        <v>23</v>
      </c>
      <c r="E150" s="9" t="inlineStr">
        <is>
          <t>2312/CABECERA</t>
        </is>
      </c>
      <c r="F150" s="10" t="n">
        <v>549</v>
      </c>
      <c r="G150" s="10" t="n">
        <v>15</v>
      </c>
      <c r="H150" s="10" t="n">
        <v>82</v>
      </c>
      <c r="I150" s="11">
        <f>0.686120070507999*10.0*0.44081</f>
        <v/>
      </c>
      <c r="J150" s="11">
        <f>0.0213179035069002*10.0*0.44081</f>
        <v/>
      </c>
      <c r="K150" s="11">
        <f>0.2925620259851*10.0*0.44081</f>
        <v/>
      </c>
      <c r="L150" s="9" t="inlineStr">
        <is>
          <t>MORONA SANTIAGO</t>
        </is>
      </c>
      <c r="M150" s="9" t="inlineStr">
        <is>
          <t>LIMÓN INDANZA</t>
        </is>
      </c>
      <c r="N150" s="12" t="inlineStr">
        <is>
          <t>INDANZA, SAN MIGUEL DE CONCHAY, CENTRO CANTONAL DE SAN JUAN BOSCO, PARROQUIAS, PAN DE AZÚCAR, PANANZA, WAKAMBEIS, SAN CARLOS DE LIMÓN, GUALAQUIZA TODOS LAS COMUNIDADES UBICADAS A LO LARGO DE LA TRONCAL AMAZÓNICA DESDE EL RÍO KALAGLAS HASTA SAN FRANCISCO.</t>
        </is>
      </c>
    </row>
    <row r="151">
      <c r="C151" s="13" t="n"/>
      <c r="D151" s="8" t="n">
        <v>50</v>
      </c>
      <c r="E151" s="9" t="inlineStr">
        <is>
          <t>5011/CABECERA</t>
        </is>
      </c>
      <c r="F151" s="10" t="n">
        <v>800</v>
      </c>
      <c r="G151" s="10" t="n">
        <v>3</v>
      </c>
      <c r="H151" s="10" t="n">
        <v>88</v>
      </c>
      <c r="I151" s="11">
        <f>0.706539366119633*10.0*0.432250790338516</f>
        <v/>
      </c>
      <c r="J151" s="11">
        <f>0.00718125638059627*10.0*0.432250790338516</f>
        <v/>
      </c>
      <c r="K151" s="11">
        <f>0.286279377499771*10.0*0.432250790338516</f>
        <v/>
      </c>
      <c r="L151" s="9" t="inlineStr">
        <is>
          <t>CAÑAR</t>
        </is>
      </c>
      <c r="M151" s="9" t="inlineStr">
        <is>
          <t>LA TRONCAL</t>
        </is>
      </c>
      <c r="N151" s="12" t="inlineStr">
        <is>
          <t>LA CADENA, CALIFORNIA, INTEGRADO, RANCHO GRANDE, CIELITO, SAN ANTONIO, MANUEL DE J. CALLE.</t>
        </is>
      </c>
    </row>
    <row r="152">
      <c r="C152" s="13" t="n"/>
      <c r="D152" s="14" t="inlineStr">
        <is>
          <t>TOTALES PARCIALES:</t>
        </is>
      </c>
      <c r="E152" s="15" t="n"/>
      <c r="F152" s="10">
        <f>SUM(F134:F151)</f>
        <v/>
      </c>
      <c r="G152" s="10">
        <f>SUM(G134:G151)</f>
        <v/>
      </c>
      <c r="H152" s="10">
        <f>SUM(H134:H151)</f>
        <v/>
      </c>
      <c r="I152" s="11">
        <f>SUM(I134:I151)</f>
        <v/>
      </c>
      <c r="J152" s="11">
        <f>SUM(J134:J151)</f>
        <v/>
      </c>
      <c r="K152" s="11">
        <f>SUM(K134:K151)</f>
        <v/>
      </c>
      <c r="L152" s="9" t="n"/>
      <c r="M152" s="16" t="n"/>
      <c r="N152" s="17" t="n"/>
    </row>
    <row r="153">
      <c r="C153" s="18" t="n"/>
      <c r="D153" s="14" t="inlineStr">
        <is>
          <t>TOTAL:</t>
        </is>
      </c>
      <c r="E153" s="15" t="n"/>
      <c r="F153" s="10">
        <f>SUM(F152, G152, H152)</f>
        <v/>
      </c>
      <c r="G153" s="19" t="n"/>
      <c r="H153" s="20" t="n"/>
      <c r="I153" s="11">
        <f>SUM(I152, J152, K152)</f>
        <v/>
      </c>
      <c r="J153" s="21" t="n"/>
      <c r="K153" s="22" t="n"/>
      <c r="L153" s="23" t="n"/>
      <c r="M153" s="24" t="n"/>
      <c r="N153" s="25" t="n"/>
    </row>
    <row r="155">
      <c r="C155" s="4" t="inlineStr">
        <is>
          <t>BLOQUE 13</t>
        </is>
      </c>
      <c r="D155" s="4" t="inlineStr">
        <is>
          <t>SUBESTACIÓN</t>
        </is>
      </c>
      <c r="E155" s="4" t="inlineStr">
        <is>
          <t>PRIMARIOS A DESCONECTAR</t>
        </is>
      </c>
      <c r="F155" s="4" t="inlineStr">
        <is>
          <t># CLIENTES</t>
        </is>
      </c>
      <c r="G155" s="5" t="n"/>
      <c r="H155" s="6" t="n"/>
      <c r="I155" s="4" t="inlineStr">
        <is>
          <t>DEMANDA PROMEDIO DE LOS PERIODOS (MWh)</t>
        </is>
      </c>
      <c r="J155" s="5" t="n"/>
      <c r="K155" s="6" t="n"/>
      <c r="L155" s="4" t="inlineStr">
        <is>
          <t>PROVINCIA</t>
        </is>
      </c>
      <c r="M155" s="4" t="inlineStr">
        <is>
          <t>CANTON</t>
        </is>
      </c>
      <c r="N155" s="4" t="inlineStr">
        <is>
          <t>SECTORES</t>
        </is>
      </c>
    </row>
    <row r="156">
      <c r="C156" s="2" t="n"/>
      <c r="D156" s="2" t="n"/>
      <c r="E156" s="2" t="n"/>
      <c r="F156" s="4" t="inlineStr">
        <is>
          <t>RESIDENCIAL</t>
        </is>
      </c>
      <c r="G156" s="4" t="inlineStr">
        <is>
          <t>INDUSTRIAL</t>
        </is>
      </c>
      <c r="H156" s="4" t="inlineStr">
        <is>
          <t>COMERCIAL</t>
        </is>
      </c>
      <c r="I156" s="4" t="inlineStr">
        <is>
          <t>RESIDENCIAL</t>
        </is>
      </c>
      <c r="J156" s="4" t="inlineStr">
        <is>
          <t>INDUSTRIAL</t>
        </is>
      </c>
      <c r="K156" s="4" t="inlineStr">
        <is>
          <t>COMERCIAL</t>
        </is>
      </c>
      <c r="L156" s="2" t="n"/>
      <c r="M156" s="2" t="n"/>
      <c r="N156" s="2" t="n"/>
    </row>
    <row r="157">
      <c r="C157" s="7" t="inlineStr">
        <is>
          <t>11:00:00-17:00:00</t>
        </is>
      </c>
      <c r="D157" s="8" t="n">
        <v>4</v>
      </c>
      <c r="E157" s="9" t="inlineStr">
        <is>
          <t>0424/CABECERA</t>
        </is>
      </c>
      <c r="F157" s="10" t="n">
        <v>2082</v>
      </c>
      <c r="G157" s="10" t="n">
        <v>63</v>
      </c>
      <c r="H157" s="10" t="n">
        <v>501</v>
      </c>
      <c r="I157" s="11">
        <f>0.376696986580091*6.0*1.74057355559211</f>
        <v/>
      </c>
      <c r="J157" s="11">
        <f>0.271224396262037*6.0*1.74057355559211</f>
        <v/>
      </c>
      <c r="K157" s="11">
        <f>0.352078617157872*6.0*1.74057355559211</f>
        <v/>
      </c>
      <c r="L157" s="9" t="inlineStr">
        <is>
          <t>AZUAY</t>
        </is>
      </c>
      <c r="M157" s="9" t="inlineStr">
        <is>
          <t>CUENCA</t>
        </is>
      </c>
      <c r="N157" s="12" t="inlineStr">
        <is>
          <t>AV. DE LAS AMÉRICAS HASTA LA ABELARDO ANDRADE, EL VENCEDOR, DE LA BOCINA; CAMINO MIRAFLORES HASTA DE LA TONAD, ANTONIO FARFAN Y EUGENIO ESPEJO HASTA LA MARIANO CUEVA Y HÉROES DE VERDELOMA, CALLE ARMENILLAS, AV ESPAÑA DESDE SEBASTIAN DE BENALCAZAR HASTA FRANCISCO PIZARRO, AEREOPUESTO, CALLE CASTELLANA, CALLE MADRID, CALLE BARCELONA, CALLE SEVILLA, CALLE GONZALO DE LAS PEÑAS.</t>
        </is>
      </c>
    </row>
    <row r="158">
      <c r="C158" s="13" t="n"/>
      <c r="D158" s="14" t="inlineStr">
        <is>
          <t>TOTALES PARCIALES:</t>
        </is>
      </c>
      <c r="E158" s="15" t="n"/>
      <c r="F158" s="10">
        <f>SUM(F157:F157)</f>
        <v/>
      </c>
      <c r="G158" s="10">
        <f>SUM(G157:G157)</f>
        <v/>
      </c>
      <c r="H158" s="10">
        <f>SUM(H157:H157)</f>
        <v/>
      </c>
      <c r="I158" s="11">
        <f>SUM(I157:I157)</f>
        <v/>
      </c>
      <c r="J158" s="11">
        <f>SUM(J157:J157)</f>
        <v/>
      </c>
      <c r="K158" s="11">
        <f>SUM(K157:K157)</f>
        <v/>
      </c>
      <c r="L158" s="9" t="n"/>
      <c r="M158" s="16" t="n"/>
      <c r="N158" s="17" t="n"/>
    </row>
    <row r="159">
      <c r="C159" s="18" t="n"/>
      <c r="D159" s="14" t="inlineStr">
        <is>
          <t>TOTAL:</t>
        </is>
      </c>
      <c r="E159" s="15" t="n"/>
      <c r="F159" s="10">
        <f>SUM(F158, G158, H158)</f>
        <v/>
      </c>
      <c r="G159" s="19" t="n"/>
      <c r="H159" s="20" t="n"/>
      <c r="I159" s="11">
        <f>SUM(I158, J158, K158)</f>
        <v/>
      </c>
      <c r="J159" s="21" t="n"/>
      <c r="K159" s="22" t="n"/>
      <c r="L159" s="23" t="n"/>
      <c r="M159" s="24" t="n"/>
      <c r="N159" s="25" t="n"/>
    </row>
  </sheetData>
  <mergeCells count="185">
    <mergeCell ref="C41:C51"/>
    <mergeCell ref="E39:E40"/>
    <mergeCell ref="I159:K159"/>
    <mergeCell ref="F18:H18"/>
    <mergeCell ref="I97:K97"/>
    <mergeCell ref="M70:M71"/>
    <mergeCell ref="C121:C122"/>
    <mergeCell ref="D36:E36"/>
    <mergeCell ref="L53:L54"/>
    <mergeCell ref="E155:E156"/>
    <mergeCell ref="F109:H109"/>
    <mergeCell ref="N53:N54"/>
    <mergeCell ref="D158:E158"/>
    <mergeCell ref="I111:K111"/>
    <mergeCell ref="L67:N68"/>
    <mergeCell ref="D108:E108"/>
    <mergeCell ref="C99:C109"/>
    <mergeCell ref="C132:C133"/>
    <mergeCell ref="F111:H111"/>
    <mergeCell ref="I79:K79"/>
    <mergeCell ref="L39:L40"/>
    <mergeCell ref="F39:H39"/>
    <mergeCell ref="I153:K153"/>
    <mergeCell ref="N39:N40"/>
    <mergeCell ref="D18:D19"/>
    <mergeCell ref="D78:E78"/>
    <mergeCell ref="C157:C159"/>
    <mergeCell ref="I59:K59"/>
    <mergeCell ref="C27:C28"/>
    <mergeCell ref="L81:L82"/>
    <mergeCell ref="D4:E4"/>
    <mergeCell ref="M18:M19"/>
    <mergeCell ref="D56:E56"/>
    <mergeCell ref="L111:L112"/>
    <mergeCell ref="D24:E24"/>
    <mergeCell ref="M53:M54"/>
    <mergeCell ref="D51:E51"/>
    <mergeCell ref="C6:C7"/>
    <mergeCell ref="L94:N95"/>
    <mergeCell ref="C111:C112"/>
    <mergeCell ref="M59:M60"/>
    <mergeCell ref="M111:M112"/>
    <mergeCell ref="L56:N57"/>
    <mergeCell ref="F51:H51"/>
    <mergeCell ref="D27:D28"/>
    <mergeCell ref="D155:D156"/>
    <mergeCell ref="M39:M40"/>
    <mergeCell ref="L158:N159"/>
    <mergeCell ref="N18:N19"/>
    <mergeCell ref="I37:K37"/>
    <mergeCell ref="L121:L122"/>
    <mergeCell ref="N121:N122"/>
    <mergeCell ref="C97:C98"/>
    <mergeCell ref="L18:L19"/>
    <mergeCell ref="M81:M82"/>
    <mergeCell ref="C20:C25"/>
    <mergeCell ref="L132:L133"/>
    <mergeCell ref="F27:H27"/>
    <mergeCell ref="N132:N133"/>
    <mergeCell ref="F155:H155"/>
    <mergeCell ref="N155:N156"/>
    <mergeCell ref="F130:H130"/>
    <mergeCell ref="M27:M28"/>
    <mergeCell ref="I51:K51"/>
    <mergeCell ref="E27:E28"/>
    <mergeCell ref="D53:D54"/>
    <mergeCell ref="I119:K119"/>
    <mergeCell ref="F132:H132"/>
    <mergeCell ref="D37:E37"/>
    <mergeCell ref="L6:L7"/>
    <mergeCell ref="F119:H119"/>
    <mergeCell ref="N6:N7"/>
    <mergeCell ref="I81:K81"/>
    <mergeCell ref="D118:E118"/>
    <mergeCell ref="E97:E98"/>
    <mergeCell ref="F25:H25"/>
    <mergeCell ref="D152:E152"/>
    <mergeCell ref="D39:D40"/>
    <mergeCell ref="M155:M156"/>
    <mergeCell ref="C61:C68"/>
    <mergeCell ref="L152:N153"/>
    <mergeCell ref="L70:L71"/>
    <mergeCell ref="D15:E15"/>
    <mergeCell ref="E81:E82"/>
    <mergeCell ref="I27:K27"/>
    <mergeCell ref="N70:N71"/>
    <mergeCell ref="E121:E122"/>
    <mergeCell ref="D129:E129"/>
    <mergeCell ref="C55:C57"/>
    <mergeCell ref="C18:C19"/>
    <mergeCell ref="F59:H59"/>
    <mergeCell ref="D79:E79"/>
    <mergeCell ref="D81:D82"/>
    <mergeCell ref="I25:K25"/>
    <mergeCell ref="N81:N82"/>
    <mergeCell ref="F95:H95"/>
    <mergeCell ref="L108:N109"/>
    <mergeCell ref="D153:E153"/>
    <mergeCell ref="E132:E133"/>
    <mergeCell ref="F79:H79"/>
    <mergeCell ref="I53:K53"/>
    <mergeCell ref="F159:H159"/>
    <mergeCell ref="L97:L98"/>
    <mergeCell ref="F97:H97"/>
    <mergeCell ref="F153:H153"/>
    <mergeCell ref="N97:N98"/>
    <mergeCell ref="I130:K130"/>
    <mergeCell ref="I68:K68"/>
    <mergeCell ref="C59:C60"/>
    <mergeCell ref="C2:E2"/>
    <mergeCell ref="E59:E60"/>
    <mergeCell ref="F81:H81"/>
    <mergeCell ref="F121:H121"/>
    <mergeCell ref="C8:C16"/>
    <mergeCell ref="I39:K39"/>
    <mergeCell ref="I132:K132"/>
    <mergeCell ref="F37:H37"/>
    <mergeCell ref="C70:C71"/>
    <mergeCell ref="I109:K109"/>
    <mergeCell ref="E70:E71"/>
    <mergeCell ref="F57:H57"/>
    <mergeCell ref="C39:C40"/>
    <mergeCell ref="F53:H53"/>
    <mergeCell ref="L59:L60"/>
    <mergeCell ref="D3:E3"/>
    <mergeCell ref="N59:N60"/>
    <mergeCell ref="D25:E25"/>
    <mergeCell ref="M97:M98"/>
    <mergeCell ref="F16:H16"/>
    <mergeCell ref="C72:C79"/>
    <mergeCell ref="I95:K95"/>
    <mergeCell ref="F6:H6"/>
    <mergeCell ref="F68:H68"/>
    <mergeCell ref="C155:C156"/>
    <mergeCell ref="E18:E19"/>
    <mergeCell ref="D67:E67"/>
    <mergeCell ref="I70:K70"/>
    <mergeCell ref="M121:M122"/>
    <mergeCell ref="C29:C37"/>
    <mergeCell ref="I57:K57"/>
    <mergeCell ref="D94:E94"/>
    <mergeCell ref="D6:D7"/>
    <mergeCell ref="L50:N51"/>
    <mergeCell ref="I16:K16"/>
    <mergeCell ref="C83:C95"/>
    <mergeCell ref="D109:E109"/>
    <mergeCell ref="M132:M133"/>
    <mergeCell ref="D70:D71"/>
    <mergeCell ref="D119:E119"/>
    <mergeCell ref="F70:H70"/>
    <mergeCell ref="C134:C153"/>
    <mergeCell ref="I18:K18"/>
    <mergeCell ref="D159:E159"/>
    <mergeCell ref="D111:D112"/>
    <mergeCell ref="L36:N37"/>
    <mergeCell ref="I121:K121"/>
    <mergeCell ref="N111:N112"/>
    <mergeCell ref="I155:K155"/>
    <mergeCell ref="D95:E95"/>
    <mergeCell ref="D57:E57"/>
    <mergeCell ref="M6:M7"/>
    <mergeCell ref="E6:E7"/>
    <mergeCell ref="L78:N79"/>
    <mergeCell ref="L118:N119"/>
    <mergeCell ref="D97:D98"/>
    <mergeCell ref="D16:E16"/>
    <mergeCell ref="L15:N16"/>
    <mergeCell ref="L24:N25"/>
    <mergeCell ref="D121:D122"/>
    <mergeCell ref="C81:C82"/>
    <mergeCell ref="C123:C130"/>
    <mergeCell ref="L27:L28"/>
    <mergeCell ref="I6:K6"/>
    <mergeCell ref="L155:L156"/>
    <mergeCell ref="N27:N28"/>
    <mergeCell ref="C53:C54"/>
    <mergeCell ref="D132:D133"/>
    <mergeCell ref="E53:E54"/>
    <mergeCell ref="D130:E130"/>
    <mergeCell ref="D68:E68"/>
    <mergeCell ref="L129:N130"/>
    <mergeCell ref="C113:C119"/>
    <mergeCell ref="D50:E50"/>
    <mergeCell ref="E111:E112"/>
    <mergeCell ref="D59:D6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2:N159"/>
  <sheetViews>
    <sheetView workbookViewId="0">
      <selection activeCell="A1" sqref="A1"/>
    </sheetView>
  </sheetViews>
  <sheetFormatPr baseColWidth="8" defaultRowHeight="15"/>
  <cols>
    <col width="20" customWidth="1" min="3" max="3"/>
    <col width="16" customWidth="1" min="4" max="4"/>
    <col width="25" customWidth="1" min="5" max="5"/>
    <col width="15" customWidth="1" min="6" max="6"/>
    <col width="15" customWidth="1" min="7" max="7"/>
    <col width="15" customWidth="1" min="8" max="8"/>
    <col width="15" customWidth="1" min="9" max="9"/>
    <col width="15" customWidth="1" min="10" max="10"/>
    <col width="15" customWidth="1" min="11" max="11"/>
    <col width="15" customWidth="1" min="12" max="12"/>
    <col width="15" customWidth="1" min="13" max="13"/>
    <col width="180" customWidth="1" min="14" max="14"/>
  </cols>
  <sheetData>
    <row r="2">
      <c r="C2" s="1" t="inlineStr">
        <is>
          <t>FORMATO DE DESCONEXIONES DIARIAS</t>
        </is>
      </c>
      <c r="E2" s="2" t="n"/>
    </row>
    <row r="3">
      <c r="C3" s="1" t="inlineStr">
        <is>
          <t>EMPRESA:</t>
        </is>
      </c>
      <c r="D3" s="3" t="inlineStr">
        <is>
          <t>CENTROSUR</t>
        </is>
      </c>
      <c r="E3" s="2" t="n"/>
    </row>
    <row r="4">
      <c r="C4" s="1" t="inlineStr">
        <is>
          <t>FECHA:</t>
        </is>
      </c>
      <c r="D4" s="3" t="inlineStr">
        <is>
          <t>2024-10-14</t>
        </is>
      </c>
      <c r="E4" s="2" t="n"/>
    </row>
    <row r="6">
      <c r="C6" s="4" t="inlineStr">
        <is>
          <t>BLOQUE 1</t>
        </is>
      </c>
      <c r="D6" s="4" t="inlineStr">
        <is>
          <t>SUBESTACIÓN</t>
        </is>
      </c>
      <c r="E6" s="4" t="inlineStr">
        <is>
          <t>PRIMARIOS A DESCONECTAR</t>
        </is>
      </c>
      <c r="F6" s="4" t="inlineStr">
        <is>
          <t># CLIENTES</t>
        </is>
      </c>
      <c r="G6" s="5" t="n"/>
      <c r="H6" s="6" t="n"/>
      <c r="I6" s="4" t="inlineStr">
        <is>
          <t>DEMANDA PROMEDIO DE LOS PERIODOS (MWh)</t>
        </is>
      </c>
      <c r="J6" s="5" t="n"/>
      <c r="K6" s="6" t="n"/>
      <c r="L6" s="4" t="inlineStr">
        <is>
          <t>PROVINCIA</t>
        </is>
      </c>
      <c r="M6" s="4" t="inlineStr">
        <is>
          <t>CANTON</t>
        </is>
      </c>
      <c r="N6" s="4" t="inlineStr">
        <is>
          <t>SECTORES</t>
        </is>
      </c>
    </row>
    <row r="7">
      <c r="C7" s="2" t="n"/>
      <c r="D7" s="2" t="n"/>
      <c r="E7" s="2" t="n"/>
      <c r="F7" s="4" t="inlineStr">
        <is>
          <t>RESIDENCIAL</t>
        </is>
      </c>
      <c r="G7" s="4" t="inlineStr">
        <is>
          <t>INDUSTRIAL</t>
        </is>
      </c>
      <c r="H7" s="4" t="inlineStr">
        <is>
          <t>COMERCIAL</t>
        </is>
      </c>
      <c r="I7" s="4" t="inlineStr">
        <is>
          <t>RESIDENCIAL</t>
        </is>
      </c>
      <c r="J7" s="4" t="inlineStr">
        <is>
          <t>INDUSTRIAL</t>
        </is>
      </c>
      <c r="K7" s="4" t="inlineStr">
        <is>
          <t>COMERCIAL</t>
        </is>
      </c>
      <c r="L7" s="2" t="n"/>
      <c r="M7" s="2" t="n"/>
      <c r="N7" s="2" t="n"/>
    </row>
    <row r="8">
      <c r="C8" s="7" t="inlineStr">
        <is>
          <t>00:00:00-03:00:00 09:00:00-15:00:00</t>
        </is>
      </c>
      <c r="D8" s="8" t="n">
        <v>8</v>
      </c>
      <c r="E8" s="9" t="inlineStr">
        <is>
          <t>0821/CABECERA</t>
        </is>
      </c>
      <c r="F8" s="10" t="n">
        <v>2720</v>
      </c>
      <c r="G8" s="10" t="n">
        <v>39</v>
      </c>
      <c r="H8" s="10" t="n">
        <v>605</v>
      </c>
      <c r="I8" s="11">
        <f>0.472275306291731*9.0*2.986026</f>
        <v/>
      </c>
      <c r="J8" s="11">
        <f>0.124497547910391*9.0*2.986026</f>
        <v/>
      </c>
      <c r="K8" s="11">
        <f>0.403227145797878*9.0*2.986026</f>
        <v/>
      </c>
      <c r="L8" s="9" t="inlineStr">
        <is>
          <t>AZUAY</t>
        </is>
      </c>
      <c r="M8" s="9" t="inlineStr">
        <is>
          <t>CUENCA</t>
        </is>
      </c>
      <c r="N8" s="12" t="inlineStr">
        <is>
          <t>TURI, 24 DE MAYO ENTRE REDONDEL DE GAPAL Y TRES PUENTES, PRIMERO DE MAYO ENTRE TRES PUENTES Y LOJA, 10 DE AGOSTO ENTRE SOLANO Y LOJA, LORENZO PIEDRA, REMIGIO CRESPO ENTRE SOLANO Y LOJA.</t>
        </is>
      </c>
    </row>
    <row r="9">
      <c r="C9" s="13" t="n"/>
      <c r="D9" s="8" t="n">
        <v>8</v>
      </c>
      <c r="E9" s="9" t="inlineStr">
        <is>
          <t>0823/CABECERA</t>
        </is>
      </c>
      <c r="F9" s="10" t="n">
        <v>2096</v>
      </c>
      <c r="G9" s="10" t="n">
        <v>20</v>
      </c>
      <c r="H9" s="10" t="n">
        <v>89</v>
      </c>
      <c r="I9" s="11">
        <f>0.873364820769687*9.0*0.634942</f>
        <v/>
      </c>
      <c r="J9" s="11">
        <f>0.022125796066539*9.0*0.634942</f>
        <v/>
      </c>
      <c r="K9" s="11">
        <f>0.104509383163774*9.0*0.634942</f>
        <v/>
      </c>
      <c r="L9" s="9" t="inlineStr">
        <is>
          <t>AZUAY</t>
        </is>
      </c>
      <c r="M9" s="9" t="inlineStr">
        <is>
          <t>CUENCA</t>
        </is>
      </c>
      <c r="N9" s="12" t="inlineStr">
        <is>
          <t>LA QUEBRADA DE TURI, BELLAVISTA, PUNTA CORRAL;  CORAZÓN DE JESÚS, SAN PEDRO DE HIERBA BUENA; EL VERDE; GULLANZHAPA, GUALALCAY, VIA A LOS LAURELES, VIA A  PAREDONES, TRES ESTRELLAS, TOTORACOCHA ALTA Y BAJA DE GUALALCAY, TRANCAPAMBA,  SAN PEDRO DE YUNGA, PARACOLOMA, MORASCALLE, TAÑILOMA, CHILCATOTORA, CHILACACHAPARRA, SAN FRANCISCO, TARQUI CENTRO.</t>
        </is>
      </c>
    </row>
    <row r="10">
      <c r="C10" s="13" t="n"/>
      <c r="D10" s="8" t="n">
        <v>12</v>
      </c>
      <c r="E10" s="9" t="inlineStr">
        <is>
          <t>1223/CABECERA</t>
        </is>
      </c>
      <c r="F10" s="10" t="n">
        <v>2187</v>
      </c>
      <c r="G10" s="10" t="n">
        <v>12</v>
      </c>
      <c r="H10" s="10" t="n">
        <v>132</v>
      </c>
      <c r="I10" s="11">
        <f>0.819896248912789*9.0*1.288462</f>
        <v/>
      </c>
      <c r="J10" s="11">
        <f>0.0179090960880945*9.0*1.288462</f>
        <v/>
      </c>
      <c r="K10" s="11">
        <f>0.162194654999116*9.0*1.288462</f>
        <v/>
      </c>
      <c r="L10" s="9" t="inlineStr">
        <is>
          <t>AZUAY</t>
        </is>
      </c>
      <c r="M10" s="9" t="inlineStr">
        <is>
          <t>PAUTE</t>
        </is>
      </c>
      <c r="N10" s="12" t="inlineStr">
        <is>
          <t>EL CABO, ZHUMIR, GUACHAPALA, LUGMAPAMBA, RUMIHURCO, LA ESTANCIA, AGUAS BLANCAS, CHICÁN, COPZHAL, MARAS, ALGARROBO, CHICTY, SAN PEDRO, TUTUCAN, PARIG, GUACHAPALA, ÑUÑURCO, DON JULO, GUABLID, SACRE, SAN VICENTE, SA.NTA TERESITA, LA MERCED, EL PAN, LA TINA, SEVILLA DE ORO, CHIMUL, LA UNIÓN, SANTA ROSA, CENTRO DE PALMAS, CHALACAY, OSOYACU</t>
        </is>
      </c>
    </row>
    <row r="11">
      <c r="C11" s="13" t="n"/>
      <c r="D11" s="8" t="n">
        <v>14</v>
      </c>
      <c r="E11" s="9" t="inlineStr">
        <is>
          <t>1422/CABECERA</t>
        </is>
      </c>
      <c r="F11" s="10" t="n">
        <v>2650</v>
      </c>
      <c r="G11" s="10" t="n">
        <v>17</v>
      </c>
      <c r="H11" s="10" t="n">
        <v>182</v>
      </c>
      <c r="I11" s="11">
        <f>0.714384293822761*9.0*1.057104</f>
        <v/>
      </c>
      <c r="J11" s="11">
        <f>0.0513412569341073*9.0*1.057104</f>
        <v/>
      </c>
      <c r="K11" s="11">
        <f>0.234274449243132*9.0*1.057104</f>
        <v/>
      </c>
      <c r="L11" s="9" t="inlineStr">
        <is>
          <t>AZUAY</t>
        </is>
      </c>
      <c r="M11" s="9" t="inlineStr">
        <is>
          <t>NABÓN</t>
        </is>
      </c>
      <c r="N11" s="12" t="inlineStr">
        <is>
          <t>LENTAG BOHEMIA DRINKS, PAREDONES SAN FELIPE DE OÑA, YUQUIS, MEMBRILLO, NABÓN, ÑAMARÍN, COCHAPATA, ZHIÑA, LA CRUZ, HERMANO MIGUEL, PICHANILLAS, LA JARATA, AYALOMA, LA RAMADA,  MORASLOMA, PATADEL, BAIJÓN, CASADEL, RUMILOMA, LAS NIEVES CHAYA, BAYÁN, COCHAPATA, PUCA, TAMBO VIEJO, LA PAZ, PUTUPANO, PURÍN, ROSAS, RODEO, MORASLOMA DE OÑA, CHUNAZANA, RAÑAS, TRANCAPATA LAS NIEVES CHAYA, PUCALLPA, CHACAPATA, RAMBRAN SAN FELIPE DE OÑA, ULUCATA, PICHANILLAS,  CHARQUI, EL PASO, LLIMBI, UDUZHAPA, PUEBLO VIEJO, BAIJÓN, SANTA ELENA, COPACABANA, PARAMO DE TINAJILLAS, RARIG, OÑAZHAPA, TINTACRUZ, COCHAPATA.</t>
        </is>
      </c>
    </row>
    <row r="12">
      <c r="C12" s="13" t="n"/>
      <c r="D12" s="8" t="n">
        <v>14</v>
      </c>
      <c r="E12" s="9" t="inlineStr">
        <is>
          <t>1423/CABECERA</t>
        </is>
      </c>
      <c r="F12" s="10" t="n">
        <v>2582</v>
      </c>
      <c r="G12" s="10" t="n">
        <v>16</v>
      </c>
      <c r="H12" s="10" t="n">
        <v>288</v>
      </c>
      <c r="I12" s="11">
        <f>0.741670008138861*9.0*1.777388</f>
        <v/>
      </c>
      <c r="J12" s="11">
        <f>0.0454995530236035*9.0*1.777388</f>
        <v/>
      </c>
      <c r="K12" s="11">
        <f>0.212830438837535*9.0*1.777388</f>
        <v/>
      </c>
      <c r="L12" s="9" t="inlineStr">
        <is>
          <t>AZUAY</t>
        </is>
      </c>
      <c r="M12" s="9" t="inlineStr">
        <is>
          <t>GIRÓN</t>
        </is>
      </c>
      <c r="N12" s="12" t="inlineStr">
        <is>
          <t>BALZAPAMBA, MOISEN, PACAY, PUCUCARI, ROSAS, SANTO CRISTO, ASUNCIÓN, LAS NIEVES, RUMILOMA, RUMIPAMBA, SANTA ROSA, COCHALOMA, SAN JOSE, SAN FERNANDO, PARTE ALTA DE CALEDONIAS, RIRCAY, PONGO GRANDE, RIRCAY, GIGANTONES, CALEDONIAS, PONGO CHICO, RUMIPAMBA, LEOCAPAC, PARCUSPAMBA, TABLON, GIRÓN CENTRO, MAZTA CHICO, MAZTA GRANDE, ZAPATA, EL VERDE, PORTETE, EL CHORRO, CARMEN DEL CHORRO, FATIMA, NARAMBOTE, PUCALLPA, CHORRO GRANDE, SANTA ANA CAUQUIL BESTION, SAN GERARDO, SAN MARTIN GRANDE, CHUMBLIN, CRISTAL AGUARONGOS.</t>
        </is>
      </c>
    </row>
    <row r="13">
      <c r="C13" s="13" t="n"/>
      <c r="D13" s="8" t="n">
        <v>15</v>
      </c>
      <c r="E13" s="9" t="inlineStr">
        <is>
          <t>1522/CABECERA</t>
        </is>
      </c>
      <c r="F13" s="10" t="n">
        <v>5464</v>
      </c>
      <c r="G13" s="10" t="n">
        <v>143</v>
      </c>
      <c r="H13" s="10" t="n">
        <v>1640</v>
      </c>
      <c r="I13" s="11">
        <f>0.564280983112145*9.0*1.667042</f>
        <v/>
      </c>
      <c r="J13" s="11">
        <f>0.0844223890416682*9.0*1.667042</f>
        <v/>
      </c>
      <c r="K13" s="11">
        <f>0.351296627846187*9.0*1.667042</f>
        <v/>
      </c>
      <c r="L13" s="9" t="inlineStr">
        <is>
          <t>AZUAY</t>
        </is>
      </c>
      <c r="M13" s="9" t="inlineStr">
        <is>
          <t>GUALACEO</t>
        </is>
      </c>
      <c r="N13" s="12" t="inlineStr">
        <is>
          <t>GUALACEO CENTRO, AYALOMA, VÍA QUIMZHI - DOTAXI, PARCULOMA, SALAGUICHAY,  AV. POLICÍA NACIONAL, AV. CIRCUNVALACIÓN, CALLE EUGENIO ESPEJO, EL PROGRESO, BARRIO LINDO, BULZHÚN, TOCTELOMA, PATUL, LLAMPASAY, BULLCAY, ILUNCAY, SAN PEDRO DE LOS OLIVOS, CAGUAZHÚN CHICO, PUENTE EUROPA</t>
        </is>
      </c>
    </row>
    <row r="14">
      <c r="C14" s="13" t="n"/>
      <c r="D14" s="8" t="n">
        <v>18</v>
      </c>
      <c r="E14" s="9" t="inlineStr">
        <is>
          <t>1825/CABECERA (SIN SUSCALPAMBA VIEJO)</t>
        </is>
      </c>
      <c r="F14" s="10" t="n">
        <v>1156</v>
      </c>
      <c r="G14" s="10" t="n">
        <v>4</v>
      </c>
      <c r="H14" s="10" t="n">
        <v>35</v>
      </c>
      <c r="I14" s="11">
        <f>0.852108456340781*9.0*0.307740571428572</f>
        <v/>
      </c>
      <c r="J14" s="11">
        <f>0.0112626485842459*9.0*0.307740571428572</f>
        <v/>
      </c>
      <c r="K14" s="11">
        <f>0.136628895074973*9.0*0.307740571428572</f>
        <v/>
      </c>
      <c r="L14" s="9" t="inlineStr">
        <is>
          <t>CAÑAR</t>
        </is>
      </c>
      <c r="M14" s="9" t="inlineStr">
        <is>
          <t>CAÑAR</t>
        </is>
      </c>
      <c r="N14" s="12" t="inlineStr">
        <is>
          <t>SAN RAFAEL, JIRINCAY, SHUYA, CHARACAY, GUN CHICO, YANACANCHIS, CHACARPAMBA, CASHUIN, RIRPUR, GUALLETURO, GULAG</t>
        </is>
      </c>
    </row>
    <row r="15">
      <c r="C15" s="13" t="n"/>
      <c r="D15" s="14" t="inlineStr">
        <is>
          <t>TOTALES PARCIALES:</t>
        </is>
      </c>
      <c r="E15" s="15" t="n"/>
      <c r="F15" s="10">
        <f>SUM(F8:F14)</f>
        <v/>
      </c>
      <c r="G15" s="10">
        <f>SUM(G8:G14)</f>
        <v/>
      </c>
      <c r="H15" s="10">
        <f>SUM(H8:H14)</f>
        <v/>
      </c>
      <c r="I15" s="11">
        <f>SUM(I8:I14)</f>
        <v/>
      </c>
      <c r="J15" s="11">
        <f>SUM(J8:J14)</f>
        <v/>
      </c>
      <c r="K15" s="11">
        <f>SUM(K8:K14)</f>
        <v/>
      </c>
      <c r="L15" s="9" t="n"/>
      <c r="M15" s="16" t="n"/>
      <c r="N15" s="17" t="n"/>
    </row>
    <row r="16">
      <c r="C16" s="18" t="n"/>
      <c r="D16" s="14" t="inlineStr">
        <is>
          <t>TOTAL:</t>
        </is>
      </c>
      <c r="E16" s="15" t="n"/>
      <c r="F16" s="10">
        <f>SUM(F15, G15, H15)</f>
        <v/>
      </c>
      <c r="G16" s="19" t="n"/>
      <c r="H16" s="20" t="n"/>
      <c r="I16" s="11">
        <f>SUM(I15, J15, K15)</f>
        <v/>
      </c>
      <c r="J16" s="21" t="n"/>
      <c r="K16" s="22" t="n"/>
      <c r="L16" s="23" t="n"/>
      <c r="M16" s="24" t="n"/>
      <c r="N16" s="25" t="n"/>
    </row>
    <row r="18">
      <c r="C18" s="4" t="inlineStr">
        <is>
          <t>BLOQUE 2</t>
        </is>
      </c>
      <c r="D18" s="4" t="inlineStr">
        <is>
          <t>SUBESTACIÓN</t>
        </is>
      </c>
      <c r="E18" s="4" t="inlineStr">
        <is>
          <t>PRIMARIOS A DESCONECTAR</t>
        </is>
      </c>
      <c r="F18" s="4" t="inlineStr">
        <is>
          <t># CLIENTES</t>
        </is>
      </c>
      <c r="G18" s="5" t="n"/>
      <c r="H18" s="6" t="n"/>
      <c r="I18" s="4" t="inlineStr">
        <is>
          <t>DEMANDA PROMEDIO DE LOS PERIODOS (MWh)</t>
        </is>
      </c>
      <c r="J18" s="5" t="n"/>
      <c r="K18" s="6" t="n"/>
      <c r="L18" s="4" t="inlineStr">
        <is>
          <t>PROVINCIA</t>
        </is>
      </c>
      <c r="M18" s="4" t="inlineStr">
        <is>
          <t>CANTON</t>
        </is>
      </c>
      <c r="N18" s="4" t="inlineStr">
        <is>
          <t>SECTORES</t>
        </is>
      </c>
    </row>
    <row r="19">
      <c r="C19" s="2" t="n"/>
      <c r="D19" s="2" t="n"/>
      <c r="E19" s="2" t="n"/>
      <c r="F19" s="4" t="inlineStr">
        <is>
          <t>RESIDENCIAL</t>
        </is>
      </c>
      <c r="G19" s="4" t="inlineStr">
        <is>
          <t>INDUSTRIAL</t>
        </is>
      </c>
      <c r="H19" s="4" t="inlineStr">
        <is>
          <t>COMERCIAL</t>
        </is>
      </c>
      <c r="I19" s="4" t="inlineStr">
        <is>
          <t>RESIDENCIAL</t>
        </is>
      </c>
      <c r="J19" s="4" t="inlineStr">
        <is>
          <t>INDUSTRIAL</t>
        </is>
      </c>
      <c r="K19" s="4" t="inlineStr">
        <is>
          <t>COMERCIAL</t>
        </is>
      </c>
      <c r="L19" s="2" t="n"/>
      <c r="M19" s="2" t="n"/>
      <c r="N19" s="2" t="n"/>
    </row>
    <row r="20">
      <c r="C20" s="7" t="inlineStr">
        <is>
          <t>00:00:00-05:00:00 10:00:00-14:00:00</t>
        </is>
      </c>
      <c r="D20" s="8" t="n">
        <v>4</v>
      </c>
      <c r="E20" s="9" t="inlineStr">
        <is>
          <t>0427/CABECERA (SIN LA COMPAÑIA)</t>
        </is>
      </c>
      <c r="F20" s="10" t="n">
        <v>4467</v>
      </c>
      <c r="G20" s="10" t="n">
        <v>79</v>
      </c>
      <c r="H20" s="10" t="n">
        <v>203</v>
      </c>
      <c r="I20" s="11">
        <f>0.729873048214227*9.0*1.571921</f>
        <v/>
      </c>
      <c r="J20" s="11">
        <f>0.0657904036579479*9.0*1.571921</f>
        <v/>
      </c>
      <c r="K20" s="11">
        <f>0.204336548127825*9.0*1.571921</f>
        <v/>
      </c>
      <c r="L20" s="9" t="inlineStr">
        <is>
          <t>AZUAY</t>
        </is>
      </c>
      <c r="M20" s="9" t="inlineStr">
        <is>
          <t>CUENCA</t>
        </is>
      </c>
      <c r="N20" s="12" t="inlineStr">
        <is>
          <t>VÍA A PATAMARCA, LA COMPANÍA, MAYANCELA, CIUDADELA EL ROSAL, SAN VICENTE DE SININCAY, TRIGALES, ORQUÍDEAS, BEMANI, AV DEL TORIL, AV LOS CHASQUIS, CDLA LOS MECANICOS.</t>
        </is>
      </c>
    </row>
    <row r="21">
      <c r="C21" s="13" t="n"/>
      <c r="D21" s="8" t="n">
        <v>4</v>
      </c>
      <c r="E21" s="9" t="inlineStr">
        <is>
          <t>0427/RECONECT: SAN ANDRES1</t>
        </is>
      </c>
      <c r="F21" s="10" t="n">
        <v>2445</v>
      </c>
      <c r="G21" s="10" t="n">
        <v>22</v>
      </c>
      <c r="H21" s="10" t="n">
        <v>125</v>
      </c>
      <c r="I21" s="11">
        <f>0.566916254877431*9.0*0.362751</f>
        <v/>
      </c>
      <c r="J21" s="11">
        <f>0.348095908348235*9.0*0.362751</f>
        <v/>
      </c>
      <c r="K21" s="11">
        <f>0.0849878367743344*9.0*0.362751</f>
        <v/>
      </c>
      <c r="L21" s="9" t="inlineStr">
        <is>
          <t>AZUAY</t>
        </is>
      </c>
      <c r="M21" s="9" t="inlineStr">
        <is>
          <t>CUENCA</t>
        </is>
      </c>
      <c r="N21" s="12" t="inlineStr">
        <is>
          <t>CHIQUINTAD, VIRGEN DE LA NUBE, CORPANCHE, SAN ANDRÉS, CHECA, CORPANCHE, SAYMIRIN, SAUCAY, SAN JOSE DE CHIQUINTAD,</t>
        </is>
      </c>
    </row>
    <row r="22">
      <c r="C22" s="13" t="n"/>
      <c r="D22" s="8" t="n">
        <v>4</v>
      </c>
      <c r="E22" s="9" t="inlineStr">
        <is>
          <t>0427/RECONECT: SAN SILVESTRE</t>
        </is>
      </c>
      <c r="F22" s="10" t="n">
        <v>4467</v>
      </c>
      <c r="G22" s="10" t="n">
        <v>66</v>
      </c>
      <c r="H22" s="10" t="n">
        <v>169</v>
      </c>
      <c r="I22" s="11">
        <f>0.829886743233281*9.0*0.483668</f>
        <v/>
      </c>
      <c r="J22" s="11">
        <f>0.0510684611129031*9.0*0.483668</f>
        <v/>
      </c>
      <c r="K22" s="11">
        <f>0.119044795653816*9.0*0.483668</f>
        <v/>
      </c>
      <c r="L22" s="9" t="inlineStr">
        <is>
          <t>AZUAY</t>
        </is>
      </c>
      <c r="M22" s="9" t="inlineStr">
        <is>
          <t>CUENCA</t>
        </is>
      </c>
      <c r="N22" s="12" t="inlineStr">
        <is>
          <t>CALLES: SAN SILVESTRE, GREGORIO CORDERO, PEDRO ARIAS, GASPAR DE GALLEGOS, VICENTE ALVARADO, FERNANDO LOPEZ, VICENTE SERRANO, AUSTIN CRESPO, DUITAMA, ISABEL ANTON, ALFONSO RIVERA, IGNACIO CORTAZAR, RODRIGO DE NARVAEZ, DE LA FEDERACION DEPORTIVA DEL AZUAY. DE LA COMPAÑIA, HEROES DEL CENEPA, CUEVA DE LOS TAYOS, PARROQUI CHAUCHA, CONSTITUCIÓN, DIEGO ABAD.</t>
        </is>
      </c>
    </row>
    <row r="23">
      <c r="C23" s="13" t="n"/>
      <c r="D23" s="8" t="n">
        <v>17</v>
      </c>
      <c r="E23" s="9" t="inlineStr">
        <is>
          <t>1723/CABECERA (SIN CEREZOS)</t>
        </is>
      </c>
      <c r="F23" s="10" t="n">
        <v>1753</v>
      </c>
      <c r="G23" s="10" t="n">
        <v>22</v>
      </c>
      <c r="H23" s="10" t="n">
        <v>75</v>
      </c>
      <c r="I23" s="11">
        <f>0.869396386585709*9.0*0.340953236061793</f>
        <v/>
      </c>
      <c r="J23" s="11">
        <f>0.0552906756392175*9.0*0.340953236061793</f>
        <v/>
      </c>
      <c r="K23" s="11">
        <f>0.0753129377750741*9.0*0.340953236061793</f>
        <v/>
      </c>
      <c r="L23" s="9" t="inlineStr">
        <is>
          <t>AZUAY</t>
        </is>
      </c>
      <c r="M23" s="9" t="inlineStr">
        <is>
          <t>CUENCA</t>
        </is>
      </c>
      <c r="N23" s="12" t="inlineStr">
        <is>
          <t>LA GREVILLA, AV. LOS CEREZOS, SECTORES SAN VICENTE DE LAS CALERAS, COLEGIO SANTA ANA, CDLA. EL ROSARIO</t>
        </is>
      </c>
    </row>
    <row r="24">
      <c r="C24" s="13" t="n"/>
      <c r="D24" s="14" t="inlineStr">
        <is>
          <t>TOTALES PARCIALES:</t>
        </is>
      </c>
      <c r="E24" s="15" t="n"/>
      <c r="F24" s="10">
        <f>SUM(F20:F23)</f>
        <v/>
      </c>
      <c r="G24" s="10">
        <f>SUM(G20:G23)</f>
        <v/>
      </c>
      <c r="H24" s="10">
        <f>SUM(H20:H23)</f>
        <v/>
      </c>
      <c r="I24" s="11">
        <f>SUM(I20:I23)</f>
        <v/>
      </c>
      <c r="J24" s="11">
        <f>SUM(J20:J23)</f>
        <v/>
      </c>
      <c r="K24" s="11">
        <f>SUM(K20:K23)</f>
        <v/>
      </c>
      <c r="L24" s="9" t="n"/>
      <c r="M24" s="16" t="n"/>
      <c r="N24" s="17" t="n"/>
    </row>
    <row r="25">
      <c r="C25" s="18" t="n"/>
      <c r="D25" s="14" t="inlineStr">
        <is>
          <t>TOTAL:</t>
        </is>
      </c>
      <c r="E25" s="15" t="n"/>
      <c r="F25" s="10">
        <f>SUM(F24, G24, H24)</f>
        <v/>
      </c>
      <c r="G25" s="19" t="n"/>
      <c r="H25" s="20" t="n"/>
      <c r="I25" s="11">
        <f>SUM(I24, J24, K24)</f>
        <v/>
      </c>
      <c r="J25" s="21" t="n"/>
      <c r="K25" s="22" t="n"/>
      <c r="L25" s="23" t="n"/>
      <c r="M25" s="24" t="n"/>
      <c r="N25" s="25" t="n"/>
    </row>
    <row r="27">
      <c r="C27" s="4" t="inlineStr">
        <is>
          <t>BLOQUE 3</t>
        </is>
      </c>
      <c r="D27" s="4" t="inlineStr">
        <is>
          <t>SUBESTACIÓN</t>
        </is>
      </c>
      <c r="E27" s="4" t="inlineStr">
        <is>
          <t>PRIMARIOS A DESCONECTAR</t>
        </is>
      </c>
      <c r="F27" s="4" t="inlineStr">
        <is>
          <t># CLIENTES</t>
        </is>
      </c>
      <c r="G27" s="5" t="n"/>
      <c r="H27" s="6" t="n"/>
      <c r="I27" s="4" t="inlineStr">
        <is>
          <t>DEMANDA PROMEDIO DE LOS PERIODOS (MWh)</t>
        </is>
      </c>
      <c r="J27" s="5" t="n"/>
      <c r="K27" s="6" t="n"/>
      <c r="L27" s="4" t="inlineStr">
        <is>
          <t>PROVINCIA</t>
        </is>
      </c>
      <c r="M27" s="4" t="inlineStr">
        <is>
          <t>CANTON</t>
        </is>
      </c>
      <c r="N27" s="4" t="inlineStr">
        <is>
          <t>SECTORES</t>
        </is>
      </c>
    </row>
    <row r="28">
      <c r="C28" s="2" t="n"/>
      <c r="D28" s="2" t="n"/>
      <c r="E28" s="2" t="n"/>
      <c r="F28" s="4" t="inlineStr">
        <is>
          <t>RESIDENCIAL</t>
        </is>
      </c>
      <c r="G28" s="4" t="inlineStr">
        <is>
          <t>INDUSTRIAL</t>
        </is>
      </c>
      <c r="H28" s="4" t="inlineStr">
        <is>
          <t>COMERCIAL</t>
        </is>
      </c>
      <c r="I28" s="4" t="inlineStr">
        <is>
          <t>RESIDENCIAL</t>
        </is>
      </c>
      <c r="J28" s="4" t="inlineStr">
        <is>
          <t>INDUSTRIAL</t>
        </is>
      </c>
      <c r="K28" s="4" t="inlineStr">
        <is>
          <t>COMERCIAL</t>
        </is>
      </c>
      <c r="L28" s="2" t="n"/>
      <c r="M28" s="2" t="n"/>
      <c r="N28" s="2" t="n"/>
    </row>
    <row r="29">
      <c r="C29" s="7" t="inlineStr">
        <is>
          <t>00:00:00-05:00:00 16:00:00-20:00:00</t>
        </is>
      </c>
      <c r="D29" s="8" t="n">
        <v>4</v>
      </c>
      <c r="E29" s="9" t="inlineStr">
        <is>
          <t>0422/CABECERA (SIN CASTILLO AMERICAS2)</t>
        </is>
      </c>
      <c r="F29" s="10" t="n">
        <v>1372</v>
      </c>
      <c r="G29" s="10" t="n">
        <v>77</v>
      </c>
      <c r="H29" s="10" t="n">
        <v>309</v>
      </c>
      <c r="I29" s="11">
        <f>0.281956914171621*9.0*1.77807298741071</f>
        <v/>
      </c>
      <c r="J29" s="11">
        <f>0.327190938725887*9.0*1.77807298741071</f>
        <v/>
      </c>
      <c r="K29" s="11">
        <f>0.390852147102492*9.0*1.77807298741071</f>
        <v/>
      </c>
      <c r="L29" s="9" t="inlineStr">
        <is>
          <t>AZUAY</t>
        </is>
      </c>
      <c r="M29" s="9" t="inlineStr">
        <is>
          <t>CUENCA</t>
        </is>
      </c>
      <c r="N29" s="12" t="inlineStr">
        <is>
          <t>AV. DEL TORIL ENTRE HUAGRA UMA Y AV. DE LAS AMÉRICAS, AV. DE LAS AMÉRICAS ENTRE TURUHUAYCO E INDEPENDENCIA, JUAN LAVALLE, AV. INDEPENDENCIA, GENERAL CÓRDOVA, DE LA INDEPENDENCIA, DE LA QUEBRADA, MILCHICHIG, HORNILLOS, EL TABLÓN, BENIGNO PALACIOS, BATALLÓN NUMANCIA, CALLE VIEJA ENTRE ARMENILLAS Y DE LAS LADERAS, UPS, GIL RAMÍREZ DÁVALOS ENTRE PEDREGAL Y ARMENILLAS, TELERAMA, AV. ESPAÑA ENTRE GIL RAMÍREZ DÁVALOS Y SEGOVIA. TURUHUAYCO ENTRE ESPAÑA Y AV. DE LAS AMÉRICAS, CIUDADELA INDEPENDENCIA.</t>
        </is>
      </c>
    </row>
    <row r="30">
      <c r="C30" s="13" t="n"/>
      <c r="D30" s="8" t="n">
        <v>5</v>
      </c>
      <c r="E30" s="9" t="inlineStr">
        <is>
          <t>0524/RECONECT: MIGUEL CABELLO</t>
        </is>
      </c>
      <c r="F30" s="10" t="n">
        <v>1423</v>
      </c>
      <c r="G30" s="10" t="n">
        <v>24</v>
      </c>
      <c r="H30" s="10" t="n">
        <v>132</v>
      </c>
      <c r="I30" s="11">
        <f>0.630638823253638*9.0*0.472720689655172</f>
        <v/>
      </c>
      <c r="J30" s="11">
        <f>0.141386785701477*9.0*0.472720689655172</f>
        <v/>
      </c>
      <c r="K30" s="11">
        <f>0.227974391044885*9.0*0.472720689655172</f>
        <v/>
      </c>
      <c r="L30" s="9" t="inlineStr">
        <is>
          <t>AZUAY</t>
        </is>
      </c>
      <c r="M30" s="9" t="inlineStr">
        <is>
          <t>CUENCA</t>
        </is>
      </c>
      <c r="N30" s="12" t="inlineStr">
        <is>
          <t>MIGUEL CABELLO BALBOA, FRAY GASPAR DE CARVAJAL ENTRE MIGUEL CABELLO E ISABEL LA CATÓLICA, FRAY GASPAR DE VILLAROEL, EL SALADO ENTRE ALONSO CABRERA Y LOJA; LOJA ENTRE ALONSO CABRERA Y CIEZA DE LEÓN, AV. PRIMERO DE MAYO ENTRE GASPAR DE VILLAROEL Y LOJA, PEDRO CALDERÓN DE LA BARCA, CRISTOBAL COLÓN ENTRE LOJA Y MIGUEL DE SERVANTES, MENENDEZ PIDAL, ALONSO QUIJANO, FELIPE LEÓN, ALONSO CABRERA.</t>
        </is>
      </c>
    </row>
    <row r="31">
      <c r="C31" s="13" t="n"/>
      <c r="D31" s="8" t="n">
        <v>5</v>
      </c>
      <c r="E31" s="9" t="inlineStr">
        <is>
          <t>0524/RECONECT: SUPER STOK</t>
        </is>
      </c>
      <c r="F31" s="10" t="n">
        <v>3769</v>
      </c>
      <c r="G31" s="10" t="n">
        <v>84</v>
      </c>
      <c r="H31" s="10" t="n">
        <v>261</v>
      </c>
      <c r="I31" s="11">
        <f>0.702460678126892*9.0*1.06362155172414</f>
        <v/>
      </c>
      <c r="J31" s="11">
        <f>0.121388597429965*9.0*1.06362155172414</f>
        <v/>
      </c>
      <c r="K31" s="11">
        <f>0.176150724443143*9.0*1.06362155172414</f>
        <v/>
      </c>
      <c r="L31" s="9" t="inlineStr">
        <is>
          <t>AZUAY</t>
        </is>
      </c>
      <c r="M31" s="9" t="inlineStr">
        <is>
          <t>CUENCA</t>
        </is>
      </c>
      <c r="N31" s="12" t="inlineStr">
        <is>
          <t>AV. DE LAS AMÉRICAS CARRIL DE ENTRADA A LA CIUDAD ENTRE CORAL CENTRO Y AV. LOJA; AV. LOJA ENTRE RICARDO DURAN Y AV. DON BOSCO, GONZÁLEZ DÍAZ, EL SALADO ENTRE LOJA Y NICOLAS DE ROCHA, RODRIGO ARIAS, VICENTE PINZÓN, ALONSO PINZÓN,  RÍO TARQUI, AUTOPISTA DESDE LAS AMÉRICAS HASTA DIEGO DE ALMAGRO, DIEGO DE ALMAGRO, PUERTO DE PALOS, FRANCISCO ORELLANA ENTRE DIEGO DE ALMAGRO Y CALLE DE LA CONQUISTA, SANTA MARIA ENTRE ALONSO PINZON Y GABRIEL SANCHEZ, LA PINTA ENTRE PEDRO PUELLES Y AV. DE LOS CONQUISTADORES, LA NIÑA HASTA LA AV. DE LOS CONQUISDORES, LA RABIDA; DIEGO DE DAZA, RODRIGO DE TRIANA, DE LOS CONQUISTADORES ENTRE LOJA Y LA NIÑA, DIARIO EL TIEMPO, CIRCO SOCIAL, SAN MARCOS, EL CARMEN DE GUZHO, TIERRAS BLANCAS, EL CALVARIO, HUARIVIÑA, RUMILOMA, LA MERCED.</t>
        </is>
      </c>
    </row>
    <row r="32">
      <c r="C32" s="13" t="n"/>
      <c r="D32" s="8" t="n">
        <v>7</v>
      </c>
      <c r="E32" s="9" t="inlineStr">
        <is>
          <t>0723/RECONECT: LA DOLOROSA</t>
        </is>
      </c>
      <c r="F32" s="10" t="n">
        <v>4277</v>
      </c>
      <c r="G32" s="10" t="n">
        <v>21</v>
      </c>
      <c r="H32" s="10" t="n">
        <v>133</v>
      </c>
      <c r="I32" s="11">
        <f>0.871402312985794*9.0*1.50668914473684</f>
        <v/>
      </c>
      <c r="J32" s="11">
        <f>0.0180871174652105*9.0*1.50668914473684</f>
        <v/>
      </c>
      <c r="K32" s="11">
        <f>0.110510569548996*9.0*1.50668914473684</f>
        <v/>
      </c>
      <c r="L32" s="9" t="inlineStr">
        <is>
          <t>AZUAY</t>
        </is>
      </c>
      <c r="M32" s="9" t="inlineStr">
        <is>
          <t>CUENCA</t>
        </is>
      </c>
      <c r="N32" s="12" t="inlineStr">
        <is>
          <t>LA DOLOROSA RICAURTE, MARIA AUXILIADORA RICAURTE, SEÑOR DEL GRAN PODER, SIDCAY, BIBÍN, CRISTO DEL CONSUELO, EL ROCÍO, LA CALDERA/ SAN JOSE DE SIDCAY / PUEBLO VIEJO / SECTOR DORA CANELOS.</t>
        </is>
      </c>
    </row>
    <row r="33">
      <c r="C33" s="13" t="n"/>
      <c r="D33" s="8" t="n">
        <v>7</v>
      </c>
      <c r="E33" s="9" t="inlineStr">
        <is>
          <t>0723/RECONECT: VIA A DELEG</t>
        </is>
      </c>
      <c r="F33" s="10" t="n">
        <v>1658</v>
      </c>
      <c r="G33" s="10" t="n">
        <v>22</v>
      </c>
      <c r="H33" s="10" t="n">
        <v>23</v>
      </c>
      <c r="I33" s="11">
        <f>0.912036981267419*9.0*0.262032894736842</f>
        <v/>
      </c>
      <c r="J33" s="11">
        <f>0.0680211088127416*9.0*0.262032894736842</f>
        <v/>
      </c>
      <c r="K33" s="11">
        <f>0.019941909919839*9.0*0.262032894736842</f>
        <v/>
      </c>
      <c r="L33" s="9" t="inlineStr">
        <is>
          <t>AZUAY</t>
        </is>
      </c>
      <c r="M33" s="9" t="inlineStr">
        <is>
          <t>CUENCA</t>
        </is>
      </c>
      <c r="N33" s="12" t="inlineStr">
        <is>
          <t>VIA DELEG DESDE EL ARENAL DE RICAURTE HASTA LA RAYA, URB. MIRAVALLE, EL GUABO, CRISTO REY, PATRON SANTIAGO, AZHAPUD, ADOBEPAMBA, GUABISHUN, LOS ANGELES, EL CALVARIO.</t>
        </is>
      </c>
    </row>
    <row r="34">
      <c r="C34" s="13" t="n"/>
      <c r="D34" s="8" t="n">
        <v>17</v>
      </c>
      <c r="E34" s="9" t="inlineStr">
        <is>
          <t>1724/RECONECT: RIO AMARILLO</t>
        </is>
      </c>
      <c r="F34" s="10" t="n">
        <v>4664</v>
      </c>
      <c r="G34" s="10" t="n">
        <v>73</v>
      </c>
      <c r="H34" s="10" t="n">
        <v>279</v>
      </c>
      <c r="I34" s="11">
        <f>0.748903492381328*9.0*1.03559636061008</f>
        <v/>
      </c>
      <c r="J34" s="11">
        <f>0.067164021668796*9.0*1.03559636061008</f>
        <v/>
      </c>
      <c r="K34" s="11">
        <f>0.183932485949876*9.0*1.03559636061008</f>
        <v/>
      </c>
      <c r="L34" s="9" t="inlineStr">
        <is>
          <t>AZUAY</t>
        </is>
      </c>
      <c r="M34" s="9" t="inlineStr">
        <is>
          <t>CUENCA</t>
        </is>
      </c>
      <c r="N34" s="12" t="inlineStr">
        <is>
          <t>AV. ORDÓÑEZ LASSO ENTRE DEL ARRIERO Y ENRIQUE ARÍZAGA TORAL, VÍA A SAN MIGUEL DE PUTUSHÍ, SAN MIGUEL DE PUTUSHÍ, DE LA MENTA ENTRE ORDÓÑEZ LASSO Y DEL MATORRAL, DE LA ORTIGA, DEL ORÉGANO, DEL CULANTRO, BELLAVISTA.</t>
        </is>
      </c>
    </row>
    <row r="35">
      <c r="C35" s="13" t="n"/>
      <c r="D35" s="8" t="n">
        <v>50</v>
      </c>
      <c r="E35" s="9" t="inlineStr">
        <is>
          <t>5015/RECONECT: RUIDOSO CHICO</t>
        </is>
      </c>
      <c r="F35" s="10" t="n">
        <v>770</v>
      </c>
      <c r="G35" s="10" t="n">
        <v>4</v>
      </c>
      <c r="H35" s="10" t="n">
        <v>38</v>
      </c>
      <c r="I35" s="11">
        <f>0.566343589996526*9.0*0.306956246020978</f>
        <v/>
      </c>
      <c r="J35" s="11">
        <f>0.341448629135528*9.0*0.306956246020978</f>
        <v/>
      </c>
      <c r="K35" s="11">
        <f>0.0922077808679461*9.0*0.306956246020978</f>
        <v/>
      </c>
      <c r="L35" s="9" t="inlineStr">
        <is>
          <t>CAÑAR</t>
        </is>
      </c>
      <c r="M35" s="9" t="inlineStr">
        <is>
          <t>LA TRONCAL</t>
        </is>
      </c>
      <c r="N35" s="12" t="inlineStr">
        <is>
          <t>PRODUCARGO, PUNTILLA PARCIAL, BASURERO, RUIDOSO CHICO, 10 DE AGOSTO, ZHUCAY, MANTAREAL, ESTERO HONDO, PUTUCAY, CENTRO PATUL, POGYOS</t>
        </is>
      </c>
    </row>
    <row r="36">
      <c r="C36" s="13" t="n"/>
      <c r="D36" s="14" t="inlineStr">
        <is>
          <t>TOTALES PARCIALES:</t>
        </is>
      </c>
      <c r="E36" s="15" t="n"/>
      <c r="F36" s="10">
        <f>SUM(F29:F35)</f>
        <v/>
      </c>
      <c r="G36" s="10">
        <f>SUM(G29:G35)</f>
        <v/>
      </c>
      <c r="H36" s="10">
        <f>SUM(H29:H35)</f>
        <v/>
      </c>
      <c r="I36" s="11">
        <f>SUM(I29:I35)</f>
        <v/>
      </c>
      <c r="J36" s="11">
        <f>SUM(J29:J35)</f>
        <v/>
      </c>
      <c r="K36" s="11">
        <f>SUM(K29:K35)</f>
        <v/>
      </c>
      <c r="L36" s="9" t="n"/>
      <c r="M36" s="16" t="n"/>
      <c r="N36" s="17" t="n"/>
    </row>
    <row r="37">
      <c r="C37" s="18" t="n"/>
      <c r="D37" s="14" t="inlineStr">
        <is>
          <t>TOTAL:</t>
        </is>
      </c>
      <c r="E37" s="15" t="n"/>
      <c r="F37" s="10">
        <f>SUM(F36, G36, H36)</f>
        <v/>
      </c>
      <c r="G37" s="19" t="n"/>
      <c r="H37" s="20" t="n"/>
      <c r="I37" s="11">
        <f>SUM(I36, J36, K36)</f>
        <v/>
      </c>
      <c r="J37" s="21" t="n"/>
      <c r="K37" s="22" t="n"/>
      <c r="L37" s="23" t="n"/>
      <c r="M37" s="24" t="n"/>
      <c r="N37" s="25" t="n"/>
    </row>
    <row r="39">
      <c r="C39" s="4" t="inlineStr">
        <is>
          <t>BLOQUE 4</t>
        </is>
      </c>
      <c r="D39" s="4" t="inlineStr">
        <is>
          <t>SUBESTACIÓN</t>
        </is>
      </c>
      <c r="E39" s="4" t="inlineStr">
        <is>
          <t>PRIMARIOS A DESCONECTAR</t>
        </is>
      </c>
      <c r="F39" s="4" t="inlineStr">
        <is>
          <t># CLIENTES</t>
        </is>
      </c>
      <c r="G39" s="5" t="n"/>
      <c r="H39" s="6" t="n"/>
      <c r="I39" s="4" t="inlineStr">
        <is>
          <t>DEMANDA PROMEDIO DE LOS PERIODOS (MWh)</t>
        </is>
      </c>
      <c r="J39" s="5" t="n"/>
      <c r="K39" s="6" t="n"/>
      <c r="L39" s="4" t="inlineStr">
        <is>
          <t>PROVINCIA</t>
        </is>
      </c>
      <c r="M39" s="4" t="inlineStr">
        <is>
          <t>CANTON</t>
        </is>
      </c>
      <c r="N39" s="4" t="inlineStr">
        <is>
          <t>SECTORES</t>
        </is>
      </c>
    </row>
    <row r="40">
      <c r="C40" s="2" t="n"/>
      <c r="D40" s="2" t="n"/>
      <c r="E40" s="2" t="n"/>
      <c r="F40" s="4" t="inlineStr">
        <is>
          <t>RESIDENCIAL</t>
        </is>
      </c>
      <c r="G40" s="4" t="inlineStr">
        <is>
          <t>INDUSTRIAL</t>
        </is>
      </c>
      <c r="H40" s="4" t="inlineStr">
        <is>
          <t>COMERCIAL</t>
        </is>
      </c>
      <c r="I40" s="4" t="inlineStr">
        <is>
          <t>RESIDENCIAL</t>
        </is>
      </c>
      <c r="J40" s="4" t="inlineStr">
        <is>
          <t>INDUSTRIAL</t>
        </is>
      </c>
      <c r="K40" s="4" t="inlineStr">
        <is>
          <t>COMERCIAL</t>
        </is>
      </c>
      <c r="L40" s="2" t="n"/>
      <c r="M40" s="2" t="n"/>
      <c r="N40" s="2" t="n"/>
    </row>
    <row r="41">
      <c r="C41" s="7" t="inlineStr">
        <is>
          <t>00:00:00-06:00:00</t>
        </is>
      </c>
      <c r="D41" s="8" t="n">
        <v>4</v>
      </c>
      <c r="E41" s="9" t="inlineStr">
        <is>
          <t>0421/CABECERA</t>
        </is>
      </c>
      <c r="F41" s="10" t="n">
        <v>1</v>
      </c>
      <c r="G41" s="10" t="n">
        <v>13</v>
      </c>
      <c r="H41" s="10" t="n">
        <v>18</v>
      </c>
      <c r="I41" s="11">
        <f>8.38301238989834e-06*6.0*1.6865591421875</f>
        <v/>
      </c>
      <c r="J41" s="11">
        <f>0.950257104657092*6.0*1.6865591421875</f>
        <v/>
      </c>
      <c r="K41" s="11">
        <f>0.0497345123305178*6.0*1.6865591421875</f>
        <v/>
      </c>
      <c r="L41" s="9" t="inlineStr">
        <is>
          <t>AZUAY</t>
        </is>
      </c>
      <c r="M41" s="9" t="inlineStr">
        <is>
          <t>CUENCA</t>
        </is>
      </c>
      <c r="N41" s="12" t="inlineStr">
        <is>
          <t>CALLE FRANK TOSI, CORNELIO VINTIMILLA, OCTAVIO CHACÓN, CARLOS TOSI</t>
        </is>
      </c>
    </row>
    <row r="42">
      <c r="C42" s="13" t="n"/>
      <c r="D42" s="8" t="n">
        <v>4</v>
      </c>
      <c r="E42" s="9" t="inlineStr">
        <is>
          <t>0422/CABECERA</t>
        </is>
      </c>
      <c r="F42" s="10" t="n">
        <v>1372</v>
      </c>
      <c r="G42" s="10" t="n">
        <v>77</v>
      </c>
      <c r="H42" s="10" t="n">
        <v>309</v>
      </c>
      <c r="I42" s="11">
        <f>0.328402987083477*6.0*1.59248632</f>
        <v/>
      </c>
      <c r="J42" s="11">
        <f>0.333837276538188*6.0*1.59248632</f>
        <v/>
      </c>
      <c r="K42" s="11">
        <f>0.337759736378335*6.0*1.59248632</f>
        <v/>
      </c>
      <c r="L42" s="9" t="inlineStr">
        <is>
          <t>AZUAY</t>
        </is>
      </c>
      <c r="M42" s="9" t="inlineStr">
        <is>
          <t>CUENCA</t>
        </is>
      </c>
      <c r="N42" s="12" t="inlineStr">
        <is>
          <t>AV. DE LAS AMÉRICAS ENTRE INDEPENDENCIA Y GONZÁLEZ SUÁREZ, QUINTA CHICA, PASEO MILCHICHIG ENTRE AV. ESPAÑA Y HUANCABILCAS.</t>
        </is>
      </c>
    </row>
    <row r="43">
      <c r="C43" s="13" t="n"/>
      <c r="D43" s="8" t="n">
        <v>4</v>
      </c>
      <c r="E43" s="9" t="inlineStr">
        <is>
          <t>0426/CABECERA</t>
        </is>
      </c>
      <c r="F43" s="10" t="n">
        <v>1</v>
      </c>
      <c r="G43" s="10" t="n">
        <v>29</v>
      </c>
      <c r="H43" s="10" t="n">
        <v>20</v>
      </c>
      <c r="I43" s="11">
        <f>4.79061248742808e-05*6.0*2.16825</f>
        <v/>
      </c>
      <c r="J43" s="11">
        <f>0.941717232994241*6.0*2.16825</f>
        <v/>
      </c>
      <c r="K43" s="11">
        <f>0.0582348608808848*6.0*2.16825</f>
        <v/>
      </c>
      <c r="L43" s="9" t="inlineStr">
        <is>
          <t>AZUAY</t>
        </is>
      </c>
      <c r="M43" s="9" t="inlineStr">
        <is>
          <t>CUENCA</t>
        </is>
      </c>
      <c r="N43" s="12" t="inlineStr">
        <is>
          <t>Av. Del Toril, Av Américas entre Cornelio Vintimilla y Octavio Chacón, Calle Octavio Chacón, Calle Primera, Miguel Narvaez, Carlos Tosi, Cornelio Vintimilla</t>
        </is>
      </c>
    </row>
    <row r="44">
      <c r="C44" s="13" t="n"/>
      <c r="D44" s="8" t="n">
        <v>4</v>
      </c>
      <c r="E44" s="9" t="inlineStr">
        <is>
          <t>0427/CABECERA</t>
        </is>
      </c>
      <c r="F44" s="10" t="n">
        <v>4467</v>
      </c>
      <c r="G44" s="10" t="n">
        <v>79</v>
      </c>
      <c r="H44" s="10" t="n">
        <v>203</v>
      </c>
      <c r="I44" s="11">
        <f>0.607528080493764*6.0*2.3799</f>
        <v/>
      </c>
      <c r="J44" s="11">
        <f>0.260492169771328*6.0*2.3799</f>
        <v/>
      </c>
      <c r="K44" s="11">
        <f>0.131979749734908*6.0*2.3799</f>
        <v/>
      </c>
      <c r="L44" s="9" t="inlineStr">
        <is>
          <t>AZUAY</t>
        </is>
      </c>
      <c r="M44" s="9" t="inlineStr">
        <is>
          <t>CUENCA</t>
        </is>
      </c>
      <c r="N44" s="12" t="inlineStr">
        <is>
          <t>VÍA A PATAMARCA, LA COMPANÍA, MAYANCELA, CIUDADELA EL ROSAL, SAN VICENTE DE SININCAY, TRIGALES, ORQUÍDEAS, BEMANI, AV DEL TORIL, AV LOS CHASQUIS, CDLA LOS MECANICOS.</t>
        </is>
      </c>
    </row>
    <row r="45">
      <c r="C45" s="13" t="n"/>
      <c r="D45" s="8" t="n">
        <v>5</v>
      </c>
      <c r="E45" s="9" t="inlineStr">
        <is>
          <t>0524/CABECERA</t>
        </is>
      </c>
      <c r="F45" s="10" t="n">
        <v>2763</v>
      </c>
      <c r="G45" s="10" t="n">
        <v>67</v>
      </c>
      <c r="H45" s="10" t="n">
        <v>209</v>
      </c>
      <c r="I45" s="11">
        <f>0.414945430327986*6.0*1.9502</f>
        <v/>
      </c>
      <c r="J45" s="11">
        <f>0.383019952359501*6.0*1.9502</f>
        <v/>
      </c>
      <c r="K45" s="11">
        <f>0.202034617312513*6.0*1.9502</f>
        <v/>
      </c>
      <c r="L45" s="9" t="inlineStr">
        <is>
          <t>AZUAY</t>
        </is>
      </c>
      <c r="M45" s="9" t="inlineStr">
        <is>
          <t>CUENCA</t>
        </is>
      </c>
      <c r="N45" s="12" t="inlineStr">
        <is>
          <t>CALLE MANUEL CISNEROS ENTRE TARQUINO CORDERO Y AV. AMÉRICAS, AV AMÉRICAS LADO DEL CORAL  ENTRE MIGUEL CABELLO Y FRANCISCO TRELLES, CALLE DE ROCHAS NICOLAS, CALLE ANTONIO LLORET ENTRE AMERICAS Y LOJA, AV DON BOSCO ENTRE AMÉRICAS Y LOJA, MIGUEL CABELLO BALBOA, FRAY GASPAR DE CARVAJAL ENTRE MIGUEL CABELLO E ISABEL LA CATÓLICA, FRAY GASPAR DE VILLAROEL, EL SALADO ENTRE ALONSO CABRERA Y LOJA; LOJA ENTRE ALONSO CABRERA Y CIEZA DE LEÓN, AV. PRIMERO DE MAYO ENTRE GASPAR DE VILLAROEL Y LOJA, PEDRO CALDERÓN DE LA BARCA, CRISTOBAL COLÓN ENTRE LOJA Y MIGUEL DE SERVANTES, MENENDEZ PIDAL, ALONSO QUIJANO, FELIPE LEÓN, ALONSO CABRERA.  AV. DE LAS AMÉRICAS CARRIL DE ENTRADA A LA CIUDAD ENTRE CORAL CENTRO Y AV. LOJA; AV. LOJA ENTRE RICARDO DURAN Y AV. DON BOSCO, GONZÁLEZ DÍAZ, EL SALADO ENTRE LOJA Y NICOLAS DE ROCHA, RODRIGO ARIAS, VICENTE PINZÓN, ALONSO PINZÓN,  RÍO TARQUI, AUTOPISTA DESDE LAS AMÉRICAS HASTA DIEGO DE ALMAGRO, DIEGO DE ALMAGRO, PUERTO DE PALOS, FRANCISCO ORELLANA ENTRE DIEGO DE ALMAGRO Y CALLE DE LA CONQUISTA, SANTA MARIA ENTRE ALONSO PINZON Y GABRIEL SANCHEZ, LA PINTA ENTRE PEDRO PUELLES Y AV. DE LOS CONQUISTADORES, LA NIÑA HASTA LA AV. DE LOS CONQUISDORES, LA RABIDA; DIEGO DE DAZA, RODRIGO DE TRIANA, DE LOS CONQUISTADORES ENTRE LOJA Y LA NIÑA, DIARIO EL TIEMPO, CIRCO SOCIAL, SAN MARCOS, EL CARMEN DE GUZHO, TIERRAS BLANCAS, EL CALVARIO, HUARIVIÑA, RUMILOMA, LA MERCED.</t>
        </is>
      </c>
    </row>
    <row r="46">
      <c r="C46" s="13" t="n"/>
      <c r="D46" s="8" t="n">
        <v>7</v>
      </c>
      <c r="E46" s="9" t="inlineStr">
        <is>
          <t>0723/CABECERA</t>
        </is>
      </c>
      <c r="F46" s="10" t="n">
        <v>3208</v>
      </c>
      <c r="G46" s="10" t="n">
        <v>49</v>
      </c>
      <c r="H46" s="10" t="n">
        <v>294</v>
      </c>
      <c r="I46" s="11">
        <f>0.321008821752526*6.0*4.06273333333333</f>
        <v/>
      </c>
      <c r="J46" s="11">
        <f>0.609088025268667*6.0*4.06273333333333</f>
        <v/>
      </c>
      <c r="K46" s="11">
        <f>0.069903152978807*6.0*4.06273333333333</f>
        <v/>
      </c>
      <c r="L46" s="9" t="inlineStr">
        <is>
          <t>AZUAY</t>
        </is>
      </c>
      <c r="M46" s="9" t="inlineStr">
        <is>
          <t>CUENCA</t>
        </is>
      </c>
      <c r="N46" s="12" t="inlineStr">
        <is>
          <t>CENTRO RICAURTE, CALLE VICENTE PACHECO, CALLE MIGUEL UZHCA, AV 25 DE MARZO, CALLE VICENTE PACHECO, LA DOLOROSA RICAURTE, MARIA AUXILIADORA RICAURTE, SEÑOR DEL GRAN PODER, SIDCAY, BIBÍN, CRISTO DEL CONSUELO, EL ROCÍO, LA CALDERA/ SAN JOSE DE SIDCAY / PUEBLO VIEJO / SECTOR DORA CANELOS,  SIDCAY, BIBÍN, CRISTO DEL CONSUELO, EL ROCÍO, CHECA, CHIQUINTAD, VIA DELEG DESDE EL ARENAL DE RICAURTE HASTA LA RAYA, URB. MIRAVALLE, EL GUABO, CRISTO REY, PATRON SANTIAGO, AZHAPUD, ADOBEPAMBA, GUABISHUN, LOS ANGELES, EL CALVARIO..</t>
        </is>
      </c>
    </row>
    <row r="47">
      <c r="C47" s="13" t="n"/>
      <c r="D47" s="8" t="n">
        <v>17</v>
      </c>
      <c r="E47" s="9" t="inlineStr">
        <is>
          <t>1723/CABECERA</t>
        </is>
      </c>
      <c r="F47" s="10" t="n">
        <v>4840</v>
      </c>
      <c r="G47" s="10" t="n">
        <v>57</v>
      </c>
      <c r="H47" s="10" t="n">
        <v>177</v>
      </c>
      <c r="I47" s="11">
        <f>0.35343319344543*6.0*2.31949793338776</f>
        <v/>
      </c>
      <c r="J47" s="11">
        <f>0.511875274980887*6.0*2.31949793338776</f>
        <v/>
      </c>
      <c r="K47" s="11">
        <f>0.134691531573683*6.0*2.31949793338776</f>
        <v/>
      </c>
      <c r="L47" s="9" t="inlineStr">
        <is>
          <t>AZUAY</t>
        </is>
      </c>
      <c r="M47" s="9" t="inlineStr">
        <is>
          <t>CUENCA</t>
        </is>
      </c>
      <c r="N47" s="12" t="inlineStr">
        <is>
          <t>LA GREVILLA, AV. LOS CEREZOS, SECTORES SAN VICENTE DE LAS CALERAS, COLEGIO SANTA ANA, CDLA. EL ROSARIO, SAN MATEO DE LA CERÁMICA, RACAR PLAZA, MUTUALISTA AZUAY 2, SANTÍSIMA TRINIDAD, EL CHORRO, SIGCHO, ANTENAS DE RADIO SPLENDID, SININCAY CENTRO, LA DOLOROSA, PAMPAS DE ROSAS, EL SALADO.</t>
        </is>
      </c>
    </row>
    <row r="48">
      <c r="C48" s="13" t="n"/>
      <c r="D48" s="8" t="n">
        <v>17</v>
      </c>
      <c r="E48" s="9" t="inlineStr">
        <is>
          <t>1724/CABECERA</t>
        </is>
      </c>
      <c r="F48" s="10" t="n">
        <v>4664</v>
      </c>
      <c r="G48" s="10" t="n">
        <v>73</v>
      </c>
      <c r="H48" s="10" t="n">
        <v>279</v>
      </c>
      <c r="I48" s="11">
        <f>0.433296128125416*6.0*2.0503579980135</f>
        <v/>
      </c>
      <c r="J48" s="11">
        <f>0.472285485909317*6.0*2.0503579980135</f>
        <v/>
      </c>
      <c r="K48" s="11">
        <f>0.0944183859652673*6.0*2.0503579980135</f>
        <v/>
      </c>
      <c r="L48" s="9" t="inlineStr">
        <is>
          <t>AZUAY</t>
        </is>
      </c>
      <c r="M48" s="9" t="inlineStr">
        <is>
          <t>CUENCA</t>
        </is>
      </c>
      <c r="N48" s="12" t="inlineStr">
        <is>
          <t>AV. ORDÓÑEZ LASSO ENTRE DEL ARRIERO Y ENRIQUE ARÍZAGA TORAL, VÍA A SAN MIGUEL DE PUTUSHÍ, SAN MIGUEL DE PUTUSHÍ, DE LA MENTA ENTRE ORDÓÑEZ LASSO Y DEL MATORRAL, DE LA ORTIGA, DEL ORÉGANO, DEL CULANTRO, BELLAVISTA.</t>
        </is>
      </c>
    </row>
    <row r="49">
      <c r="C49" s="13" t="n"/>
      <c r="D49" s="8" t="n">
        <v>50</v>
      </c>
      <c r="E49" s="9" t="inlineStr">
        <is>
          <t>5015/CABECERA</t>
        </is>
      </c>
      <c r="F49" s="10" t="n">
        <v>770</v>
      </c>
      <c r="G49" s="10" t="n">
        <v>4</v>
      </c>
      <c r="H49" s="10" t="n">
        <v>38</v>
      </c>
      <c r="I49" s="11">
        <f>0.137141157126853*6.0*1.49068636413574</f>
        <v/>
      </c>
      <c r="J49" s="11">
        <f>0.834499369314957*6.0*1.49068636413574</f>
        <v/>
      </c>
      <c r="K49" s="11">
        <f>0.0283594735581893*6.0*1.49068636413574</f>
        <v/>
      </c>
      <c r="L49" s="9" t="inlineStr">
        <is>
          <t>CAÑAR</t>
        </is>
      </c>
      <c r="M49" s="9" t="inlineStr">
        <is>
          <t>LA TRONCAL</t>
        </is>
      </c>
      <c r="N49" s="12" t="inlineStr">
        <is>
          <t>PRODUCARGO, PUNTILLA PARCIAL, BASURERO, RUIDOSO CHICO, 10 DE AGOSTO, ZHUCAY, MANTAREAL, ESTERO HONDO, PUTUCAY, CENTRO PATUL, POGYOS</t>
        </is>
      </c>
    </row>
    <row r="50">
      <c r="C50" s="13" t="n"/>
      <c r="D50" s="14" t="inlineStr">
        <is>
          <t>TOTALES PARCIALES:</t>
        </is>
      </c>
      <c r="E50" s="15" t="n"/>
      <c r="F50" s="10">
        <f>SUM(F41:F49)</f>
        <v/>
      </c>
      <c r="G50" s="10">
        <f>SUM(G41:G49)</f>
        <v/>
      </c>
      <c r="H50" s="10">
        <f>SUM(H41:H49)</f>
        <v/>
      </c>
      <c r="I50" s="11">
        <f>SUM(I41:I49)</f>
        <v/>
      </c>
      <c r="J50" s="11">
        <f>SUM(J41:J49)</f>
        <v/>
      </c>
      <c r="K50" s="11">
        <f>SUM(K41:K49)</f>
        <v/>
      </c>
      <c r="L50" s="9" t="n"/>
      <c r="M50" s="16" t="n"/>
      <c r="N50" s="17" t="n"/>
    </row>
    <row r="51">
      <c r="C51" s="18" t="n"/>
      <c r="D51" s="14" t="inlineStr">
        <is>
          <t>TOTAL:</t>
        </is>
      </c>
      <c r="E51" s="15" t="n"/>
      <c r="F51" s="10">
        <f>SUM(F50, G50, H50)</f>
        <v/>
      </c>
      <c r="G51" s="19" t="n"/>
      <c r="H51" s="20" t="n"/>
      <c r="I51" s="11">
        <f>SUM(I50, J50, K50)</f>
        <v/>
      </c>
      <c r="J51" s="21" t="n"/>
      <c r="K51" s="22" t="n"/>
      <c r="L51" s="23" t="n"/>
      <c r="M51" s="24" t="n"/>
      <c r="N51" s="25" t="n"/>
    </row>
    <row r="53">
      <c r="C53" s="4" t="inlineStr">
        <is>
          <t>BLOQUE 5</t>
        </is>
      </c>
      <c r="D53" s="4" t="inlineStr">
        <is>
          <t>SUBESTACIÓN</t>
        </is>
      </c>
      <c r="E53" s="4" t="inlineStr">
        <is>
          <t>PRIMARIOS A DESCONECTAR</t>
        </is>
      </c>
      <c r="F53" s="4" t="inlineStr">
        <is>
          <t># CLIENTES</t>
        </is>
      </c>
      <c r="G53" s="5" t="n"/>
      <c r="H53" s="6" t="n"/>
      <c r="I53" s="4" t="inlineStr">
        <is>
          <t>DEMANDA PROMEDIO DE LOS PERIODOS (MWh)</t>
        </is>
      </c>
      <c r="J53" s="5" t="n"/>
      <c r="K53" s="6" t="n"/>
      <c r="L53" s="4" t="inlineStr">
        <is>
          <t>PROVINCIA</t>
        </is>
      </c>
      <c r="M53" s="4" t="inlineStr">
        <is>
          <t>CANTON</t>
        </is>
      </c>
      <c r="N53" s="4" t="inlineStr">
        <is>
          <t>SECTORES</t>
        </is>
      </c>
    </row>
    <row r="54">
      <c r="C54" s="2" t="n"/>
      <c r="D54" s="2" t="n"/>
      <c r="E54" s="2" t="n"/>
      <c r="F54" s="4" t="inlineStr">
        <is>
          <t>RESIDENCIAL</t>
        </is>
      </c>
      <c r="G54" s="4" t="inlineStr">
        <is>
          <t>INDUSTRIAL</t>
        </is>
      </c>
      <c r="H54" s="4" t="inlineStr">
        <is>
          <t>COMERCIAL</t>
        </is>
      </c>
      <c r="I54" s="4" t="inlineStr">
        <is>
          <t>RESIDENCIAL</t>
        </is>
      </c>
      <c r="J54" s="4" t="inlineStr">
        <is>
          <t>INDUSTRIAL</t>
        </is>
      </c>
      <c r="K54" s="4" t="inlineStr">
        <is>
          <t>COMERCIAL</t>
        </is>
      </c>
      <c r="L54" s="2" t="n"/>
      <c r="M54" s="2" t="n"/>
      <c r="N54" s="2" t="n"/>
    </row>
    <row r="55">
      <c r="C55" s="7" t="inlineStr">
        <is>
          <t>00:00:00-06:00:00 14:00:00-18:00:00</t>
        </is>
      </c>
      <c r="D55" s="8" t="n">
        <v>9</v>
      </c>
      <c r="E55" s="9" t="inlineStr">
        <is>
          <t>0921/CABECERA</t>
        </is>
      </c>
      <c r="F55" s="10" t="n">
        <v>4731</v>
      </c>
      <c r="G55" s="10" t="n">
        <v>50</v>
      </c>
      <c r="H55" s="10" t="n">
        <v>456</v>
      </c>
      <c r="I55" s="11">
        <f>0.683455705988635*10.0*1.63705166666667</f>
        <v/>
      </c>
      <c r="J55" s="11">
        <f>0.10948986520129*10.0*1.63705166666667</f>
        <v/>
      </c>
      <c r="K55" s="11">
        <f>0.207054428810074*10.0*1.63705166666667</f>
        <v/>
      </c>
      <c r="L55" s="9" t="inlineStr">
        <is>
          <t>CAÑAR</t>
        </is>
      </c>
      <c r="M55" s="9" t="inlineStr">
        <is>
          <t>BIBLIÁN</t>
        </is>
      </c>
      <c r="N55" s="12" t="inlineStr">
        <is>
          <t>AUTOPISTA CUENCA AZOGUES, BIBLIÁN, TURUPAMBA, SAN LUIS DE MANGÁN, EL EMPALME, CUITUM BAJO, MANGÁN, NAZÓN, TENENCORAY, LA VAQUERIA, CAMPO ALEGRE, GULUAY, TASQUI..</t>
        </is>
      </c>
    </row>
    <row r="56">
      <c r="C56" s="13" t="n"/>
      <c r="D56" s="14" t="inlineStr">
        <is>
          <t>TOTALES PARCIALES:</t>
        </is>
      </c>
      <c r="E56" s="15" t="n"/>
      <c r="F56" s="10">
        <f>SUM(F55:F55)</f>
        <v/>
      </c>
      <c r="G56" s="10">
        <f>SUM(G55:G55)</f>
        <v/>
      </c>
      <c r="H56" s="10">
        <f>SUM(H55:H55)</f>
        <v/>
      </c>
      <c r="I56" s="11">
        <f>SUM(I55:I55)</f>
        <v/>
      </c>
      <c r="J56" s="11">
        <f>SUM(J55:J55)</f>
        <v/>
      </c>
      <c r="K56" s="11">
        <f>SUM(K55:K55)</f>
        <v/>
      </c>
      <c r="L56" s="9" t="n"/>
      <c r="M56" s="16" t="n"/>
      <c r="N56" s="17" t="n"/>
    </row>
    <row r="57">
      <c r="C57" s="18" t="n"/>
      <c r="D57" s="14" t="inlineStr">
        <is>
          <t>TOTAL:</t>
        </is>
      </c>
      <c r="E57" s="15" t="n"/>
      <c r="F57" s="10">
        <f>SUM(F56, G56, H56)</f>
        <v/>
      </c>
      <c r="G57" s="19" t="n"/>
      <c r="H57" s="20" t="n"/>
      <c r="I57" s="11">
        <f>SUM(I56, J56, K56)</f>
        <v/>
      </c>
      <c r="J57" s="21" t="n"/>
      <c r="K57" s="22" t="n"/>
      <c r="L57" s="23" t="n"/>
      <c r="M57" s="24" t="n"/>
      <c r="N57" s="25" t="n"/>
    </row>
    <row r="59">
      <c r="C59" s="4" t="inlineStr">
        <is>
          <t>BLOQUE 6</t>
        </is>
      </c>
      <c r="D59" s="4" t="inlineStr">
        <is>
          <t>SUBESTACIÓN</t>
        </is>
      </c>
      <c r="E59" s="4" t="inlineStr">
        <is>
          <t>PRIMARIOS A DESCONECTAR</t>
        </is>
      </c>
      <c r="F59" s="4" t="inlineStr">
        <is>
          <t># CLIENTES</t>
        </is>
      </c>
      <c r="G59" s="5" t="n"/>
      <c r="H59" s="6" t="n"/>
      <c r="I59" s="4" t="inlineStr">
        <is>
          <t>DEMANDA PROMEDIO DE LOS PERIODOS (MWh)</t>
        </is>
      </c>
      <c r="J59" s="5" t="n"/>
      <c r="K59" s="6" t="n"/>
      <c r="L59" s="4" t="inlineStr">
        <is>
          <t>PROVINCIA</t>
        </is>
      </c>
      <c r="M59" s="4" t="inlineStr">
        <is>
          <t>CANTON</t>
        </is>
      </c>
      <c r="N59" s="4" t="inlineStr">
        <is>
          <t>SECTORES</t>
        </is>
      </c>
    </row>
    <row r="60">
      <c r="C60" s="2" t="n"/>
      <c r="D60" s="2" t="n"/>
      <c r="E60" s="2" t="n"/>
      <c r="F60" s="4" t="inlineStr">
        <is>
          <t>RESIDENCIAL</t>
        </is>
      </c>
      <c r="G60" s="4" t="inlineStr">
        <is>
          <t>INDUSTRIAL</t>
        </is>
      </c>
      <c r="H60" s="4" t="inlineStr">
        <is>
          <t>COMERCIAL</t>
        </is>
      </c>
      <c r="I60" s="4" t="inlineStr">
        <is>
          <t>RESIDENCIAL</t>
        </is>
      </c>
      <c r="J60" s="4" t="inlineStr">
        <is>
          <t>INDUSTRIAL</t>
        </is>
      </c>
      <c r="K60" s="4" t="inlineStr">
        <is>
          <t>COMERCIAL</t>
        </is>
      </c>
      <c r="L60" s="2" t="n"/>
      <c r="M60" s="2" t="n"/>
      <c r="N60" s="2" t="n"/>
    </row>
    <row r="61">
      <c r="C61" s="7" t="inlineStr">
        <is>
          <t>05:00:00-09:00:00 15:00:00-20:00:00</t>
        </is>
      </c>
      <c r="D61" s="8" t="n">
        <v>5</v>
      </c>
      <c r="E61" s="9" t="inlineStr">
        <is>
          <t>0522/RECONECT: MEXICO</t>
        </is>
      </c>
      <c r="F61" s="10" t="n">
        <v>4616</v>
      </c>
      <c r="G61" s="10" t="n">
        <v>75</v>
      </c>
      <c r="H61" s="10" t="n">
        <v>1194</v>
      </c>
      <c r="I61" s="11">
        <f>0.444167049800987*9.0*1.7413264</f>
        <v/>
      </c>
      <c r="J61" s="11">
        <f>0.0205791186800433*9.0*1.7413264</f>
        <v/>
      </c>
      <c r="K61" s="11">
        <f>0.53525383151897*9.0*1.7413264</f>
        <v/>
      </c>
      <c r="L61" s="9" t="inlineStr">
        <is>
          <t>AZUAY</t>
        </is>
      </c>
      <c r="M61" s="9" t="inlineStr">
        <is>
          <t>CUENCA</t>
        </is>
      </c>
      <c r="N61" s="12" t="inlineStr">
        <is>
          <t>AV. AMAZONAS, BARRIO LOS SENDEROS, CALLES ECUADOR, COLOMBIA, PARAGUAY, URUGUAY, CHILE, PADUA, AV. UNIDAD NACIONAL, GUAYAS ENTRE UNIDAD NACIONAL Y REMIGIO TAMARIZ, AV. REMIGIO CRESPO ENTRE AMÉRICAS Y LOJA, AV. DEL BATÁN ENTRE AMÉRICAS Y LOS RÍOS, AV. 12 DE ABRIL ENTRE AMÉRICAS Y LOS RÍOS, COLISEO JEFFERSON PÉREZ, PISCINA OLÍMPICA, AV. GRAN COLOMBIA ENTRE AMÉRICAS Y MIGUEL MOROCHO, ZONA ROSA.</t>
        </is>
      </c>
    </row>
    <row r="62">
      <c r="C62" s="13" t="n"/>
      <c r="D62" s="8" t="n">
        <v>18</v>
      </c>
      <c r="E62" s="9" t="inlineStr">
        <is>
          <t>1824/RECONECT: CAÑAR 24 MAYO</t>
        </is>
      </c>
      <c r="F62" s="10" t="n">
        <v>1194</v>
      </c>
      <c r="G62" s="10" t="n">
        <v>12</v>
      </c>
      <c r="H62" s="10" t="n">
        <v>64</v>
      </c>
      <c r="I62" s="11">
        <f>0.655647871220512*9.0*0.201403666666667</f>
        <v/>
      </c>
      <c r="J62" s="11">
        <f>0.209451343227898*9.0*0.201403666666667</f>
        <v/>
      </c>
      <c r="K62" s="11">
        <f>0.13490078555159*9.0*0.201403666666667</f>
        <v/>
      </c>
      <c r="L62" s="9" t="inlineStr">
        <is>
          <t>CAÑAR</t>
        </is>
      </c>
      <c r="M62" s="9" t="inlineStr">
        <is>
          <t>CAÑAR</t>
        </is>
      </c>
      <c r="N62" s="12" t="inlineStr">
        <is>
          <t>SIGSIHUAYCO/ LA PLAYA TAMBO/ COYOCTOR</t>
        </is>
      </c>
    </row>
    <row r="63">
      <c r="C63" s="13" t="n"/>
      <c r="D63" s="8" t="n">
        <v>21</v>
      </c>
      <c r="E63" s="9" t="inlineStr">
        <is>
          <t>2121/RECONECTADOR MANUEL MONCAYO</t>
        </is>
      </c>
      <c r="F63" s="10" t="n">
        <v>1559</v>
      </c>
      <c r="G63" s="10" t="n">
        <v>12</v>
      </c>
      <c r="H63" s="10" t="n">
        <v>493</v>
      </c>
      <c r="I63" s="11">
        <f>0.565926720234159*9.0*1.0516675</f>
        <v/>
      </c>
      <c r="J63" s="11">
        <f>0.0177536980735285*9.0*1.0516675</f>
        <v/>
      </c>
      <c r="K63" s="11">
        <f>0.416319581692313*9.0*1.0516675</f>
        <v/>
      </c>
      <c r="L63" s="9" t="inlineStr">
        <is>
          <t>MORONA SANTIAGO</t>
        </is>
      </c>
      <c r="M63" s="9" t="inlineStr">
        <is>
          <t>MORONA</t>
        </is>
      </c>
      <c r="N63" s="12" t="inlineStr">
        <is>
          <t>BARRIO ROSARIO DESDE LA CALLE HERMITA AL SUR, BARRIO LOS VERGELES, BARRIO VALLE DEL UPANO, LA ALBORADA, AV. LUIS FELIPE JARAMILLO, TERMINAL TERRESTRE DE MACAS, BARRIO AMAZONAS (DESDE LA AV. AMAZONAS HASTA LA CALLE RODRIGO NÚÑEZ DE BONILLA), SECTOR DE LAS PISCINAS MUNICIPALES, PASAJE LOS CANELOS, ANTIGUO HOSPITAL DE MACAS, AV. 24 DE MAYO (HASTA LA CALLE QUITO), SECTOR LA BARBACOA, BAJA DEL UPANO HASTA LA AV. DE LA CIUDAD, BANCO DEL PICHINCHA, COLISEO LOS CANELOS, CUERPO DE BOMBEROS DE MACAS, SECTOR COLEGIO DON BOSCO, SECTOR COLEGIO MARÍA AUXILIADORA, GOBIERNO MUNICIPAL DE MORONA, GOBIERNO PROVINCIAL DE MORONA SANTIAGO, CNT, COLISEO 29 DE MAYO, AV. DON BOSCO, PARQUE RECREACIONAL, SECTOR COLISEO LA LAGUNA, PASAJE MIRADOR, UNIVERSIDAD ESPOCH, ESTADIO TITO NAVARRETE, SECTOR RECINTO FERIAL, CALLE PADRE ALBINO DEL CURTO, BARRIO TINGUICHACA DESDE LA CALLE VICTORIA CARVAJAL, BARRIO 5 DE OCTUBRE DESDE LA CALLE CATALINA VILLAREAL, BARRIO JARDÍN DEL UPANO DESDE LA AV. 13 DE ABRIL, VÍA A PROAÑO, GENERAL PROAÑO SECTOR PARQUE CENTRAL Y JUNTA PARROQUIAL, NUEVO JERUSALÉN, PACCHA, HUACHO - DOMINGO, SAN ISIDRO.</t>
        </is>
      </c>
    </row>
    <row r="64">
      <c r="C64" s="13" t="n"/>
      <c r="D64" s="8" t="n">
        <v>22</v>
      </c>
      <c r="E64" s="9" t="inlineStr">
        <is>
          <t>2213/CABECERA</t>
        </is>
      </c>
      <c r="F64" s="10" t="n">
        <v>753</v>
      </c>
      <c r="G64" s="10" t="n">
        <v>6</v>
      </c>
      <c r="H64" s="10" t="n">
        <v>138</v>
      </c>
      <c r="I64" s="11">
        <f>0.44263052261519*9.0*0.484314</f>
        <v/>
      </c>
      <c r="J64" s="11">
        <f>0.0106714922809435*9.0*0.484314</f>
        <v/>
      </c>
      <c r="K64" s="11">
        <f>0.546697985103866*9.0*0.484314</f>
        <v/>
      </c>
      <c r="L64" s="9" t="inlineStr">
        <is>
          <t>MORONA SANTIAGO</t>
        </is>
      </c>
      <c r="M64" s="9" t="inlineStr">
        <is>
          <t>SANTIAGO DE MÉNDEZ Y TIWINTZA</t>
        </is>
      </c>
      <c r="N64" s="12" t="inlineStr">
        <is>
          <t>SANTIAGO, SAN JOSÉ DE MORONA, PATUCA, YAUPI.</t>
        </is>
      </c>
    </row>
    <row r="65">
      <c r="C65" s="13" t="n"/>
      <c r="D65" s="8" t="n">
        <v>50</v>
      </c>
      <c r="E65" s="9" t="inlineStr">
        <is>
          <t>5012/RECONECT: EL ZAFRERO</t>
        </is>
      </c>
      <c r="F65" s="10" t="n">
        <v>2223</v>
      </c>
      <c r="G65" s="10" t="n">
        <v>5</v>
      </c>
      <c r="H65" s="10" t="n">
        <v>256</v>
      </c>
      <c r="I65" s="11">
        <f>0.750604541499888*9.0*1.05523595884603</f>
        <v/>
      </c>
      <c r="J65" s="11">
        <f>0.00364921111130392*9.0*1.05523595884603</f>
        <v/>
      </c>
      <c r="K65" s="11">
        <f>0.245746247388808*9.0*1.05523595884603</f>
        <v/>
      </c>
      <c r="L65" s="9" t="inlineStr">
        <is>
          <t>CAÑAR</t>
        </is>
      </c>
      <c r="M65" s="9" t="inlineStr">
        <is>
          <t>LA TRONCAL</t>
        </is>
      </c>
      <c r="N65" s="12" t="inlineStr">
        <is>
          <t>SAN VALENTIN, BCO DE LA VIVIENDA, JUAN HIDALGO, COLISEO, CDLA MENDIETA, MARTA DE ROLDOS, ZONA NORTE VOLUNTAD DE DIOS</t>
        </is>
      </c>
    </row>
    <row r="66">
      <c r="C66" s="13" t="n"/>
      <c r="D66" s="8" t="n">
        <v>50</v>
      </c>
      <c r="E66" s="9" t="inlineStr">
        <is>
          <t>5014/CABECERA</t>
        </is>
      </c>
      <c r="F66" s="10" t="n">
        <v>1763</v>
      </c>
      <c r="G66" s="10" t="n">
        <v>7</v>
      </c>
      <c r="H66" s="10" t="n">
        <v>331</v>
      </c>
      <c r="I66" s="11">
        <f>0.5066328009409*9.0*1.18908780688477</f>
        <v/>
      </c>
      <c r="J66" s="11">
        <f>0.00982550621127626*9.0*1.18908780688477</f>
        <v/>
      </c>
      <c r="K66" s="11">
        <f>0.483541692847823*9.0*1.18908780688477</f>
        <v/>
      </c>
      <c r="L66" s="9" t="inlineStr">
        <is>
          <t>CAÑAR</t>
        </is>
      </c>
      <c r="M66" s="9" t="inlineStr">
        <is>
          <t>LA TRONCAL</t>
        </is>
      </c>
      <c r="N66" s="12" t="inlineStr">
        <is>
          <t>CDLA. UNIDOS VENCEREMOS, TERMINAL TERRESTRE, PUNTILLA, PANCHO NEGRO, LA NORMITA, 40 CUADRAS, LA MOLIENDA, BALNEARIO PEDREGAL, SAN LUIS, SAN VICENTE EL CISNE, EL PORVENIR.</t>
        </is>
      </c>
    </row>
    <row r="67">
      <c r="C67" s="13" t="n"/>
      <c r="D67" s="14" t="inlineStr">
        <is>
          <t>TOTALES PARCIALES:</t>
        </is>
      </c>
      <c r="E67" s="15" t="n"/>
      <c r="F67" s="10">
        <f>SUM(F61:F66)</f>
        <v/>
      </c>
      <c r="G67" s="10">
        <f>SUM(G61:G66)</f>
        <v/>
      </c>
      <c r="H67" s="10">
        <f>SUM(H61:H66)</f>
        <v/>
      </c>
      <c r="I67" s="11">
        <f>SUM(I61:I66)</f>
        <v/>
      </c>
      <c r="J67" s="11">
        <f>SUM(J61:J66)</f>
        <v/>
      </c>
      <c r="K67" s="11">
        <f>SUM(K61:K66)</f>
        <v/>
      </c>
      <c r="L67" s="9" t="n"/>
      <c r="M67" s="16" t="n"/>
      <c r="N67" s="17" t="n"/>
    </row>
    <row r="68">
      <c r="C68" s="18" t="n"/>
      <c r="D68" s="14" t="inlineStr">
        <is>
          <t>TOTAL:</t>
        </is>
      </c>
      <c r="E68" s="15" t="n"/>
      <c r="F68" s="10">
        <f>SUM(F67, G67, H67)</f>
        <v/>
      </c>
      <c r="G68" s="19" t="n"/>
      <c r="H68" s="20" t="n"/>
      <c r="I68" s="11">
        <f>SUM(I67, J67, K67)</f>
        <v/>
      </c>
      <c r="J68" s="21" t="n"/>
      <c r="K68" s="22" t="n"/>
      <c r="L68" s="23" t="n"/>
      <c r="M68" s="24" t="n"/>
      <c r="N68" s="25" t="n"/>
    </row>
    <row r="70">
      <c r="C70" s="4" t="inlineStr">
        <is>
          <t>BLOQUE 7</t>
        </is>
      </c>
      <c r="D70" s="4" t="inlineStr">
        <is>
          <t>SUBESTACIÓN</t>
        </is>
      </c>
      <c r="E70" s="4" t="inlineStr">
        <is>
          <t>PRIMARIOS A DESCONECTAR</t>
        </is>
      </c>
      <c r="F70" s="4" t="inlineStr">
        <is>
          <t># CLIENTES</t>
        </is>
      </c>
      <c r="G70" s="5" t="n"/>
      <c r="H70" s="6" t="n"/>
      <c r="I70" s="4" t="inlineStr">
        <is>
          <t>DEMANDA PROMEDIO DE LOS PERIODOS (MWh)</t>
        </is>
      </c>
      <c r="J70" s="5" t="n"/>
      <c r="K70" s="6" t="n"/>
      <c r="L70" s="4" t="inlineStr">
        <is>
          <t>PROVINCIA</t>
        </is>
      </c>
      <c r="M70" s="4" t="inlineStr">
        <is>
          <t>CANTON</t>
        </is>
      </c>
      <c r="N70" s="4" t="inlineStr">
        <is>
          <t>SECTORES</t>
        </is>
      </c>
    </row>
    <row r="71">
      <c r="C71" s="2" t="n"/>
      <c r="D71" s="2" t="n"/>
      <c r="E71" s="2" t="n"/>
      <c r="F71" s="4" t="inlineStr">
        <is>
          <t>RESIDENCIAL</t>
        </is>
      </c>
      <c r="G71" s="4" t="inlineStr">
        <is>
          <t>INDUSTRIAL</t>
        </is>
      </c>
      <c r="H71" s="4" t="inlineStr">
        <is>
          <t>COMERCIAL</t>
        </is>
      </c>
      <c r="I71" s="4" t="inlineStr">
        <is>
          <t>RESIDENCIAL</t>
        </is>
      </c>
      <c r="J71" s="4" t="inlineStr">
        <is>
          <t>INDUSTRIAL</t>
        </is>
      </c>
      <c r="K71" s="4" t="inlineStr">
        <is>
          <t>COMERCIAL</t>
        </is>
      </c>
      <c r="L71" s="2" t="n"/>
      <c r="M71" s="2" t="n"/>
      <c r="N71" s="2" t="n"/>
    </row>
    <row r="72">
      <c r="C72" s="7" t="inlineStr">
        <is>
          <t>05:00:00-10:00:00 14:00:00-19:00:00</t>
        </is>
      </c>
      <c r="D72" s="8" t="n">
        <v>8</v>
      </c>
      <c r="E72" s="9" t="inlineStr">
        <is>
          <t>0822/RECONECT: 12 OCTUBRE 1</t>
        </is>
      </c>
      <c r="F72" s="10" t="n">
        <v>3357</v>
      </c>
      <c r="G72" s="10" t="n">
        <v>44</v>
      </c>
      <c r="H72" s="10" t="n">
        <v>379</v>
      </c>
      <c r="I72" s="11">
        <f>0.704182834136683*10.0*0.8324925</f>
        <v/>
      </c>
      <c r="J72" s="11">
        <f>0.0545201746452118*10.0*0.8324925</f>
        <v/>
      </c>
      <c r="K72" s="11">
        <f>0.241296991218105*10.0*0.8324925</f>
        <v/>
      </c>
      <c r="L72" s="9" t="inlineStr">
        <is>
          <t>AZUAY</t>
        </is>
      </c>
      <c r="M72" s="9" t="inlineStr">
        <is>
          <t>CUENCA</t>
        </is>
      </c>
      <c r="N72" s="12" t="inlineStr">
        <is>
          <t>AV. DON BOSCO Y 12 DE OCTUBRE; AV. DON BOSCO Y LAS CALLES TRANSVERSALES VAZCO NUÑEZ DE BALBOA, BARTOLOME RUIZ, FRANCISCO DE ORELLA, MIGUEL DE CERVANTES, LA PINTA, SANTA MARIA;  CALLE UNAMUNO; CALLE MENDEZ PIDAL Y MIGUEL DE CERVANTES; CALLE CRISTOBAL COLON Y LAS TRASVERSALES LOPE DE VEGA, MIGUEL HERNANDEZ, PIO BAROJA, FRANCISCO DE ORELLANA, FEDERICO GARCIA LORCA; CALLE FEDERICO GARCIA LORCA; CALLE GASPAR DE JOVELLANOS; CALLE ISABELA CATOLICA, CALLE PEDRO DE ROCHA; CALLE PEDRO CALDERON DE LA BARCA, CALLE GUSTAVO ADOLFO BECQUER, CALLE LOS JUGLARES; SECTOR AV. ISABELA CATOLICA Y LAS CALLES TRANSVERSALES FRANCISCO DE ORELLANA, RAMON Y CAJAL, MIGUEL ANGEL ASTURIAS, MIGUEL DE CERVANTES</t>
        </is>
      </c>
    </row>
    <row r="73">
      <c r="C73" s="13" t="n"/>
      <c r="D73" s="8" t="n">
        <v>8</v>
      </c>
      <c r="E73" s="9" t="inlineStr">
        <is>
          <t>0822/RECONECT: 12 OCTUBRE 2</t>
        </is>
      </c>
      <c r="F73" s="10" t="n">
        <v>960</v>
      </c>
      <c r="G73" s="10" t="n">
        <v>19</v>
      </c>
      <c r="H73" s="10" t="n">
        <v>137</v>
      </c>
      <c r="I73" s="11">
        <f>0.251279609417439*10.0*1.179364375</f>
        <v/>
      </c>
      <c r="J73" s="11">
        <f>0.0158650397378102*10.0*1.179364375</f>
        <v/>
      </c>
      <c r="K73" s="11">
        <f>0.732855350844751*10.0*1.179364375</f>
        <v/>
      </c>
      <c r="L73" s="9" t="inlineStr">
        <is>
          <t>AZUAY</t>
        </is>
      </c>
      <c r="M73" s="9" t="inlineStr">
        <is>
          <t>CUENCA</t>
        </is>
      </c>
      <c r="N73" s="12" t="inlineStr">
        <is>
          <t>DON BOSCO ENTRE 12 DE OCTUBRE Y TRES PUENTES, FELIPE II ENTRE DON BOSCO Y AUTOPISTA. JOSÉ ORTEGA Y GASSET, FERNANDO DE ARAGÓN, FRAY LUIS DE LEÓN</t>
        </is>
      </c>
    </row>
    <row r="74">
      <c r="C74" s="13" t="n"/>
      <c r="D74" s="8" t="n">
        <v>8</v>
      </c>
      <c r="E74" s="9" t="inlineStr">
        <is>
          <t>0824/RECONECT: SAN ANTONIO GAPAL</t>
        </is>
      </c>
      <c r="F74" s="10" t="n">
        <v>5739</v>
      </c>
      <c r="G74" s="10" t="n">
        <v>69</v>
      </c>
      <c r="H74" s="10" t="n">
        <v>295</v>
      </c>
      <c r="I74" s="11">
        <f>0.844580939396776*10.0*0.958601285714286</f>
        <v/>
      </c>
      <c r="J74" s="11">
        <f>0.0239631045672536*10.0*0.958601285714286</f>
        <v/>
      </c>
      <c r="K74" s="11">
        <f>0.131455956035971*10.0*0.958601285714286</f>
        <v/>
      </c>
      <c r="L74" s="9" t="inlineStr">
        <is>
          <t>AZUAY</t>
        </is>
      </c>
      <c r="M74" s="9" t="inlineStr">
        <is>
          <t>CUENCA</t>
        </is>
      </c>
      <c r="N74" s="12" t="inlineStr">
        <is>
          <t>VIRGEN DEL CISNE, SAN JOSÉ DE LA PLAYA, SAN MIGUEL DE EL VALLE, MOROCHO QUIGUA,  LA PLAYA EL VALLE, LOS LAURELES CENTRO, EL VALLE CENTRO, LA VICTORIA, POLOMA, SANTA MARTHA VALLE, CASTILLA CRUZ, CHILCAPAMBA, QUILLOPUNGO, SAN ANTONIO DE EL VALLE, PAREDONES DE EL VALLE, CRUZ DEL CAMINO.QUILLOPUNGO, SAN ANTONIO VALLE, PAREDONES VALLE, CRUZ DEL CAMINO, CURIQUINGA, MALUAY, MOSQUERA.</t>
        </is>
      </c>
    </row>
    <row r="75">
      <c r="C75" s="13" t="n"/>
      <c r="D75" s="8" t="n">
        <v>12</v>
      </c>
      <c r="E75" s="9" t="inlineStr">
        <is>
          <t>1221/CABECERA</t>
        </is>
      </c>
      <c r="F75" s="10" t="n">
        <v>2209</v>
      </c>
      <c r="G75" s="10" t="n">
        <v>13</v>
      </c>
      <c r="H75" s="10" t="n">
        <v>151</v>
      </c>
      <c r="I75" s="11">
        <f>0.533909840824107*10.0*2.641684</f>
        <v/>
      </c>
      <c r="J75" s="11">
        <f>0.126483775554921*10.0*2.641684</f>
        <v/>
      </c>
      <c r="K75" s="11">
        <f>0.339606383620972*10.0*2.641684</f>
        <v/>
      </c>
      <c r="L75" s="9" t="inlineStr">
        <is>
          <t>AZUAY</t>
        </is>
      </c>
      <c r="M75" s="9" t="inlineStr">
        <is>
          <t>CUENCA</t>
        </is>
      </c>
      <c r="N75" s="12" t="inlineStr">
        <is>
          <t>AUTOPISTA CUENCA AZOGUES DESDE LA CALLE CULTURA SALASACA HASTA COLINAS DE CHALLUABAMBA, CALLES: PUEBLO DE LOS QUITUS, CULTURA YUMBO, DOÑA LEONORCITA FAJARDO SAENZ, CULTURA MANTEÑA, CULTURA LOS PASTOS, CULTURA HUANCAVILCA, CULTURA IMBAYA, CULTURA MONJASHUAYCO, CULTURA LOS PASTOS, CULTURA MANTEÑA, CULTURA JAMA, CULTURA CHIRIJE, CULTURA GUANGALA, CULTURA COSANGA, CULTURA QUILLASINGA, CULTURA COSANGA, CULTURA PIRINCAY,QUEBRADA ALLPAYACU,  CULTURA EL ÁNGEL, CULTURA EL INGA, CULTURA LAS VEGAS, GUILLERMO VÁZQUEZ, DE LOS DIAMANATES, DE LOS RUBÍES, DE LOS CRISTALES, DE LOS TOPACIOS, DEL ONIX, DEL BOMBERO, PUEBLO DE LOS QUITUS, DON REINALDO, SECTORES: NULTI, APANGORAS, EL PLATEADO, LLATCÓN, PUICAY, TABLÓN NULTI, CHALLUABAMBA, IGUILA, GUAGUALSHUMI, EL ARENAL NULTI, PANAMERICANA NORTE DESDE EL DESCANSO HACIA ZONA AUSTROGAS. PETROCOMERCIAL, ROCA AZUL, CRUZLOMA,EL DESCANSO, GUACHÚN, SAN CRISTÓBAL, LA VICTORIA, LA RAMADA, PASTOPAMBA, PUEBLO NUEVO, GUANGARCUCHO, SAN JUANPAMBA, LLATCON, CHOCARSÍ, EL PROGRESO, VEGASPAMBA, JADÁN, GRANDA, INGAMULLO, CHICHÍN, LLAZHATAN, JABASPAMBA, GRANDA.</t>
        </is>
      </c>
    </row>
    <row r="76">
      <c r="C76" s="13" t="n"/>
      <c r="D76" s="8" t="n">
        <v>15</v>
      </c>
      <c r="E76" s="9" t="inlineStr">
        <is>
          <t>1524/CABECERA</t>
        </is>
      </c>
      <c r="F76" s="10" t="n">
        <v>3722</v>
      </c>
      <c r="G76" s="10" t="n">
        <v>73</v>
      </c>
      <c r="H76" s="10" t="n">
        <v>580</v>
      </c>
      <c r="I76" s="11">
        <f>0.71840523437999*10.0*1.839446</f>
        <v/>
      </c>
      <c r="J76" s="11">
        <f>0.0374394876060223*10.0*1.839446</f>
        <v/>
      </c>
      <c r="K76" s="11">
        <f>0.244155278013988*10.0*1.839446</f>
        <v/>
      </c>
      <c r="L76" s="9" t="inlineStr">
        <is>
          <t>AZUAY</t>
        </is>
      </c>
      <c r="M76" s="9" t="inlineStr">
        <is>
          <t>CHORDELEG</t>
        </is>
      </c>
      <c r="N76" s="12" t="inlineStr">
        <is>
          <t>CHORDELEG CENTRO, LA UNIÓN, SAN MARTÍN DE PUZHIO, CAPILLAPAMBA, DELEGSOL, PRINCIPAL, GUEL, PANZHA, RURCAJ, VÍA ZHOTOR - GUEL, CALLE ESPINOZA, CALLE DE LA COMUNA DE SAN SEBASTIÁN, CALLE SUCRE, CALLE BOLÍVAR, CALLE TORRES, 16 DE ABRIL, LUIS MOSCOSO DÁVILA, MUNICIPIO, VEGA MUÑOZ, RERON, CURÍN, ZHOTOR ALTO.</t>
        </is>
      </c>
    </row>
    <row r="77">
      <c r="C77" s="13" t="n"/>
      <c r="D77" s="8" t="n">
        <v>21</v>
      </c>
      <c r="E77" s="9" t="inlineStr">
        <is>
          <t>2127/CABECERA</t>
        </is>
      </c>
      <c r="F77" s="10" t="n">
        <v>1544</v>
      </c>
      <c r="G77" s="10" t="n">
        <v>9</v>
      </c>
      <c r="H77" s="10" t="n">
        <v>406</v>
      </c>
      <c r="I77" s="11">
        <f>0.608984565317737*10.0*1.674578</f>
        <v/>
      </c>
      <c r="J77" s="11">
        <f>0.0376527587978653*10.0*1.674578</f>
        <v/>
      </c>
      <c r="K77" s="11">
        <f>0.353362675884398*10.0*1.674578</f>
        <v/>
      </c>
      <c r="L77" s="9" t="inlineStr">
        <is>
          <t>MORONA SANTIAGO</t>
        </is>
      </c>
      <c r="M77" s="9" t="inlineStr">
        <is>
          <t>SUCÚA Y LOGROÑO</t>
        </is>
      </c>
      <c r="N77" s="12" t="inlineStr">
        <is>
          <t>PARROQUIA SANTA MARIANITA DESDE LA AV. TRONCAL AMAZÓNICA HASTA LA CALLE H, BARRIO EL BELÉN DESDE LA AV. TRONCAL AMAZÓNICA HASTA EL RÍO SUNGAIME, BARRIO EL TERMINAL DESDE LA AV. TRONCAL AMAZONIA HASTA EL RÍO SUNGAIME, URBANIZACIÓN AMAZONAS, BARRIO LA CRUZ, BARRIO NORTE, BARRIO EL PARAÍSO, BARRIO EL PROGRESO, BARRIO CENTRO, BARRIO 8 DE DICIEMBRE, BARRIO 12 DE FEBRERO, BARRIO SUR, BARRIO AEROPUERTO,  BARRIO 4 DE OCTUBRE, BARRIO LOS ARTESANOS, BARRIO EL NAZARENO, PARROQUIA LA ASUNCIÓN Y SUS COMUNIDADES, EL TRIUNFO, HUAMBINIMI, PARROQUIA HUAMBI Y SUS COMUNIDADES, LOGROÑO Y SUS COMUNIDADES, PARROQUIA SHIMPIS Y SUS COMUNIDADES.</t>
        </is>
      </c>
    </row>
    <row r="78">
      <c r="C78" s="13" t="n"/>
      <c r="D78" s="14" t="inlineStr">
        <is>
          <t>TOTALES PARCIALES:</t>
        </is>
      </c>
      <c r="E78" s="15" t="n"/>
      <c r="F78" s="10">
        <f>SUM(F72:F77)</f>
        <v/>
      </c>
      <c r="G78" s="10">
        <f>SUM(G72:G77)</f>
        <v/>
      </c>
      <c r="H78" s="10">
        <f>SUM(H72:H77)</f>
        <v/>
      </c>
      <c r="I78" s="11">
        <f>SUM(I72:I77)</f>
        <v/>
      </c>
      <c r="J78" s="11">
        <f>SUM(J72:J77)</f>
        <v/>
      </c>
      <c r="K78" s="11">
        <f>SUM(K72:K77)</f>
        <v/>
      </c>
      <c r="L78" s="9" t="n"/>
      <c r="M78" s="16" t="n"/>
      <c r="N78" s="17" t="n"/>
    </row>
    <row r="79">
      <c r="C79" s="18" t="n"/>
      <c r="D79" s="14" t="inlineStr">
        <is>
          <t>TOTAL:</t>
        </is>
      </c>
      <c r="E79" s="15" t="n"/>
      <c r="F79" s="10">
        <f>SUM(F78, G78, H78)</f>
        <v/>
      </c>
      <c r="G79" s="19" t="n"/>
      <c r="H79" s="20" t="n"/>
      <c r="I79" s="11">
        <f>SUM(I78, J78, K78)</f>
        <v/>
      </c>
      <c r="J79" s="21" t="n"/>
      <c r="K79" s="22" t="n"/>
      <c r="L79" s="23" t="n"/>
      <c r="M79" s="24" t="n"/>
      <c r="N79" s="25" t="n"/>
    </row>
    <row r="81">
      <c r="C81" s="4" t="inlineStr">
        <is>
          <t>BLOQUE 8</t>
        </is>
      </c>
      <c r="D81" s="4" t="inlineStr">
        <is>
          <t>SUBESTACIÓN</t>
        </is>
      </c>
      <c r="E81" s="4" t="inlineStr">
        <is>
          <t>PRIMARIOS A DESCONECTAR</t>
        </is>
      </c>
      <c r="F81" s="4" t="inlineStr">
        <is>
          <t># CLIENTES</t>
        </is>
      </c>
      <c r="G81" s="5" t="n"/>
      <c r="H81" s="6" t="n"/>
      <c r="I81" s="4" t="inlineStr">
        <is>
          <t>DEMANDA PROMEDIO DE LOS PERIODOS (MWh)</t>
        </is>
      </c>
      <c r="J81" s="5" t="n"/>
      <c r="K81" s="6" t="n"/>
      <c r="L81" s="4" t="inlineStr">
        <is>
          <t>PROVINCIA</t>
        </is>
      </c>
      <c r="M81" s="4" t="inlineStr">
        <is>
          <t>CANTON</t>
        </is>
      </c>
      <c r="N81" s="4" t="inlineStr">
        <is>
          <t>SECTORES</t>
        </is>
      </c>
    </row>
    <row r="82">
      <c r="C82" s="2" t="n"/>
      <c r="D82" s="2" t="n"/>
      <c r="E82" s="2" t="n"/>
      <c r="F82" s="4" t="inlineStr">
        <is>
          <t>RESIDENCIAL</t>
        </is>
      </c>
      <c r="G82" s="4" t="inlineStr">
        <is>
          <t>INDUSTRIAL</t>
        </is>
      </c>
      <c r="H82" s="4" t="inlineStr">
        <is>
          <t>COMERCIAL</t>
        </is>
      </c>
      <c r="I82" s="4" t="inlineStr">
        <is>
          <t>RESIDENCIAL</t>
        </is>
      </c>
      <c r="J82" s="4" t="inlineStr">
        <is>
          <t>INDUSTRIAL</t>
        </is>
      </c>
      <c r="K82" s="4" t="inlineStr">
        <is>
          <t>COMERCIAL</t>
        </is>
      </c>
      <c r="L82" s="2" t="n"/>
      <c r="M82" s="2" t="n"/>
      <c r="N82" s="2" t="n"/>
    </row>
    <row r="83">
      <c r="C83" s="7" t="inlineStr">
        <is>
          <t>06:00:00-10:00:00 15:00:00-21:00:00</t>
        </is>
      </c>
      <c r="D83" s="8" t="n">
        <v>1</v>
      </c>
      <c r="E83" s="9" t="inlineStr">
        <is>
          <t>0102/CABECERA</t>
        </is>
      </c>
      <c r="F83" s="10" t="n">
        <v>768</v>
      </c>
      <c r="G83" s="10" t="n">
        <v>12</v>
      </c>
      <c r="H83" s="10" t="n">
        <v>1324</v>
      </c>
      <c r="I83" s="11">
        <f>0.142866103356568*10.0*0.790060213928223</f>
        <v/>
      </c>
      <c r="J83" s="11">
        <f>0.0082564822216657*10.0*0.790060213928223</f>
        <v/>
      </c>
      <c r="K83" s="11">
        <f>0.848877414421767*10.0*0.790060213928223</f>
        <v/>
      </c>
      <c r="L83" s="9" t="inlineStr">
        <is>
          <t>AZUAY</t>
        </is>
      </c>
      <c r="M83" s="9" t="inlineStr">
        <is>
          <t>CUENCA</t>
        </is>
      </c>
      <c r="N83" s="12" t="inlineStr">
        <is>
          <t>SANGURIMA ENTRE LUIS CORDERO Y HEMANO MIGUEL, LAMAR ENTRE LUIS CORDERO Y MARIANO CUEVA, GRAN COLOMBIA ENTRE BENIGNO MALO  Y HERMANO MIGUEL, BOLÍVAR ENTRE BENIGNO MALO Y MARIANO CUEVA, SUCRE ENTRE BORRERO Y HMNO. MIGUEL, GOBERNACIÓN, IESS. LUIS CORDERO ENTRE SANGURIMA Y RAFAEL MARÍA ARÍZAGA, LUIS CORDERO ENTRE BOLÍVAR Y GRAN COLOMBIA, BENIGNO MALO ENTRE BOLÍVAR Y LAMAR, BORRERO ENTRE PRESIDENTE CÓRDOVA Y VEGA MUÑOZ, HERMANO MIGUEL ENTRE SUCRE Y SANGURIMA, MARIANO CUEVA ENTRE SUCRE Y BOLÍVAR.</t>
        </is>
      </c>
    </row>
    <row r="84">
      <c r="C84" s="13" t="n"/>
      <c r="D84" s="8" t="n">
        <v>2</v>
      </c>
      <c r="E84" s="9" t="inlineStr">
        <is>
          <t>0204/CABECERA</t>
        </is>
      </c>
      <c r="F84" s="10" t="n">
        <v>359</v>
      </c>
      <c r="G84" s="10" t="n">
        <v>2</v>
      </c>
      <c r="H84" s="10" t="n">
        <v>632</v>
      </c>
      <c r="I84" s="11">
        <f>0.116247929431062*10.0*1.1255175</f>
        <v/>
      </c>
      <c r="J84" s="11">
        <f>0.000142882425098463*10.0*1.1255175</f>
        <v/>
      </c>
      <c r="K84" s="11">
        <f>0.88360918814384*10.0*1.1255175</f>
        <v/>
      </c>
      <c r="L84" s="9" t="inlineStr">
        <is>
          <t>AZUAY</t>
        </is>
      </c>
      <c r="M84" s="9" t="inlineStr">
        <is>
          <t>CUENCA</t>
        </is>
      </c>
      <c r="N84" s="12" t="inlineStr">
        <is>
          <t>PARQUE DE LA MADRE, HOSPITAL MILITAR, SINDICATO CHOFERES, CORTE SUPREMA, MILENIUM. AV. 12 DE ABRIL ENTRE SOLANO Y LOS FRESNOS, FLORENCIA ASTUDILLO ENTRE SOLANO Y DOCE DE ABRIL, JOSÉ PERALTA ENTRE DOCE DE ABRIL Y ESTADIO, MUNUEL J CALLE ENTRE DOCE DE ABRIL Y ESTADIO</t>
        </is>
      </c>
    </row>
    <row r="85">
      <c r="C85" s="13" t="n"/>
      <c r="D85" s="8" t="n">
        <v>4</v>
      </c>
      <c r="E85" s="9" t="inlineStr">
        <is>
          <t>0423/CABECERA</t>
        </is>
      </c>
      <c r="F85" s="10" t="n">
        <v>4534</v>
      </c>
      <c r="G85" s="10" t="n">
        <v>118</v>
      </c>
      <c r="H85" s="10" t="n">
        <v>362</v>
      </c>
      <c r="I85" s="11">
        <f>0.733541971538894*10.0*2.683834064375</f>
        <v/>
      </c>
      <c r="J85" s="11">
        <f>0.0586117665387264*10.0*2.683834064375</f>
        <v/>
      </c>
      <c r="K85" s="11">
        <f>0.20784626192238*10.0*2.683834064375</f>
        <v/>
      </c>
      <c r="L85" s="9" t="inlineStr">
        <is>
          <t>AZUAY</t>
        </is>
      </c>
      <c r="M85" s="9" t="inlineStr">
        <is>
          <t>CUENCA</t>
        </is>
      </c>
      <c r="N85" s="12" t="inlineStr">
        <is>
          <t>EL CARMEN DE SININCAY, CRUCE DEL CARMEN, BARRIO SANTA FE, EL TABLÓN DE LAS ORQUÍDEAS, AV. BARRIAL BLANCO, DE LAS AREPAS, AV. TURUHUAYCO, AV. MANUEL ANTONIO MUÑOZ BORRERO, CUMANA.</t>
        </is>
      </c>
    </row>
    <row r="86">
      <c r="C86" s="13" t="n"/>
      <c r="D86" s="8" t="n">
        <v>5</v>
      </c>
      <c r="E86" s="9" t="inlineStr">
        <is>
          <t>0523/CABECERA</t>
        </is>
      </c>
      <c r="F86" s="10" t="n">
        <v>1869</v>
      </c>
      <c r="G86" s="10" t="n">
        <v>30</v>
      </c>
      <c r="H86" s="10" t="n">
        <v>190</v>
      </c>
      <c r="I86" s="11">
        <f>0.554241881589713*10.0*0.5676</f>
        <v/>
      </c>
      <c r="J86" s="11">
        <f>0.132250381509159*10.0*0.5676</f>
        <v/>
      </c>
      <c r="K86" s="11">
        <f>0.313507736901128*10.0*0.5676</f>
        <v/>
      </c>
      <c r="L86" s="9" t="inlineStr">
        <is>
          <t>AZUAY</t>
        </is>
      </c>
      <c r="M86" s="9" t="inlineStr">
        <is>
          <t>CUENCA</t>
        </is>
      </c>
      <c r="N86" s="12" t="inlineStr">
        <is>
          <t>CARLOS ARÍZAGA VEGA, JUAN GIRÓN SANCHEZ, ISAURO RODRÍGUEZ, ENRIQUE ARÍZAGA TORAL, VÍCTOR TINOCO CHACÓN, CARMELA MALO, TARQUINO CORDERO, CARLOS ARÍZAGA TORAL.</t>
        </is>
      </c>
    </row>
    <row r="87">
      <c r="C87" s="13" t="n"/>
      <c r="D87" s="8" t="n">
        <v>5</v>
      </c>
      <c r="E87" s="9" t="inlineStr">
        <is>
          <t>0526/CABECERA</t>
        </is>
      </c>
      <c r="F87" s="10" t="n">
        <v>4923</v>
      </c>
      <c r="G87" s="10" t="n">
        <v>67</v>
      </c>
      <c r="H87" s="10" t="n">
        <v>890</v>
      </c>
      <c r="I87" s="11">
        <f>0.52313907910973*10.0*2.025225</f>
        <v/>
      </c>
      <c r="J87" s="11">
        <f>0.0756316723253942*10.0*2.025225</f>
        <v/>
      </c>
      <c r="K87" s="11">
        <f>0.401229248564876*10.0*2.025225</f>
        <v/>
      </c>
      <c r="L87" s="9" t="inlineStr">
        <is>
          <t>AZUAY</t>
        </is>
      </c>
      <c r="M87" s="9" t="inlineStr">
        <is>
          <t>CUENCA</t>
        </is>
      </c>
      <c r="N87" s="12" t="inlineStr">
        <is>
          <t>AV. DE LAS AMERICAS, DEL CEBOLLAR, CAMINO DEL CEBOLLAR, CALLE JARAMIJO, CAMINO SAN PEDRO DEL CEBOLLAR, CALLE DEL PEREJIL, TARQUINO MARTINEZ BORRERO, PEDRO LOPEZ ARGUDO, GLORIA PESANTEZ BERMUDEZ.</t>
        </is>
      </c>
    </row>
    <row r="88">
      <c r="C88" s="13" t="n"/>
      <c r="D88" s="8" t="n">
        <v>5</v>
      </c>
      <c r="E88" s="9" t="inlineStr">
        <is>
          <t>0527/CABECERA (SIN SAN JOAQUIN 2)</t>
        </is>
      </c>
      <c r="F88" s="10" t="n">
        <v>3899</v>
      </c>
      <c r="G88" s="10" t="n">
        <v>28</v>
      </c>
      <c r="H88" s="10" t="n">
        <v>184</v>
      </c>
      <c r="I88" s="11">
        <f>0.716211463749825*10.0*1.67787643579545</f>
        <v/>
      </c>
      <c r="J88" s="11">
        <f>0.0327178007698173*10.0*1.67787643579545</f>
        <v/>
      </c>
      <c r="K88" s="11">
        <f>0.251070735480357*10.0*1.67787643579545</f>
        <v/>
      </c>
      <c r="L88" s="9" t="inlineStr">
        <is>
          <t>AZUAY</t>
        </is>
      </c>
      <c r="M88" s="9" t="inlineStr">
        <is>
          <t>CUENCA</t>
        </is>
      </c>
      <c r="N88" s="12" t="inlineStr">
        <is>
          <t>MISICATA, SAN JOAQUÍN, SAYAUSÍ, CULEBRILLAS, MOLLETURO, HIERBABUENA.</t>
        </is>
      </c>
    </row>
    <row r="89">
      <c r="C89" s="13" t="n"/>
      <c r="D89" s="8" t="n">
        <v>7</v>
      </c>
      <c r="E89" s="9" t="inlineStr">
        <is>
          <t>0721/CABECERA (SIN 4 ESQUINAS 2)</t>
        </is>
      </c>
      <c r="F89" s="10" t="n">
        <v>2489</v>
      </c>
      <c r="G89" s="10" t="n">
        <v>44</v>
      </c>
      <c r="H89" s="10" t="n">
        <v>206</v>
      </c>
      <c r="I89" s="11">
        <f>0.146553265073955*10.0*0.798439285714286</f>
        <v/>
      </c>
      <c r="J89" s="11">
        <f>0.800162607360988*10.0*0.798439285714286</f>
        <v/>
      </c>
      <c r="K89" s="11">
        <f>0.0532841275650572*10.0*0.798439285714286</f>
        <v/>
      </c>
      <c r="L89" s="9" t="inlineStr">
        <is>
          <t>AZUAY</t>
        </is>
      </c>
      <c r="M89" s="9" t="inlineStr">
        <is>
          <t>CUENCA</t>
        </is>
      </c>
      <c r="N89" s="12" t="inlineStr">
        <is>
          <t>EL EJECUTIVO, CUARTEL CAYAMBE, CDLA KENNEDY, CALLES GRAL URBINA, GRAL URDANETA, CORONEL DELGADO, PAQUISHA, CORONEL REMIGIO MACHUCA, QUINTA CHICA ALTA, CALLES CUBILCHE, LLAVIUCO, CUICOCHA, SAN PABLO DEL LAGO ENTRE PAN. NORTE Y  SURROCUCHO.</t>
        </is>
      </c>
    </row>
    <row r="90">
      <c r="C90" s="13" t="n"/>
      <c r="D90" s="8" t="n">
        <v>7</v>
      </c>
      <c r="E90" s="9" t="inlineStr">
        <is>
          <t>0722/CABECERA</t>
        </is>
      </c>
      <c r="F90" s="10" t="n">
        <v>2111</v>
      </c>
      <c r="G90" s="10" t="n">
        <v>31</v>
      </c>
      <c r="H90" s="10" t="n">
        <v>124</v>
      </c>
      <c r="I90" s="11">
        <f>0.461507366890039*10.0*1.86725</f>
        <v/>
      </c>
      <c r="J90" s="11">
        <f>0.44412152570902*10.0*1.86725</f>
        <v/>
      </c>
      <c r="K90" s="11">
        <f>0.0943711074009408*10.0*1.86725</f>
        <v/>
      </c>
      <c r="L90" s="9" t="inlineStr">
        <is>
          <t>AZUAY</t>
        </is>
      </c>
      <c r="M90" s="9" t="inlineStr">
        <is>
          <t>CUENCA</t>
        </is>
      </c>
      <c r="N90" s="12" t="inlineStr">
        <is>
          <t>CALLES LONDRES, PARÍS, TRES, AMSTERDAM, BL, MACCHU PICCHU, ROMA, OSLO, REDONDEL CHOLAS DE PIEDRA, GONZALEZ SUAREZ SECTOR CDLA DE LOS INGENIEROS, CALLES A, B, CUMANDÁ, RAMAYANA, BEN HUR, ARAUCANA, DEL INGENIERO, TABARÉ, CAMINO A PACCHA, INTERCAMBIADOR DE PACCHA, AUTOPISTA ENTRE ENTRADA A NULTI Y H. DEL RIO, UCUBAMBA, UCUBAMBA ALTO, HIGOSPAMBA, POLÍGONO DE TIRO, NARANJOS, VIOLA, CABULLIN, PACCHA, ARENAL DE NULTI, PUCUNGO, FERIA DE CARROS, HIERBABUENA, NULTI, PANAMERICANA NORTE, SIDCAY, CUARTEL DÁVALOS, CALLES ITALIA, FRANCIA, ALEMANIA, UNIÓN SOVIETICA.</t>
        </is>
      </c>
    </row>
    <row r="91">
      <c r="C91" s="13" t="n"/>
      <c r="D91" s="8" t="n">
        <v>14</v>
      </c>
      <c r="E91" s="9" t="inlineStr">
        <is>
          <t>1424/CABECERA</t>
        </is>
      </c>
      <c r="F91" s="10" t="n">
        <v>1827</v>
      </c>
      <c r="G91" s="10" t="n">
        <v>25</v>
      </c>
      <c r="H91" s="10" t="n">
        <v>82</v>
      </c>
      <c r="I91" s="11">
        <f>0.196440603232889*10.0*4.733785</f>
        <v/>
      </c>
      <c r="J91" s="11">
        <f>0.762110339688585*10.0*4.733785</f>
        <v/>
      </c>
      <c r="K91" s="11">
        <f>0.041449057078526*10.0*4.733785</f>
        <v/>
      </c>
      <c r="L91" s="9" t="inlineStr">
        <is>
          <t>AZUAY</t>
        </is>
      </c>
      <c r="M91" s="9" t="inlineStr">
        <is>
          <t>SANTA ISABEL</t>
        </is>
      </c>
      <c r="N91" s="12" t="inlineStr">
        <is>
          <t>MOLINOPATA, CORAZARI, CATAVIÑA, SAN JAVIER, EL ALMIBAR, GUALDÉLEG, PILCOCAJAS, LA UNION, CERCALOMA, LA PAZ DE PORTOVELO, GUAZHAPAMBA, GUAYARA, QUILLOSISA, GUABOPAMBA, EL GUAGUAL, PILANCÓN, TRANCAPAMBA, CAÑARIBAMBA, CHUVIN, TOTORAS, SAN PEDRO, CHAMANA, EL TABLON, CEBADILLAS, EL LIMON, DEUTA, ÑUGROPAMBA, ABISPOLOMA, SAN ANTONIO DE ÑUGRO, PINGULLO, YUNGACORRAL, HUASIPAMBA, TORTAPALI, SALINAS, SAN ALFONSO, LA LIBERTAD, SARAMALOMA, AYACAÑA, SHAGLLI, TUNTÚN, CARACHULA, PEDERNALES, SANTA TERESA, MINAS, TANGEO, HUERTAS, HORNILLOS, PUCULCAY, CHILCA, NAZARI, AURIN, LAGUNAS DE AURIN, CEBADAS, MANGAN, PALMAS, MULLO, RAMOS, LAS NIEVES, GUABIDUCA, BUENAS ESPERANZA, SANTA ROSA, BUENA VISTA, CHALAXI, RAMBRAN, LA DOLOROSA DE CHUQUI, PELINCAY, EL MANZANO, ZHALO, PUCARA CENTRO, CALIGUIÑA, SAN MARCOS, MANZANILLA, SAUCAL, JARQUIN, SAN MIGUEL DE LAS PALMERAS, QUINUAS, LA MACARENA, GUENA, CACHI, LA ENRAMADA, SAN VICENTE, SAN GERARDO, SAN JUAN DE NARANJILLAS, EL PROGRESO, LA FLORIDA, SAN JACINTO DE IÑAN, SAN ANTONIO, GRANADILLAS, LA FORTUNA, QUEBRADA FRIA, LA UNION.</t>
        </is>
      </c>
    </row>
    <row r="92">
      <c r="C92" s="13" t="n"/>
      <c r="D92" s="8" t="n">
        <v>18</v>
      </c>
      <c r="E92" s="9" t="inlineStr">
        <is>
          <t>1822/CABECERA (SIN TAMBO)</t>
        </is>
      </c>
      <c r="F92" s="10" t="n">
        <v>3739</v>
      </c>
      <c r="G92" s="10" t="n">
        <v>21</v>
      </c>
      <c r="H92" s="10" t="n">
        <v>265</v>
      </c>
      <c r="I92" s="11">
        <f>0.721451834536432*10.0*0.815585625</f>
        <v/>
      </c>
      <c r="J92" s="11">
        <f>0.0575443728184105*10.0*0.815585625</f>
        <v/>
      </c>
      <c r="K92" s="11">
        <f>0.221003792645157*10.0*0.815585625</f>
        <v/>
      </c>
      <c r="L92" s="9" t="inlineStr">
        <is>
          <t>CAÑAR</t>
        </is>
      </c>
      <c r="M92" s="9" t="inlineStr">
        <is>
          <t>CAÑAR</t>
        </is>
      </c>
      <c r="N92" s="12" t="inlineStr">
        <is>
          <t>LA POSTA, TAMBO, CUCHOCORRAL, PILCOPATA, CUCHUCÚN CAÑAR, CARAZHAO, SAN RAFAEL, JIRINCAY, GUARAHUIN, CHARACAY, SHUYA.</t>
        </is>
      </c>
    </row>
    <row r="93">
      <c r="C93" s="13" t="n"/>
      <c r="D93" s="8" t="n">
        <v>23</v>
      </c>
      <c r="E93" s="9" t="inlineStr">
        <is>
          <t>2311/CABECERA</t>
        </is>
      </c>
      <c r="F93" s="10" t="n">
        <v>1034</v>
      </c>
      <c r="G93" s="10" t="n">
        <v>32</v>
      </c>
      <c r="H93" s="10" t="n">
        <v>209</v>
      </c>
      <c r="I93" s="11">
        <f>0.581877819996352*10.0*0.565875</f>
        <v/>
      </c>
      <c r="J93" s="11">
        <f>0.138497099597406*10.0*0.565875</f>
        <v/>
      </c>
      <c r="K93" s="11">
        <f>0.279625080406242*10.0*0.565875</f>
        <v/>
      </c>
      <c r="L93" s="9" t="inlineStr">
        <is>
          <t>MORONA SANTIAGO</t>
        </is>
      </c>
      <c r="M93" s="9" t="inlineStr">
        <is>
          <t>LIMÓN INDANZA</t>
        </is>
      </c>
      <c r="N93" s="12" t="inlineStr">
        <is>
          <t>CENTRO CANTONAL DE LIMÓN INDANZA, PARROQUIAS: YUNGANZA, CHIVIAZA, SAN ANTONIO.</t>
        </is>
      </c>
    </row>
    <row r="94">
      <c r="C94" s="13" t="n"/>
      <c r="D94" s="14" t="inlineStr">
        <is>
          <t>TOTALES PARCIALES:</t>
        </is>
      </c>
      <c r="E94" s="15" t="n"/>
      <c r="F94" s="10">
        <f>SUM(F83:F93)</f>
        <v/>
      </c>
      <c r="G94" s="10">
        <f>SUM(G83:G93)</f>
        <v/>
      </c>
      <c r="H94" s="10">
        <f>SUM(H83:H93)</f>
        <v/>
      </c>
      <c r="I94" s="11">
        <f>SUM(I83:I93)</f>
        <v/>
      </c>
      <c r="J94" s="11">
        <f>SUM(J83:J93)</f>
        <v/>
      </c>
      <c r="K94" s="11">
        <f>SUM(K83:K93)</f>
        <v/>
      </c>
      <c r="L94" s="9" t="n"/>
      <c r="M94" s="16" t="n"/>
      <c r="N94" s="17" t="n"/>
    </row>
    <row r="95">
      <c r="C95" s="18" t="n"/>
      <c r="D95" s="14" t="inlineStr">
        <is>
          <t>TOTAL:</t>
        </is>
      </c>
      <c r="E95" s="15" t="n"/>
      <c r="F95" s="10">
        <f>SUM(F94, G94, H94)</f>
        <v/>
      </c>
      <c r="G95" s="19" t="n"/>
      <c r="H95" s="20" t="n"/>
      <c r="I95" s="11">
        <f>SUM(I94, J94, K94)</f>
        <v/>
      </c>
      <c r="J95" s="21" t="n"/>
      <c r="K95" s="22" t="n"/>
      <c r="L95" s="23" t="n"/>
      <c r="M95" s="24" t="n"/>
      <c r="N95" s="25" t="n"/>
    </row>
    <row r="97">
      <c r="C97" s="4" t="inlineStr">
        <is>
          <t>BLOQUE 9</t>
        </is>
      </c>
      <c r="D97" s="4" t="inlineStr">
        <is>
          <t>SUBESTACIÓN</t>
        </is>
      </c>
      <c r="E97" s="4" t="inlineStr">
        <is>
          <t>PRIMARIOS A DESCONECTAR</t>
        </is>
      </c>
      <c r="F97" s="4" t="inlineStr">
        <is>
          <t># CLIENTES</t>
        </is>
      </c>
      <c r="G97" s="5" t="n"/>
      <c r="H97" s="6" t="n"/>
      <c r="I97" s="4" t="inlineStr">
        <is>
          <t>DEMANDA PROMEDIO DE LOS PERIODOS (MWh)</t>
        </is>
      </c>
      <c r="J97" s="5" t="n"/>
      <c r="K97" s="6" t="n"/>
      <c r="L97" s="4" t="inlineStr">
        <is>
          <t>PROVINCIA</t>
        </is>
      </c>
      <c r="M97" s="4" t="inlineStr">
        <is>
          <t>CANTON</t>
        </is>
      </c>
      <c r="N97" s="4" t="inlineStr">
        <is>
          <t>SECTORES</t>
        </is>
      </c>
    </row>
    <row r="98">
      <c r="C98" s="2" t="n"/>
      <c r="D98" s="2" t="n"/>
      <c r="E98" s="2" t="n"/>
      <c r="F98" s="4" t="inlineStr">
        <is>
          <t>RESIDENCIAL</t>
        </is>
      </c>
      <c r="G98" s="4" t="inlineStr">
        <is>
          <t>INDUSTRIAL</t>
        </is>
      </c>
      <c r="H98" s="4" t="inlineStr">
        <is>
          <t>COMERCIAL</t>
        </is>
      </c>
      <c r="I98" s="4" t="inlineStr">
        <is>
          <t>RESIDENCIAL</t>
        </is>
      </c>
      <c r="J98" s="4" t="inlineStr">
        <is>
          <t>INDUSTRIAL</t>
        </is>
      </c>
      <c r="K98" s="4" t="inlineStr">
        <is>
          <t>COMERCIAL</t>
        </is>
      </c>
      <c r="L98" s="2" t="n"/>
      <c r="M98" s="2" t="n"/>
      <c r="N98" s="2" t="n"/>
    </row>
    <row r="99">
      <c r="C99" s="7" t="inlineStr">
        <is>
          <t>06:00:00-12:00:00 16:00:00-20:00:00</t>
        </is>
      </c>
      <c r="D99" s="8" t="n">
        <v>1</v>
      </c>
      <c r="E99" s="9" t="inlineStr">
        <is>
          <t>0103/CABECERA</t>
        </is>
      </c>
      <c r="F99" s="10" t="n">
        <v>1245</v>
      </c>
      <c r="G99" s="10" t="n">
        <v>22</v>
      </c>
      <c r="H99" s="10" t="n">
        <v>937</v>
      </c>
      <c r="I99" s="11">
        <f>0.355206632315921*10.0*0.638691859893799</f>
        <v/>
      </c>
      <c r="J99" s="11">
        <f>0.0154275187438766*10.0*0.638691859893799</f>
        <v/>
      </c>
      <c r="K99" s="11">
        <f>0.629365848940203*10.0*0.638691859893799</f>
        <v/>
      </c>
      <c r="L99" s="9" t="inlineStr">
        <is>
          <t>AZUAY</t>
        </is>
      </c>
      <c r="M99" s="9" t="inlineStr">
        <is>
          <t>CUENCA</t>
        </is>
      </c>
      <c r="N99" s="12" t="inlineStr">
        <is>
          <t>VEGA MUÑOZ ENTRE GENERAL TORRES Y BENIGNO MALO, SANGURIMA ENTRE JUAN MONTALVO Y BENIGNO MALO, GRAN COLOMBIA ENTRE ESTÉVEZ DE TORAL Y BENIGNO MALO, LAMAR ENTRE JUAN MONTALVO Y LUIS CORDERO,BOLÍVAR ENTRE TARQUI Y JUAN MONTALVO</t>
        </is>
      </c>
    </row>
    <row r="100">
      <c r="C100" s="13" t="n"/>
      <c r="D100" s="8" t="n">
        <v>12</v>
      </c>
      <c r="E100" s="9" t="inlineStr">
        <is>
          <t>1222/CABECERA</t>
        </is>
      </c>
      <c r="F100" s="10" t="n">
        <v>1504</v>
      </c>
      <c r="G100" s="10" t="n">
        <v>16</v>
      </c>
      <c r="H100" s="10" t="n">
        <v>98</v>
      </c>
      <c r="I100" s="11">
        <f>0.502427778770044*10.0*0.958055</f>
        <v/>
      </c>
      <c r="J100" s="11">
        <f>0.352897294284509*10.0*0.958055</f>
        <v/>
      </c>
      <c r="K100" s="11">
        <f>0.144674926945447*10.0*0.958055</f>
        <v/>
      </c>
      <c r="L100" s="9" t="inlineStr">
        <is>
          <t>AZUAY</t>
        </is>
      </c>
      <c r="M100" s="9" t="inlineStr">
        <is>
          <t>PAUTE</t>
        </is>
      </c>
      <c r="N100" s="12" t="inlineStr">
        <is>
          <t>LUGMAMPAMBA, PUENTE EUROPA, CHICTICAY, LA JOSEFINA, EL CABO, ZHUMIR, PAUTE, DUG DUG, TOMEBAMBA, GUARAINAG, AMALUZA, SUMAG, TUNTAG, LLAMACONJURUPILLOS OSOHUAYCO, PARTE DE PALMAS GUARUMALES SECTOR ESTADIO, SECTOR LA PLAYA .</t>
        </is>
      </c>
    </row>
    <row r="101">
      <c r="C101" s="13" t="n"/>
      <c r="D101" s="8" t="n">
        <v>14</v>
      </c>
      <c r="E101" s="9" t="inlineStr">
        <is>
          <t>1421/CABECERA</t>
        </is>
      </c>
      <c r="F101" s="10" t="n">
        <v>2965</v>
      </c>
      <c r="G101" s="10" t="n">
        <v>28</v>
      </c>
      <c r="H101" s="10" t="n">
        <v>296</v>
      </c>
      <c r="I101" s="11">
        <f>0.726921652509307*10.0*2.31350666666667</f>
        <v/>
      </c>
      <c r="J101" s="11">
        <f>0.089830790203674*10.0*2.31350666666667</f>
        <v/>
      </c>
      <c r="K101" s="11">
        <f>0.183247557287019*10.0*2.31350666666667</f>
        <v/>
      </c>
      <c r="L101" s="9" t="inlineStr">
        <is>
          <t>AZUAY</t>
        </is>
      </c>
      <c r="M101" s="9" t="inlineStr">
        <is>
          <t>SANTA ISABEL</t>
        </is>
      </c>
      <c r="N101" s="12" t="inlineStr">
        <is>
          <t>SANTA ISABEL CENTRO, TOBACHIRÍ, SAN ANTONIO, EL PORTÓN, PARQUE EXTREMO, CATAVIÑA, LA ATALAYA, LA UNIÓN, PORTOVELO, QUILLOSISA, VÍA GIRÓN PASAJE, ESTRELLAS DE SUR, GUABOPAMBA, CERCALOMA, PATAPATA, LACAY, EL RAMAL, SULUPALI, JUBONES, PEÑA BLANCA, AZHIDEL, PUENTE LOMA, TUGULA, DANDAN, EL TABLÓN, MINAS DE HUASCACHACA, SUMAIPAMBA, SAN SEBASTIÁN DE YÚLUC.</t>
        </is>
      </c>
    </row>
    <row r="102">
      <c r="C102" s="13" t="n"/>
      <c r="D102" s="8" t="n">
        <v>14</v>
      </c>
      <c r="E102" s="9" t="inlineStr">
        <is>
          <t>1425/CABECERA</t>
        </is>
      </c>
      <c r="F102" s="10" t="n">
        <v>1157</v>
      </c>
      <c r="G102" s="10" t="n">
        <v>29</v>
      </c>
      <c r="H102" s="10" t="n">
        <v>178</v>
      </c>
      <c r="I102" s="11">
        <f>0.616485253300172*10.0*0.414485000000001</f>
        <v/>
      </c>
      <c r="J102" s="11">
        <f>0.0683692010620058*10.0*0.414485000000001</f>
        <v/>
      </c>
      <c r="K102" s="11">
        <f>0.315145545637823*10.0*0.414485000000001</f>
        <v/>
      </c>
      <c r="L102" s="9" t="inlineStr">
        <is>
          <t>AZUAY</t>
        </is>
      </c>
      <c r="M102" s="9" t="inlineStr">
        <is>
          <t>OÑA / SANTA ISABEL</t>
        </is>
      </c>
      <c r="N102" s="12" t="inlineStr">
        <is>
          <t>RIRCAY, YARITZAGUA, EL MOLINO, SANTA ROSA, EL PROGRESO, PORTETILLO, LA CRÍA, SAN ISIDRO, CORRALEJA,  SUSUDEL, YUNGUILLAPAMBA, OÑA CENTRO, EL TABLÓN.</t>
        </is>
      </c>
    </row>
    <row r="103">
      <c r="C103" s="13" t="n"/>
      <c r="D103" s="8" t="n">
        <v>15</v>
      </c>
      <c r="E103" s="9" t="inlineStr">
        <is>
          <t>1521/CABECERA</t>
        </is>
      </c>
      <c r="F103" s="10" t="n">
        <v>4261</v>
      </c>
      <c r="G103" s="10" t="n">
        <v>24</v>
      </c>
      <c r="H103" s="10" t="n">
        <v>320</v>
      </c>
      <c r="I103" s="11">
        <f>0.78095091393233*10.0*0.497175</f>
        <v/>
      </c>
      <c r="J103" s="11">
        <f>0.0197738774485623*10.0*0.497175</f>
        <v/>
      </c>
      <c r="K103" s="11">
        <f>0.199275208619108*10.0*0.497175</f>
        <v/>
      </c>
      <c r="L103" s="9" t="inlineStr">
        <is>
          <t>AZUAY</t>
        </is>
      </c>
      <c r="M103" s="9" t="inlineStr">
        <is>
          <t>SIGSIG</t>
        </is>
      </c>
      <c r="N103" s="12" t="inlineStr">
        <is>
          <t>GUALACEO: (NALLIG, UZHAR, SAN LUIS, DUNDLA, SAN JUAN, SARACTAR, LA TRANCA, SAN MIGUEL, SAN ANTONIO, VÍA GUALACEO SAN JUAN.)   SÍGSIG: (YAGUARSOL, SIGSIGLLANO, SIPTA, LA UNIÓN, DELEGSOL, SORCHE, SUGUNSORCHE, GUANÑA, TIGAPALI PANZHA, TULTUL, PAMARCHACRIN, CHININ, CRUZ LOMA, PIQUETES, ALGARROBOS, ZHIMBRUG, PEÑAS BLANCAS, PIBLIA, PITAGMA, AV. MARÍA AUXILIADORA, AV. HÉROES DEL CENEPA, AV. KENNEDY, CALLE RESTAURACIÓN, ZHINGATE, BARRIO PEDERNAL, CINCO ESQUINAS, VÍA AL ORIENTE, MERCADO MUNICIPAL, HOSPITAL MUNICIPAL, CALLE GARCÍA MORENO, CALLE GONZÁLEZ SUÁREZ, CALLE IGNACIO ARCENTALES, ROSAS, VÍA A DACTE, PUEBLO VIEJO, CALLANCAY, ZHIPIR, ZHUZHU, TASQUI, PARROQUIA CUTCIL, CEBADILLAS, ALTARHURCO, CHURUCO, NARIG, CHOBSI, TULLUPAMBA, PUCUNDEL, GUTÚN, SAN ANTONIO DE JACARCAR, PINGLLO, SARAR, BUENAVISTA, LOMA LARGA, VIRGENPAMBA, LUDO, HATOBOLO, LA DOLOROSA, CAZHAPUGRO, SERRAG, YARIGUIÑA ) GUALAQUIZA: (GRANADILLAS, TENDALES, SANGURIMA, PARROQUIA CHIGUINDA, PARROQUIA BERMEJOS, SAN MARTÍN, EL BOLICHE).</t>
        </is>
      </c>
    </row>
    <row r="104">
      <c r="C104" s="13" t="n"/>
      <c r="D104" s="8" t="n">
        <v>17</v>
      </c>
      <c r="E104" s="9" t="inlineStr">
        <is>
          <t>1722/CABECERA</t>
        </is>
      </c>
      <c r="F104" s="10" t="n">
        <v>1969</v>
      </c>
      <c r="G104" s="10" t="n">
        <v>17</v>
      </c>
      <c r="H104" s="10" t="n">
        <v>121</v>
      </c>
      <c r="I104" s="11">
        <f>0.789923343166621*10.0*0.381171009838581</f>
        <v/>
      </c>
      <c r="J104" s="11">
        <f>0.074331201980188*10.0*0.381171009838581</f>
        <v/>
      </c>
      <c r="K104" s="11">
        <f>0.135745454853191*10.0*0.381171009838581</f>
        <v/>
      </c>
      <c r="L104" s="9" t="inlineStr">
        <is>
          <t>AZUAY</t>
        </is>
      </c>
      <c r="M104" s="9" t="inlineStr">
        <is>
          <t>CUENCA</t>
        </is>
      </c>
      <c r="N104" s="12" t="inlineStr">
        <is>
          <t>ORDÓÑEZ LASSO, CAMINO DEL TEJAR, LAS PENCAS.</t>
        </is>
      </c>
    </row>
    <row r="105">
      <c r="C105" s="13" t="n"/>
      <c r="D105" s="8" t="n">
        <v>18</v>
      </c>
      <c r="E105" s="9" t="inlineStr">
        <is>
          <t>1821/CABECERA</t>
        </is>
      </c>
      <c r="F105" s="10" t="n">
        <v>2083</v>
      </c>
      <c r="G105" s="10" t="n">
        <v>6</v>
      </c>
      <c r="H105" s="10" t="n">
        <v>92</v>
      </c>
      <c r="I105" s="11">
        <f>0.699981761055295*10.0*0.823905000000001</f>
        <v/>
      </c>
      <c r="J105" s="11">
        <f>0.0458063757800946*10.0*0.823905000000001</f>
        <v/>
      </c>
      <c r="K105" s="11">
        <f>0.25421186316461*10.0*0.823905000000001</f>
        <v/>
      </c>
      <c r="L105" s="9" t="inlineStr">
        <is>
          <t>CAÑAR</t>
        </is>
      </c>
      <c r="M105" s="9" t="inlineStr">
        <is>
          <t>CAÑAR</t>
        </is>
      </c>
      <c r="N105" s="12" t="inlineStr">
        <is>
          <t>INGANILLA, YANACARI CRUZ, CHUGUÍN GRANDE, INGAPIRCA, SISID CHICO, SISID, HACIENDA SANTA CLARA, CAJÓN TAMBO, INGA, TINDICUCHA, MASANQUE, SAN PEDRO DE CURIQUINGUE, ATUHUAYCU, GALLO RUMI, SAN PEDRO INGAPIRCA, PUCARSOL, LA CAPILLA, TRETÓN, MOLOBOG CHICO, CITACAR, CHOROCOPTE, GUAYRAPUNGO, SAN JOSÉ, HONORATO VÁSQUEZ, TAMBO VIEJO, PUCARÁ INGAPIRCA, ATO DE LA VIRGEN.</t>
        </is>
      </c>
    </row>
    <row r="106">
      <c r="C106" s="13" t="n"/>
      <c r="D106" s="8" t="n">
        <v>21</v>
      </c>
      <c r="E106" s="9" t="inlineStr">
        <is>
          <t>2125/CABECERA</t>
        </is>
      </c>
      <c r="F106" s="10" t="n">
        <v>1823</v>
      </c>
      <c r="G106" s="10" t="n">
        <v>24</v>
      </c>
      <c r="H106" s="10" t="n">
        <v>921</v>
      </c>
      <c r="I106" s="11">
        <f>0.41067792947462*10.0*1.26485</f>
        <v/>
      </c>
      <c r="J106" s="11">
        <f>0.0120124842313943*10.0*1.26485</f>
        <v/>
      </c>
      <c r="K106" s="11">
        <f>0.577309586293985*10.0*1.26485</f>
        <v/>
      </c>
      <c r="L106" s="9" t="inlineStr">
        <is>
          <t>MORONA SANTIAGO</t>
        </is>
      </c>
      <c r="M106" s="9" t="inlineStr">
        <is>
          <t>MORONA</t>
        </is>
      </c>
      <c r="N106" s="12" t="inlineStr">
        <is>
          <t>BARRIO EL ROSARIO, DESDE LA CALLE HERMITA AL NORTE, AV. 29 DE MAYO DESDE EL PUENTE DEL JURUMBAINO HASTA EL REDONDEL DE LOS MACABEOS, POLICÍA NACIONAL, SECTOR DE LA EMPRESA ELÉCTRICA, BARRIO 27 DE FEBRERO (DESDE LA CALLE BENJAMÍN DELGADO, EXCEPTO LAS CALLES INCA ATAHUALPA Y GENERAL RUMIÑAHUI), COLEGIO 27 DE FEBRERO, AV. JAIME ROLDÓS AGUILERA, ECU 911, BARRIO LA UNIÓN, REGISTRO CIVIL DE MACAS, CALLE FRANCISCO FLOR, DEFENSORÍA DEL PUEBLO, SECTOR PARQUE DEL NIÑO, UNIVERSIDAD CATÓLICA SEDE MACAS, JUAN DE SALINAS DESDE LA AV. 29 DE MAYO HASTA LA SOASTI, GOBERNACIÓN DE MORONA SANTIAGO, KIRUBA (DESDE LA AV. 29 DE MAYO HASTA LA SOASTI), JUAN DE LA CRUZ (DESDE LA GUAMOTE HASTA LA 24 DE MAYO), AV. AMAZONAS, AV. SOASTI, SECTOR MERCADO CENTRAL DE MACAS, CENTRO COMERCIAL TÍA, CALLE GUAMOTE, CALLE TARQUI (DESDE LA SOASTI HASTA LA GUAMOTE), DIRECCIÓN DE AVIACIÓN CIVIL (AEROPUERTO),  CALLE QUITO, SECTOR DEL COLISEO LA LOMA, CHAKUAP, COMUNIDAD SALESIANA DE MACAS, 9 DE OCTUBRE (DESDE CALLE RIOBAMBA HASTA RAFAEL RIVADENEIRA, LAS SIGUIENTES CALLES DESDE LA 24 DE MAYO HASTA LA AMAZONAS (SUCRE, CUENCA, 5 DE AGOSTO, RIOBAMBA), CALLE HERNANDO DE BENAVENTE, SECTOR ESCUELA ELOY ALFARO, COLEGIO MACAS, BARRIO TINGUICHACHA (DESDE LA CALLE PADRE JUAN VIGNA HASTA LA CALLE CATALINA VILLAREAL).</t>
        </is>
      </c>
    </row>
    <row r="107">
      <c r="C107" s="13" t="n"/>
      <c r="D107" s="8" t="n">
        <v>50</v>
      </c>
      <c r="E107" s="9" t="inlineStr">
        <is>
          <t>5016/CABECERA</t>
        </is>
      </c>
      <c r="F107" s="10" t="n">
        <v>2254</v>
      </c>
      <c r="G107" s="10" t="n">
        <v>8</v>
      </c>
      <c r="H107" s="10" t="n">
        <v>214</v>
      </c>
      <c r="I107" s="11">
        <f>0.609861770492238*10.0*0.888873933493296</f>
        <v/>
      </c>
      <c r="J107" s="11">
        <f>0.194080550073198*10.0*0.888873933493296</f>
        <v/>
      </c>
      <c r="K107" s="11">
        <f>0.196057679434564*10.0*0.888873933493296</f>
        <v/>
      </c>
      <c r="L107" s="9" t="inlineStr">
        <is>
          <t>CAÑAR</t>
        </is>
      </c>
      <c r="M107" s="9" t="inlineStr">
        <is>
          <t>LA TRONCAL</t>
        </is>
      </c>
      <c r="N107" s="12" t="inlineStr">
        <is>
          <t>CASA PARA TODOS, PASO LATERAL, EL DORADO, HUERTOS FAMILIARES, COCHANCAY, COPALILLOS, LA DELICIA, EL AMARILLAL.</t>
        </is>
      </c>
    </row>
    <row r="108">
      <c r="C108" s="13" t="n"/>
      <c r="D108" s="14" t="inlineStr">
        <is>
          <t>TOTALES PARCIALES:</t>
        </is>
      </c>
      <c r="E108" s="15" t="n"/>
      <c r="F108" s="10">
        <f>SUM(F99:F107)</f>
        <v/>
      </c>
      <c r="G108" s="10">
        <f>SUM(G99:G107)</f>
        <v/>
      </c>
      <c r="H108" s="10">
        <f>SUM(H99:H107)</f>
        <v/>
      </c>
      <c r="I108" s="11">
        <f>SUM(I99:I107)</f>
        <v/>
      </c>
      <c r="J108" s="11">
        <f>SUM(J99:J107)</f>
        <v/>
      </c>
      <c r="K108" s="11">
        <f>SUM(K99:K107)</f>
        <v/>
      </c>
      <c r="L108" s="9" t="n"/>
      <c r="M108" s="16" t="n"/>
      <c r="N108" s="17" t="n"/>
    </row>
    <row r="109">
      <c r="C109" s="18" t="n"/>
      <c r="D109" s="14" t="inlineStr">
        <is>
          <t>TOTAL:</t>
        </is>
      </c>
      <c r="E109" s="15" t="n"/>
      <c r="F109" s="10">
        <f>SUM(F108, G108, H108)</f>
        <v/>
      </c>
      <c r="G109" s="19" t="n"/>
      <c r="H109" s="20" t="n"/>
      <c r="I109" s="11">
        <f>SUM(I108, J108, K108)</f>
        <v/>
      </c>
      <c r="J109" s="21" t="n"/>
      <c r="K109" s="22" t="n"/>
      <c r="L109" s="23" t="n"/>
      <c r="M109" s="24" t="n"/>
      <c r="N109" s="25" t="n"/>
    </row>
    <row r="111">
      <c r="C111" s="4" t="inlineStr">
        <is>
          <t>BLOQUE 10</t>
        </is>
      </c>
      <c r="D111" s="4" t="inlineStr">
        <is>
          <t>SUBESTACIÓN</t>
        </is>
      </c>
      <c r="E111" s="4" t="inlineStr">
        <is>
          <t>PRIMARIOS A DESCONECTAR</t>
        </is>
      </c>
      <c r="F111" s="4" t="inlineStr">
        <is>
          <t># CLIENTES</t>
        </is>
      </c>
      <c r="G111" s="5" t="n"/>
      <c r="H111" s="6" t="n"/>
      <c r="I111" s="4" t="inlineStr">
        <is>
          <t>DEMANDA PROMEDIO DE LOS PERIODOS (MWh)</t>
        </is>
      </c>
      <c r="J111" s="5" t="n"/>
      <c r="K111" s="6" t="n"/>
      <c r="L111" s="4" t="inlineStr">
        <is>
          <t>PROVINCIA</t>
        </is>
      </c>
      <c r="M111" s="4" t="inlineStr">
        <is>
          <t>CANTON</t>
        </is>
      </c>
      <c r="N111" s="4" t="inlineStr">
        <is>
          <t>SECTORES</t>
        </is>
      </c>
    </row>
    <row r="112">
      <c r="C112" s="2" t="n"/>
      <c r="D112" s="2" t="n"/>
      <c r="E112" s="2" t="n"/>
      <c r="F112" s="4" t="inlineStr">
        <is>
          <t>RESIDENCIAL</t>
        </is>
      </c>
      <c r="G112" s="4" t="inlineStr">
        <is>
          <t>INDUSTRIAL</t>
        </is>
      </c>
      <c r="H112" s="4" t="inlineStr">
        <is>
          <t>COMERCIAL</t>
        </is>
      </c>
      <c r="I112" s="4" t="inlineStr">
        <is>
          <t>RESIDENCIAL</t>
        </is>
      </c>
      <c r="J112" s="4" t="inlineStr">
        <is>
          <t>INDUSTRIAL</t>
        </is>
      </c>
      <c r="K112" s="4" t="inlineStr">
        <is>
          <t>COMERCIAL</t>
        </is>
      </c>
      <c r="L112" s="2" t="n"/>
      <c r="M112" s="2" t="n"/>
      <c r="N112" s="2" t="n"/>
    </row>
    <row r="113">
      <c r="C113" s="7" t="inlineStr">
        <is>
          <t>09:00:00-14:00:00 18:00:00-23:00:00</t>
        </is>
      </c>
      <c r="D113" s="8" t="n">
        <v>1</v>
      </c>
      <c r="E113" s="9" t="inlineStr">
        <is>
          <t>0104/CABECERA</t>
        </is>
      </c>
      <c r="F113" s="10" t="n">
        <v>3006</v>
      </c>
      <c r="G113" s="10" t="n">
        <v>62</v>
      </c>
      <c r="H113" s="10" t="n">
        <v>365</v>
      </c>
      <c r="I113" s="11">
        <f>0.579831537139662*10.0*1.48944966906738</f>
        <v/>
      </c>
      <c r="J113" s="11">
        <f>0.109251544447873*10.0*1.48944966906738</f>
        <v/>
      </c>
      <c r="K113" s="11">
        <f>0.310916918412465*10.0*1.48944966906738</f>
        <v/>
      </c>
      <c r="L113" s="9" t="inlineStr">
        <is>
          <t>AZUAY</t>
        </is>
      </c>
      <c r="M113" s="9" t="inlineStr">
        <is>
          <t>CUENCA</t>
        </is>
      </c>
      <c r="N113" s="12" t="inlineStr">
        <is>
          <t>HÉROES DE VERDELOMA ENTRE TARQUI Y TOMÁS ORDÓÑEZ, TERCERA ZONA MILITAR, ALBERTO MUÑOZ VERNAZA ENTRE CORONEL TALBOT Y TOMÁS ORDÓÑEZ, RAFAEL MARÍA ARÍZAGA ENTRE OCTAVIO CORDERO PALACIOS Y LUIS CORDERO, PÍO BRAVO ENTRE MIGUEL VELEZ Y BENIGNO MALO, VEGA MUÑOZ ENTRE GASPAR SANGURIMA Y BENIGNO MALO, SANGURIMA ENTRE DANIEL ALVARADO Y ESTÉVEZ DE TORAL.</t>
        </is>
      </c>
    </row>
    <row r="114">
      <c r="C114" s="13" t="n"/>
      <c r="D114" s="8" t="n">
        <v>2</v>
      </c>
      <c r="E114" s="9" t="inlineStr">
        <is>
          <t>0201/CABECERA</t>
        </is>
      </c>
      <c r="F114" s="10" t="n">
        <v>1499</v>
      </c>
      <c r="G114" s="10" t="n">
        <v>18</v>
      </c>
      <c r="H114" s="10" t="n">
        <v>634</v>
      </c>
      <c r="I114" s="11">
        <f>0.367031587347678*10.0*0.890494</f>
        <v/>
      </c>
      <c r="J114" s="11">
        <f>0.0120540944935901*10.0*0.890494</f>
        <v/>
      </c>
      <c r="K114" s="11">
        <f>0.620914318158732*10.0*0.890494</f>
        <v/>
      </c>
      <c r="L114" s="9" t="inlineStr">
        <is>
          <t>AZUAY</t>
        </is>
      </c>
      <c r="M114" s="9" t="inlineStr">
        <is>
          <t>CUENCA</t>
        </is>
      </c>
      <c r="N114" s="12" t="inlineStr">
        <is>
          <t>CALLE LARGA ENTRE BENIGNO MALO Y AV. HUAYNA CÁPAC, CALLE ALFONSO JERVES ENTRE TOMÁS ORDÓÑEZ Y AV. HUYNA CÁPAC, HONORATO VÁSQUEZ ENTRE LA TOMÁS ORDÓÑEZ Y AV. HUAYNA CÁPAC, JUAN JARAMILLO ENTRE VARGAS MACHUCA Y AV. HUYNA CÁPAC, SUCRE ENTRE HERMANO MIGUEL Y AV. HUYNA CÁPAC, TOMÁS ORDÓÑEZ ENTRE LARGA Y SIMÓN BOLÍVAR,  MANUEL VEGA ENTRE LARGA Y PRESIDENTE CÓRDOVA, PARQUE SAN BLAS.</t>
        </is>
      </c>
    </row>
    <row r="115">
      <c r="C115" s="13" t="n"/>
      <c r="D115" s="8" t="n">
        <v>21</v>
      </c>
      <c r="E115" s="9" t="inlineStr">
        <is>
          <t>2122/RECONECTADOR MECANICA MUNICIPAL</t>
        </is>
      </c>
      <c r="F115" s="10" t="n">
        <v>768</v>
      </c>
      <c r="G115" s="10" t="n">
        <v>7</v>
      </c>
      <c r="H115" s="10" t="n">
        <v>98</v>
      </c>
      <c r="I115" s="11">
        <f>0.668401623322799*10.0*0.257556</f>
        <v/>
      </c>
      <c r="J115" s="11">
        <f>0.00731147788241358*10.0*0.257556</f>
        <v/>
      </c>
      <c r="K115" s="11">
        <f>0.324286898794788*10.0*0.257556</f>
        <v/>
      </c>
      <c r="L115" s="9" t="inlineStr">
        <is>
          <t>MORONA SANTIAGO</t>
        </is>
      </c>
      <c r="M115" s="9" t="inlineStr">
        <is>
          <t>MORONA</t>
        </is>
      </c>
      <c r="N115" s="12" t="inlineStr">
        <is>
          <t>CALLE 13 DE ABRIL, EL PALACIO DEL NIÑO (CEFAS), SECTOR POLIDEPORTIVO, BARRIO 13 DE ABRIL, SECTOR CORTE DE JUSTICIA, ESTADIO DE GENERAL PROAÑO, GENERAL PROAÑO (DESDE LA JUNTA PARROQUIAL DE PROAÑO, HASTA EL REDONDEL A JIMBITONO), JIMBITONO, TANQUES DE AGUA DE JIMBITONO, 9 DE OCTUBRE, ZUÑAC.</t>
        </is>
      </c>
    </row>
    <row r="116">
      <c r="C116" s="13" t="n"/>
      <c r="D116" s="8" t="n">
        <v>22</v>
      </c>
      <c r="E116" s="9" t="inlineStr">
        <is>
          <t>2212/CABECERA</t>
        </is>
      </c>
      <c r="F116" s="10" t="n">
        <v>875</v>
      </c>
      <c r="G116" s="10" t="n">
        <v>10</v>
      </c>
      <c r="H116" s="10" t="n">
        <v>238</v>
      </c>
      <c r="I116" s="11">
        <f>0.550954154253714*10.0*0.580334</f>
        <v/>
      </c>
      <c r="J116" s="11">
        <f>0.0168629071034814*10.0*0.580334</f>
        <v/>
      </c>
      <c r="K116" s="11">
        <f>0.432182938642805*10.0*0.580334</f>
        <v/>
      </c>
      <c r="L116" s="9" t="inlineStr">
        <is>
          <t>MORONA SANTIAGO</t>
        </is>
      </c>
      <c r="M116" s="9" t="inlineStr">
        <is>
          <t>SANTIAGO DE MÉNDEZ</t>
        </is>
      </c>
      <c r="N116" s="12" t="inlineStr">
        <is>
          <t>MÉNDEZ, COPAL, CHUPIANZA.</t>
        </is>
      </c>
    </row>
    <row r="117">
      <c r="C117" s="13" t="n"/>
      <c r="D117" s="8" t="n">
        <v>50</v>
      </c>
      <c r="E117" s="9" t="inlineStr">
        <is>
          <t>5013/RECONECT: ALFONSO ANDRADE</t>
        </is>
      </c>
      <c r="F117" s="10" t="n">
        <v>1880</v>
      </c>
      <c r="G117" s="10" t="n">
        <v>8</v>
      </c>
      <c r="H117" s="10" t="n">
        <v>358</v>
      </c>
      <c r="I117" s="11">
        <f>0.645826853472821*10.0*0.675577479035751</f>
        <v/>
      </c>
      <c r="J117" s="11">
        <f>0.0506584439363633*10.0*0.675577479035751</f>
        <v/>
      </c>
      <c r="K117" s="11">
        <f>0.303514702590815*10.0*0.675577479035751</f>
        <v/>
      </c>
      <c r="L117" s="9" t="inlineStr">
        <is>
          <t>CAÑAR</t>
        </is>
      </c>
      <c r="M117" s="9" t="inlineStr">
        <is>
          <t>LA TROCAL</t>
        </is>
      </c>
      <c r="N117" s="12" t="inlineStr">
        <is>
          <t>ZONA SUR COMERCIAL DE LA TRONCAL, CALLES GUAYAS, MANABI, LOS RIOS, ESMERALDAS, LAS AMÉRICAS, 16 ESTE, 17 ESTE, 18 ESTE</t>
        </is>
      </c>
    </row>
    <row r="118">
      <c r="C118" s="13" t="n"/>
      <c r="D118" s="14" t="inlineStr">
        <is>
          <t>TOTALES PARCIALES:</t>
        </is>
      </c>
      <c r="E118" s="15" t="n"/>
      <c r="F118" s="10">
        <f>SUM(F113:F117)</f>
        <v/>
      </c>
      <c r="G118" s="10">
        <f>SUM(G113:G117)</f>
        <v/>
      </c>
      <c r="H118" s="10">
        <f>SUM(H113:H117)</f>
        <v/>
      </c>
      <c r="I118" s="11">
        <f>SUM(I113:I117)</f>
        <v/>
      </c>
      <c r="J118" s="11">
        <f>SUM(J113:J117)</f>
        <v/>
      </c>
      <c r="K118" s="11">
        <f>SUM(K113:K117)</f>
        <v/>
      </c>
      <c r="L118" s="9" t="n"/>
      <c r="M118" s="16" t="n"/>
      <c r="N118" s="17" t="n"/>
    </row>
    <row r="119">
      <c r="C119" s="18" t="n"/>
      <c r="D119" s="14" t="inlineStr">
        <is>
          <t>TOTAL:</t>
        </is>
      </c>
      <c r="E119" s="15" t="n"/>
      <c r="F119" s="10">
        <f>SUM(F118, G118, H118)</f>
        <v/>
      </c>
      <c r="G119" s="19" t="n"/>
      <c r="H119" s="20" t="n"/>
      <c r="I119" s="11">
        <f>SUM(I118, J118, K118)</f>
        <v/>
      </c>
      <c r="J119" s="21" t="n"/>
      <c r="K119" s="22" t="n"/>
      <c r="L119" s="23" t="n"/>
      <c r="M119" s="24" t="n"/>
      <c r="N119" s="25" t="n"/>
    </row>
    <row r="121">
      <c r="C121" s="4" t="inlineStr">
        <is>
          <t>BLOQUE 11</t>
        </is>
      </c>
      <c r="D121" s="4" t="inlineStr">
        <is>
          <t>SUBESTACIÓN</t>
        </is>
      </c>
      <c r="E121" s="4" t="inlineStr">
        <is>
          <t>PRIMARIOS A DESCONECTAR</t>
        </is>
      </c>
      <c r="F121" s="4" t="inlineStr">
        <is>
          <t># CLIENTES</t>
        </is>
      </c>
      <c r="G121" s="5" t="n"/>
      <c r="H121" s="6" t="n"/>
      <c r="I121" s="4" t="inlineStr">
        <is>
          <t>DEMANDA PROMEDIO DE LOS PERIODOS (MWh)</t>
        </is>
      </c>
      <c r="J121" s="5" t="n"/>
      <c r="K121" s="6" t="n"/>
      <c r="L121" s="4" t="inlineStr">
        <is>
          <t>PROVINCIA</t>
        </is>
      </c>
      <c r="M121" s="4" t="inlineStr">
        <is>
          <t>CANTON</t>
        </is>
      </c>
      <c r="N121" s="4" t="inlineStr">
        <is>
          <t>SECTORES</t>
        </is>
      </c>
    </row>
    <row r="122">
      <c r="C122" s="2" t="n"/>
      <c r="D122" s="2" t="n"/>
      <c r="E122" s="2" t="n"/>
      <c r="F122" s="4" t="inlineStr">
        <is>
          <t>RESIDENCIAL</t>
        </is>
      </c>
      <c r="G122" s="4" t="inlineStr">
        <is>
          <t>INDUSTRIAL</t>
        </is>
      </c>
      <c r="H122" s="4" t="inlineStr">
        <is>
          <t>COMERCIAL</t>
        </is>
      </c>
      <c r="I122" s="4" t="inlineStr">
        <is>
          <t>RESIDENCIAL</t>
        </is>
      </c>
      <c r="J122" s="4" t="inlineStr">
        <is>
          <t>INDUSTRIAL</t>
        </is>
      </c>
      <c r="K122" s="4" t="inlineStr">
        <is>
          <t>COMERCIAL</t>
        </is>
      </c>
      <c r="L122" s="2" t="n"/>
      <c r="M122" s="2" t="n"/>
      <c r="N122" s="2" t="n"/>
    </row>
    <row r="123">
      <c r="C123" s="7" t="inlineStr">
        <is>
          <t>10:00:00-15:00:00 19:00:00-00:00:00</t>
        </is>
      </c>
      <c r="D123" s="8" t="n">
        <v>2</v>
      </c>
      <c r="E123" s="9" t="inlineStr">
        <is>
          <t>0205/CABECERA</t>
        </is>
      </c>
      <c r="F123" s="10" t="n">
        <v>1456</v>
      </c>
      <c r="G123" s="10" t="n">
        <v>19</v>
      </c>
      <c r="H123" s="10" t="n">
        <v>626</v>
      </c>
      <c r="I123" s="11">
        <f>0.311972172089436*10.0*1.003506</f>
        <v/>
      </c>
      <c r="J123" s="11">
        <f>0.00707168953192914*10.0*1.003506</f>
        <v/>
      </c>
      <c r="K123" s="11">
        <f>0.680956138378635*10.0*1.003506</f>
        <v/>
      </c>
      <c r="L123" s="9" t="inlineStr">
        <is>
          <t>AZUAY</t>
        </is>
      </c>
      <c r="M123" s="9" t="inlineStr">
        <is>
          <t>CUENCA</t>
        </is>
      </c>
      <c r="N123" s="12" t="inlineStr">
        <is>
          <t>DOCE DE ABRIL ENTRE SOLANO Y EL ORO, AV. TRES DE NOVIEMBRE ENTRE LOJA Y SIMÓN BOLÍVAR, AV. LOJA ENTRE DOCE DE ABRIL Y REMIGIO TAMARIZ, AGUSTÍN CUEVA ENTRE DOCE DE ABRIL Y REMIGIO TAMARIZ, FEDERICO PROAÑO ENTRE DANIEL CÓRDOVA Y REMIGIO TAMARIZ, BENJAMÍN DE LA CADENA.</t>
        </is>
      </c>
    </row>
    <row r="124">
      <c r="C124" s="13" t="n"/>
      <c r="D124" s="8" t="n">
        <v>3</v>
      </c>
      <c r="E124" s="9" t="inlineStr">
        <is>
          <t>0323/CABECERA(SIN 10 DE AGOSTO)</t>
        </is>
      </c>
      <c r="F124" s="10" t="n">
        <v>1416</v>
      </c>
      <c r="G124" s="10" t="n">
        <v>12</v>
      </c>
      <c r="H124" s="10" t="n">
        <v>131</v>
      </c>
      <c r="I124" s="11">
        <f>0.367493911283192*10.0*1.12265925925926</f>
        <v/>
      </c>
      <c r="J124" s="11">
        <f>0.00707233229713688*10.0*1.12265925925926</f>
        <v/>
      </c>
      <c r="K124" s="11">
        <f>0.625433756419671*10.0*1.12265925925926</f>
        <v/>
      </c>
      <c r="L124" s="9" t="inlineStr">
        <is>
          <t>AZUAY</t>
        </is>
      </c>
      <c r="M124" s="9" t="inlineStr">
        <is>
          <t>CUENCA</t>
        </is>
      </c>
      <c r="N124" s="12" t="inlineStr">
        <is>
          <t>AV. 24 DE MAYO DESDE MAX UHLE HASTA REDONDEL GAPAL, AV. DIEZ DE AGOSTO DESDE EL PARQUE EL PARAISO HASTA EL REDONDEL DE ETAPA, LOS GERANIOS, CASA DE CHAGUARCHIMBANA, CALLE DAVID DIAZ, FASEC, CRA, PARQUE EL PARAISO, CIUDADELA CHAGUARCHIMBANA, CIUDADELA CASA PARA TODOS.</t>
        </is>
      </c>
    </row>
    <row r="125">
      <c r="C125" s="13" t="n"/>
      <c r="D125" s="8" t="n">
        <v>3</v>
      </c>
      <c r="E125" s="9" t="inlineStr">
        <is>
          <t>0325/CABECERA</t>
        </is>
      </c>
      <c r="F125" s="10" t="n">
        <v>4053</v>
      </c>
      <c r="G125" s="10" t="n">
        <v>106</v>
      </c>
      <c r="H125" s="10" t="n">
        <v>426</v>
      </c>
      <c r="I125" s="11">
        <f>0.659218580605221*10.0*2.58112</f>
        <v/>
      </c>
      <c r="J125" s="11">
        <f>0.0390106132271579*10.0*2.58112</f>
        <v/>
      </c>
      <c r="K125" s="11">
        <f>0.301770806167621*10.0*2.58112</f>
        <v/>
      </c>
      <c r="L125" s="9" t="inlineStr">
        <is>
          <t>AZUAY</t>
        </is>
      </c>
      <c r="M125" s="9" t="inlineStr">
        <is>
          <t>CUENCA</t>
        </is>
      </c>
      <c r="N125" s="12" t="inlineStr">
        <is>
          <t>HURTADO DE MENDOZA, CDLA. TOSI, CDLA. BANCO DE LA VIVIENDA, CENTRAL TELEFÓNICA ETAPA, YANAHURCO, RÍO CURARAY, FASAYÑÁN, SARAURCO, ALLCUQUIRO, BUERÁN, CORDILLERA, ANTISANA, PARQUE CURIQUINGA, AV. LOS ANDES, COMPLEJO TOTORACOCHA, PASEO MILCHICHIG, CALLES DEL CÓNDOR, DE LOS HUANCAVILCAS, YAGUARCOCHA, TOTORACOCHA, HUILA, PAN DE AZÚCAR, REVENTADOR, PASEO MILCHICHIG.</t>
        </is>
      </c>
    </row>
    <row r="126">
      <c r="C126" s="13" t="n"/>
      <c r="D126" s="8" t="n">
        <v>5</v>
      </c>
      <c r="E126" s="9" t="inlineStr">
        <is>
          <t>0525/CABECERA</t>
        </is>
      </c>
      <c r="F126" s="10" t="n">
        <v>5393</v>
      </c>
      <c r="G126" s="10" t="n">
        <v>71</v>
      </c>
      <c r="H126" s="10" t="n">
        <v>325</v>
      </c>
      <c r="I126" s="11">
        <f>0.781372359180689*10.0*2.30486</f>
        <v/>
      </c>
      <c r="J126" s="11">
        <f>0.0406288419548275*10.0*2.30486</f>
        <v/>
      </c>
      <c r="K126" s="11">
        <f>0.177998798864483*10.0*2.30486</f>
        <v/>
      </c>
      <c r="L126" s="9" t="inlineStr">
        <is>
          <t>AZUAY</t>
        </is>
      </c>
      <c r="M126" s="9" t="inlineStr">
        <is>
          <t>CUENCA</t>
        </is>
      </c>
      <c r="N126" s="12" t="inlineStr">
        <is>
          <t>CALLE ANTONIO LLORET, JUAN PIO MONTUFAR, DOS DE AGOSTO, JUAN LARREA GUERRERO, MANUELA CAÑIZARES, CANTON BUENA FE,  AV. RICARDO DURAN, BAÑOS CENTRO, UCHULOMA, SECTOR HUISHIL, MINAS DE BAÑOS, SUSTAG, SOLDADOS, TANGEO, PIMO, EL BARCO, SAN ANTONIO, SAN GABRIEL DE CHAUCHA, LA IBERIA, CARMEN DE PIJILÍ.</t>
        </is>
      </c>
    </row>
    <row r="127">
      <c r="C127" s="13" t="n"/>
      <c r="D127" s="8" t="n">
        <v>13</v>
      </c>
      <c r="E127" s="9" t="inlineStr">
        <is>
          <t>1323/CABECERA</t>
        </is>
      </c>
      <c r="F127" s="10" t="n">
        <v>5485</v>
      </c>
      <c r="G127" s="10" t="n">
        <v>50</v>
      </c>
      <c r="H127" s="10" t="n">
        <v>203</v>
      </c>
      <c r="I127" s="11">
        <f>0.653585971150715*10.0*1.4587821457386</f>
        <v/>
      </c>
      <c r="J127" s="11">
        <f>0.0967184399480474*10.0*1.4587821457386</f>
        <v/>
      </c>
      <c r="K127" s="11">
        <f>0.249695588901237*10.0*1.4587821457386</f>
        <v/>
      </c>
      <c r="L127" s="9" t="inlineStr">
        <is>
          <t>AZUAY</t>
        </is>
      </c>
      <c r="M127" s="9" t="inlineStr">
        <is>
          <t>CUENCA</t>
        </is>
      </c>
      <c r="N127" s="12" t="inlineStr">
        <is>
          <t>BELLAVISTA TARQUI, ESTACIÓN DE CUMBRE,SAN PEDRO DE ESCALERAS, LA MERCED CUMBE, VICTORIA DEL PORTETE, CHURUGUSHO, IRQUIS, SAN VICENTE DE ARRAYÁN, RODEO CUMBE, SIMBALO, UCURURRO, TIERRA BLANCA, GAÑADEL, TACADEL, VIOLA LA UNIÓN, JIMA, SAN JOSE DE RARANGA, LA ESMERALDA DE SAN JOSÉ DE RARANGA, CUSHING, MOYA, SAN MIGUEL DE CUYES, AMAZONAS</t>
        </is>
      </c>
    </row>
    <row r="128">
      <c r="C128" s="13" t="n"/>
      <c r="D128" s="8" t="n">
        <v>21</v>
      </c>
      <c r="E128" s="9" t="inlineStr">
        <is>
          <t>2123/RECONECT: ESC AMAZONAS</t>
        </is>
      </c>
      <c r="F128" s="10" t="n">
        <v>2962</v>
      </c>
      <c r="G128" s="10" t="n">
        <v>13</v>
      </c>
      <c r="H128" s="10" t="n">
        <v>239</v>
      </c>
      <c r="I128" s="11">
        <f>0.68830780885558*10.0*1.30541666666667</f>
        <v/>
      </c>
      <c r="J128" s="11">
        <f>0.00974340304977923*10.0*1.30541666666667</f>
        <v/>
      </c>
      <c r="K128" s="11">
        <f>0.301948788094641*10.0*1.30541666666667</f>
        <v/>
      </c>
      <c r="L128" s="9" t="inlineStr">
        <is>
          <t>MORONA SANTIAGO</t>
        </is>
      </c>
      <c r="M128" s="9" t="inlineStr">
        <is>
          <t>MORONA, TAISHA Y HUAMBOYA</t>
        </is>
      </c>
      <c r="N128" s="12" t="inlineStr">
        <is>
          <t>SANTA ANA, PARROQUIA SEVILLA DON BOSCO, ESCUELA DEL MILENIO, SAN LUIS DE IÑINQUIS, GUADALUPE</t>
        </is>
      </c>
    </row>
    <row r="129">
      <c r="C129" s="13" t="n"/>
      <c r="D129" s="14" t="inlineStr">
        <is>
          <t>TOTALES PARCIALES:</t>
        </is>
      </c>
      <c r="E129" s="15" t="n"/>
      <c r="F129" s="10">
        <f>SUM(F123:F128)</f>
        <v/>
      </c>
      <c r="G129" s="10">
        <f>SUM(G123:G128)</f>
        <v/>
      </c>
      <c r="H129" s="10">
        <f>SUM(H123:H128)</f>
        <v/>
      </c>
      <c r="I129" s="11">
        <f>SUM(I123:I128)</f>
        <v/>
      </c>
      <c r="J129" s="11">
        <f>SUM(J123:J128)</f>
        <v/>
      </c>
      <c r="K129" s="11">
        <f>SUM(K123:K128)</f>
        <v/>
      </c>
      <c r="L129" s="9" t="n"/>
      <c r="M129" s="16" t="n"/>
      <c r="N129" s="17" t="n"/>
    </row>
    <row r="130">
      <c r="C130" s="18" t="n"/>
      <c r="D130" s="14" t="inlineStr">
        <is>
          <t>TOTAL:</t>
        </is>
      </c>
      <c r="E130" s="15" t="n"/>
      <c r="F130" s="10">
        <f>SUM(F129, G129, H129)</f>
        <v/>
      </c>
      <c r="G130" s="19" t="n"/>
      <c r="H130" s="20" t="n"/>
      <c r="I130" s="11">
        <f>SUM(I129, J129, K129)</f>
        <v/>
      </c>
      <c r="J130" s="21" t="n"/>
      <c r="K130" s="22" t="n"/>
      <c r="L130" s="23" t="n"/>
      <c r="M130" s="24" t="n"/>
      <c r="N130" s="25" t="n"/>
    </row>
    <row r="132">
      <c r="C132" s="4" t="inlineStr">
        <is>
          <t>BLOQUE 12</t>
        </is>
      </c>
      <c r="D132" s="4" t="inlineStr">
        <is>
          <t>SUBESTACIÓN</t>
        </is>
      </c>
      <c r="E132" s="4" t="inlineStr">
        <is>
          <t>PRIMARIOS A DESCONECTAR</t>
        </is>
      </c>
      <c r="F132" s="4" t="inlineStr">
        <is>
          <t># CLIENTES</t>
        </is>
      </c>
      <c r="G132" s="5" t="n"/>
      <c r="H132" s="6" t="n"/>
      <c r="I132" s="4" t="inlineStr">
        <is>
          <t>DEMANDA PROMEDIO DE LOS PERIODOS (MWh)</t>
        </is>
      </c>
      <c r="J132" s="5" t="n"/>
      <c r="K132" s="6" t="n"/>
      <c r="L132" s="4" t="inlineStr">
        <is>
          <t>PROVINCIA</t>
        </is>
      </c>
      <c r="M132" s="4" t="inlineStr">
        <is>
          <t>CANTON</t>
        </is>
      </c>
      <c r="N132" s="4" t="inlineStr">
        <is>
          <t>SECTORES</t>
        </is>
      </c>
    </row>
    <row r="133">
      <c r="C133" s="2" t="n"/>
      <c r="D133" s="2" t="n"/>
      <c r="E133" s="2" t="n"/>
      <c r="F133" s="4" t="inlineStr">
        <is>
          <t>RESIDENCIAL</t>
        </is>
      </c>
      <c r="G133" s="4" t="inlineStr">
        <is>
          <t>INDUSTRIAL</t>
        </is>
      </c>
      <c r="H133" s="4" t="inlineStr">
        <is>
          <t>COMERCIAL</t>
        </is>
      </c>
      <c r="I133" s="4" t="inlineStr">
        <is>
          <t>RESIDENCIAL</t>
        </is>
      </c>
      <c r="J133" s="4" t="inlineStr">
        <is>
          <t>INDUSTRIAL</t>
        </is>
      </c>
      <c r="K133" s="4" t="inlineStr">
        <is>
          <t>COMERCIAL</t>
        </is>
      </c>
      <c r="L133" s="2" t="n"/>
      <c r="M133" s="2" t="n"/>
      <c r="N133" s="2" t="n"/>
    </row>
    <row r="134">
      <c r="C134" s="7" t="inlineStr">
        <is>
          <t>10:00:00-16:00:00 20:00:00-00:00:00</t>
        </is>
      </c>
      <c r="D134" s="8" t="n">
        <v>1</v>
      </c>
      <c r="E134" s="9" t="inlineStr">
        <is>
          <t>0101/CABECERA</t>
        </is>
      </c>
      <c r="F134" s="10" t="n">
        <v>2459</v>
      </c>
      <c r="G134" s="10" t="n">
        <v>46</v>
      </c>
      <c r="H134" s="10" t="n">
        <v>1371</v>
      </c>
      <c r="I134" s="11">
        <f>0.410872788755644*10.0*1.3910890814209</f>
        <v/>
      </c>
      <c r="J134" s="11">
        <f>0.0194072262238242*10.0*1.3910890814209</f>
        <v/>
      </c>
      <c r="K134" s="11">
        <f>0.569719985020532*10.0*1.3910890814209</f>
        <v/>
      </c>
      <c r="L134" s="9" t="inlineStr">
        <is>
          <t>AZUAY</t>
        </is>
      </c>
      <c r="M134" s="9" t="inlineStr">
        <is>
          <t>CUENCA</t>
        </is>
      </c>
      <c r="N134" s="12" t="inlineStr">
        <is>
          <t>CALLE PÍO BRAVO ENTRE LUIS CORDERO Y AV. HUAYNA CÁPAC, ANTONIO VEGA MUÑOZ ENTRE MARIANO CUEVA Y AV. HUAYNA CÁPAC, GASPAR SANGURIMA ENTRE HERMANO MIGUEL Y AV. HUAYNA CÁPAC, LAMAR ENTRE MARIANO CUEVA Y AV. HUAYNA CÁPAC, GRAN COLOMBIA ENTE MARIANO CUEVA Y AV. HUYANA CÁPAC, BOLÍVAR ENTRE MARIANO CUEVA Y VARGAS MACHUCA, MARIANO CUEVA ENTRE  SUCRE Y RAFAEL MARÍA ARÍZAGA, VARGAS MACHUCA ENTRE BOLÍVAR Y RAFAEL MARÍA ARÍZAGA, TOMÁS ORDÓÑEZ ENTRE GRAN COLOMBIA Y RAFAEL MARÍA ARÍZAGA, MANUEL VEGA DESDE LA BOLÍVAR HASTA RAFAEL MARÍA ARÍZAGA. MERCADO NUEVE DE OCTUBRE Y PLAZA ROTARY, CONSEJO PROVINCIAL.</t>
        </is>
      </c>
    </row>
    <row r="135">
      <c r="C135" s="13" t="n"/>
      <c r="D135" s="8" t="n">
        <v>2</v>
      </c>
      <c r="E135" s="9" t="inlineStr">
        <is>
          <t>0203/CABECERA</t>
        </is>
      </c>
      <c r="F135" s="10" t="n">
        <v>1341</v>
      </c>
      <c r="G135" s="10" t="n">
        <v>21</v>
      </c>
      <c r="H135" s="10" t="n">
        <v>1120</v>
      </c>
      <c r="I135" s="11">
        <f>0.28629013259863*10.0*1.11945166666667</f>
        <v/>
      </c>
      <c r="J135" s="11">
        <f>0.0172820886427456*10.0*1.11945166666667</f>
        <v/>
      </c>
      <c r="K135" s="11">
        <f>0.696427778758624*10.0*1.11945166666667</f>
        <v/>
      </c>
      <c r="L135" s="9" t="inlineStr">
        <is>
          <t>AZUAY</t>
        </is>
      </c>
      <c r="M135" s="9" t="inlineStr">
        <is>
          <t>CUENCA</t>
        </is>
      </c>
      <c r="N135" s="12" t="inlineStr">
        <is>
          <t>BOLÍVAR ENTRE MIGUEL VELEZ Y JUAN MONTALVO, CLINICA BOLÍVAR, SUCRE SENTRE MIGUEL VELEZ Y GENERAL TORRES, PLAZA SAN FRANCISCO, LA CONDAMINE</t>
        </is>
      </c>
    </row>
    <row r="136">
      <c r="C136" s="13" t="n"/>
      <c r="D136" s="8" t="n">
        <v>3</v>
      </c>
      <c r="E136" s="9" t="inlineStr">
        <is>
          <t>0321/CABECERA (SIN CENSO1)</t>
        </is>
      </c>
      <c r="F136" s="10" t="n">
        <v>6027</v>
      </c>
      <c r="G136" s="10" t="n">
        <v>79</v>
      </c>
      <c r="H136" s="10" t="n">
        <v>205</v>
      </c>
      <c r="I136" s="11">
        <f>0.800949288459429*10.0*1.31604606060606</f>
        <v/>
      </c>
      <c r="J136" s="11">
        <f>0.0708167154512099*10.0*1.31604606060606</f>
        <v/>
      </c>
      <c r="K136" s="11">
        <f>0.128233996089361*10.0*1.31604606060606</f>
        <v/>
      </c>
      <c r="L136" s="9" t="inlineStr">
        <is>
          <t>AZUAY</t>
        </is>
      </c>
      <c r="M136" s="9" t="inlineStr">
        <is>
          <t>CUENCA</t>
        </is>
      </c>
      <c r="N136" s="12" t="inlineStr">
        <is>
          <t>AV. 24 DE MAYO, REDONDEL DEL IESS, RAYOLOMA, BARRIO EMILIO SARMIENTO, BAGUANCHI, CRUCE DE MONAY, CARAPUNGO, EL TABLON DE PACCHA, EL CEDILLO, COLEGIO ALEMAN, GUNCAY, SANTA CATALINA, SAN PEDRO DE BAHUANCHI, EL CEMENTERIO DE EL VALLE, SAN MIGUEL DE BAGUANCHI, BAGUANCHI CHICO, COCHAS DE PACCHA, EL CARMEN, TORREOS, TOCTEPAMBA.</t>
        </is>
      </c>
    </row>
    <row r="137">
      <c r="C137" s="13" t="n"/>
      <c r="D137" s="8" t="n">
        <v>3</v>
      </c>
      <c r="E137" s="9" t="inlineStr">
        <is>
          <t>0321/RECONECT: BELLA UNION</t>
        </is>
      </c>
      <c r="F137" s="10" t="n">
        <v>2157</v>
      </c>
      <c r="G137" s="10" t="n">
        <v>3</v>
      </c>
      <c r="H137" s="10" t="n">
        <v>83</v>
      </c>
      <c r="I137" s="11">
        <f>0.839442098405008*10.0*0.143048484848485</f>
        <v/>
      </c>
      <c r="J137" s="11">
        <f>0.0132710938819114*10.0*0.143048484848485</f>
        <v/>
      </c>
      <c r="K137" s="11">
        <f>0.14728680771308*10.0*0.143048484848485</f>
        <v/>
      </c>
      <c r="L137" s="9" t="inlineStr">
        <is>
          <t>AZUAY</t>
        </is>
      </c>
      <c r="M137" s="9" t="inlineStr">
        <is>
          <t>CUENCA</t>
        </is>
      </c>
      <c r="N137" s="12" t="inlineStr">
        <is>
          <t>BELLA UNIÓN, SANTA BARBARA, SAN PEDRO, GANANCAY, SIGSICOCHA, LA LIBERTAD, SAN BARTOLOMÉ.</t>
        </is>
      </c>
    </row>
    <row r="138">
      <c r="C138" s="13" t="n"/>
      <c r="D138" s="8" t="n">
        <v>3</v>
      </c>
      <c r="E138" s="9" t="inlineStr">
        <is>
          <t>0321/RECONECT: DISHA</t>
        </is>
      </c>
      <c r="F138" s="10" t="n">
        <v>2664</v>
      </c>
      <c r="G138" s="10" t="n">
        <v>5</v>
      </c>
      <c r="H138" s="10" t="n">
        <v>83</v>
      </c>
      <c r="I138" s="11">
        <f>0.843498746021522*10.0*0.143048484848485</f>
        <v/>
      </c>
      <c r="J138" s="11">
        <f>0.010653828157508*10.0*0.143048484848485</f>
        <v/>
      </c>
      <c r="K138" s="11">
        <f>0.14584742582097*10.0*0.143048484848485</f>
        <v/>
      </c>
      <c r="L138" s="9" t="inlineStr">
        <is>
          <t>AZUAY</t>
        </is>
      </c>
      <c r="M138" s="9" t="inlineStr">
        <is>
          <t>CUENCA</t>
        </is>
      </c>
      <c r="N138" s="12" t="inlineStr">
        <is>
          <t>EL VERDE QUINGEO, MEMBRILLO SANTA ANA, COCHAPAMBA QUINGEO, RUNAMACAS, MACAS QUINGEO, MONJAS QUINGEO, GARAUSHI, PIRICOCHA, CASPICORRAL, HUAIRAPUNGO, LA ESPERANZA SAN JOSE DE RARANGA</t>
        </is>
      </c>
    </row>
    <row r="139">
      <c r="C139" s="13" t="n"/>
      <c r="D139" s="8" t="n">
        <v>3</v>
      </c>
      <c r="E139" s="9" t="inlineStr">
        <is>
          <t>0321/RECONECT: SANTA ANA</t>
        </is>
      </c>
      <c r="F139" s="10" t="n">
        <v>1867</v>
      </c>
      <c r="G139" s="10" t="n">
        <v>22</v>
      </c>
      <c r="H139" s="10" t="n">
        <v>58</v>
      </c>
      <c r="I139" s="11">
        <f>0.853705350809247*10.0*0.171658181818182</f>
        <v/>
      </c>
      <c r="J139" s="11">
        <f>0.0469087202526929*10.0*0.171658181818182</f>
        <v/>
      </c>
      <c r="K139" s="11">
        <f>0.0993859289380603*10.0*0.171658181818182</f>
        <v/>
      </c>
      <c r="L139" s="9" t="inlineStr">
        <is>
          <t>AZUAY</t>
        </is>
      </c>
      <c r="M139" s="9" t="inlineStr">
        <is>
          <t>CUENCA</t>
        </is>
      </c>
      <c r="N139" s="12" t="inlineStr">
        <is>
          <t>SANTA ANA, TIGAPAL, GORDELEG, ZHIDMAD, GUANDUG, CAZHAPATA, EL GUAYAN, CHICOLALCOTE, SAN JOSE DE LALCOTE, EL CARMEN DE JADAN, BAYZHUN, EL TABLON, YUDO.</t>
        </is>
      </c>
    </row>
    <row r="140">
      <c r="C140" s="13" t="n"/>
      <c r="D140" s="8" t="n">
        <v>3</v>
      </c>
      <c r="E140" s="9" t="inlineStr">
        <is>
          <t>0322/RECONECT: BOCATTI (SIN G SUAREZ1)</t>
        </is>
      </c>
      <c r="F140" s="10" t="n">
        <v>2851</v>
      </c>
      <c r="G140" s="10" t="n">
        <v>34</v>
      </c>
      <c r="H140" s="10" t="n">
        <v>233</v>
      </c>
      <c r="I140" s="11">
        <f>0.653155253471421*10.0*2.52049777777778</f>
        <v/>
      </c>
      <c r="J140" s="11">
        <f>0.070816625495524*10.0*2.52049777777778</f>
        <v/>
      </c>
      <c r="K140" s="11">
        <f>0.276028121033055*10.0*2.52049777777778</f>
        <v/>
      </c>
      <c r="L140" s="9" t="inlineStr">
        <is>
          <t>AZUAY</t>
        </is>
      </c>
      <c r="M140" s="9" t="inlineStr">
        <is>
          <t>CUENCA</t>
        </is>
      </c>
      <c r="N140" s="12" t="inlineStr">
        <is>
          <t>GONZÁLEZ SUÁREZ DESDE LA MAX UHLE  HASTA AV. TAHUANTINSUYO,  CALLE CARPENTER, GENERAL ARTIGAS, CONSTANCIO VIGIL, GABRIELA MISTRAL, PANCHO VILLA, BENITO JUAREZ, JOSE MARTI, 13 DE ABRIL, DE LOS MAYAS, RAFAEL GALARZA, MANUEL MUÑOZ, HERNAN CORDERO, TEOTIHUACAN, ATAHUALPA, OCTAVIO PAZ, PABLO NERUDA, EL TIEMPO HASTA WASHINGTON, SECTOR CURTIEMBRE, MULTIFALILIARES EUCALIPTOS, SECTOR PARQUE INTERANDINO, CALLE LOS SHIRIS, ALTIPLANO, PRINCESA PACCHA, PINTAG.</t>
        </is>
      </c>
    </row>
    <row r="141">
      <c r="C141" s="13" t="n"/>
      <c r="D141" s="8" t="n">
        <v>5</v>
      </c>
      <c r="E141" s="9" t="inlineStr">
        <is>
          <t>0521/CABECERA</t>
        </is>
      </c>
      <c r="F141" s="10" t="n">
        <v>4452</v>
      </c>
      <c r="G141" s="10" t="n">
        <v>57</v>
      </c>
      <c r="H141" s="10" t="n">
        <v>276</v>
      </c>
      <c r="I141" s="11">
        <f>0.664386804234088*10.0*1.84275</f>
        <v/>
      </c>
      <c r="J141" s="11">
        <f>0.131026759966154*10.0*1.84275</f>
        <v/>
      </c>
      <c r="K141" s="11">
        <f>0.204586435799758*10.0*1.84275</f>
        <v/>
      </c>
      <c r="L141" s="9" t="inlineStr">
        <is>
          <t>AZUAY</t>
        </is>
      </c>
      <c r="M141" s="9" t="inlineStr">
        <is>
          <t>CUENCA</t>
        </is>
      </c>
      <c r="N141" s="12" t="inlineStr">
        <is>
          <t>AV. DE LAS AMERICAS CARRIL DE SALIDA DE LA CIUDAD DESDE LA CALLE MANUEL DE CISNEROS HASTA LA AUTOPISTA, PANAMERICANA SUR DESDE NARANCAY HASTA TARQUI, SECTORES PLATAFORMA ITINERANTE DE NARANCAY, NARANCAY BAJO, PROPARTES, CALLES ISAAC ALBENIZ, BEETHOVEN, MOZART, ESCUELA HÍPICA DE LA POLÍCIA, CERÁMICA CUENCA, CAVA SAN MIGUEL, SEÑOR DEL CAUTIVO, LA PRADERA, ZHUCAY, ZHUCAY LOMA, TUTUPALI GRANDE Y CHICO, ATUCLOMA, BELLAVISTA, COTAPAMBA, TRANCAPAMBA, SANTA ROSA, AGCHAYACU, CORAZÓN DE JESÚS, TRES CLAVELES, RUTA SUNSUN, HASTA LA PLANTA DE TRATAMIENTO NERO, SECTOR BARRIO CHAULLAYACU</t>
        </is>
      </c>
    </row>
    <row r="142">
      <c r="C142" s="13" t="n"/>
      <c r="D142" s="8" t="n">
        <v>5</v>
      </c>
      <c r="E142" s="9" t="inlineStr">
        <is>
          <t>05210/CABECERA</t>
        </is>
      </c>
      <c r="F142" s="10" t="n">
        <v>3258</v>
      </c>
      <c r="G142" s="10" t="n">
        <v>31</v>
      </c>
      <c r="H142" s="10" t="n">
        <v>590</v>
      </c>
      <c r="I142" s="11">
        <f>0.582824639294663*10.0*1.84275</f>
        <v/>
      </c>
      <c r="J142" s="11">
        <f>0.0149753813906275*10.0*1.84275</f>
        <v/>
      </c>
      <c r="K142" s="11">
        <f>0.40219997931471*10.0*1.84275</f>
        <v/>
      </c>
      <c r="L142" s="9" t="inlineStr">
        <is>
          <t>AZUAY</t>
        </is>
      </c>
      <c r="M142" s="9" t="inlineStr">
        <is>
          <t>CUENCA</t>
        </is>
      </c>
      <c r="N142" s="12" t="inlineStr">
        <is>
          <t>FRANCISCO CISNEROS, MIGUEL ORTEGA ALCOCER, FRANCISCO AGUILAR, MARIANO ESTRELLA, GENERAL ESCANDÓN, RICARDO DARQUEA GRANDA, VÍCTOR MANUEL ALBORNOZ, ORDÓÑEZ LASSO DESDE LOS CEREZOS HASTA LOS ALAMOS, PASEO TRES DE NOVIEMBRE.</t>
        </is>
      </c>
    </row>
    <row r="143">
      <c r="C143" s="13" t="n"/>
      <c r="D143" s="8" t="n">
        <v>5</v>
      </c>
      <c r="E143" s="9" t="inlineStr">
        <is>
          <t>0529/CABECERA</t>
        </is>
      </c>
      <c r="F143" s="10" t="n">
        <v>1995</v>
      </c>
      <c r="G143" s="10" t="n">
        <v>29</v>
      </c>
      <c r="H143" s="10" t="n">
        <v>152</v>
      </c>
      <c r="I143" s="11">
        <f>0.78001906170597*10.0*0.588082479100847</f>
        <v/>
      </c>
      <c r="J143" s="11">
        <f>0.0614044363193506*10.0*0.588082479100847</f>
        <v/>
      </c>
      <c r="K143" s="11">
        <f>0.15857650197468*10.0*0.588082479100847</f>
        <v/>
      </c>
      <c r="L143" s="9" t="inlineStr">
        <is>
          <t>AZUAY</t>
        </is>
      </c>
      <c r="M143" s="9" t="inlineStr">
        <is>
          <t>CUENCA</t>
        </is>
      </c>
      <c r="N143" s="12" t="inlineStr">
        <is>
          <t>1ERO DE MAYO ENTRE LOJA Y SOLANO, 10 DE AGOSTO EN MIGUEL DIAZ Y LOJA, LORENZO PIEDRA ENTRE ISABEL LANDIBAR Y REMIGIO CRESPO, REMIGIO CRESPO ENTRE LOJA Y SOLANO, JULIO MATOVELLE ENTRE LOJA Y JUAN IÑIGUEZ.</t>
        </is>
      </c>
    </row>
    <row r="144">
      <c r="C144" s="13" t="n"/>
      <c r="D144" s="8" t="n">
        <v>7</v>
      </c>
      <c r="E144" s="9" t="inlineStr">
        <is>
          <t>0724/CABECERA(SIN CAPULISPAMBA)</t>
        </is>
      </c>
      <c r="F144" s="10" t="n">
        <v>823</v>
      </c>
      <c r="G144" s="10" t="n">
        <v>8</v>
      </c>
      <c r="H144" s="10" t="n">
        <v>29</v>
      </c>
      <c r="I144" s="11">
        <f>0.739454036693904*10.0*0.235364035087719</f>
        <v/>
      </c>
      <c r="J144" s="11">
        <f>0.149692373816179*10.0*0.235364035087719</f>
        <v/>
      </c>
      <c r="K144" s="11">
        <f>0.110853589489917*10.0*0.235364035087719</f>
        <v/>
      </c>
      <c r="L144" s="9" t="inlineStr">
        <is>
          <t>AZUAY</t>
        </is>
      </c>
      <c r="M144" s="9" t="inlineStr">
        <is>
          <t>CUENCA</t>
        </is>
      </c>
      <c r="N144" s="12" t="inlineStr">
        <is>
          <t>HUAJIBAMBA LA MERCED, LA MERCED RICAURTE.</t>
        </is>
      </c>
    </row>
    <row r="145">
      <c r="C145" s="13" t="n"/>
      <c r="D145" s="8" t="n">
        <v>7</v>
      </c>
      <c r="E145" s="9" t="inlineStr">
        <is>
          <t>0724/RECONECT: LLACAO</t>
        </is>
      </c>
      <c r="F145" s="10" t="n">
        <v>1561</v>
      </c>
      <c r="G145" s="10" t="n">
        <v>13</v>
      </c>
      <c r="H145" s="10" t="n">
        <v>51</v>
      </c>
      <c r="I145" s="11">
        <f>0.692863789523765*10.0*0.282436842105263</f>
        <v/>
      </c>
      <c r="J145" s="11">
        <f>0.136808492490613*10.0*0.282436842105263</f>
        <v/>
      </c>
      <c r="K145" s="11">
        <f>0.170327717985622*10.0*0.282436842105263</f>
        <v/>
      </c>
      <c r="L145" s="9" t="inlineStr">
        <is>
          <t>AZUAY</t>
        </is>
      </c>
      <c r="M145" s="9" t="inlineStr">
        <is>
          <t>CUENCA</t>
        </is>
      </c>
      <c r="N145" s="12" t="inlineStr">
        <is>
          <t>LLACAO CENTRO, REINA DEL CISNE, EL MIRADOR, LA PLAYA, LA UNIÓN, STA MARIA, BARRIO BUENA ESPERANZA LA NUEVA DOLOROSA.</t>
        </is>
      </c>
    </row>
    <row r="146">
      <c r="C146" s="13" t="n"/>
      <c r="D146" s="8" t="n">
        <v>15</v>
      </c>
      <c r="E146" s="9" t="inlineStr">
        <is>
          <t>1523/RECONECT: NOCAY</t>
        </is>
      </c>
      <c r="F146" s="10" t="n">
        <v>2907</v>
      </c>
      <c r="G146" s="10" t="n">
        <v>53</v>
      </c>
      <c r="H146" s="10" t="n">
        <v>634</v>
      </c>
      <c r="I146" s="11">
        <f>0.577259652063926*10.0*1.39719047619048</f>
        <v/>
      </c>
      <c r="J146" s="11">
        <f>0.0699240461180803*10.0*1.39719047619048</f>
        <v/>
      </c>
      <c r="K146" s="11">
        <f>0.352816301817994*10.0*1.39719047619048</f>
        <v/>
      </c>
      <c r="L146" s="9" t="inlineStr">
        <is>
          <t>AZUAY</t>
        </is>
      </c>
      <c r="M146" s="9" t="inlineStr">
        <is>
          <t>PAUTE</t>
        </is>
      </c>
      <c r="N146" s="12" t="inlineStr">
        <is>
          <t>UZHUPUD, COLEGIO AGRONOMICO, SAN IGNACION, SANJUANPAMBA, ZHUMIR, SAN JOSE DE HUACAS, TACAPAMBA, VILLAFLOR, VANTE, PIRINCAY, PAUTE CENTRO, PLAZAPAMBA, EL CALVARIO, VIRGENPAMBA, PUCALOMA, MARCOLOMA, ZECAY, SUMAN, GUAYAN, BULAN, TEJAR, TAMBILLO PADREHURCO</t>
        </is>
      </c>
    </row>
    <row r="147">
      <c r="C147" s="13" t="n"/>
      <c r="D147" s="8" t="n">
        <v>18</v>
      </c>
      <c r="E147" s="9" t="inlineStr">
        <is>
          <t>1823/CABECERA</t>
        </is>
      </c>
      <c r="F147" s="10" t="n">
        <v>1170</v>
      </c>
      <c r="G147" s="10" t="n">
        <v>7</v>
      </c>
      <c r="H147" s="10" t="n">
        <v>114</v>
      </c>
      <c r="I147" s="11">
        <f>0.77196414716552*10.0*0.491815</f>
        <v/>
      </c>
      <c r="J147" s="11">
        <f>0.00939515550107798*10.0*0.491815</f>
        <v/>
      </c>
      <c r="K147" s="11">
        <f>0.218640697333402*10.0*0.491815</f>
        <v/>
      </c>
      <c r="L147" s="9" t="inlineStr">
        <is>
          <t>CAÑAR</t>
        </is>
      </c>
      <c r="M147" s="9" t="inlineStr">
        <is>
          <t>CAÑAR</t>
        </is>
      </c>
      <c r="N147" s="12" t="inlineStr">
        <is>
          <t>SANTA ROSA DUCUR, CHICAL, BOTIJA PAQUINA, ENEN, GUN ZHUD, ANGAS ZHUD, TRANCALOMA, TIPOCOCHA,  ZHUD, LOMA REDONDA, ARRAYÁN DORMIDO, LAS COPAS, SAN ANTONIO DUCUR, SAN MIGUEL CHONTAMARCA, SHIRCAY, YANAYACU, BAYO CRUZ, BACHIRÍN, CHAUPIYUNGA, SAN MARCOS DUCUR, CHOCAR ZHUD, CHIGLEDEL, SAN CARLOS CHONTAMARCA, CIMIENTOS, MOYANCÓN, SAN ANTONIO, CHACARPAMBA, JAVÍN DUCUR, LA MERCED DUCUR, PIMO ZHUD,  CORDILLERA DE BULUBULU, LAS CRUCES, GENERAL MORALES, SAN FRANCISCO, SAN ANTONIO, CARGALCHINA, SUSCAL, PUCANGO, PUMATOGLIA, SAN LUIS CHONTAMARCA, YANAHURCO, LA CLEMENTINA, PAPAYAL.</t>
        </is>
      </c>
    </row>
    <row r="148">
      <c r="C148" s="13" t="n"/>
      <c r="D148" s="8" t="n">
        <v>21</v>
      </c>
      <c r="E148" s="9" t="inlineStr">
        <is>
          <t>2128/CABECERA</t>
        </is>
      </c>
      <c r="F148" s="10" t="n">
        <v>2341</v>
      </c>
      <c r="G148" s="10" t="n">
        <v>11</v>
      </c>
      <c r="H148" s="10" t="n">
        <v>260</v>
      </c>
      <c r="I148" s="11">
        <f>0.702264393132924*10.0*0.785066666666667</f>
        <v/>
      </c>
      <c r="J148" s="11">
        <f>0.0377147480921527*10.0*0.785066666666667</f>
        <v/>
      </c>
      <c r="K148" s="11">
        <f>0.260020858774923*10.0*0.785066666666667</f>
        <v/>
      </c>
      <c r="L148" s="9" t="inlineStr">
        <is>
          <t>MORONA SANTIAGO</t>
        </is>
      </c>
      <c r="M148" s="9" t="inlineStr">
        <is>
          <t>SUCÚA</t>
        </is>
      </c>
      <c r="N148" s="12" t="inlineStr">
        <is>
          <t>PARROQUIA SANTA MARIANITA DESDE LA AV. TRONCAL AMAZÓNICA HASTA RÍO UPANO, BARRIO EL BELÉN DESDE LA AV. TRONCAL AMAZÓNICA HASTA HACIA EL RÍO UPANO, BARRIO EL TERMINAL DESDE LA AV. TRONCAL AMAZÓNICA HASTA LA AV. 2000, BARRIO UPANO, BARRIO AMAZONAS, BARRIO 3 DE NOVIEMBRE, BARRIO 5 ESQUINAS, BARRIO 31 DE AGOSTO, BARRIO LA PROVIDENCIA, BARRIO NUEVO ISRAEL, SANTA ROSA, SAN PABLO, PINCHUNAINT, TUNDAYM, SEIP, FLOR DEL BOSQUE, SAN LUIS, YUKUTEIS, KAYAMAS.</t>
        </is>
      </c>
    </row>
    <row r="149">
      <c r="C149" s="13" t="n"/>
      <c r="D149" s="8" t="n">
        <v>22</v>
      </c>
      <c r="E149" s="9" t="inlineStr">
        <is>
          <t>2211/CABECERA</t>
        </is>
      </c>
      <c r="F149" s="10" t="n">
        <v>775</v>
      </c>
      <c r="G149" s="10" t="n">
        <v>7</v>
      </c>
      <c r="H149" s="10" t="n">
        <v>89</v>
      </c>
      <c r="I149" s="11">
        <f>0.686648207199656*10.0*0.160051666666667</f>
        <v/>
      </c>
      <c r="J149" s="11">
        <f>0.0164916121117939*10.0*0.160051666666667</f>
        <v/>
      </c>
      <c r="K149" s="11">
        <f>0.29686018068855*10.0*0.160051666666667</f>
        <v/>
      </c>
      <c r="L149" s="9" t="inlineStr">
        <is>
          <t>MORONA SANTIAGO</t>
        </is>
      </c>
      <c r="M149" s="9" t="inlineStr">
        <is>
          <t>SANTIAGO DE MÉNDEZ</t>
        </is>
      </c>
      <c r="N149" s="12" t="inlineStr">
        <is>
          <t>Y DE PATUCA, TAYUZA, SAN FRANCISCO DE CHINIMBIMI.</t>
        </is>
      </c>
    </row>
    <row r="150">
      <c r="C150" s="13" t="n"/>
      <c r="D150" s="8" t="n">
        <v>23</v>
      </c>
      <c r="E150" s="9" t="inlineStr">
        <is>
          <t>2312/CABECERA</t>
        </is>
      </c>
      <c r="F150" s="10" t="n">
        <v>549</v>
      </c>
      <c r="G150" s="10" t="n">
        <v>15</v>
      </c>
      <c r="H150" s="10" t="n">
        <v>82</v>
      </c>
      <c r="I150" s="11">
        <f>0.686120070507999*10.0*0.44081</f>
        <v/>
      </c>
      <c r="J150" s="11">
        <f>0.0213179035069002*10.0*0.44081</f>
        <v/>
      </c>
      <c r="K150" s="11">
        <f>0.2925620259851*10.0*0.44081</f>
        <v/>
      </c>
      <c r="L150" s="9" t="inlineStr">
        <is>
          <t>MORONA SANTIAGO</t>
        </is>
      </c>
      <c r="M150" s="9" t="inlineStr">
        <is>
          <t>LIMÓN INDANZA</t>
        </is>
      </c>
      <c r="N150" s="12" t="inlineStr">
        <is>
          <t>INDANZA, SAN MIGUEL DE CONCHAY, CENTRO CANTONAL DE SAN JUAN BOSCO, PARROQUIAS, PAN DE AZÚCAR, PANANZA, WAKAMBEIS, SAN CARLOS DE LIMÓN, GUALAQUIZA TODOS LAS COMUNIDADES UBICADAS A LO LARGO DE LA TRONCAL AMAZÓNICA DESDE EL RÍO KALAGLAS HASTA SAN FRANCISCO.</t>
        </is>
      </c>
    </row>
    <row r="151">
      <c r="C151" s="13" t="n"/>
      <c r="D151" s="8" t="n">
        <v>50</v>
      </c>
      <c r="E151" s="9" t="inlineStr">
        <is>
          <t>5011/CABECERA</t>
        </is>
      </c>
      <c r="F151" s="10" t="n">
        <v>800</v>
      </c>
      <c r="G151" s="10" t="n">
        <v>3</v>
      </c>
      <c r="H151" s="10" t="n">
        <v>88</v>
      </c>
      <c r="I151" s="11">
        <f>0.706539366119633*10.0*0.432250790338516</f>
        <v/>
      </c>
      <c r="J151" s="11">
        <f>0.00718125638059627*10.0*0.432250790338516</f>
        <v/>
      </c>
      <c r="K151" s="11">
        <f>0.286279377499771*10.0*0.432250790338516</f>
        <v/>
      </c>
      <c r="L151" s="9" t="inlineStr">
        <is>
          <t>CAÑAR</t>
        </is>
      </c>
      <c r="M151" s="9" t="inlineStr">
        <is>
          <t>LA TRONCAL</t>
        </is>
      </c>
      <c r="N151" s="12" t="inlineStr">
        <is>
          <t>LA CADENA, CALIFORNIA, INTEGRADO, RANCHO GRANDE, CIELITO, SAN ANTONIO, MANUEL DE J. CALLE.</t>
        </is>
      </c>
    </row>
    <row r="152">
      <c r="C152" s="13" t="n"/>
      <c r="D152" s="14" t="inlineStr">
        <is>
          <t>TOTALES PARCIALES:</t>
        </is>
      </c>
      <c r="E152" s="15" t="n"/>
      <c r="F152" s="10">
        <f>SUM(F134:F151)</f>
        <v/>
      </c>
      <c r="G152" s="10">
        <f>SUM(G134:G151)</f>
        <v/>
      </c>
      <c r="H152" s="10">
        <f>SUM(H134:H151)</f>
        <v/>
      </c>
      <c r="I152" s="11">
        <f>SUM(I134:I151)</f>
        <v/>
      </c>
      <c r="J152" s="11">
        <f>SUM(J134:J151)</f>
        <v/>
      </c>
      <c r="K152" s="11">
        <f>SUM(K134:K151)</f>
        <v/>
      </c>
      <c r="L152" s="9" t="n"/>
      <c r="M152" s="16" t="n"/>
      <c r="N152" s="17" t="n"/>
    </row>
    <row r="153">
      <c r="C153" s="18" t="n"/>
      <c r="D153" s="14" t="inlineStr">
        <is>
          <t>TOTAL:</t>
        </is>
      </c>
      <c r="E153" s="15" t="n"/>
      <c r="F153" s="10">
        <f>SUM(F152, G152, H152)</f>
        <v/>
      </c>
      <c r="G153" s="19" t="n"/>
      <c r="H153" s="20" t="n"/>
      <c r="I153" s="11">
        <f>SUM(I152, J152, K152)</f>
        <v/>
      </c>
      <c r="J153" s="21" t="n"/>
      <c r="K153" s="22" t="n"/>
      <c r="L153" s="23" t="n"/>
      <c r="M153" s="24" t="n"/>
      <c r="N153" s="25" t="n"/>
    </row>
    <row r="155">
      <c r="C155" s="4" t="inlineStr">
        <is>
          <t>BLOQUE 13</t>
        </is>
      </c>
      <c r="D155" s="4" t="inlineStr">
        <is>
          <t>SUBESTACIÓN</t>
        </is>
      </c>
      <c r="E155" s="4" t="inlineStr">
        <is>
          <t>PRIMARIOS A DESCONECTAR</t>
        </is>
      </c>
      <c r="F155" s="4" t="inlineStr">
        <is>
          <t># CLIENTES</t>
        </is>
      </c>
      <c r="G155" s="5" t="n"/>
      <c r="H155" s="6" t="n"/>
      <c r="I155" s="4" t="inlineStr">
        <is>
          <t>DEMANDA PROMEDIO DE LOS PERIODOS (MWh)</t>
        </is>
      </c>
      <c r="J155" s="5" t="n"/>
      <c r="K155" s="6" t="n"/>
      <c r="L155" s="4" t="inlineStr">
        <is>
          <t>PROVINCIA</t>
        </is>
      </c>
      <c r="M155" s="4" t="inlineStr">
        <is>
          <t>CANTON</t>
        </is>
      </c>
      <c r="N155" s="4" t="inlineStr">
        <is>
          <t>SECTORES</t>
        </is>
      </c>
    </row>
    <row r="156">
      <c r="C156" s="2" t="n"/>
      <c r="D156" s="2" t="n"/>
      <c r="E156" s="2" t="n"/>
      <c r="F156" s="4" t="inlineStr">
        <is>
          <t>RESIDENCIAL</t>
        </is>
      </c>
      <c r="G156" s="4" t="inlineStr">
        <is>
          <t>INDUSTRIAL</t>
        </is>
      </c>
      <c r="H156" s="4" t="inlineStr">
        <is>
          <t>COMERCIAL</t>
        </is>
      </c>
      <c r="I156" s="4" t="inlineStr">
        <is>
          <t>RESIDENCIAL</t>
        </is>
      </c>
      <c r="J156" s="4" t="inlineStr">
        <is>
          <t>INDUSTRIAL</t>
        </is>
      </c>
      <c r="K156" s="4" t="inlineStr">
        <is>
          <t>COMERCIAL</t>
        </is>
      </c>
      <c r="L156" s="2" t="n"/>
      <c r="M156" s="2" t="n"/>
      <c r="N156" s="2" t="n"/>
    </row>
    <row r="157">
      <c r="C157" s="7" t="inlineStr">
        <is>
          <t>11:00:00-17:00:00</t>
        </is>
      </c>
      <c r="D157" s="8" t="n">
        <v>4</v>
      </c>
      <c r="E157" s="9" t="inlineStr">
        <is>
          <t>0424/CABECERA</t>
        </is>
      </c>
      <c r="F157" s="10" t="n">
        <v>2082</v>
      </c>
      <c r="G157" s="10" t="n">
        <v>63</v>
      </c>
      <c r="H157" s="10" t="n">
        <v>501</v>
      </c>
      <c r="I157" s="11">
        <f>0.376696986580091*6.0*1.74057355559211</f>
        <v/>
      </c>
      <c r="J157" s="11">
        <f>0.271224396262037*6.0*1.74057355559211</f>
        <v/>
      </c>
      <c r="K157" s="11">
        <f>0.352078617157872*6.0*1.74057355559211</f>
        <v/>
      </c>
      <c r="L157" s="9" t="inlineStr">
        <is>
          <t>AZUAY</t>
        </is>
      </c>
      <c r="M157" s="9" t="inlineStr">
        <is>
          <t>CUENCA</t>
        </is>
      </c>
      <c r="N157" s="12" t="inlineStr">
        <is>
          <t>AV. DE LAS AMÉRICAS HASTA LA ABELARDO ANDRADE, EL VENCEDOR, DE LA BOCINA; CAMINO MIRAFLORES HASTA DE LA TONAD, ANTONIO FARFAN Y EUGENIO ESPEJO HASTA LA MARIANO CUEVA Y HÉROES DE VERDELOMA, CALLE ARMENILLAS, AV ESPAÑA DESDE SEBASTIAN DE BENALCAZAR HASTA FRANCISCO PIZARRO, AEREOPUESTO, CALLE CASTELLANA, CALLE MADRID, CALLE BARCELONA, CALLE SEVILLA, CALLE GONZALO DE LAS PEÑAS.</t>
        </is>
      </c>
    </row>
    <row r="158">
      <c r="C158" s="13" t="n"/>
      <c r="D158" s="14" t="inlineStr">
        <is>
          <t>TOTALES PARCIALES:</t>
        </is>
      </c>
      <c r="E158" s="15" t="n"/>
      <c r="F158" s="10">
        <f>SUM(F157:F157)</f>
        <v/>
      </c>
      <c r="G158" s="10">
        <f>SUM(G157:G157)</f>
        <v/>
      </c>
      <c r="H158" s="10">
        <f>SUM(H157:H157)</f>
        <v/>
      </c>
      <c r="I158" s="11">
        <f>SUM(I157:I157)</f>
        <v/>
      </c>
      <c r="J158" s="11">
        <f>SUM(J157:J157)</f>
        <v/>
      </c>
      <c r="K158" s="11">
        <f>SUM(K157:K157)</f>
        <v/>
      </c>
      <c r="L158" s="9" t="n"/>
      <c r="M158" s="16" t="n"/>
      <c r="N158" s="17" t="n"/>
    </row>
    <row r="159">
      <c r="C159" s="18" t="n"/>
      <c r="D159" s="14" t="inlineStr">
        <is>
          <t>TOTAL:</t>
        </is>
      </c>
      <c r="E159" s="15" t="n"/>
      <c r="F159" s="10">
        <f>SUM(F158, G158, H158)</f>
        <v/>
      </c>
      <c r="G159" s="19" t="n"/>
      <c r="H159" s="20" t="n"/>
      <c r="I159" s="11">
        <f>SUM(I158, J158, K158)</f>
        <v/>
      </c>
      <c r="J159" s="21" t="n"/>
      <c r="K159" s="22" t="n"/>
      <c r="L159" s="23" t="n"/>
      <c r="M159" s="24" t="n"/>
      <c r="N159" s="25" t="n"/>
    </row>
  </sheetData>
  <mergeCells count="185">
    <mergeCell ref="C41:C51"/>
    <mergeCell ref="E39:E40"/>
    <mergeCell ref="I159:K159"/>
    <mergeCell ref="F18:H18"/>
    <mergeCell ref="I97:K97"/>
    <mergeCell ref="M70:M71"/>
    <mergeCell ref="C121:C122"/>
    <mergeCell ref="D36:E36"/>
    <mergeCell ref="L53:L54"/>
    <mergeCell ref="E155:E156"/>
    <mergeCell ref="F109:H109"/>
    <mergeCell ref="N53:N54"/>
    <mergeCell ref="D158:E158"/>
    <mergeCell ref="I111:K111"/>
    <mergeCell ref="L67:N68"/>
    <mergeCell ref="D108:E108"/>
    <mergeCell ref="C99:C109"/>
    <mergeCell ref="C132:C133"/>
    <mergeCell ref="F111:H111"/>
    <mergeCell ref="I79:K79"/>
    <mergeCell ref="L39:L40"/>
    <mergeCell ref="F39:H39"/>
    <mergeCell ref="I153:K153"/>
    <mergeCell ref="N39:N40"/>
    <mergeCell ref="D18:D19"/>
    <mergeCell ref="D78:E78"/>
    <mergeCell ref="C157:C159"/>
    <mergeCell ref="I59:K59"/>
    <mergeCell ref="C27:C28"/>
    <mergeCell ref="L81:L82"/>
    <mergeCell ref="D4:E4"/>
    <mergeCell ref="M18:M19"/>
    <mergeCell ref="D56:E56"/>
    <mergeCell ref="L111:L112"/>
    <mergeCell ref="D24:E24"/>
    <mergeCell ref="M53:M54"/>
    <mergeCell ref="D51:E51"/>
    <mergeCell ref="C6:C7"/>
    <mergeCell ref="L94:N95"/>
    <mergeCell ref="C111:C112"/>
    <mergeCell ref="M59:M60"/>
    <mergeCell ref="M111:M112"/>
    <mergeCell ref="L56:N57"/>
    <mergeCell ref="F51:H51"/>
    <mergeCell ref="D27:D28"/>
    <mergeCell ref="D155:D156"/>
    <mergeCell ref="M39:M40"/>
    <mergeCell ref="L158:N159"/>
    <mergeCell ref="N18:N19"/>
    <mergeCell ref="I37:K37"/>
    <mergeCell ref="L121:L122"/>
    <mergeCell ref="N121:N122"/>
    <mergeCell ref="C97:C98"/>
    <mergeCell ref="L18:L19"/>
    <mergeCell ref="M81:M82"/>
    <mergeCell ref="C20:C25"/>
    <mergeCell ref="L132:L133"/>
    <mergeCell ref="F27:H27"/>
    <mergeCell ref="N132:N133"/>
    <mergeCell ref="F155:H155"/>
    <mergeCell ref="N155:N156"/>
    <mergeCell ref="F130:H130"/>
    <mergeCell ref="M27:M28"/>
    <mergeCell ref="I51:K51"/>
    <mergeCell ref="E27:E28"/>
    <mergeCell ref="D53:D54"/>
    <mergeCell ref="I119:K119"/>
    <mergeCell ref="F132:H132"/>
    <mergeCell ref="D37:E37"/>
    <mergeCell ref="L6:L7"/>
    <mergeCell ref="F119:H119"/>
    <mergeCell ref="N6:N7"/>
    <mergeCell ref="I81:K81"/>
    <mergeCell ref="D118:E118"/>
    <mergeCell ref="E97:E98"/>
    <mergeCell ref="F25:H25"/>
    <mergeCell ref="D152:E152"/>
    <mergeCell ref="D39:D40"/>
    <mergeCell ref="M155:M156"/>
    <mergeCell ref="C61:C68"/>
    <mergeCell ref="L152:N153"/>
    <mergeCell ref="L70:L71"/>
    <mergeCell ref="D15:E15"/>
    <mergeCell ref="E81:E82"/>
    <mergeCell ref="I27:K27"/>
    <mergeCell ref="N70:N71"/>
    <mergeCell ref="E121:E122"/>
    <mergeCell ref="D129:E129"/>
    <mergeCell ref="C55:C57"/>
    <mergeCell ref="C18:C19"/>
    <mergeCell ref="F59:H59"/>
    <mergeCell ref="D79:E79"/>
    <mergeCell ref="D81:D82"/>
    <mergeCell ref="I25:K25"/>
    <mergeCell ref="N81:N82"/>
    <mergeCell ref="F95:H95"/>
    <mergeCell ref="L108:N109"/>
    <mergeCell ref="D153:E153"/>
    <mergeCell ref="E132:E133"/>
    <mergeCell ref="F79:H79"/>
    <mergeCell ref="I53:K53"/>
    <mergeCell ref="F159:H159"/>
    <mergeCell ref="L97:L98"/>
    <mergeCell ref="F97:H97"/>
    <mergeCell ref="F153:H153"/>
    <mergeCell ref="N97:N98"/>
    <mergeCell ref="I130:K130"/>
    <mergeCell ref="I68:K68"/>
    <mergeCell ref="C59:C60"/>
    <mergeCell ref="C2:E2"/>
    <mergeCell ref="E59:E60"/>
    <mergeCell ref="F81:H81"/>
    <mergeCell ref="F121:H121"/>
    <mergeCell ref="C8:C16"/>
    <mergeCell ref="I39:K39"/>
    <mergeCell ref="I132:K132"/>
    <mergeCell ref="F37:H37"/>
    <mergeCell ref="C70:C71"/>
    <mergeCell ref="I109:K109"/>
    <mergeCell ref="E70:E71"/>
    <mergeCell ref="F57:H57"/>
    <mergeCell ref="C39:C40"/>
    <mergeCell ref="F53:H53"/>
    <mergeCell ref="L59:L60"/>
    <mergeCell ref="D3:E3"/>
    <mergeCell ref="N59:N60"/>
    <mergeCell ref="D25:E25"/>
    <mergeCell ref="M97:M98"/>
    <mergeCell ref="F16:H16"/>
    <mergeCell ref="C72:C79"/>
    <mergeCell ref="I95:K95"/>
    <mergeCell ref="F6:H6"/>
    <mergeCell ref="F68:H68"/>
    <mergeCell ref="C155:C156"/>
    <mergeCell ref="E18:E19"/>
    <mergeCell ref="D67:E67"/>
    <mergeCell ref="I70:K70"/>
    <mergeCell ref="M121:M122"/>
    <mergeCell ref="C29:C37"/>
    <mergeCell ref="I57:K57"/>
    <mergeCell ref="D94:E94"/>
    <mergeCell ref="D6:D7"/>
    <mergeCell ref="L50:N51"/>
    <mergeCell ref="I16:K16"/>
    <mergeCell ref="C83:C95"/>
    <mergeCell ref="D109:E109"/>
    <mergeCell ref="M132:M133"/>
    <mergeCell ref="D70:D71"/>
    <mergeCell ref="D119:E119"/>
    <mergeCell ref="F70:H70"/>
    <mergeCell ref="C134:C153"/>
    <mergeCell ref="I18:K18"/>
    <mergeCell ref="D159:E159"/>
    <mergeCell ref="D111:D112"/>
    <mergeCell ref="L36:N37"/>
    <mergeCell ref="I121:K121"/>
    <mergeCell ref="N111:N112"/>
    <mergeCell ref="I155:K155"/>
    <mergeCell ref="D95:E95"/>
    <mergeCell ref="D57:E57"/>
    <mergeCell ref="M6:M7"/>
    <mergeCell ref="E6:E7"/>
    <mergeCell ref="L78:N79"/>
    <mergeCell ref="L118:N119"/>
    <mergeCell ref="D97:D98"/>
    <mergeCell ref="D16:E16"/>
    <mergeCell ref="L15:N16"/>
    <mergeCell ref="L24:N25"/>
    <mergeCell ref="D121:D122"/>
    <mergeCell ref="C81:C82"/>
    <mergeCell ref="C123:C130"/>
    <mergeCell ref="L27:L28"/>
    <mergeCell ref="I6:K6"/>
    <mergeCell ref="L155:L156"/>
    <mergeCell ref="N27:N28"/>
    <mergeCell ref="C53:C54"/>
    <mergeCell ref="D132:D133"/>
    <mergeCell ref="E53:E54"/>
    <mergeCell ref="D130:E130"/>
    <mergeCell ref="D68:E68"/>
    <mergeCell ref="L129:N130"/>
    <mergeCell ref="C113:C119"/>
    <mergeCell ref="D50:E50"/>
    <mergeCell ref="E111:E112"/>
    <mergeCell ref="D59:D60"/>
  </mergeCell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2024-10-21T18:29:48Z</dcterms:created>
  <dcterms:modified xsi:type="dcterms:W3CDTF">2024-10-21T18:29:48Z</dcterms:modified>
</cp:coreProperties>
</file>