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defaultThemeVersion="166925"/>
  <mc:AlternateContent xmlns:mc="http://schemas.openxmlformats.org/markup-compatibility/2006">
    <mc:Choice Requires="x15">
      <x15ac:absPath xmlns:x15ac="http://schemas.microsoft.com/office/spreadsheetml/2010/11/ac" url="C:\Users\robma\Documents\Work\ilemt_hw\parts\"/>
    </mc:Choice>
  </mc:AlternateContent>
  <xr:revisionPtr revIDLastSave="0" documentId="13_ncr:1_{3B83D144-F309-42B4-A71D-AA0FD3982D98}" xr6:coauthVersionLast="46" xr6:coauthVersionMax="46" xr10:uidLastSave="{00000000-0000-0000-0000-000000000000}"/>
  <bookViews>
    <workbookView xWindow="9072" yWindow="792" windowWidth="28308" windowHeight="24912" tabRatio="500" firstSheet="1" activeTab="2" xr2:uid="{00000000-000D-0000-FFFF-FFFF00000000}"/>
  </bookViews>
  <sheets>
    <sheet name="help" sheetId="3" r:id="rId1"/>
    <sheet name="cart" sheetId="1" r:id="rId2"/>
    <sheet name="digikey_bom" sheetId="2" r:id="rId3"/>
    <sheet name="kicad_bom"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2" i="2"/>
  <c r="X72" i="4"/>
  <c r="X73" i="4"/>
  <c r="X74" i="4"/>
  <c r="X75" i="4"/>
  <c r="X76" i="4"/>
  <c r="X77" i="4"/>
  <c r="X78" i="4"/>
  <c r="X79" i="4"/>
  <c r="X80" i="4"/>
  <c r="X81" i="4"/>
  <c r="X82" i="4"/>
  <c r="X83" i="4"/>
  <c r="W72" i="4"/>
  <c r="W73" i="4"/>
  <c r="W74" i="4"/>
  <c r="W75" i="4"/>
  <c r="W76" i="4"/>
  <c r="W77" i="4"/>
  <c r="W78" i="4"/>
  <c r="W79" i="4"/>
  <c r="W80" i="4"/>
  <c r="W81" i="4"/>
  <c r="W82" i="4"/>
  <c r="W83" i="4"/>
  <c r="W3" i="4"/>
  <c r="W4" i="4"/>
  <c r="W5" i="4"/>
  <c r="W6" i="4"/>
  <c r="W7" i="4"/>
  <c r="W8" i="4"/>
  <c r="W9" i="4"/>
  <c r="X9" i="4" s="1"/>
  <c r="W10" i="4"/>
  <c r="W11" i="4"/>
  <c r="W12" i="4"/>
  <c r="W13" i="4"/>
  <c r="W14" i="4"/>
  <c r="W15" i="4"/>
  <c r="W16" i="4"/>
  <c r="W17" i="4"/>
  <c r="X17" i="4" s="1"/>
  <c r="W18" i="4"/>
  <c r="W19" i="4"/>
  <c r="W20" i="4"/>
  <c r="W21" i="4"/>
  <c r="W22" i="4"/>
  <c r="W23" i="4"/>
  <c r="W24" i="4"/>
  <c r="W25" i="4"/>
  <c r="X25" i="4" s="1"/>
  <c r="W26" i="4"/>
  <c r="W27" i="4"/>
  <c r="W28" i="4"/>
  <c r="W29" i="4"/>
  <c r="W30" i="4"/>
  <c r="W31" i="4"/>
  <c r="W32" i="4"/>
  <c r="W33" i="4"/>
  <c r="X33" i="4" s="1"/>
  <c r="W34" i="4"/>
  <c r="W35" i="4"/>
  <c r="W36" i="4"/>
  <c r="W37" i="4"/>
  <c r="W38" i="4"/>
  <c r="W39" i="4"/>
  <c r="W40" i="4"/>
  <c r="W41" i="4"/>
  <c r="X41" i="4" s="1"/>
  <c r="W42" i="4"/>
  <c r="W43" i="4"/>
  <c r="W44" i="4"/>
  <c r="W45" i="4"/>
  <c r="W46" i="4"/>
  <c r="W47" i="4"/>
  <c r="W48" i="4"/>
  <c r="W49" i="4"/>
  <c r="X49" i="4" s="1"/>
  <c r="W50" i="4"/>
  <c r="W51" i="4"/>
  <c r="W52" i="4"/>
  <c r="W53" i="4"/>
  <c r="W54" i="4"/>
  <c r="W55" i="4"/>
  <c r="W56" i="4"/>
  <c r="W57" i="4"/>
  <c r="X57" i="4" s="1"/>
  <c r="W58" i="4"/>
  <c r="W59" i="4"/>
  <c r="W60" i="4"/>
  <c r="W61" i="4"/>
  <c r="W62" i="4"/>
  <c r="W63" i="4"/>
  <c r="W64" i="4"/>
  <c r="W65" i="4"/>
  <c r="X65" i="4" s="1"/>
  <c r="W66" i="4"/>
  <c r="W67" i="4"/>
  <c r="W68" i="4"/>
  <c r="W69" i="4"/>
  <c r="X69" i="4" s="1"/>
  <c r="W70" i="4"/>
  <c r="W71" i="4"/>
  <c r="X3" i="4"/>
  <c r="X4" i="4"/>
  <c r="X5" i="4"/>
  <c r="X6" i="4"/>
  <c r="X7" i="4"/>
  <c r="X8" i="4"/>
  <c r="X10" i="4"/>
  <c r="X11" i="4"/>
  <c r="X12" i="4"/>
  <c r="X13" i="4"/>
  <c r="X14" i="4"/>
  <c r="X15" i="4"/>
  <c r="X16" i="4"/>
  <c r="X18" i="4"/>
  <c r="X19" i="4"/>
  <c r="X20" i="4"/>
  <c r="X21" i="4"/>
  <c r="X22" i="4"/>
  <c r="X23" i="4"/>
  <c r="X24" i="4"/>
  <c r="X26" i="4"/>
  <c r="X27" i="4"/>
  <c r="X28" i="4"/>
  <c r="X29" i="4"/>
  <c r="X30" i="4"/>
  <c r="X31" i="4"/>
  <c r="X32" i="4"/>
  <c r="X34" i="4"/>
  <c r="X35" i="4"/>
  <c r="X36" i="4"/>
  <c r="X37" i="4"/>
  <c r="X38" i="4"/>
  <c r="X39" i="4"/>
  <c r="X40" i="4"/>
  <c r="X42" i="4"/>
  <c r="X43" i="4"/>
  <c r="X44" i="4"/>
  <c r="X45" i="4"/>
  <c r="X46" i="4"/>
  <c r="X47" i="4"/>
  <c r="X48" i="4"/>
  <c r="X50" i="4"/>
  <c r="X51" i="4"/>
  <c r="X52" i="4"/>
  <c r="X53" i="4"/>
  <c r="X54" i="4"/>
  <c r="X55" i="4"/>
  <c r="X56" i="4"/>
  <c r="X58" i="4"/>
  <c r="X59" i="4"/>
  <c r="X60" i="4"/>
  <c r="X61" i="4"/>
  <c r="X62" i="4"/>
  <c r="X63" i="4"/>
  <c r="X64" i="4"/>
  <c r="X66" i="4"/>
  <c r="X67" i="4"/>
  <c r="X68" i="4"/>
  <c r="X70" i="4"/>
  <c r="X71" i="4"/>
  <c r="X2" i="4"/>
  <c r="W2" i="4"/>
  <c r="R48" i="2"/>
  <c r="T48" i="2"/>
  <c r="U48" i="2" s="1"/>
  <c r="R49" i="2"/>
  <c r="T49" i="2"/>
  <c r="U49" i="2" s="1"/>
  <c r="R50" i="2"/>
  <c r="T50" i="2"/>
  <c r="U50" i="2" s="1"/>
  <c r="R51" i="2"/>
  <c r="T51" i="2"/>
  <c r="U51" i="2" s="1"/>
  <c r="R52" i="2"/>
  <c r="T52" i="2"/>
  <c r="U52" i="2" s="1"/>
  <c r="R56" i="2"/>
  <c r="T56" i="2"/>
  <c r="U56" i="2" s="1"/>
  <c r="R55" i="2"/>
  <c r="T55" i="2"/>
  <c r="U55" i="2" s="1"/>
  <c r="C29" i="4"/>
  <c r="C30" i="4"/>
  <c r="C73" i="4"/>
  <c r="C72" i="4"/>
  <c r="C71" i="4"/>
  <c r="C70" i="4"/>
  <c r="U38" i="4"/>
  <c r="V38" i="4" s="1"/>
  <c r="U6" i="4"/>
  <c r="V6" i="4" s="1"/>
  <c r="U23" i="4"/>
  <c r="V23" i="4" s="1"/>
  <c r="U40" i="4"/>
  <c r="V40" i="4" s="1"/>
  <c r="U58" i="4"/>
  <c r="V58" i="4" s="1"/>
  <c r="U36" i="4"/>
  <c r="V36" i="4" s="1"/>
  <c r="U2" i="4"/>
  <c r="V2" i="4" s="1"/>
  <c r="U14" i="4"/>
  <c r="V14" i="4" s="1"/>
  <c r="U5" i="4"/>
  <c r="V5" i="4" s="1"/>
  <c r="U19" i="4"/>
  <c r="V19" i="4" s="1"/>
  <c r="U25" i="4"/>
  <c r="V25" i="4" s="1"/>
  <c r="U83" i="4"/>
  <c r="V83" i="4" s="1"/>
  <c r="U44" i="4"/>
  <c r="V44" i="4" s="1"/>
  <c r="U21" i="4"/>
  <c r="V21" i="4" s="1"/>
  <c r="U35" i="4"/>
  <c r="V35" i="4" s="1"/>
  <c r="U43" i="4"/>
  <c r="V43" i="4" s="1"/>
  <c r="U3" i="4"/>
  <c r="V3" i="4" s="1"/>
  <c r="U42" i="4"/>
  <c r="V42" i="4" s="1"/>
  <c r="U13" i="4"/>
  <c r="V13" i="4" s="1"/>
  <c r="U8" i="4"/>
  <c r="V8" i="4" s="1"/>
  <c r="U22" i="4"/>
  <c r="V22" i="4" s="1"/>
  <c r="U20" i="4"/>
  <c r="V20" i="4" s="1"/>
  <c r="U62" i="4"/>
  <c r="V62" i="4" s="1"/>
  <c r="U12" i="4"/>
  <c r="V12" i="4" s="1"/>
  <c r="U41" i="4"/>
  <c r="V41" i="4" s="1"/>
  <c r="U39" i="4"/>
  <c r="V39" i="4" s="1"/>
  <c r="U15" i="4"/>
  <c r="V15" i="4" s="1"/>
  <c r="U18" i="4"/>
  <c r="V18" i="4" s="1"/>
  <c r="U61" i="4"/>
  <c r="V61" i="4" s="1"/>
  <c r="U48" i="4"/>
  <c r="V48" i="4" s="1"/>
  <c r="U11" i="4"/>
  <c r="V11" i="4" s="1"/>
  <c r="U26" i="4"/>
  <c r="V26" i="4" s="1"/>
  <c r="U29" i="4"/>
  <c r="V29" i="4" s="1"/>
  <c r="U30" i="4"/>
  <c r="V30" i="4" s="1"/>
  <c r="U31" i="4"/>
  <c r="V31" i="4" s="1"/>
  <c r="U27" i="4"/>
  <c r="V27" i="4" s="1"/>
  <c r="U32" i="4"/>
  <c r="V32" i="4" s="1"/>
  <c r="U33" i="4"/>
  <c r="V33" i="4" s="1"/>
  <c r="U34" i="4"/>
  <c r="V34" i="4" s="1"/>
  <c r="U64" i="4"/>
  <c r="V64" i="4" s="1"/>
  <c r="U17" i="4"/>
  <c r="V17" i="4" s="1"/>
  <c r="U16" i="4"/>
  <c r="V16" i="4" s="1"/>
  <c r="U45" i="4"/>
  <c r="V45" i="4" s="1"/>
  <c r="U24" i="4"/>
  <c r="V24" i="4" s="1"/>
  <c r="U47" i="4"/>
  <c r="V47" i="4" s="1"/>
  <c r="U55" i="4"/>
  <c r="V55" i="4" s="1"/>
  <c r="U56" i="4"/>
  <c r="V56" i="4" s="1"/>
  <c r="U59" i="4"/>
  <c r="V59" i="4" s="1"/>
  <c r="U51" i="4"/>
  <c r="V51" i="4" s="1"/>
  <c r="U54" i="4"/>
  <c r="V54" i="4" s="1"/>
  <c r="U52" i="4"/>
  <c r="V52" i="4" s="1"/>
  <c r="U50" i="4"/>
  <c r="V50" i="4" s="1"/>
  <c r="U46" i="4"/>
  <c r="V46" i="4" s="1"/>
  <c r="U60" i="4"/>
  <c r="V60" i="4" s="1"/>
  <c r="U53" i="4"/>
  <c r="V53" i="4" s="1"/>
  <c r="U10" i="4"/>
  <c r="V10" i="4" s="1"/>
  <c r="U49" i="4"/>
  <c r="V49" i="4" s="1"/>
  <c r="U9" i="4"/>
  <c r="V9" i="4" s="1"/>
  <c r="U65" i="4"/>
  <c r="V65" i="4" s="1"/>
  <c r="U4" i="4"/>
  <c r="V4" i="4" s="1"/>
  <c r="U7" i="4"/>
  <c r="V7" i="4" s="1"/>
  <c r="U66" i="4"/>
  <c r="V66" i="4" s="1"/>
  <c r="U67" i="4"/>
  <c r="V67" i="4" s="1"/>
  <c r="U68" i="4"/>
  <c r="V68" i="4" s="1"/>
  <c r="U69" i="4"/>
  <c r="V69" i="4" s="1"/>
  <c r="U70" i="4"/>
  <c r="V70" i="4" s="1"/>
  <c r="U71" i="4"/>
  <c r="V71" i="4" s="1"/>
  <c r="U72" i="4"/>
  <c r="V72" i="4" s="1"/>
  <c r="U73" i="4"/>
  <c r="V73" i="4" s="1"/>
  <c r="U74" i="4"/>
  <c r="V74" i="4" s="1"/>
  <c r="U75" i="4"/>
  <c r="V75" i="4" s="1"/>
  <c r="U76" i="4"/>
  <c r="V76" i="4" s="1"/>
  <c r="U77" i="4"/>
  <c r="V77" i="4" s="1"/>
  <c r="U28" i="4"/>
  <c r="V28" i="4" s="1"/>
  <c r="U78" i="4"/>
  <c r="V78" i="4" s="1"/>
  <c r="U79" i="4"/>
  <c r="V79" i="4" s="1"/>
  <c r="U80" i="4"/>
  <c r="V80" i="4" s="1"/>
  <c r="U81" i="4"/>
  <c r="V81" i="4" s="1"/>
  <c r="U82" i="4"/>
  <c r="V82" i="4" s="1"/>
  <c r="U37" i="4"/>
  <c r="V37" i="4" s="1"/>
  <c r="U57" i="4"/>
  <c r="V57" i="4" s="1"/>
  <c r="U63" i="4"/>
  <c r="V63" i="4" s="1"/>
  <c r="S6" i="4"/>
  <c r="T6" i="4" s="1"/>
  <c r="S23" i="4"/>
  <c r="T23" i="4" s="1"/>
  <c r="S40" i="4"/>
  <c r="T40" i="4" s="1"/>
  <c r="S58" i="4"/>
  <c r="T58" i="4" s="1"/>
  <c r="S36" i="4"/>
  <c r="T36" i="4" s="1"/>
  <c r="S2" i="4"/>
  <c r="T2" i="4" s="1"/>
  <c r="S14" i="4"/>
  <c r="T14" i="4" s="1"/>
  <c r="S5" i="4"/>
  <c r="T5" i="4" s="1"/>
  <c r="S19" i="4"/>
  <c r="T19" i="4" s="1"/>
  <c r="S25" i="4"/>
  <c r="T25" i="4" s="1"/>
  <c r="S83" i="4"/>
  <c r="T83" i="4" s="1"/>
  <c r="S44" i="4"/>
  <c r="T44" i="4" s="1"/>
  <c r="S21" i="4"/>
  <c r="T21" i="4" s="1"/>
  <c r="S35" i="4"/>
  <c r="T35" i="4" s="1"/>
  <c r="S43" i="4"/>
  <c r="T43" i="4" s="1"/>
  <c r="S3" i="4"/>
  <c r="T3" i="4" s="1"/>
  <c r="S42" i="4"/>
  <c r="T42" i="4" s="1"/>
  <c r="S13" i="4"/>
  <c r="T13" i="4" s="1"/>
  <c r="S8" i="4"/>
  <c r="T8" i="4" s="1"/>
  <c r="S22" i="4"/>
  <c r="T22" i="4" s="1"/>
  <c r="S20" i="4"/>
  <c r="T20" i="4" s="1"/>
  <c r="S62" i="4"/>
  <c r="T62" i="4" s="1"/>
  <c r="S12" i="4"/>
  <c r="T12" i="4" s="1"/>
  <c r="S41" i="4"/>
  <c r="T41" i="4" s="1"/>
  <c r="S38" i="4"/>
  <c r="T38" i="4" s="1"/>
  <c r="S39" i="4"/>
  <c r="T39" i="4" s="1"/>
  <c r="S15" i="4"/>
  <c r="T15" i="4" s="1"/>
  <c r="S18" i="4"/>
  <c r="T18" i="4" s="1"/>
  <c r="S61" i="4"/>
  <c r="T61" i="4" s="1"/>
  <c r="S48" i="4"/>
  <c r="T48" i="4" s="1"/>
  <c r="S11" i="4"/>
  <c r="T11" i="4" s="1"/>
  <c r="S26" i="4"/>
  <c r="T26" i="4" s="1"/>
  <c r="S29" i="4"/>
  <c r="T29" i="4" s="1"/>
  <c r="S30" i="4"/>
  <c r="T30" i="4" s="1"/>
  <c r="S31" i="4"/>
  <c r="T31" i="4" s="1"/>
  <c r="S27" i="4"/>
  <c r="T27" i="4" s="1"/>
  <c r="S32" i="4"/>
  <c r="T32" i="4" s="1"/>
  <c r="S33" i="4"/>
  <c r="T33" i="4" s="1"/>
  <c r="S34" i="4"/>
  <c r="T34" i="4" s="1"/>
  <c r="S64" i="4"/>
  <c r="T64" i="4" s="1"/>
  <c r="S17" i="4"/>
  <c r="T17" i="4" s="1"/>
  <c r="S16" i="4"/>
  <c r="T16" i="4" s="1"/>
  <c r="S45" i="4"/>
  <c r="T45" i="4" s="1"/>
  <c r="S24" i="4"/>
  <c r="T24" i="4" s="1"/>
  <c r="S47" i="4"/>
  <c r="T47" i="4" s="1"/>
  <c r="S55" i="4"/>
  <c r="T55" i="4" s="1"/>
  <c r="S56" i="4"/>
  <c r="T56" i="4" s="1"/>
  <c r="S59" i="4"/>
  <c r="T59" i="4" s="1"/>
  <c r="S51" i="4"/>
  <c r="T51" i="4" s="1"/>
  <c r="S54" i="4"/>
  <c r="T54" i="4" s="1"/>
  <c r="S52" i="4"/>
  <c r="T52" i="4" s="1"/>
  <c r="S50" i="4"/>
  <c r="T50" i="4" s="1"/>
  <c r="S46" i="4"/>
  <c r="T46" i="4" s="1"/>
  <c r="S60" i="4"/>
  <c r="T60" i="4" s="1"/>
  <c r="S53" i="4"/>
  <c r="T53" i="4" s="1"/>
  <c r="S10" i="4"/>
  <c r="T10" i="4" s="1"/>
  <c r="S49" i="4"/>
  <c r="T49" i="4" s="1"/>
  <c r="S9" i="4"/>
  <c r="T9" i="4" s="1"/>
  <c r="S65" i="4"/>
  <c r="T65" i="4" s="1"/>
  <c r="S4" i="4"/>
  <c r="T4" i="4" s="1"/>
  <c r="S7" i="4"/>
  <c r="T7" i="4" s="1"/>
  <c r="S66" i="4"/>
  <c r="T66" i="4" s="1"/>
  <c r="S67" i="4"/>
  <c r="T67" i="4" s="1"/>
  <c r="S68" i="4"/>
  <c r="T68" i="4" s="1"/>
  <c r="S69" i="4"/>
  <c r="T69" i="4" s="1"/>
  <c r="S70" i="4"/>
  <c r="T70" i="4" s="1"/>
  <c r="S71" i="4"/>
  <c r="T71" i="4" s="1"/>
  <c r="S72" i="4"/>
  <c r="T72" i="4" s="1"/>
  <c r="S73" i="4"/>
  <c r="T73" i="4" s="1"/>
  <c r="S74" i="4"/>
  <c r="T74" i="4" s="1"/>
  <c r="S75" i="4"/>
  <c r="T75" i="4" s="1"/>
  <c r="S76" i="4"/>
  <c r="T76" i="4" s="1"/>
  <c r="S77" i="4"/>
  <c r="T77" i="4" s="1"/>
  <c r="S28" i="4"/>
  <c r="T28" i="4" s="1"/>
  <c r="S78" i="4"/>
  <c r="T78" i="4" s="1"/>
  <c r="S79" i="4"/>
  <c r="T79" i="4" s="1"/>
  <c r="S80" i="4"/>
  <c r="T80" i="4" s="1"/>
  <c r="S81" i="4"/>
  <c r="T81" i="4" s="1"/>
  <c r="S82" i="4"/>
  <c r="T82" i="4" s="1"/>
  <c r="S37" i="4"/>
  <c r="T37" i="4" s="1"/>
  <c r="S57" i="4"/>
  <c r="T57" i="4" s="1"/>
  <c r="S63" i="4"/>
  <c r="T63" i="4" s="1"/>
  <c r="T10" i="2"/>
  <c r="U10" i="2" s="1"/>
  <c r="T22" i="2"/>
  <c r="U22" i="2" s="1"/>
  <c r="T45" i="2"/>
  <c r="U45" i="2" s="1"/>
  <c r="T54" i="2"/>
  <c r="U54" i="2" s="1"/>
  <c r="T2" i="2"/>
  <c r="U2" i="2" s="1"/>
  <c r="T13" i="2"/>
  <c r="U13" i="2" s="1"/>
  <c r="T23" i="2"/>
  <c r="U23" i="2" s="1"/>
  <c r="T42" i="2"/>
  <c r="U42" i="2" s="1"/>
  <c r="T53" i="2"/>
  <c r="U53" i="2" s="1"/>
  <c r="T4" i="2"/>
  <c r="U4" i="2" s="1"/>
  <c r="T5" i="2"/>
  <c r="U5" i="2" s="1"/>
  <c r="T6" i="2"/>
  <c r="U6" i="2" s="1"/>
  <c r="T7" i="2"/>
  <c r="U7" i="2" s="1"/>
  <c r="T8" i="2"/>
  <c r="U8" i="2" s="1"/>
  <c r="T9" i="2"/>
  <c r="U9" i="2" s="1"/>
  <c r="T11" i="2"/>
  <c r="U11" i="2" s="1"/>
  <c r="T12" i="2"/>
  <c r="U12" i="2" s="1"/>
  <c r="T14" i="2"/>
  <c r="U14" i="2" s="1"/>
  <c r="T15" i="2"/>
  <c r="U15" i="2" s="1"/>
  <c r="T16" i="2"/>
  <c r="U16" i="2" s="1"/>
  <c r="T17" i="2"/>
  <c r="U17" i="2" s="1"/>
  <c r="T18" i="2"/>
  <c r="U18" i="2" s="1"/>
  <c r="T19" i="2"/>
  <c r="U19" i="2" s="1"/>
  <c r="T20" i="2"/>
  <c r="U20" i="2" s="1"/>
  <c r="T21" i="2"/>
  <c r="U21" i="2" s="1"/>
  <c r="T24" i="2"/>
  <c r="U24" i="2" s="1"/>
  <c r="T25" i="2"/>
  <c r="U25" i="2" s="1"/>
  <c r="T26" i="2"/>
  <c r="U26" i="2" s="1"/>
  <c r="T27" i="2"/>
  <c r="U27" i="2" s="1"/>
  <c r="T28" i="2"/>
  <c r="U28" i="2" s="1"/>
  <c r="T29" i="2"/>
  <c r="U29" i="2" s="1"/>
  <c r="T30" i="2"/>
  <c r="U30" i="2" s="1"/>
  <c r="T31" i="2"/>
  <c r="U31" i="2" s="1"/>
  <c r="T32" i="2"/>
  <c r="U32" i="2" s="1"/>
  <c r="T33" i="2"/>
  <c r="U33" i="2" s="1"/>
  <c r="T34" i="2"/>
  <c r="U34" i="2" s="1"/>
  <c r="T35" i="2"/>
  <c r="U35" i="2" s="1"/>
  <c r="T36" i="2"/>
  <c r="U36" i="2" s="1"/>
  <c r="T37" i="2"/>
  <c r="U37" i="2" s="1"/>
  <c r="T38" i="2"/>
  <c r="U38" i="2" s="1"/>
  <c r="T39" i="2"/>
  <c r="U39" i="2" s="1"/>
  <c r="T40" i="2"/>
  <c r="U40" i="2" s="1"/>
  <c r="T41" i="2"/>
  <c r="U41" i="2" s="1"/>
  <c r="T43" i="2"/>
  <c r="U43" i="2" s="1"/>
  <c r="T44" i="2"/>
  <c r="U44" i="2" s="1"/>
  <c r="T46" i="2"/>
  <c r="U46" i="2" s="1"/>
  <c r="T47" i="2"/>
  <c r="U47" i="2" s="1"/>
  <c r="T3" i="2"/>
  <c r="U3" i="2" s="1"/>
  <c r="R34" i="2"/>
  <c r="R35" i="2"/>
  <c r="R36" i="2"/>
  <c r="R37" i="2"/>
  <c r="R38" i="2"/>
  <c r="R39" i="2"/>
  <c r="R40" i="2"/>
  <c r="R41" i="2"/>
  <c r="R43" i="2"/>
  <c r="R44" i="2"/>
  <c r="R46" i="2"/>
  <c r="R47" i="2"/>
  <c r="R10" i="2"/>
  <c r="R22" i="2"/>
  <c r="R45" i="2"/>
  <c r="R54" i="2"/>
  <c r="R2" i="2"/>
  <c r="R13" i="2"/>
  <c r="R23" i="2"/>
  <c r="R42" i="2"/>
  <c r="R53" i="2"/>
  <c r="R4" i="2"/>
  <c r="R5" i="2"/>
  <c r="R6" i="2"/>
  <c r="R7" i="2"/>
  <c r="R8" i="2"/>
  <c r="R9" i="2"/>
  <c r="R11" i="2"/>
  <c r="R12" i="2"/>
  <c r="R14" i="2"/>
  <c r="R15" i="2"/>
  <c r="R16" i="2"/>
  <c r="R17" i="2"/>
  <c r="R18" i="2"/>
  <c r="R19" i="2"/>
  <c r="R20" i="2"/>
  <c r="R21" i="2"/>
  <c r="R24" i="2"/>
  <c r="R25" i="2"/>
  <c r="R26" i="2"/>
  <c r="R27" i="2"/>
  <c r="R28" i="2"/>
  <c r="R29" i="2"/>
  <c r="R30" i="2"/>
  <c r="R31" i="2"/>
  <c r="R32" i="2"/>
  <c r="R33" i="2"/>
  <c r="R3" i="2"/>
</calcChain>
</file>

<file path=xl/sharedStrings.xml><?xml version="1.0" encoding="utf-8"?>
<sst xmlns="http://schemas.openxmlformats.org/spreadsheetml/2006/main" count="1611" uniqueCount="659">
  <si>
    <t>Index</t>
  </si>
  <si>
    <t>Quantity</t>
  </si>
  <si>
    <t>Part Number</t>
  </si>
  <si>
    <t>Manufacturer Part Number</t>
  </si>
  <si>
    <t>Description</t>
  </si>
  <si>
    <t>Customer Reference</t>
  </si>
  <si>
    <t>Available</t>
  </si>
  <si>
    <t>Backorder</t>
  </si>
  <si>
    <t>Unit Price</t>
  </si>
  <si>
    <t>Extended Price USD</t>
  </si>
  <si>
    <t>399-9672-ND</t>
  </si>
  <si>
    <t>R60DF4330506AJ</t>
  </si>
  <si>
    <t>CAP FILM 3.3UF 5% 63VDC RADIAL</t>
  </si>
  <si>
    <t>RMCF0603ZT0R00CT-ND</t>
  </si>
  <si>
    <t>RMCF0603ZT0R00</t>
  </si>
  <si>
    <t>RES 0 OHM JUMPER 1/10W 0603</t>
  </si>
  <si>
    <t>296-8518-1-ND</t>
  </si>
  <si>
    <t>SN74LVC541ADBR</t>
  </si>
  <si>
    <t>IC BUF NON-INVERT 3.6V 20SSOP</t>
  </si>
  <si>
    <t>478-5318-1-ND</t>
  </si>
  <si>
    <t>06036D106MAT2A</t>
  </si>
  <si>
    <t>CAP CER 10UF 6.3V X5R 0603</t>
  </si>
  <si>
    <t>565-4285-1-ND</t>
  </si>
  <si>
    <t>APXG160ARA331MH70G</t>
  </si>
  <si>
    <t>CAP ALUM POLY 330UF 20% 16V SMD</t>
  </si>
  <si>
    <t>DS90LV048ATMTC/NOPB-ND</t>
  </si>
  <si>
    <t>DS90LV048ATMTC/NOPB</t>
  </si>
  <si>
    <t>IC RECEIVER 0/4 16TSSOP</t>
  </si>
  <si>
    <t>FIN1047MTCXFSCT-ND</t>
  </si>
  <si>
    <t>FIN1047MTCX</t>
  </si>
  <si>
    <t>IC DRIVER 4/0 16TSSOP</t>
  </si>
  <si>
    <t>WM5557-ND</t>
  </si>
  <si>
    <t>0734151471</t>
  </si>
  <si>
    <t>CONN MMCX JACK STR 50 OHM PCB</t>
  </si>
  <si>
    <t>732-6123-1-ND</t>
  </si>
  <si>
    <t>FERRITE BEAD 180 OHM 0805 1LN</t>
  </si>
  <si>
    <t>P4SMA12A-E3/61GICT-ND</t>
  </si>
  <si>
    <t>P4SMA12A-E3/61</t>
  </si>
  <si>
    <t>TVS DIODE 10.2V 16.7V DO214AC</t>
  </si>
  <si>
    <t>Manufacturer</t>
  </si>
  <si>
    <t>Digi-Key Part Number</t>
  </si>
  <si>
    <t>Reference Designator</t>
  </si>
  <si>
    <t>Packaging</t>
  </si>
  <si>
    <t>Part Status</t>
  </si>
  <si>
    <t>Extended Price</t>
  </si>
  <si>
    <t>Quantity Available</t>
  </si>
  <si>
    <t>Mfg Std Lead Time</t>
  </si>
  <si>
    <t>RoHS Status</t>
  </si>
  <si>
    <t>Lead Free Status</t>
  </si>
  <si>
    <t>REACH Status</t>
  </si>
  <si>
    <t>Cut Tape (CT)</t>
  </si>
  <si>
    <t>Active</t>
  </si>
  <si>
    <t>6 Weeks</t>
  </si>
  <si>
    <t>RoHS Compliant</t>
  </si>
  <si>
    <t>Lead free</t>
  </si>
  <si>
    <t>Not Available</t>
  </si>
  <si>
    <t>Tray</t>
  </si>
  <si>
    <t>10 Weeks</t>
  </si>
  <si>
    <t>Nexperia USA Inc.</t>
  </si>
  <si>
    <t>U10</t>
  </si>
  <si>
    <t>8 Weeks</t>
  </si>
  <si>
    <t>ROHS3 Compliant</t>
  </si>
  <si>
    <t>REACH Unaffected</t>
  </si>
  <si>
    <t>U1</t>
  </si>
  <si>
    <t>Tube</t>
  </si>
  <si>
    <t>Texas Instruments</t>
  </si>
  <si>
    <t>U2</t>
  </si>
  <si>
    <t>KEMET</t>
  </si>
  <si>
    <t>Bulk</t>
  </si>
  <si>
    <t>U8</t>
  </si>
  <si>
    <t>Microchip Technology</t>
  </si>
  <si>
    <t>C3</t>
  </si>
  <si>
    <t>Stackpole Electronics Inc</t>
  </si>
  <si>
    <t>R5</t>
  </si>
  <si>
    <t>20 Weeks</t>
  </si>
  <si>
    <t>Laird-Signal Integrity Products</t>
  </si>
  <si>
    <t>18 Weeks</t>
  </si>
  <si>
    <t>Samsung Electro-Mechanics</t>
  </si>
  <si>
    <t>HZ0805C202R-10</t>
  </si>
  <si>
    <t>240-2396-1-ND</t>
  </si>
  <si>
    <t>FB1</t>
  </si>
  <si>
    <t>FERRITE BEAD 2 KOHM 0805 1LN</t>
  </si>
  <si>
    <t>U9</t>
  </si>
  <si>
    <t>CC0603KRX7R8BB104</t>
  </si>
  <si>
    <t>Yageo</t>
  </si>
  <si>
    <t>311-1341-1-ND</t>
  </si>
  <si>
    <t>CAP CER 0.1UF 25V X7R 0603</t>
  </si>
  <si>
    <t>AVX Corporation</t>
  </si>
  <si>
    <t>United Chemi-Con</t>
  </si>
  <si>
    <t>C12</t>
  </si>
  <si>
    <t>16 Weeks</t>
  </si>
  <si>
    <t>D1</t>
  </si>
  <si>
    <t>Würth Elektronik</t>
  </si>
  <si>
    <t>732-9974-1-ND</t>
  </si>
  <si>
    <t>17 Weeks</t>
  </si>
  <si>
    <t>TVS DIODE 5V 9.2V DO214AC</t>
  </si>
  <si>
    <t>CAY16-330J4LF</t>
  </si>
  <si>
    <t>Bourns Inc.</t>
  </si>
  <si>
    <t>CAY16-330J4LFCT-ND</t>
  </si>
  <si>
    <t>RN1</t>
  </si>
  <si>
    <t>RES ARRAY 4 RES 33 OHM 1206</t>
  </si>
  <si>
    <t>U5</t>
  </si>
  <si>
    <t>ON Semiconductor</t>
  </si>
  <si>
    <t>U3</t>
  </si>
  <si>
    <t>R9</t>
  </si>
  <si>
    <t>R1</t>
  </si>
  <si>
    <t>R7</t>
  </si>
  <si>
    <t>RMCF0603FT33R0</t>
  </si>
  <si>
    <t>RMCF0603FT33R0CT-ND</t>
  </si>
  <si>
    <t>RES 33 OHM 1% 1/10W 0603</t>
  </si>
  <si>
    <t>R14</t>
  </si>
  <si>
    <t>Molex</t>
  </si>
  <si>
    <t>J2</t>
  </si>
  <si>
    <t>D4</t>
  </si>
  <si>
    <t>1540-2</t>
  </si>
  <si>
    <t>Keystone Electronics</t>
  </si>
  <si>
    <t>36-1540-2-ND</t>
  </si>
  <si>
    <t>TERM TURRET HOLLOW L=6.75MM TIN</t>
  </si>
  <si>
    <t>BOM quantity</t>
  </si>
  <si>
    <t>J1</t>
  </si>
  <si>
    <t>Cart extra</t>
  </si>
  <si>
    <t>Cart</t>
  </si>
  <si>
    <t>Reference</t>
  </si>
  <si>
    <t xml:space="preserve"> Quantity</t>
  </si>
  <si>
    <t xml:space="preserve"> Value</t>
  </si>
  <si>
    <t xml:space="preserve"> Footprint</t>
  </si>
  <si>
    <t xml:space="preserve"> Datasheet</t>
  </si>
  <si>
    <t xml:space="preserve"> DK line</t>
  </si>
  <si>
    <t xml:space="preserve"> Description</t>
  </si>
  <si>
    <t xml:space="preserve"> Digikey</t>
  </si>
  <si>
    <t xml:space="preserve"> MPN</t>
  </si>
  <si>
    <t xml:space="preserve"> Manufacturer</t>
  </si>
  <si>
    <t xml:space="preserve"> Notes</t>
  </si>
  <si>
    <t xml:space="preserve"> Category</t>
  </si>
  <si>
    <t xml:space="preserve"> DK_Datasheet_Link</t>
  </si>
  <si>
    <t xml:space="preserve"> DK_Detail_Page</t>
  </si>
  <si>
    <t xml:space="preserve"> Digi-Key_PN</t>
  </si>
  <si>
    <t xml:space="preserve"> Family</t>
  </si>
  <si>
    <t xml:space="preserve"> Status</t>
  </si>
  <si>
    <t xml:space="preserve">C101 C226 C326 </t>
  </si>
  <si>
    <t>OPT</t>
  </si>
  <si>
    <t>Capacitor_SMD:C_0805_2012Metric</t>
  </si>
  <si>
    <t>~</t>
  </si>
  <si>
    <t>Do Not Populate</t>
  </si>
  <si>
    <t>DNP</t>
  </si>
  <si>
    <t xml:space="preserve">C102 C103 C227 C228 C327 C328 </t>
  </si>
  <si>
    <t>6.8nF</t>
  </si>
  <si>
    <t>I.46</t>
  </si>
  <si>
    <t>6800pF Â±5% 50V Ceramic Capacitor C0G, NP0 0805 (2012 Metric)</t>
  </si>
  <si>
    <t>445-7515-1-ND</t>
  </si>
  <si>
    <t>C2012C0G1H682J060AA</t>
  </si>
  <si>
    <t>TDK Corporation</t>
  </si>
  <si>
    <t xml:space="preserve">C109 C234 C334 </t>
  </si>
  <si>
    <t>47uF</t>
  </si>
  <si>
    <t>Capacitor_SMD:C_1210_3225Metric</t>
  </si>
  <si>
    <t>https://api.kemet.com/component-edge/download/datasheet/C1210C476M9RACTU.pdf</t>
  </si>
  <si>
    <t>I.28</t>
  </si>
  <si>
    <t>CAP CER 47UF 6.3V X7R 1210</t>
  </si>
  <si>
    <t>399-5516-1-ND</t>
  </si>
  <si>
    <t>C1210C476M9RACTU</t>
  </si>
  <si>
    <t xml:space="preserve">C112 C114 C205 C206 C305 C306 </t>
  </si>
  <si>
    <t>2.2nF</t>
  </si>
  <si>
    <t>Capacitor_SMD:C_0603_1608Metric</t>
  </si>
  <si>
    <t>https://www.murata.com/~/media/webrenewal/support/library/catalog/products/capacitor/mlcc/c02e.ashx?la=en-us</t>
  </si>
  <si>
    <t>I.36</t>
  </si>
  <si>
    <t>2200pF Â±2% 50V Ceramic Capacitor C0G, NP0 0603 (1608 Metric)</t>
  </si>
  <si>
    <t>490-6381-1-ND</t>
  </si>
  <si>
    <t>GRM1885C1H222GA01D</t>
  </si>
  <si>
    <t>Murata Electronics</t>
  </si>
  <si>
    <t>2% C0G</t>
  </si>
  <si>
    <t xml:space="preserve">C122 C214 C314 </t>
  </si>
  <si>
    <t>3.3nF</t>
  </si>
  <si>
    <t>I.45</t>
  </si>
  <si>
    <t>3300pF Â±5% 50V Ceramic Capacitor C0G, NP0 0805 (2012 Metric)</t>
  </si>
  <si>
    <t>311-4211-1-ND</t>
  </si>
  <si>
    <t>CC0805JKNPO9BN332</t>
  </si>
  <si>
    <t xml:space="preserve">C127 C128 C219 C220 C319 C320 </t>
  </si>
  <si>
    <t>1nF</t>
  </si>
  <si>
    <t>https://media.digikey.com/pdf/Data%20Sheets/Yageo%20PDFs/CCseries_mlcc_2002.pdf</t>
  </si>
  <si>
    <t>I.1</t>
  </si>
  <si>
    <t>CAP CER 1000PF 100V NPO 0805</t>
  </si>
  <si>
    <t>311-3585-1-ND</t>
  </si>
  <si>
    <t>CC0805FRNPO0BN102</t>
  </si>
  <si>
    <t xml:space="preserve">C12 C13 </t>
  </si>
  <si>
    <t>47pF</t>
  </si>
  <si>
    <t>I.44</t>
  </si>
  <si>
    <t>47pF Â±5% 50V Ceramic Capacitor C0G, NP0 0603 (1608 Metric)</t>
  </si>
  <si>
    <t>311-1065-1-ND</t>
  </si>
  <si>
    <t>CC0603JRNPO9BN470</t>
  </si>
  <si>
    <t xml:space="preserve">C18 C19 C29 C30 C33 C34 C43 C44 C106 C107 C108 C231 C232 C233 C331 C332 C333 </t>
  </si>
  <si>
    <t>100nF</t>
  </si>
  <si>
    <t>I.2</t>
  </si>
  <si>
    <t xml:space="preserve">C1 C2 C35 C36 C37 C38 C41 C111 C129 C130 C203 C221 C222 C303 C321 C322 </t>
  </si>
  <si>
    <t>10nF</t>
  </si>
  <si>
    <t>I.14</t>
  </si>
  <si>
    <t>CAP CER 10000PF 50V C0G/NP0 0805</t>
  </si>
  <si>
    <t>490-8296-1-ND</t>
  </si>
  <si>
    <t>GRM2195C1H103GA01D</t>
  </si>
  <si>
    <t xml:space="preserve">C6 C24 C104 C105 C229 C230 C329 C330 </t>
  </si>
  <si>
    <t>10uF</t>
  </si>
  <si>
    <t>http://datasheets.avx.com/cx5r.pdf</t>
  </si>
  <si>
    <t>I.29</t>
  </si>
  <si>
    <t xml:space="preserve">C3 C4 C8 C9 C10 C16 C17 C22 C23 C27 C28 C39 C40 C113 C115 C116 C117 C118 C123 C124 C125 C126 C131 C132 C134 C135 C204 C207 C208 C209 C210 C211 C215 C216 C217 C218 C223 C224 C225 C304 C307 C308 C309 C310 C311 C315 C316 C317 C318 C323 C324 C325 </t>
  </si>
  <si>
    <t>1uF</t>
  </si>
  <si>
    <t>https://media.digikey.com/pdf/Data%20Sheets/Samsung%20PDFs/CL_Series_MLCC_ds.pdf</t>
  </si>
  <si>
    <t>I.27</t>
  </si>
  <si>
    <t xml:space="preserve">CAP CER 1UF 16V X7R 0805 </t>
  </si>
  <si>
    <t>1276-6471-1-ND</t>
  </si>
  <si>
    <t>CL21B105KOFNNNG</t>
  </si>
  <si>
    <t xml:space="preserve">C42 </t>
  </si>
  <si>
    <t>3.3 uF</t>
  </si>
  <si>
    <t>Capacitor_THT:C_Rect_L13.0mm_W6.0mm_P10.00mm_FKS3_FKP3_MKS4</t>
  </si>
  <si>
    <t>https://api.kemet.com/component-edge/download/datasheet/R60DF4330506AJ.pdf</t>
  </si>
  <si>
    <t>M.6</t>
  </si>
  <si>
    <t xml:space="preserve">C5 C7 C11 C14 C15 C20 C21 C25 C26 C110 C119 C133 C201 C202 C235 C301 C302 C335 </t>
  </si>
  <si>
    <t>330uF</t>
  </si>
  <si>
    <t>Capacitor_SMD:CP_Elec_8x6.7</t>
  </si>
  <si>
    <t>http://www.chemi-con.co.jp/cgi-bin/CAT_DB/SEARCH/cat_db_al.cgi?e=e&amp;j=p&amp;pdfname=pxg</t>
  </si>
  <si>
    <t>I.19</t>
  </si>
  <si>
    <t>16V aluminum solid polymer, ESR 22 mOhm</t>
  </si>
  <si>
    <t xml:space="preserve">D1 D2 D103 D104 D105 D106 D107 D108 D109 D110 D201 D205 D206 D207 D208 D209 D210 D211 D301 D302 D306 D307 D308 D309 D310 D311 </t>
  </si>
  <si>
    <t>BAS21S</t>
  </si>
  <si>
    <t>Package_TO_SOT_SMD:SOT-23</t>
  </si>
  <si>
    <t>http://www.onsemi.com/pub/Collateral/BAS21SLT1-D.PDF</t>
  </si>
  <si>
    <t>I.43</t>
  </si>
  <si>
    <t>DIODE ARRAY GP 250V 225MA SOT23</t>
  </si>
  <si>
    <t>BAS21SLT1GOSCT-ND</t>
  </si>
  <si>
    <t>BAS21SLT1G</t>
  </si>
  <si>
    <t xml:space="preserve">D10 D11 D16 D111 D202 D303 </t>
  </si>
  <si>
    <t>5V (standoff)</t>
  </si>
  <si>
    <t>Diode_SMD:D_SMA</t>
  </si>
  <si>
    <t>https://katalog.we-online.de/pbs/datasheet/824500500.pdf</t>
  </si>
  <si>
    <t>I.40</t>
  </si>
  <si>
    <t>WÃ¼rth Elektronik</t>
  </si>
  <si>
    <t xml:space="preserve">D4 D8 D15 </t>
  </si>
  <si>
    <t>10V (standoff)</t>
  </si>
  <si>
    <t>I.41</t>
  </si>
  <si>
    <t>TVS DIODE 10V 17V DO214AC</t>
  </si>
  <si>
    <t>Vishay General Semiconductor - Diodes Division</t>
  </si>
  <si>
    <t xml:space="preserve">F1 F2 </t>
  </si>
  <si>
    <t>750 mA 90 mOhm</t>
  </si>
  <si>
    <t>input:Fuse_BEL_0ZCJ_1206_3216Metric</t>
  </si>
  <si>
    <t>https://www.belfuse.com/resources/datasheets/circuitprotection/ds-cp-0zcj-series.pdf</t>
  </si>
  <si>
    <t>I.21</t>
  </si>
  <si>
    <t>PTC RESET FUSE 16V 750MA 1206</t>
  </si>
  <si>
    <t>507-1805-1-ND</t>
  </si>
  <si>
    <t>0ZCJ0075AF2E</t>
  </si>
  <si>
    <t>Bel Fuse Inc.</t>
  </si>
  <si>
    <t xml:space="preserve">FB103 FB104 FB105 FB201 FB202 FB205 FB301 FB302 FB305 </t>
  </si>
  <si>
    <t>21 Ohm</t>
  </si>
  <si>
    <t>Inductor_SMD:L_0805_2012Metric</t>
  </si>
  <si>
    <t>https://www.yuden.co.jp/productdata/catalog/chipbeads01_e.pdf</t>
  </si>
  <si>
    <t>I.24</t>
  </si>
  <si>
    <t>FERRITE BEAD 21 OHM 0805, 100 nH, 5 mOhm</t>
  </si>
  <si>
    <t>587-1765-1-ND</t>
  </si>
  <si>
    <t>FBMJ2125HM210NT</t>
  </si>
  <si>
    <t>Taiyo Yuden</t>
  </si>
  <si>
    <t>Ferrite Beads and Chips</t>
  </si>
  <si>
    <t xml:space="preserve">FB1 FB2 FB3 FB4 </t>
  </si>
  <si>
    <t>180 Ohm</t>
  </si>
  <si>
    <t>https://katalog.we-online.de/pbs/datasheet/74279220181.pdf</t>
  </si>
  <si>
    <t>M.36</t>
  </si>
  <si>
    <t xml:space="preserve">FB7 </t>
  </si>
  <si>
    <t>2K Ohm</t>
  </si>
  <si>
    <t>https://assets.lairdtech.com/home/brandworld/files/Catalog_EMI%20FILTERING%20RF%200717.pdf</t>
  </si>
  <si>
    <t>I.5</t>
  </si>
  <si>
    <t>Filters</t>
  </si>
  <si>
    <t>https://product.tdk.com/info/en/catalog/datasheets/beads_commercial_power_mpz2012_en.pdf</t>
  </si>
  <si>
    <t>/product-detail/en/tdk-corporation/MPZ2012S601AT000/445-2206-1-ND/765104</t>
  </si>
  <si>
    <t xml:space="preserve"> 240-2396-1-ND</t>
  </si>
  <si>
    <t xml:space="preserve">J1 </t>
  </si>
  <si>
    <t>Sensor</t>
  </si>
  <si>
    <t>input:RJ45_Amphenol_RJHSE5380</t>
  </si>
  <si>
    <t>https://cdn.amphenol-icc.com/media/wysiwyg/files/drawing/rjhse538x.pdf</t>
  </si>
  <si>
    <t>I.18</t>
  </si>
  <si>
    <t>CONN MOD JACK 8P8C R/A SHIELDED</t>
  </si>
  <si>
    <t>RJHSE5387-ND</t>
  </si>
  <si>
    <t>RJHSE5387</t>
  </si>
  <si>
    <t>Amphenol ICC (Commercial Products)</t>
  </si>
  <si>
    <t xml:space="preserve">J101 J201 J301 </t>
  </si>
  <si>
    <t>Gain</t>
  </si>
  <si>
    <t>Connector_PinHeader_2.00mm:PinHeader_2x02_P2.00mm_Vertical_SMD</t>
  </si>
  <si>
    <t>I.32</t>
  </si>
  <si>
    <t>CONN HEADER SMD 4POS 2MM</t>
  </si>
  <si>
    <t>S6009-02-ND</t>
  </si>
  <si>
    <t>NRPN022MAMS-RC</t>
  </si>
  <si>
    <t>Sullins Connector Solutions</t>
  </si>
  <si>
    <t xml:space="preserve">J102 J202 J302 </t>
  </si>
  <si>
    <t>Connector_Coaxial:MMCX_Molex_73415-1471_Vertical</t>
  </si>
  <si>
    <t xml:space="preserve"> ~</t>
  </si>
  <si>
    <t>I.35</t>
  </si>
  <si>
    <t xml:space="preserve">J103 J203 J303 </t>
  </si>
  <si>
    <t xml:space="preserve">J2 </t>
  </si>
  <si>
    <t>SCKB</t>
  </si>
  <si>
    <t xml:space="preserve">J3 </t>
  </si>
  <si>
    <t>Decimate</t>
  </si>
  <si>
    <t xml:space="preserve">J4 </t>
  </si>
  <si>
    <t>SCKA</t>
  </si>
  <si>
    <t xml:space="preserve">J5 </t>
  </si>
  <si>
    <t>MCLK</t>
  </si>
  <si>
    <t xml:space="preserve">J6 </t>
  </si>
  <si>
    <t>SDOB1</t>
  </si>
  <si>
    <t xml:space="preserve">P1 </t>
  </si>
  <si>
    <t>my_pcie_8x</t>
  </si>
  <si>
    <t>input:BUS_PCIexpress_x8</t>
  </si>
  <si>
    <t xml:space="preserve">Q1 Q3 </t>
  </si>
  <si>
    <t>NSS1C300ET4G</t>
  </si>
  <si>
    <t>Package_TO_SOT_SMD:TO-252-3_TabPin2</t>
  </si>
  <si>
    <t>http://www.onsemi.com/pub/Collateral/MJD31-D.PDF</t>
  </si>
  <si>
    <t>I.23</t>
  </si>
  <si>
    <t>TRANS PNP 100V 3A 3DPAK</t>
  </si>
  <si>
    <t>NSS1C300ET4GOSCT-ND</t>
  </si>
  <si>
    <t xml:space="preserve">Q2 </t>
  </si>
  <si>
    <t>2STD1665T4</t>
  </si>
  <si>
    <t>http://www.st.com/content/ccc/resource/technical/document/datasheet/group2/a4/1a/10/b8/53/ac/42/a3/CD00110236/files/CD00110236.pdf/jcr:content/translations/en.CD00110236.pdf</t>
  </si>
  <si>
    <t>I.22</t>
  </si>
  <si>
    <t>TRANS NPN 65V 6A DPAK</t>
  </si>
  <si>
    <t>497-5236-1-ND</t>
  </si>
  <si>
    <t>STMicroelectronics</t>
  </si>
  <si>
    <t xml:space="preserve">R107 R109 R203 R204 R303 R304 </t>
  </si>
  <si>
    <t>Resistor_SMD:R_0603_1608Metric</t>
  </si>
  <si>
    <t>I.47</t>
  </si>
  <si>
    <t>698 Ohms Â±0.5% 0.1W, 1/10W Chip Resistor 0603 (1608 Metric)  Thin Film</t>
  </si>
  <si>
    <t>311-2653-1-ND</t>
  </si>
  <si>
    <t>RT0603DRE07698RL</t>
  </si>
  <si>
    <t xml:space="preserve">R8 R10 R11 R13 R129 R130 R227 R228 R327 R328 </t>
  </si>
  <si>
    <t>Resistor_SMD:R_0805_2012Metric</t>
  </si>
  <si>
    <t>http://www.vishay.com/docs/28758/tnpw_e3.pdf</t>
  </si>
  <si>
    <t>I.30</t>
  </si>
  <si>
    <t>RES SMD 499 OHM 0.1% 1/4W 0805</t>
  </si>
  <si>
    <t>A110514CT-ND</t>
  </si>
  <si>
    <t>8-2176091-9</t>
  </si>
  <si>
    <t>TE Connectivity Passive Product</t>
  </si>
  <si>
    <t xml:space="preserve">R12 R20 </t>
  </si>
  <si>
    <t>I.49</t>
  </si>
  <si>
    <t>392 Ohms Â±1% 0.125W, 1/8W Chip Resistor 0603 (1608 Metric) Anti-Sulfur, Moisture Resistant Thin Film</t>
  </si>
  <si>
    <t>RNCP0603FTD392RCT-ND</t>
  </si>
  <si>
    <t>RNCP0603FTD392R</t>
  </si>
  <si>
    <t xml:space="preserve">R120 R121 R122 R123 R218 R219 R220 R221 R318 R319 R320 R321 </t>
  </si>
  <si>
    <t>10K</t>
  </si>
  <si>
    <t>I.56</t>
  </si>
  <si>
    <t>RES SMD 10K OHM 0.1% 1/10W 0603</t>
  </si>
  <si>
    <t>P10KDBCT-ND</t>
  </si>
  <si>
    <t>ERA-3AEB103V</t>
  </si>
  <si>
    <t>Panasonic Electronic Components</t>
  </si>
  <si>
    <t xml:space="preserve">R127 R225 R325 </t>
  </si>
  <si>
    <t>I.57</t>
  </si>
  <si>
    <t>243 Ohms Â±0.1% 0.1W, 1/10W Chip Resistor 0603 (1608 Metric) Automotive AEC-Q200 Thin Film</t>
  </si>
  <si>
    <t>P243DBCT-ND</t>
  </si>
  <si>
    <t>ERA-3AEB2430V</t>
  </si>
  <si>
    <t xml:space="preserve">R15 R16 R101 R102 R115 R116 R117 R118 R124 R125 R209 R210 R211 R212 R222 R223 R229 R230 R309 R310 R311 R312 R322 R323 R329 R330 </t>
  </si>
  <si>
    <t>http://www.vishay.com/docs/20043/crcwhpe3.pdf</t>
  </si>
  <si>
    <t>I.9</t>
  </si>
  <si>
    <t>RES SMD 10 OHM 5% 1/2W 0805</t>
  </si>
  <si>
    <t>541-10TACT-ND</t>
  </si>
  <si>
    <t>CRCW080510R0JNEAHP</t>
  </si>
  <si>
    <t>Vishay Dale</t>
  </si>
  <si>
    <t>Thick film surge resist</t>
  </si>
  <si>
    <t xml:space="preserve">R17 R18 R43 R103 R104 R232 R233 R332 R333 </t>
  </si>
  <si>
    <t>I.52</t>
  </si>
  <si>
    <t xml:space="preserve">R21 R22 R23 R24 R25 R26 R42 R119 R217 R317 </t>
  </si>
  <si>
    <t>I.55</t>
  </si>
  <si>
    <t>200 Ohms Â±1% 0.125W, 1/8W Chip Resistor 0603 (1608 Metric) Anti-Sulfur, Moisture Resistant Thin Film</t>
  </si>
  <si>
    <t>RNCP0603FTD200RCT-ND</t>
  </si>
  <si>
    <t>RNCP0603FTD200R</t>
  </si>
  <si>
    <t xml:space="preserve">R27 R28 R37 R40 R44 R111 R112 R205 R206 R305 R306 </t>
  </si>
  <si>
    <t>3.3K</t>
  </si>
  <si>
    <t>I.53</t>
  </si>
  <si>
    <t>3.3 kOhms Â±1% 0.1W, 1/10W Chip Resistor 0603 (1608 Metric)  Thin Film</t>
  </si>
  <si>
    <t>YAG3354CT-ND</t>
  </si>
  <si>
    <t>RT0603FRE073K3L</t>
  </si>
  <si>
    <t xml:space="preserve">R29 R30 R31 R126 R224 R324 </t>
  </si>
  <si>
    <t>I.51</t>
  </si>
  <si>
    <t>100 Ohms Â±0.1% 0.1W, 1/10W Chip Resistor 0603 (1608 Metric) Automotive AEC-Q200 Thin Film</t>
  </si>
  <si>
    <t>P100DBCT-ND</t>
  </si>
  <si>
    <t>ERA-3AEB101V</t>
  </si>
  <si>
    <t xml:space="preserve">R32 R33 R34 R35 R105 R106 R108 R110 R128 R201 R202 R207 R208 R226 R301 R302 R307 R308 R326 </t>
  </si>
  <si>
    <t>1K</t>
  </si>
  <si>
    <t>I.48</t>
  </si>
  <si>
    <t>RES SMD 1K OHM 0.1% 1/10W 0603</t>
  </si>
  <si>
    <t>P1.0KDBCT-ND</t>
  </si>
  <si>
    <t>ERA-3AEB102V</t>
  </si>
  <si>
    <t xml:space="preserve">R38 </t>
  </si>
  <si>
    <t>?</t>
  </si>
  <si>
    <t>M.12</t>
  </si>
  <si>
    <t xml:space="preserve">R39 R113 R114 R131 R132 R213 R214 R215 R216 R313 R314 R315 R316 </t>
  </si>
  <si>
    <t>200K</t>
  </si>
  <si>
    <t>I.54</t>
  </si>
  <si>
    <t>200 kOhms Â±1% 0.1W, 1/10W Chip Resistor 0603 (1608 Metric)  Thin Film</t>
  </si>
  <si>
    <t>YAG5945CT-ND</t>
  </si>
  <si>
    <t>RT0603FRE07200KL</t>
  </si>
  <si>
    <t xml:space="preserve">R1 R2 R3 R4 R36 </t>
  </si>
  <si>
    <t>2K</t>
  </si>
  <si>
    <t>https://industrial.panasonic.com/cdbs/www-data/pdf/RDM0000/AOA0000C307.pdf</t>
  </si>
  <si>
    <t>I.17</t>
  </si>
  <si>
    <t>RES 2K OHM 0.1% 1/8W 0805</t>
  </si>
  <si>
    <t>P2.0KDACT-ND</t>
  </si>
  <si>
    <t>ERA-6AEB202V</t>
  </si>
  <si>
    <t>I.50</t>
  </si>
  <si>
    <t>301 Ohms Â±1% 0.125W, 1/8W Chip Resistor 0603 (1608 Metric) Anti-Sulfur, Moisture Resistant Thin Film</t>
  </si>
  <si>
    <t>RNCP0603FTD301RCT-ND</t>
  </si>
  <si>
    <t>RNCP0603FTD301R</t>
  </si>
  <si>
    <t xml:space="preserve">R6 </t>
  </si>
  <si>
    <t>Resistor_SMD:R_1206_3216Metric</t>
  </si>
  <si>
    <t>http://www.koaspeer.com/catimages/Products/RK73H/RK73H.pdf</t>
  </si>
  <si>
    <t>I.16</t>
  </si>
  <si>
    <t>2.74 Ohms Â±1% 0.25W, 1/4W Chip Resistor 1206 (3216 Metric) Automotive AEC-Q200, Moisture Resistant Thick Film</t>
  </si>
  <si>
    <t>2019-RK73H2BTTD2R74FCT-ND</t>
  </si>
  <si>
    <t>RK73H2BTTD2R74F</t>
  </si>
  <si>
    <t>KOA Speer Electronics, Inc.</t>
  </si>
  <si>
    <t xml:space="preserve">R133 R231 R331 R601 </t>
  </si>
  <si>
    <t>GND lift</t>
  </si>
  <si>
    <t xml:space="preserve">R7 </t>
  </si>
  <si>
    <t>68m</t>
  </si>
  <si>
    <t>https://www.yageo.com/upload/media/product/productsearch/datasheet/rchip/PYu-RL_Group_521_RoHS_L_2.pdf</t>
  </si>
  <si>
    <t>I.10</t>
  </si>
  <si>
    <t>RES 0.068 OHM 1% 1/4W 1206</t>
  </si>
  <si>
    <t>311-.068LWCT-ND</t>
  </si>
  <si>
    <t>RL1206FR-070R068L</t>
  </si>
  <si>
    <t xml:space="preserve">RN1 RN2 </t>
  </si>
  <si>
    <t>Resistor_SMD:R_Array_Convex_4x0603</t>
  </si>
  <si>
    <t>https://www.bourns.com/docs/Product-Datasheets/CATCAY.pdf</t>
  </si>
  <si>
    <t xml:space="preserve">TP1 </t>
  </si>
  <si>
    <t>X+</t>
  </si>
  <si>
    <t>TestPoint:TestPoint_THTPad_D1.5mm_Drill0.7mm</t>
  </si>
  <si>
    <t xml:space="preserve">TP101 TP205 TP305 </t>
  </si>
  <si>
    <t>DRL</t>
  </si>
  <si>
    <t xml:space="preserve">TP102 TP206 TP306 </t>
  </si>
  <si>
    <t>BUSY</t>
  </si>
  <si>
    <t xml:space="preserve">TP103 TP209 TP309 </t>
  </si>
  <si>
    <t>SDOA</t>
  </si>
  <si>
    <t xml:space="preserve">TP105 TP201 TP301 </t>
  </si>
  <si>
    <t xml:space="preserve">TP106 TP202 TP302 </t>
  </si>
  <si>
    <t xml:space="preserve">TP107 TP203 TP303 </t>
  </si>
  <si>
    <t xml:space="preserve">TP108 TP204 TP304 </t>
  </si>
  <si>
    <t xml:space="preserve">TP109 TP207 TP307 </t>
  </si>
  <si>
    <t>GND</t>
  </si>
  <si>
    <t>TestPoint:TestPoint_Keystone_5000-5004_Miniature</t>
  </si>
  <si>
    <t xml:space="preserve">TP110 TP208 TP308 </t>
  </si>
  <si>
    <t>VREF</t>
  </si>
  <si>
    <t xml:space="preserve">TP2 </t>
  </si>
  <si>
    <t>X-</t>
  </si>
  <si>
    <t xml:space="preserve">TP3 </t>
  </si>
  <si>
    <t>SYNC</t>
  </si>
  <si>
    <t xml:space="preserve">TP4 TP10 </t>
  </si>
  <si>
    <t>input:TestPoint_THTPad_D5.0mm_Drill2.41mm</t>
  </si>
  <si>
    <t>I.33</t>
  </si>
  <si>
    <t xml:space="preserve">TP5 </t>
  </si>
  <si>
    <t xml:space="preserve">TP6 </t>
  </si>
  <si>
    <t>+3.3V</t>
  </si>
  <si>
    <t xml:space="preserve">TP7 </t>
  </si>
  <si>
    <t>+2.5V</t>
  </si>
  <si>
    <t xml:space="preserve">TP8 </t>
  </si>
  <si>
    <t>+8V</t>
  </si>
  <si>
    <t xml:space="preserve">TP9 </t>
  </si>
  <si>
    <t>-4V</t>
  </si>
  <si>
    <t xml:space="preserve">U1 </t>
  </si>
  <si>
    <t>DS90LV048</t>
  </si>
  <si>
    <t>Package_SO:TSSOP-16_4.4x5mm_P0.65mm</t>
  </si>
  <si>
    <t>http://www.ti.com/general/docs/suppproductinfo.tsp?distId=10&amp;gotoUrl=http%3A%2F%2Fwww.ti.com%2Flit%2Fgpn%2Fds90lv048a</t>
  </si>
  <si>
    <t>I.39</t>
  </si>
  <si>
    <t>0/4 Receiver  LVDS 16-TSSOP</t>
  </si>
  <si>
    <t xml:space="preserve">U10 </t>
  </si>
  <si>
    <t>24LC256</t>
  </si>
  <si>
    <t>Package_SO:MSOP-8_3x3mm_P0.65mm</t>
  </si>
  <si>
    <t>http://ww1.microchip.com/downloads/en/devicedoc/21203m.pdf</t>
  </si>
  <si>
    <t>I.59</t>
  </si>
  <si>
    <t>IC EEPROM 256KBIT I2C 8MSOP</t>
  </si>
  <si>
    <t>24LC256T-I/MSCT-ND</t>
  </si>
  <si>
    <t>24LC256T-I/MS</t>
  </si>
  <si>
    <t xml:space="preserve">U101 U202 U302 </t>
  </si>
  <si>
    <t>AD8599</t>
  </si>
  <si>
    <t>Package_SO:SOIC-8_3.9x4.9mm_P1.27mm</t>
  </si>
  <si>
    <t>https://www.analog.com/media/en/technical-documentation/data-sheets/AD8597_8599.pdf</t>
  </si>
  <si>
    <t>I.12</t>
  </si>
  <si>
    <t>IC OPAMP GP 2 CIRCUIT 8SOIC</t>
  </si>
  <si>
    <t>AD8599ARZ-ND</t>
  </si>
  <si>
    <t>AD8599ARZ</t>
  </si>
  <si>
    <t>Analog Devices Inc.</t>
  </si>
  <si>
    <t xml:space="preserve">U102 U203 U303 </t>
  </si>
  <si>
    <t>LTC2512-24</t>
  </si>
  <si>
    <t>input:DFN-24-1EP_4x7mm_P0.5mm_EP2.64x6.44mm</t>
  </si>
  <si>
    <t>I.3</t>
  </si>
  <si>
    <t>IC ADC 24BIT SAR 24DFN</t>
  </si>
  <si>
    <t>LTC2512CDKD-24#PBF-ND</t>
  </si>
  <si>
    <t>LTC2512CDKD-24#PBF</t>
  </si>
  <si>
    <t>Linear Technology/Analog Devices</t>
  </si>
  <si>
    <t xml:space="preserve">U104 U201 U301 </t>
  </si>
  <si>
    <t>THS4131</t>
  </si>
  <si>
    <t>http://www.ti.com/general/docs/suppproductinfo.tsp?distId=10&amp;gotoUrl=http%3A%2F%2Fwww.ti.com%2Flit%2Fgpn%2Fths4131</t>
  </si>
  <si>
    <t>I.42</t>
  </si>
  <si>
    <t>IC OPAMP DIFF 1 CIRCUIT 8SOIC</t>
  </si>
  <si>
    <t>296-46339-1-ND</t>
  </si>
  <si>
    <t>THS4131CDR</t>
  </si>
  <si>
    <t xml:space="preserve">U11 </t>
  </si>
  <si>
    <t>74LVC1G384</t>
  </si>
  <si>
    <t>Package_SO:TSOP-5_1.65x3.05mm_P0.95mm</t>
  </si>
  <si>
    <t>https://assets.nexperia.com/documents/data-sheet/74LVC1G384.pdf</t>
  </si>
  <si>
    <t>I.60</t>
  </si>
  <si>
    <t>IC SWITCH SPST 5TSOP</t>
  </si>
  <si>
    <t>1727-6075-1-ND</t>
  </si>
  <si>
    <t>74LVC1G384GV,125</t>
  </si>
  <si>
    <t xml:space="preserve">U2 </t>
  </si>
  <si>
    <t>FIN1047</t>
  </si>
  <si>
    <t>https://www.onsemi.com/pub/Collateral/FIN1047-D.pdf</t>
  </si>
  <si>
    <t>I.38</t>
  </si>
  <si>
    <t xml:space="preserve">U3 </t>
  </si>
  <si>
    <t>OPA2210</t>
  </si>
  <si>
    <t>D.1</t>
  </si>
  <si>
    <t>IC OPAMP 2 CIRCUIT</t>
  </si>
  <si>
    <t>296-OPA2210IDRCT-ND</t>
  </si>
  <si>
    <t>OPA2210IDR</t>
  </si>
  <si>
    <t xml:space="preserve">U4 U6 </t>
  </si>
  <si>
    <t>OPA830</t>
  </si>
  <si>
    <t>http://www.ti.com/general/docs/suppproductinfo.tsp?distId=10&amp;gotoUrl=http%3A%2F%2Fwww.ti.com%2Flit%2Fgpn%2Fopa830</t>
  </si>
  <si>
    <t>I.20</t>
  </si>
  <si>
    <t>IC OPAMP VFB 1 CIRCUIT 8SOIC</t>
  </si>
  <si>
    <t>296-17400-5-ND</t>
  </si>
  <si>
    <t>OPA830ID</t>
  </si>
  <si>
    <t xml:space="preserve">U5 </t>
  </si>
  <si>
    <t>74LVC541A</t>
  </si>
  <si>
    <t>input:my-SSOP-20_5.3x7.2mm_P0.65mm</t>
  </si>
  <si>
    <t>http://www.ti.com/lit/gpn/sn74LS541</t>
  </si>
  <si>
    <t>I.11</t>
  </si>
  <si>
    <t xml:space="preserve">U7 U8 </t>
  </si>
  <si>
    <t>NCP1117STAT3G</t>
  </si>
  <si>
    <t>Package_TO_SOT_SMD:SOT-223</t>
  </si>
  <si>
    <t>https://www.onsemi.com/pub/Collateral/NCP1117-D.PDF</t>
  </si>
  <si>
    <t>I.26</t>
  </si>
  <si>
    <t>IC REG LINEAR POS ADJ 1A SOT223</t>
  </si>
  <si>
    <t>NCP1117STAT3GOSCT-ND</t>
  </si>
  <si>
    <t xml:space="preserve">U9 </t>
  </si>
  <si>
    <t>OPA1679</t>
  </si>
  <si>
    <t>Package_SO:SOIC-14_3.9x8.7mm_P1.27mm</t>
  </si>
  <si>
    <t>http://www.ti.com/general/docs/suppproductinfo.tsp?distId=10&amp;gotoUrl=http%3A%2F%2Fwww.ti.com%2Flit%2Fgpn%2Fopa1679</t>
  </si>
  <si>
    <t>I.31</t>
  </si>
  <si>
    <t>IC AUDIO 4 CIRCUIT 14SOIC</t>
  </si>
  <si>
    <t>296-46621-1-ND</t>
  </si>
  <si>
    <t>OPA1679IDR</t>
  </si>
  <si>
    <t>Integrated Circuits (ICs)</t>
  </si>
  <si>
    <t>http://www.ti.com/general/docs/suppproductinfo.tsp?distId=10&amp;gotoUrl=http%3A%2F%2Fwww.ti.com%2Flit%2Fgpn%2Flm224</t>
  </si>
  <si>
    <t>/product-detail/en/texas-instruments/LM324ADR/296-9540-1-ND/405286</t>
  </si>
  <si>
    <t>296-9540-1-ND</t>
  </si>
  <si>
    <t>Linear - Amplifiers - Instrumentation, OP Amps, Buffer Amps</t>
  </si>
  <si>
    <t>C31</t>
  </si>
  <si>
    <t>24 Weeks</t>
  </si>
  <si>
    <t>C18</t>
  </si>
  <si>
    <t>U102</t>
  </si>
  <si>
    <t>FB5</t>
  </si>
  <si>
    <t>7 Weeks</t>
  </si>
  <si>
    <t>R15</t>
  </si>
  <si>
    <t>U101</t>
  </si>
  <si>
    <t>I.13</t>
  </si>
  <si>
    <t>14 Weeks</t>
  </si>
  <si>
    <t>C1, C2, C32</t>
  </si>
  <si>
    <t>12 Weeks</t>
  </si>
  <si>
    <t>R6</t>
  </si>
  <si>
    <t>RES 2.74 OHM 1% 1/4W 1206</t>
  </si>
  <si>
    <t>APXG160ARA331MHA0G</t>
  </si>
  <si>
    <t>565-4287-1-ND</t>
  </si>
  <si>
    <t>C7</t>
  </si>
  <si>
    <t>U4, U6</t>
  </si>
  <si>
    <t>MF-NSMF050-2</t>
  </si>
  <si>
    <t>MF-NSMF050-2CT-ND</t>
  </si>
  <si>
    <t>F1, F2</t>
  </si>
  <si>
    <t>PTC RESET FUSE 13.2V 500MA 1206</t>
  </si>
  <si>
    <t>Q2</t>
  </si>
  <si>
    <t>Q1</t>
  </si>
  <si>
    <t>FERRITE BEAD 21 OHM 0805 1LN</t>
  </si>
  <si>
    <t>22 Weeks</t>
  </si>
  <si>
    <t>CAP CER 1UF 16V X7R 0805</t>
  </si>
  <si>
    <t>C5, C6, C109</t>
  </si>
  <si>
    <t>19 Weeks</t>
  </si>
  <si>
    <t>C24, C104, C105</t>
  </si>
  <si>
    <t>15 Weeks</t>
  </si>
  <si>
    <t>35 Weeks</t>
  </si>
  <si>
    <t>J3</t>
  </si>
  <si>
    <t>9 Weeks</t>
  </si>
  <si>
    <t>C112</t>
  </si>
  <si>
    <t>CAP CER 2200PF 50V C0G/NP0 0603</t>
  </si>
  <si>
    <t>D9</t>
  </si>
  <si>
    <t>REACH Affected</t>
  </si>
  <si>
    <t>31 Weeks</t>
  </si>
  <si>
    <t>U104</t>
  </si>
  <si>
    <t>46 Weeks</t>
  </si>
  <si>
    <t>CAP CER 47PF 50V C0G/NPO 0603</t>
  </si>
  <si>
    <t>C122</t>
  </si>
  <si>
    <t>CAP CER 3300PF 50V NPO 0805</t>
  </si>
  <si>
    <t>CGA4C2C0G1H682J060AA</t>
  </si>
  <si>
    <t>445-6945-1-ND</t>
  </si>
  <si>
    <t>C102</t>
  </si>
  <si>
    <t>CAP CER 6800PF 50V C0G 0805</t>
  </si>
  <si>
    <t>R107</t>
  </si>
  <si>
    <t>RES SMD 698 OHM 0.5% 1/10W 0603</t>
  </si>
  <si>
    <t>R12</t>
  </si>
  <si>
    <t>RES 392 OHM 1% 1/8W 0603</t>
  </si>
  <si>
    <t>RES 301 OHM 1% 1/8W 0603</t>
  </si>
  <si>
    <t>R126</t>
  </si>
  <si>
    <t>RES SMD 100 OHM 0.1% 1/10W 0603</t>
  </si>
  <si>
    <t>R17</t>
  </si>
  <si>
    <t>R23</t>
  </si>
  <si>
    <t>RES SMD 3.3K OHM 1% 1/10W 0603</t>
  </si>
  <si>
    <t>R113</t>
  </si>
  <si>
    <t>RES SMD 200K OHM 1% 1/10W 0603</t>
  </si>
  <si>
    <t>R21</t>
  </si>
  <si>
    <t>RES 200 OHM 1% 1/8W 0603</t>
  </si>
  <si>
    <t>R120</t>
  </si>
  <si>
    <t>R127</t>
  </si>
  <si>
    <t>RES SMD 243 OHM 0.1% 1/10W 0603</t>
  </si>
  <si>
    <t>U11</t>
  </si>
  <si>
    <t>Kicad</t>
  </si>
  <si>
    <t>Kicad diff</t>
  </si>
  <si>
    <t>21 Weeks</t>
  </si>
  <si>
    <t xml:space="preserve">R5 R9 R14 R19 R41 </t>
  </si>
  <si>
    <t>https://www.seielect.com/catalog/sei-rncp.pdf</t>
  </si>
  <si>
    <t>MPN match</t>
  </si>
  <si>
    <t>0.5% or better</t>
  </si>
  <si>
    <t>RT0603BRD071KL</t>
  </si>
  <si>
    <t>YAG1237CT-ND</t>
  </si>
  <si>
    <t>C42</t>
  </si>
  <si>
    <t>RC0603JR-070RL</t>
  </si>
  <si>
    <t>311-0.0GRCT-ND</t>
  </si>
  <si>
    <t>R38</t>
  </si>
  <si>
    <t>RES SMD 0 OHM JUMPER 1/10W 0603</t>
  </si>
  <si>
    <t>26 Weeks</t>
  </si>
  <si>
    <t>DK diff</t>
  </si>
  <si>
    <t>DK MPN</t>
  </si>
  <si>
    <t>DK quan</t>
  </si>
  <si>
    <t>Since the data is copied in, you are only looking at a particular Kicad project (board) vs. the Digikey info.  This is currently for input_board_R1.</t>
  </si>
  <si>
    <t>Download digikey bom and cart as CSV, open, and copy paste into digikey_bom and cart sheets.  Export kicad bom as CSV also, and paste on the kicad_bom sheet.  Kicad Tools/Generate bill of materials/bom2grouped_csv.  Copy the occupied rectangle from the input CSV, taking care to delete lines if the BOM got shorter.</t>
  </si>
  <si>
    <t>This workbook uses XLOOKUP to reconcile the digikey BOM, Kicad BOM and Digikey cart, comparing quantity in each.   On the kicad_bom sheet we also compare the MPN on the Kicad vs. Digikey BOMs. This also detects parts which are in one BOM and not the other. Some quantities for connectors and testpoints are confused because they have different values in the schematic, so are not grouped as a single line.  DNP components also create mismatch, since they won't usually be on the Digikey BOM.</t>
  </si>
  <si>
    <t>DK descr</t>
  </si>
  <si>
    <t>descr match</t>
  </si>
  <si>
    <t>HR1645-ND</t>
  </si>
  <si>
    <t>HR10A-10R-10SB(72)</t>
  </si>
  <si>
    <t>CONN RCPT FMALE 10POS GOLD SLDR</t>
  </si>
  <si>
    <t>HR1634-ND</t>
  </si>
  <si>
    <t>HR10A-10P-10P(74)</t>
  </si>
  <si>
    <t>CONN PLUG MALE 10POS SOLDER CUP</t>
  </si>
  <si>
    <t>WM1138CT-ND</t>
  </si>
  <si>
    <t>0039000059</t>
  </si>
  <si>
    <t>CONN SOCKET 18-24AWG CRIMP TIN</t>
  </si>
  <si>
    <t>WM3700-ND</t>
  </si>
  <si>
    <t>0039012020</t>
  </si>
  <si>
    <t>CONN RECEPT 2POS DUAL</t>
  </si>
  <si>
    <t>WM3701-ND</t>
  </si>
  <si>
    <t>0039012040</t>
  </si>
  <si>
    <t>CONN RECEPT 4POS DUAL</t>
  </si>
  <si>
    <t>P.8.1</t>
  </si>
  <si>
    <t>2260-SSNC-T5-15G-ND</t>
  </si>
  <si>
    <t>SSNC-T5-15G</t>
  </si>
  <si>
    <t>63/37 SOLDER PASTE T5 - 15 GRAMS</t>
  </si>
  <si>
    <t>2328-18UL1007STRWHI-ND</t>
  </si>
  <si>
    <t>18UL1007STRWHI</t>
  </si>
  <si>
    <t>HOOK-UP STRND 18AWG 300V WHITE</t>
  </si>
  <si>
    <t>2328-18UL1007STRRED-ND</t>
  </si>
  <si>
    <t>18UL1007STRRED</t>
  </si>
  <si>
    <t>HOOK-UP STRND 18AWG 300V RED</t>
  </si>
  <si>
    <t>Num assemblies: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</si>
</sst>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font>
      <sz val="11"/>
      <name val="Calibri"/>
    </font>
    <font>
      <b/>
      <sz val="11"/>
      <name val="Calibri"/>
    </font>
    <font>
      <sz val="11"/>
      <name val="Calibri"/>
      <family val="2"/>
    </font>
    <font>
      <b/>
      <sz val="11"/>
      <name val="Calibri"/>
      <family val="2"/>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bottom/>
      <diagonal/>
    </border>
    <border>
      <left style="thin">
        <color auto="1"/>
      </left>
      <right/>
      <top/>
      <bottom style="medium">
        <color indexed="64"/>
      </bottom>
      <diagonal/>
    </border>
    <border>
      <left/>
      <right style="thin">
        <color auto="1"/>
      </right>
      <top/>
      <bottom style="medium">
        <color indexed="64"/>
      </bottom>
      <diagonal/>
    </border>
  </borders>
  <cellStyleXfs count="1">
    <xf numFmtId="0" fontId="0" fillId="0" borderId="0"/>
  </cellStyleXfs>
  <cellXfs count="32">
    <xf numFmtId="0" fontId="0" fillId="0" borderId="0" xfId="0" applyFont="1" applyFill="1" applyBorder="1"/>
    <xf numFmtId="0" fontId="0" fillId="0" borderId="0" xfId="0" applyFont="1" applyFill="1" applyBorder="1" applyAlignment="1">
      <alignment wrapText="1"/>
    </xf>
    <xf numFmtId="0" fontId="0" fillId="0" borderId="0" xfId="0"/>
    <xf numFmtId="0" fontId="1" fillId="0" borderId="0" xfId="0" applyFont="1" applyFill="1" applyBorder="1" applyAlignment="1">
      <alignment wrapText="1"/>
    </xf>
    <xf numFmtId="0" fontId="0" fillId="0" borderId="0" xfId="0" applyAlignment="1">
      <alignment wrapText="1"/>
    </xf>
    <xf numFmtId="0" fontId="0" fillId="0" borderId="0" xfId="0" applyFont="1" applyFill="1" applyBorder="1"/>
    <xf numFmtId="0" fontId="1" fillId="0" borderId="2" xfId="0" applyFont="1" applyFill="1" applyBorder="1" applyAlignment="1">
      <alignment wrapText="1"/>
    </xf>
    <xf numFmtId="0" fontId="1" fillId="0" borderId="5" xfId="0" applyFont="1" applyFill="1" applyBorder="1" applyAlignment="1">
      <alignment horizontal="center" wrapText="1"/>
    </xf>
    <xf numFmtId="0" fontId="1" fillId="0" borderId="2" xfId="0" applyFont="1" applyFill="1" applyBorder="1" applyAlignment="1">
      <alignment horizontal="center" wrapText="1"/>
    </xf>
    <xf numFmtId="0" fontId="0" fillId="0"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4" xfId="0" applyFont="1" applyFill="1" applyBorder="1" applyAlignment="1">
      <alignment horizontal="center" wrapText="1"/>
    </xf>
    <xf numFmtId="0" fontId="0" fillId="0" borderId="1" xfId="0" applyBorder="1"/>
    <xf numFmtId="0" fontId="0" fillId="0" borderId="3" xfId="0" applyBorder="1"/>
    <xf numFmtId="0" fontId="1" fillId="0" borderId="5" xfId="0" applyFont="1" applyFill="1" applyBorder="1" applyAlignment="1">
      <alignment wrapText="1"/>
    </xf>
    <xf numFmtId="0" fontId="3" fillId="0" borderId="2" xfId="0" applyFont="1" applyBorder="1" applyAlignment="1">
      <alignment horizontal="center" wrapText="1"/>
    </xf>
    <xf numFmtId="0" fontId="3" fillId="0" borderId="4" xfId="0" applyFont="1" applyBorder="1" applyAlignment="1">
      <alignment horizontal="center" wrapText="1"/>
    </xf>
    <xf numFmtId="0" fontId="0" fillId="0" borderId="0" xfId="0" applyAlignment="1">
      <alignment vertical="center"/>
    </xf>
    <xf numFmtId="10" fontId="0" fillId="0" borderId="0" xfId="0" applyNumberFormat="1"/>
    <xf numFmtId="9" fontId="0" fillId="0" borderId="0" xfId="0" applyNumberFormat="1"/>
    <xf numFmtId="8" fontId="0" fillId="0" borderId="0" xfId="0" applyNumberFormat="1"/>
    <xf numFmtId="0" fontId="3" fillId="0" borderId="0" xfId="0" applyFont="1" applyAlignment="1">
      <alignment wrapText="1"/>
    </xf>
    <xf numFmtId="0" fontId="2" fillId="0" borderId="0" xfId="0" applyFont="1" applyFill="1" applyBorder="1"/>
    <xf numFmtId="49" fontId="0" fillId="0" borderId="0" xfId="0" applyNumberFormat="1"/>
    <xf numFmtId="49" fontId="0" fillId="0" borderId="0" xfId="0" applyNumberFormat="1" applyFont="1" applyFill="1" applyBorder="1"/>
    <xf numFmtId="0" fontId="0" fillId="2" borderId="0" xfId="0" applyFill="1"/>
    <xf numFmtId="0" fontId="0" fillId="2" borderId="0" xfId="0" applyFont="1" applyFill="1" applyBorder="1"/>
    <xf numFmtId="0" fontId="2" fillId="0" borderId="0" xfId="0" applyFont="1" applyFill="1" applyBorder="1" applyAlignment="1">
      <alignment horizontal="left" vertical="top" wrapText="1"/>
    </xf>
    <xf numFmtId="0" fontId="3" fillId="0" borderId="0" xfId="0" applyFont="1" applyFill="1" applyBorder="1" applyAlignment="1">
      <alignment vertical="top" wrapText="1"/>
    </xf>
    <xf numFmtId="0" fontId="2" fillId="0" borderId="0" xfId="0" applyFont="1" applyFill="1" applyBorder="1" applyAlignment="1">
      <alignment horizontal="left" wrapText="1"/>
    </xf>
    <xf numFmtId="1" fontId="0" fillId="0" borderId="0" xfId="0" applyNumberFormat="1"/>
    <xf numFmtId="2"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F88E2-4792-415D-9E0A-DD6BF10EA1B3}">
  <dimension ref="A1:K14"/>
  <sheetViews>
    <sheetView workbookViewId="0">
      <selection activeCell="D22" sqref="D22"/>
    </sheetView>
  </sheetViews>
  <sheetFormatPr defaultRowHeight="14.4"/>
  <sheetData>
    <row r="1" spans="1:11" ht="14.4" customHeight="1">
      <c r="A1" s="27" t="s">
        <v>630</v>
      </c>
      <c r="B1" s="27"/>
      <c r="C1" s="27"/>
      <c r="D1" s="27"/>
      <c r="E1" s="27"/>
      <c r="F1" s="27"/>
      <c r="G1" s="27"/>
      <c r="H1" s="27"/>
      <c r="I1" s="27"/>
      <c r="J1" s="27"/>
      <c r="K1" s="27"/>
    </row>
    <row r="2" spans="1:11">
      <c r="A2" s="27"/>
      <c r="B2" s="27"/>
      <c r="C2" s="27"/>
      <c r="D2" s="27"/>
      <c r="E2" s="27"/>
      <c r="F2" s="27"/>
      <c r="G2" s="27"/>
      <c r="H2" s="27"/>
      <c r="I2" s="27"/>
      <c r="J2" s="27"/>
      <c r="K2" s="27"/>
    </row>
    <row r="3" spans="1:11">
      <c r="A3" s="27"/>
      <c r="B3" s="27"/>
      <c r="C3" s="27"/>
      <c r="D3" s="27"/>
      <c r="E3" s="27"/>
      <c r="F3" s="27"/>
      <c r="G3" s="27"/>
      <c r="H3" s="27"/>
      <c r="I3" s="27"/>
      <c r="J3" s="27"/>
      <c r="K3" s="27"/>
    </row>
    <row r="4" spans="1:11" s="5" customFormat="1">
      <c r="A4" s="27"/>
      <c r="B4" s="27"/>
      <c r="C4" s="27"/>
      <c r="D4" s="27"/>
      <c r="E4" s="27"/>
      <c r="F4" s="27"/>
      <c r="G4" s="27"/>
      <c r="H4" s="27"/>
      <c r="I4" s="27"/>
      <c r="J4" s="27"/>
      <c r="K4" s="27"/>
    </row>
    <row r="5" spans="1:11" s="5" customFormat="1">
      <c r="A5" s="27"/>
      <c r="B5" s="27"/>
      <c r="C5" s="27"/>
      <c r="D5" s="27"/>
      <c r="E5" s="27"/>
      <c r="F5" s="27"/>
      <c r="G5" s="27"/>
      <c r="H5" s="27"/>
      <c r="I5" s="27"/>
      <c r="J5" s="27"/>
      <c r="K5" s="27"/>
    </row>
    <row r="6" spans="1:11">
      <c r="A6" s="27"/>
      <c r="B6" s="27"/>
      <c r="C6" s="27"/>
      <c r="D6" s="27"/>
      <c r="E6" s="27"/>
      <c r="F6" s="27"/>
      <c r="G6" s="27"/>
      <c r="H6" s="27"/>
      <c r="I6" s="27"/>
      <c r="J6" s="27"/>
      <c r="K6" s="27"/>
    </row>
    <row r="7" spans="1:11" s="5" customFormat="1" ht="14.4" customHeight="1">
      <c r="A7" s="29" t="s">
        <v>629</v>
      </c>
      <c r="B7" s="29"/>
      <c r="C7" s="29"/>
      <c r="D7" s="29"/>
      <c r="E7" s="29"/>
      <c r="F7" s="29"/>
      <c r="G7" s="29"/>
      <c r="H7" s="29"/>
      <c r="I7" s="29"/>
      <c r="J7" s="29"/>
      <c r="K7" s="29"/>
    </row>
    <row r="8" spans="1:11" s="5" customFormat="1" ht="14.4" customHeight="1">
      <c r="A8" s="29"/>
      <c r="B8" s="29"/>
      <c r="C8" s="29"/>
      <c r="D8" s="29"/>
      <c r="E8" s="29"/>
      <c r="F8" s="29"/>
      <c r="G8" s="29"/>
      <c r="H8" s="29"/>
      <c r="I8" s="29"/>
      <c r="J8" s="29"/>
      <c r="K8" s="29"/>
    </row>
    <row r="9" spans="1:11" s="5" customFormat="1">
      <c r="A9" s="29"/>
      <c r="B9" s="29"/>
      <c r="C9" s="29"/>
      <c r="D9" s="29"/>
      <c r="E9" s="29"/>
      <c r="F9" s="29"/>
      <c r="G9" s="29"/>
      <c r="H9" s="29"/>
      <c r="I9" s="29"/>
      <c r="J9" s="29"/>
      <c r="K9" s="29"/>
    </row>
    <row r="10" spans="1:11" s="5" customFormat="1"/>
    <row r="11" spans="1:11" s="5" customFormat="1">
      <c r="A11" s="28" t="s">
        <v>628</v>
      </c>
      <c r="B11" s="28"/>
      <c r="C11" s="28"/>
      <c r="D11" s="28"/>
      <c r="E11" s="28"/>
      <c r="F11" s="28"/>
      <c r="G11" s="28"/>
      <c r="H11" s="28"/>
      <c r="I11" s="28"/>
      <c r="J11" s="28"/>
      <c r="K11" s="28"/>
    </row>
    <row r="12" spans="1:11">
      <c r="A12" s="28"/>
      <c r="B12" s="28"/>
      <c r="C12" s="28"/>
      <c r="D12" s="28"/>
      <c r="E12" s="28"/>
      <c r="F12" s="28"/>
      <c r="G12" s="28"/>
      <c r="H12" s="28"/>
      <c r="I12" s="28"/>
      <c r="J12" s="28"/>
      <c r="K12" s="28"/>
    </row>
    <row r="13" spans="1:11">
      <c r="A13" s="28"/>
      <c r="B13" s="28"/>
      <c r="C13" s="28"/>
      <c r="D13" s="28"/>
      <c r="E13" s="28"/>
      <c r="F13" s="28"/>
      <c r="G13" s="28"/>
      <c r="H13" s="28"/>
      <c r="I13" s="28"/>
      <c r="J13" s="28"/>
      <c r="K13" s="28"/>
    </row>
    <row r="14" spans="1:11">
      <c r="A14" s="28"/>
      <c r="B14" s="28"/>
      <c r="C14" s="28"/>
      <c r="D14" s="28"/>
      <c r="E14" s="28"/>
      <c r="F14" s="28"/>
      <c r="G14" s="28"/>
      <c r="H14" s="28"/>
      <c r="I14" s="28"/>
      <c r="J14" s="28"/>
      <c r="K14" s="28"/>
    </row>
  </sheetData>
  <mergeCells count="3">
    <mergeCell ref="A1:K6"/>
    <mergeCell ref="A11:K14"/>
    <mergeCell ref="A7:K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3"/>
  <sheetViews>
    <sheetView workbookViewId="0">
      <selection activeCell="M37" sqref="M37"/>
    </sheetView>
  </sheetViews>
  <sheetFormatPr defaultRowHeight="14.4"/>
  <cols>
    <col min="1" max="1" width="6.44140625" customWidth="1"/>
    <col min="2" max="2" width="10.44140625" customWidth="1"/>
    <col min="3" max="3" width="26" customWidth="1"/>
    <col min="4" max="4" width="18.33203125" customWidth="1"/>
    <col min="5" max="5" width="31.109375" customWidth="1"/>
    <col min="6" max="6" width="11" customWidth="1"/>
    <col min="7" max="8" width="11.6640625" customWidth="1"/>
    <col min="9" max="9" width="13" customWidth="1"/>
    <col min="10" max="10" width="13.44140625" customWidth="1"/>
    <col min="11" max="11" width="4.109375" customWidth="1"/>
    <col min="12" max="12" width="8.6640625" customWidth="1"/>
    <col min="13" max="13" width="10.109375" style="5" customWidth="1"/>
  </cols>
  <sheetData>
    <row r="1" spans="1:13" s="1" customFormat="1" ht="29.4" thickBot="1">
      <c r="A1" s="7" t="s">
        <v>0</v>
      </c>
      <c r="B1" s="8" t="s">
        <v>1</v>
      </c>
      <c r="C1" s="6" t="s">
        <v>2</v>
      </c>
      <c r="D1" s="6" t="s">
        <v>3</v>
      </c>
      <c r="E1" s="6" t="s">
        <v>4</v>
      </c>
      <c r="F1" s="8" t="s">
        <v>5</v>
      </c>
      <c r="G1" s="8" t="s">
        <v>6</v>
      </c>
      <c r="H1" s="8" t="s">
        <v>7</v>
      </c>
      <c r="I1" s="8" t="s">
        <v>8</v>
      </c>
      <c r="J1" s="8" t="s">
        <v>9</v>
      </c>
      <c r="K1" s="9"/>
      <c r="L1" s="10" t="s">
        <v>118</v>
      </c>
      <c r="M1" s="11" t="s">
        <v>120</v>
      </c>
    </row>
    <row r="2" spans="1:13" s="2" customFormat="1">
      <c r="A2" s="30">
        <v>1</v>
      </c>
      <c r="B2" s="30">
        <v>4</v>
      </c>
      <c r="C2" s="2" t="s">
        <v>633</v>
      </c>
      <c r="D2" s="2" t="s">
        <v>634</v>
      </c>
      <c r="E2" s="2" t="s">
        <v>635</v>
      </c>
      <c r="G2" s="30">
        <v>4</v>
      </c>
      <c r="H2" s="30">
        <v>0</v>
      </c>
      <c r="I2" s="2">
        <v>11.62</v>
      </c>
      <c r="J2" s="31">
        <v>46.48</v>
      </c>
    </row>
    <row r="3" spans="1:13" s="2" customFormat="1">
      <c r="A3" s="30">
        <v>2</v>
      </c>
      <c r="B3" s="30">
        <v>4</v>
      </c>
      <c r="C3" s="2" t="s">
        <v>636</v>
      </c>
      <c r="D3" s="2" t="s">
        <v>637</v>
      </c>
      <c r="E3" s="2" t="s">
        <v>638</v>
      </c>
      <c r="G3" s="30">
        <v>4</v>
      </c>
      <c r="H3" s="30">
        <v>0</v>
      </c>
      <c r="I3" s="2">
        <v>19.059999999999999</v>
      </c>
      <c r="J3" s="31">
        <v>76.239999999999995</v>
      </c>
    </row>
    <row r="4" spans="1:13" s="2" customFormat="1">
      <c r="A4" s="30">
        <v>3</v>
      </c>
      <c r="B4" s="30">
        <v>20</v>
      </c>
      <c r="C4" s="2" t="s">
        <v>181</v>
      </c>
      <c r="D4" s="2" t="s">
        <v>182</v>
      </c>
      <c r="E4" s="2" t="s">
        <v>180</v>
      </c>
      <c r="F4" s="2" t="s">
        <v>179</v>
      </c>
      <c r="G4" s="30">
        <v>20</v>
      </c>
      <c r="H4" s="30">
        <v>0</v>
      </c>
      <c r="I4" s="2">
        <v>0.21299999999999999</v>
      </c>
      <c r="J4" s="31">
        <v>4.26</v>
      </c>
    </row>
    <row r="5" spans="1:13" s="2" customFormat="1">
      <c r="A5" s="30">
        <v>4</v>
      </c>
      <c r="B5" s="30">
        <v>6</v>
      </c>
      <c r="C5" s="2" t="s">
        <v>484</v>
      </c>
      <c r="D5" s="2" t="s">
        <v>485</v>
      </c>
      <c r="E5" s="2" t="s">
        <v>483</v>
      </c>
      <c r="F5" s="2" t="s">
        <v>482</v>
      </c>
      <c r="G5" s="30">
        <v>6</v>
      </c>
      <c r="H5" s="30">
        <v>0</v>
      </c>
      <c r="I5" s="2">
        <v>21.04</v>
      </c>
      <c r="J5" s="31">
        <v>126.24</v>
      </c>
    </row>
    <row r="6" spans="1:13" s="2" customFormat="1">
      <c r="A6" s="30">
        <v>5</v>
      </c>
      <c r="B6" s="30">
        <v>10</v>
      </c>
      <c r="C6" s="2" t="s">
        <v>79</v>
      </c>
      <c r="D6" s="2" t="s">
        <v>78</v>
      </c>
      <c r="E6" s="2" t="s">
        <v>81</v>
      </c>
      <c r="F6" s="2" t="s">
        <v>265</v>
      </c>
      <c r="G6" s="30">
        <v>10</v>
      </c>
      <c r="H6" s="30">
        <v>0</v>
      </c>
      <c r="I6" s="2">
        <v>0.151</v>
      </c>
      <c r="J6" s="31">
        <v>1.51</v>
      </c>
    </row>
    <row r="7" spans="1:13" s="2" customFormat="1">
      <c r="A7" s="30">
        <v>6</v>
      </c>
      <c r="B7" s="30">
        <v>10</v>
      </c>
      <c r="C7" s="2" t="s">
        <v>417</v>
      </c>
      <c r="D7" s="2" t="s">
        <v>418</v>
      </c>
      <c r="E7" s="2" t="s">
        <v>416</v>
      </c>
      <c r="F7" s="2" t="s">
        <v>415</v>
      </c>
      <c r="G7" s="30">
        <v>10</v>
      </c>
      <c r="H7" s="30">
        <v>0</v>
      </c>
      <c r="I7" s="2">
        <v>0.36099999999999999</v>
      </c>
      <c r="J7" s="31">
        <v>3.61</v>
      </c>
    </row>
    <row r="8" spans="1:13" s="2" customFormat="1">
      <c r="A8" s="30">
        <v>7</v>
      </c>
      <c r="B8" s="30">
        <v>10</v>
      </c>
      <c r="C8" s="2" t="s">
        <v>16</v>
      </c>
      <c r="D8" s="2" t="s">
        <v>17</v>
      </c>
      <c r="E8" s="2" t="s">
        <v>18</v>
      </c>
      <c r="F8" s="2" t="s">
        <v>523</v>
      </c>
      <c r="G8" s="30">
        <v>10</v>
      </c>
      <c r="H8" s="30">
        <v>0</v>
      </c>
      <c r="I8" s="2">
        <v>0.47699999999999998</v>
      </c>
      <c r="J8" s="31">
        <v>4.7699999999999996</v>
      </c>
    </row>
    <row r="9" spans="1:13" s="2" customFormat="1">
      <c r="A9" s="30">
        <v>8</v>
      </c>
      <c r="B9" s="30">
        <v>10</v>
      </c>
      <c r="C9" s="2" t="s">
        <v>476</v>
      </c>
      <c r="D9" s="2" t="s">
        <v>477</v>
      </c>
      <c r="E9" s="2" t="s">
        <v>475</v>
      </c>
      <c r="F9" s="2" t="s">
        <v>474</v>
      </c>
      <c r="G9" s="30">
        <v>10</v>
      </c>
      <c r="H9" s="30">
        <v>0</v>
      </c>
      <c r="I9" s="2">
        <v>7.84</v>
      </c>
      <c r="J9" s="31">
        <v>78.400000000000006</v>
      </c>
    </row>
    <row r="10" spans="1:13" s="2" customFormat="1">
      <c r="A10" s="30">
        <v>9</v>
      </c>
      <c r="B10" s="30">
        <v>10</v>
      </c>
      <c r="C10" s="2" t="s">
        <v>98</v>
      </c>
      <c r="D10" s="2" t="s">
        <v>96</v>
      </c>
      <c r="E10" s="2" t="s">
        <v>100</v>
      </c>
      <c r="F10" s="2" t="s">
        <v>552</v>
      </c>
      <c r="G10" s="30">
        <v>10</v>
      </c>
      <c r="H10" s="30">
        <v>0</v>
      </c>
      <c r="I10" s="2">
        <v>6.5000000000000002E-2</v>
      </c>
      <c r="J10" s="31">
        <v>0.65</v>
      </c>
    </row>
    <row r="11" spans="1:13" s="2" customFormat="1">
      <c r="A11" s="30">
        <v>10</v>
      </c>
      <c r="B11" s="30">
        <v>10</v>
      </c>
      <c r="C11" s="2" t="s">
        <v>407</v>
      </c>
      <c r="D11" s="2" t="s">
        <v>408</v>
      </c>
      <c r="E11" s="2" t="s">
        <v>557</v>
      </c>
      <c r="F11" s="2" t="s">
        <v>405</v>
      </c>
      <c r="G11" s="30">
        <v>10</v>
      </c>
      <c r="H11" s="30">
        <v>0</v>
      </c>
      <c r="I11" s="2">
        <v>4.8000000000000001E-2</v>
      </c>
      <c r="J11" s="31">
        <v>0.48</v>
      </c>
    </row>
    <row r="12" spans="1:13" s="2" customFormat="1">
      <c r="A12" s="30">
        <v>11</v>
      </c>
      <c r="B12" s="30">
        <v>10</v>
      </c>
      <c r="C12" s="2" t="s">
        <v>396</v>
      </c>
      <c r="D12" s="2" t="s">
        <v>397</v>
      </c>
      <c r="E12" s="2" t="s">
        <v>395</v>
      </c>
      <c r="F12" s="2" t="s">
        <v>394</v>
      </c>
      <c r="G12" s="30">
        <v>10</v>
      </c>
      <c r="H12" s="30">
        <v>0</v>
      </c>
      <c r="I12" s="2">
        <v>0.26200000000000001</v>
      </c>
      <c r="J12" s="31">
        <v>2.62</v>
      </c>
    </row>
    <row r="13" spans="1:13" s="2" customFormat="1">
      <c r="A13" s="30">
        <v>12</v>
      </c>
      <c r="B13" s="30">
        <v>2</v>
      </c>
      <c r="C13" s="2" t="s">
        <v>276</v>
      </c>
      <c r="D13" s="2" t="s">
        <v>277</v>
      </c>
      <c r="E13" s="2" t="s">
        <v>275</v>
      </c>
      <c r="F13" s="2" t="s">
        <v>274</v>
      </c>
      <c r="G13" s="30">
        <v>2</v>
      </c>
      <c r="H13" s="30">
        <v>0</v>
      </c>
      <c r="I13" s="2">
        <v>1.66</v>
      </c>
      <c r="J13" s="31">
        <v>3.32</v>
      </c>
    </row>
    <row r="14" spans="1:13" s="2" customFormat="1">
      <c r="A14" s="30">
        <v>13</v>
      </c>
      <c r="B14" s="30">
        <v>50</v>
      </c>
      <c r="C14" s="2" t="s">
        <v>559</v>
      </c>
      <c r="D14" s="2" t="s">
        <v>558</v>
      </c>
      <c r="E14" s="2" t="s">
        <v>24</v>
      </c>
      <c r="F14" s="2" t="s">
        <v>218</v>
      </c>
      <c r="G14" s="30">
        <v>50</v>
      </c>
      <c r="H14" s="30">
        <v>0</v>
      </c>
      <c r="I14" s="2">
        <v>0.72460000000000002</v>
      </c>
      <c r="J14" s="31">
        <v>36.229999999999997</v>
      </c>
    </row>
    <row r="15" spans="1:13" s="2" customFormat="1">
      <c r="A15" s="30">
        <v>14</v>
      </c>
      <c r="B15" s="30">
        <v>10</v>
      </c>
      <c r="C15" s="2" t="s">
        <v>517</v>
      </c>
      <c r="D15" s="2" t="s">
        <v>518</v>
      </c>
      <c r="E15" s="2" t="s">
        <v>516</v>
      </c>
      <c r="F15" s="2" t="s">
        <v>515</v>
      </c>
      <c r="G15" s="30">
        <v>10</v>
      </c>
      <c r="H15" s="30">
        <v>0</v>
      </c>
      <c r="I15" s="2">
        <v>2.722</v>
      </c>
      <c r="J15" s="31">
        <v>27.22</v>
      </c>
    </row>
    <row r="16" spans="1:13" s="2" customFormat="1">
      <c r="A16" s="30">
        <v>15</v>
      </c>
      <c r="B16" s="30">
        <v>5</v>
      </c>
      <c r="C16" s="2" t="s">
        <v>563</v>
      </c>
      <c r="D16" s="2" t="s">
        <v>562</v>
      </c>
      <c r="E16" s="2" t="s">
        <v>565</v>
      </c>
      <c r="F16" s="2" t="s">
        <v>243</v>
      </c>
      <c r="G16" s="30">
        <v>5</v>
      </c>
      <c r="H16" s="30">
        <v>0</v>
      </c>
      <c r="I16" s="2">
        <v>0.32400000000000001</v>
      </c>
      <c r="J16" s="31">
        <v>1.62</v>
      </c>
    </row>
    <row r="17" spans="1:10" s="2" customFormat="1">
      <c r="A17" s="30">
        <v>16</v>
      </c>
      <c r="B17" s="30">
        <v>10</v>
      </c>
      <c r="C17" s="2" t="s">
        <v>317</v>
      </c>
      <c r="D17" s="2" t="s">
        <v>313</v>
      </c>
      <c r="E17" s="2" t="s">
        <v>316</v>
      </c>
      <c r="F17" s="2" t="s">
        <v>315</v>
      </c>
      <c r="G17" s="30">
        <v>10</v>
      </c>
      <c r="H17" s="30">
        <v>0</v>
      </c>
      <c r="I17" s="2">
        <v>0.753</v>
      </c>
      <c r="J17" s="31">
        <v>7.53</v>
      </c>
    </row>
    <row r="18" spans="1:10" s="2" customFormat="1">
      <c r="A18" s="30">
        <v>17</v>
      </c>
      <c r="B18" s="30">
        <v>10</v>
      </c>
      <c r="C18" s="2" t="s">
        <v>311</v>
      </c>
      <c r="D18" s="2" t="s">
        <v>306</v>
      </c>
      <c r="E18" s="2" t="s">
        <v>310</v>
      </c>
      <c r="F18" s="2" t="s">
        <v>309</v>
      </c>
      <c r="G18" s="30">
        <v>10</v>
      </c>
      <c r="H18" s="30">
        <v>0</v>
      </c>
      <c r="I18" s="2">
        <v>0.59899999999999998</v>
      </c>
      <c r="J18" s="31">
        <v>5.99</v>
      </c>
    </row>
    <row r="19" spans="1:10" s="2" customFormat="1">
      <c r="A19" s="30">
        <v>18</v>
      </c>
      <c r="B19" s="30">
        <v>10</v>
      </c>
      <c r="C19" s="2" t="s">
        <v>530</v>
      </c>
      <c r="D19" s="2" t="s">
        <v>525</v>
      </c>
      <c r="E19" s="2" t="s">
        <v>529</v>
      </c>
      <c r="F19" s="2" t="s">
        <v>528</v>
      </c>
      <c r="G19" s="30">
        <v>10</v>
      </c>
      <c r="H19" s="30">
        <v>0</v>
      </c>
      <c r="I19" s="2">
        <v>0.41099999999999998</v>
      </c>
      <c r="J19" s="31">
        <v>4.1100000000000003</v>
      </c>
    </row>
    <row r="20" spans="1:10" s="2" customFormat="1">
      <c r="A20" s="30">
        <v>19</v>
      </c>
      <c r="B20" s="30">
        <v>100</v>
      </c>
      <c r="C20" s="2" t="s">
        <v>207</v>
      </c>
      <c r="D20" s="2" t="s">
        <v>208</v>
      </c>
      <c r="E20" s="2" t="s">
        <v>570</v>
      </c>
      <c r="F20" s="2" t="s">
        <v>205</v>
      </c>
      <c r="G20" s="30">
        <v>100</v>
      </c>
      <c r="H20" s="30">
        <v>0</v>
      </c>
      <c r="I20" s="2">
        <v>2.4299999999999999E-2</v>
      </c>
      <c r="J20" s="31">
        <v>2.4300000000000002</v>
      </c>
    </row>
    <row r="21" spans="1:10" s="2" customFormat="1">
      <c r="A21" s="30">
        <v>20</v>
      </c>
      <c r="B21" s="30">
        <v>10</v>
      </c>
      <c r="C21" s="2" t="s">
        <v>158</v>
      </c>
      <c r="D21" s="2" t="s">
        <v>159</v>
      </c>
      <c r="E21" s="2" t="s">
        <v>157</v>
      </c>
      <c r="F21" s="2" t="s">
        <v>156</v>
      </c>
      <c r="G21" s="30">
        <v>10</v>
      </c>
      <c r="H21" s="30">
        <v>0</v>
      </c>
      <c r="I21" s="2">
        <v>0.88100000000000001</v>
      </c>
      <c r="J21" s="31">
        <v>8.81</v>
      </c>
    </row>
    <row r="22" spans="1:10" s="2" customFormat="1">
      <c r="A22" s="30">
        <v>21</v>
      </c>
      <c r="B22" s="30">
        <v>20</v>
      </c>
      <c r="C22" s="2" t="s">
        <v>19</v>
      </c>
      <c r="D22" s="2" t="s">
        <v>20</v>
      </c>
      <c r="E22" s="2" t="s">
        <v>21</v>
      </c>
      <c r="F22" s="2" t="s">
        <v>201</v>
      </c>
      <c r="G22" s="30">
        <v>20</v>
      </c>
      <c r="H22" s="30">
        <v>0</v>
      </c>
      <c r="I22" s="2">
        <v>0.16500000000000001</v>
      </c>
      <c r="J22" s="31">
        <v>3.3</v>
      </c>
    </row>
    <row r="23" spans="1:10" s="2" customFormat="1">
      <c r="A23" s="30">
        <v>22</v>
      </c>
      <c r="B23" s="30">
        <v>20</v>
      </c>
      <c r="C23" s="2" t="s">
        <v>330</v>
      </c>
      <c r="D23" s="2" t="s">
        <v>331</v>
      </c>
      <c r="E23" s="2" t="s">
        <v>329</v>
      </c>
      <c r="F23" s="2" t="s">
        <v>328</v>
      </c>
      <c r="G23" s="30">
        <v>20</v>
      </c>
      <c r="H23" s="30">
        <v>0</v>
      </c>
      <c r="I23" s="2">
        <v>0.49399999999999999</v>
      </c>
      <c r="J23" s="31">
        <v>9.8800000000000008</v>
      </c>
    </row>
    <row r="24" spans="1:10" s="2" customFormat="1">
      <c r="A24" s="30">
        <v>23</v>
      </c>
      <c r="B24" s="30">
        <v>2</v>
      </c>
      <c r="C24" s="2" t="s">
        <v>537</v>
      </c>
      <c r="D24" s="2" t="s">
        <v>538</v>
      </c>
      <c r="E24" s="2" t="s">
        <v>536</v>
      </c>
      <c r="F24" s="2" t="s">
        <v>535</v>
      </c>
      <c r="G24" s="30">
        <v>2</v>
      </c>
      <c r="H24" s="30">
        <v>0</v>
      </c>
      <c r="I24" s="2">
        <v>1.23</v>
      </c>
      <c r="J24" s="31">
        <v>2.46</v>
      </c>
    </row>
    <row r="25" spans="1:10" s="2" customFormat="1">
      <c r="A25" s="30">
        <v>24</v>
      </c>
      <c r="B25" s="30">
        <v>10</v>
      </c>
      <c r="C25" s="2" t="s">
        <v>284</v>
      </c>
      <c r="D25" s="2" t="s">
        <v>285</v>
      </c>
      <c r="E25" s="2" t="s">
        <v>283</v>
      </c>
      <c r="F25" s="2" t="s">
        <v>282</v>
      </c>
      <c r="G25" s="30">
        <v>10</v>
      </c>
      <c r="H25" s="30">
        <v>0</v>
      </c>
      <c r="I25" s="2">
        <v>0.39200000000000002</v>
      </c>
      <c r="J25" s="31">
        <v>3.92</v>
      </c>
    </row>
    <row r="26" spans="1:10" s="2" customFormat="1">
      <c r="A26" s="30">
        <v>25</v>
      </c>
      <c r="B26" s="30">
        <v>4</v>
      </c>
      <c r="C26" s="2" t="s">
        <v>116</v>
      </c>
      <c r="D26" s="2" t="s">
        <v>114</v>
      </c>
      <c r="E26" s="2" t="s">
        <v>117</v>
      </c>
      <c r="F26" s="2" t="s">
        <v>446</v>
      </c>
      <c r="G26" s="30">
        <v>4</v>
      </c>
      <c r="H26" s="30">
        <v>0</v>
      </c>
      <c r="I26" s="2">
        <v>0.5</v>
      </c>
      <c r="J26" s="31">
        <v>2</v>
      </c>
    </row>
    <row r="27" spans="1:10" s="2" customFormat="1">
      <c r="A27" s="30">
        <v>26</v>
      </c>
      <c r="B27" s="30">
        <v>4</v>
      </c>
      <c r="C27" s="2" t="s">
        <v>31</v>
      </c>
      <c r="D27" s="2" t="s">
        <v>32</v>
      </c>
      <c r="E27" s="2" t="s">
        <v>33</v>
      </c>
      <c r="F27" s="2" t="s">
        <v>290</v>
      </c>
      <c r="G27" s="30">
        <v>4</v>
      </c>
      <c r="H27" s="30">
        <v>0</v>
      </c>
      <c r="I27" s="2">
        <v>2.5299999999999998</v>
      </c>
      <c r="J27" s="31">
        <v>10.119999999999999</v>
      </c>
    </row>
    <row r="28" spans="1:10" s="2" customFormat="1">
      <c r="A28" s="30">
        <v>27</v>
      </c>
      <c r="B28" s="30">
        <v>15</v>
      </c>
      <c r="C28" s="2" t="s">
        <v>166</v>
      </c>
      <c r="D28" s="2" t="s">
        <v>167</v>
      </c>
      <c r="E28" s="2" t="s">
        <v>579</v>
      </c>
      <c r="F28" s="2" t="s">
        <v>164</v>
      </c>
      <c r="G28" s="30">
        <v>15</v>
      </c>
      <c r="H28" s="30">
        <v>0</v>
      </c>
      <c r="I28" s="2">
        <v>0.13300000000000001</v>
      </c>
      <c r="J28" s="31">
        <v>2</v>
      </c>
    </row>
    <row r="29" spans="1:10" s="2" customFormat="1">
      <c r="A29" s="30">
        <v>28</v>
      </c>
      <c r="B29" s="30">
        <v>10</v>
      </c>
      <c r="C29" s="2" t="s">
        <v>28</v>
      </c>
      <c r="D29" s="2" t="s">
        <v>29</v>
      </c>
      <c r="E29" s="2" t="s">
        <v>30</v>
      </c>
      <c r="F29" s="2" t="s">
        <v>505</v>
      </c>
      <c r="G29" s="30">
        <v>10</v>
      </c>
      <c r="H29" s="30">
        <v>0</v>
      </c>
      <c r="I29" s="2">
        <v>1.5449999999999999</v>
      </c>
      <c r="J29" s="31">
        <v>15.45</v>
      </c>
    </row>
    <row r="30" spans="1:10" s="2" customFormat="1">
      <c r="A30" s="30">
        <v>29</v>
      </c>
      <c r="B30" s="30">
        <v>10</v>
      </c>
      <c r="C30" s="2" t="s">
        <v>25</v>
      </c>
      <c r="D30" s="2" t="s">
        <v>26</v>
      </c>
      <c r="E30" s="2" t="s">
        <v>27</v>
      </c>
      <c r="F30" s="2" t="s">
        <v>460</v>
      </c>
      <c r="G30" s="30">
        <v>10</v>
      </c>
      <c r="H30" s="30">
        <v>0</v>
      </c>
      <c r="I30" s="2">
        <v>2.9039999999999999</v>
      </c>
      <c r="J30" s="31">
        <v>29.04</v>
      </c>
    </row>
    <row r="31" spans="1:10" s="2" customFormat="1">
      <c r="A31" s="30">
        <v>30</v>
      </c>
      <c r="B31" s="30">
        <v>20</v>
      </c>
      <c r="C31" s="2" t="s">
        <v>93</v>
      </c>
      <c r="D31" s="30">
        <v>824500500</v>
      </c>
      <c r="E31" s="2" t="s">
        <v>95</v>
      </c>
      <c r="F31" s="2" t="s">
        <v>232</v>
      </c>
      <c r="G31" s="30">
        <v>20</v>
      </c>
      <c r="H31" s="30">
        <v>0</v>
      </c>
      <c r="I31" s="2">
        <v>0.252</v>
      </c>
      <c r="J31" s="31">
        <v>5.04</v>
      </c>
    </row>
    <row r="32" spans="1:10" s="2" customFormat="1">
      <c r="A32" s="30">
        <v>31</v>
      </c>
      <c r="B32" s="30">
        <v>10</v>
      </c>
      <c r="C32" s="2" t="s">
        <v>36</v>
      </c>
      <c r="D32" s="2" t="s">
        <v>37</v>
      </c>
      <c r="E32" s="2" t="s">
        <v>38</v>
      </c>
      <c r="F32" s="2" t="s">
        <v>236</v>
      </c>
      <c r="G32" s="30">
        <v>10</v>
      </c>
      <c r="H32" s="30">
        <v>0</v>
      </c>
      <c r="I32" s="2">
        <v>0.27400000000000002</v>
      </c>
      <c r="J32" s="31">
        <v>2.74</v>
      </c>
    </row>
    <row r="33" spans="1:10" s="2" customFormat="1">
      <c r="A33" s="30">
        <v>32</v>
      </c>
      <c r="B33" s="30">
        <v>10</v>
      </c>
      <c r="C33" s="2" t="s">
        <v>492</v>
      </c>
      <c r="D33" s="2" t="s">
        <v>493</v>
      </c>
      <c r="E33" s="2" t="s">
        <v>491</v>
      </c>
      <c r="F33" s="2" t="s">
        <v>490</v>
      </c>
      <c r="G33" s="30">
        <v>10</v>
      </c>
      <c r="H33" s="30">
        <v>0</v>
      </c>
      <c r="I33" s="2">
        <v>7.343</v>
      </c>
      <c r="J33" s="31">
        <v>73.430000000000007</v>
      </c>
    </row>
    <row r="34" spans="1:10" s="2" customFormat="1">
      <c r="A34" s="30">
        <v>33</v>
      </c>
      <c r="B34" s="30">
        <v>100</v>
      </c>
      <c r="C34" s="2" t="s">
        <v>226</v>
      </c>
      <c r="D34" s="2" t="s">
        <v>227</v>
      </c>
      <c r="E34" s="2" t="s">
        <v>225</v>
      </c>
      <c r="F34" s="2" t="s">
        <v>224</v>
      </c>
      <c r="G34" s="30">
        <v>81</v>
      </c>
      <c r="H34" s="30">
        <v>19</v>
      </c>
      <c r="I34" s="2">
        <v>7.8700000000000006E-2</v>
      </c>
      <c r="J34" s="31">
        <v>7.87</v>
      </c>
    </row>
    <row r="35" spans="1:10" s="2" customFormat="1">
      <c r="A35" s="30">
        <v>34</v>
      </c>
      <c r="B35" s="30">
        <v>10</v>
      </c>
      <c r="C35" s="2" t="s">
        <v>174</v>
      </c>
      <c r="D35" s="2" t="s">
        <v>175</v>
      </c>
      <c r="E35" s="2" t="s">
        <v>587</v>
      </c>
      <c r="F35" s="2" t="s">
        <v>172</v>
      </c>
      <c r="G35" s="30">
        <v>10</v>
      </c>
      <c r="H35" s="30">
        <v>0</v>
      </c>
      <c r="I35" s="2">
        <v>0.27700000000000002</v>
      </c>
      <c r="J35" s="31">
        <v>2.77</v>
      </c>
    </row>
    <row r="36" spans="1:10" s="2" customFormat="1">
      <c r="A36" s="30">
        <v>35</v>
      </c>
      <c r="B36" s="30">
        <v>20</v>
      </c>
      <c r="C36" s="2" t="s">
        <v>589</v>
      </c>
      <c r="D36" s="2" t="s">
        <v>588</v>
      </c>
      <c r="E36" s="2" t="s">
        <v>591</v>
      </c>
      <c r="F36" s="2" t="s">
        <v>147</v>
      </c>
      <c r="G36" s="30">
        <v>20</v>
      </c>
      <c r="H36" s="30">
        <v>0</v>
      </c>
      <c r="I36" s="2">
        <v>0.16500000000000001</v>
      </c>
      <c r="J36" s="31">
        <v>3.3</v>
      </c>
    </row>
    <row r="37" spans="1:10" s="2" customFormat="1">
      <c r="A37" s="30">
        <v>36</v>
      </c>
      <c r="B37" s="30">
        <v>20</v>
      </c>
      <c r="C37" s="2" t="s">
        <v>323</v>
      </c>
      <c r="D37" s="2" t="s">
        <v>324</v>
      </c>
      <c r="E37" s="2" t="s">
        <v>593</v>
      </c>
      <c r="F37" s="2" t="s">
        <v>321</v>
      </c>
      <c r="G37" s="30">
        <v>20</v>
      </c>
      <c r="H37" s="30">
        <v>0</v>
      </c>
      <c r="I37" s="2">
        <v>9.1999999999999998E-2</v>
      </c>
      <c r="J37" s="31">
        <v>1.84</v>
      </c>
    </row>
    <row r="38" spans="1:10" s="2" customFormat="1">
      <c r="A38" s="30">
        <v>37</v>
      </c>
      <c r="B38" s="30">
        <v>10</v>
      </c>
      <c r="C38" s="2" t="s">
        <v>336</v>
      </c>
      <c r="D38" s="2" t="s">
        <v>337</v>
      </c>
      <c r="E38" s="2" t="s">
        <v>595</v>
      </c>
      <c r="F38" s="2" t="s">
        <v>334</v>
      </c>
      <c r="G38" s="30">
        <v>10</v>
      </c>
      <c r="H38" s="30">
        <v>0</v>
      </c>
      <c r="I38" s="2">
        <v>5.8000000000000003E-2</v>
      </c>
      <c r="J38" s="31">
        <v>0.57999999999999996</v>
      </c>
    </row>
    <row r="39" spans="1:10" s="2" customFormat="1">
      <c r="A39" s="30">
        <v>38</v>
      </c>
      <c r="B39" s="30">
        <v>10</v>
      </c>
      <c r="C39" s="2" t="s">
        <v>400</v>
      </c>
      <c r="D39" s="2" t="s">
        <v>401</v>
      </c>
      <c r="E39" s="2" t="s">
        <v>596</v>
      </c>
      <c r="F39" s="2" t="s">
        <v>398</v>
      </c>
      <c r="G39" s="30">
        <v>10</v>
      </c>
      <c r="H39" s="30">
        <v>0</v>
      </c>
      <c r="I39" s="2">
        <v>5.8000000000000003E-2</v>
      </c>
      <c r="J39" s="31">
        <v>0.57999999999999996</v>
      </c>
    </row>
    <row r="40" spans="1:10" s="2" customFormat="1">
      <c r="A40" s="30">
        <v>39</v>
      </c>
      <c r="B40" s="30">
        <v>20</v>
      </c>
      <c r="C40" s="2" t="s">
        <v>374</v>
      </c>
      <c r="D40" s="2" t="s">
        <v>375</v>
      </c>
      <c r="E40" s="2" t="s">
        <v>598</v>
      </c>
      <c r="F40" s="2" t="s">
        <v>372</v>
      </c>
      <c r="G40" s="30">
        <v>20</v>
      </c>
      <c r="H40" s="30">
        <v>0</v>
      </c>
      <c r="I40" s="2">
        <v>0.26</v>
      </c>
      <c r="J40" s="31">
        <v>5.2</v>
      </c>
    </row>
    <row r="41" spans="1:10" s="2" customFormat="1">
      <c r="A41" s="30">
        <v>40</v>
      </c>
      <c r="B41" s="30">
        <v>100</v>
      </c>
      <c r="C41" s="2" t="s">
        <v>108</v>
      </c>
      <c r="D41" s="2" t="s">
        <v>107</v>
      </c>
      <c r="E41" s="2" t="s">
        <v>109</v>
      </c>
      <c r="F41" s="2" t="s">
        <v>359</v>
      </c>
      <c r="G41" s="30">
        <v>100</v>
      </c>
      <c r="H41" s="30">
        <v>0</v>
      </c>
      <c r="I41" s="2">
        <v>6.4999999999999997E-3</v>
      </c>
      <c r="J41" s="31">
        <v>0.65</v>
      </c>
    </row>
    <row r="42" spans="1:10" s="2" customFormat="1">
      <c r="A42" s="30">
        <v>41</v>
      </c>
      <c r="B42" s="30">
        <v>100</v>
      </c>
      <c r="C42" s="2" t="s">
        <v>369</v>
      </c>
      <c r="D42" s="2" t="s">
        <v>370</v>
      </c>
      <c r="E42" s="2" t="s">
        <v>601</v>
      </c>
      <c r="F42" s="2" t="s">
        <v>367</v>
      </c>
      <c r="G42" s="30">
        <v>100</v>
      </c>
      <c r="H42" s="30">
        <v>0</v>
      </c>
      <c r="I42" s="2">
        <v>2.2700000000000001E-2</v>
      </c>
      <c r="J42" s="31">
        <v>2.27</v>
      </c>
    </row>
    <row r="43" spans="1:10" s="2" customFormat="1">
      <c r="A43" s="30">
        <v>42</v>
      </c>
      <c r="B43" s="30">
        <v>100</v>
      </c>
      <c r="C43" s="2" t="s">
        <v>389</v>
      </c>
      <c r="D43" s="2" t="s">
        <v>390</v>
      </c>
      <c r="E43" s="2" t="s">
        <v>603</v>
      </c>
      <c r="F43" s="2" t="s">
        <v>387</v>
      </c>
      <c r="G43" s="30">
        <v>100</v>
      </c>
      <c r="H43" s="30">
        <v>0</v>
      </c>
      <c r="I43" s="2">
        <v>2.2700000000000001E-2</v>
      </c>
      <c r="J43" s="31">
        <v>2.27</v>
      </c>
    </row>
    <row r="44" spans="1:10" s="2" customFormat="1">
      <c r="A44" s="30">
        <v>43</v>
      </c>
      <c r="B44" s="30">
        <v>100</v>
      </c>
      <c r="C44" s="2" t="s">
        <v>363</v>
      </c>
      <c r="D44" s="2" t="s">
        <v>364</v>
      </c>
      <c r="E44" s="2" t="s">
        <v>605</v>
      </c>
      <c r="F44" s="2" t="s">
        <v>361</v>
      </c>
      <c r="G44" s="30">
        <v>100</v>
      </c>
      <c r="H44" s="30">
        <v>0</v>
      </c>
      <c r="I44" s="2">
        <v>2.3599999999999999E-2</v>
      </c>
      <c r="J44" s="31">
        <v>2.36</v>
      </c>
    </row>
    <row r="45" spans="1:10" s="2" customFormat="1">
      <c r="A45" s="30">
        <v>44</v>
      </c>
      <c r="B45" s="30">
        <v>100</v>
      </c>
      <c r="C45" s="2" t="s">
        <v>342</v>
      </c>
      <c r="D45" s="2" t="s">
        <v>343</v>
      </c>
      <c r="E45" s="2" t="s">
        <v>341</v>
      </c>
      <c r="F45" s="2" t="s">
        <v>340</v>
      </c>
      <c r="G45" s="30">
        <v>100</v>
      </c>
      <c r="H45" s="30">
        <v>0</v>
      </c>
      <c r="I45" s="2">
        <v>0.10150000000000001</v>
      </c>
      <c r="J45" s="31">
        <v>10.15</v>
      </c>
    </row>
    <row r="46" spans="1:10" s="2" customFormat="1">
      <c r="A46" s="30">
        <v>45</v>
      </c>
      <c r="B46" s="30">
        <v>10</v>
      </c>
      <c r="C46" s="2" t="s">
        <v>348</v>
      </c>
      <c r="D46" s="2" t="s">
        <v>349</v>
      </c>
      <c r="E46" s="2" t="s">
        <v>608</v>
      </c>
      <c r="F46" s="2" t="s">
        <v>346</v>
      </c>
      <c r="G46" s="30">
        <v>10</v>
      </c>
      <c r="H46" s="30">
        <v>0</v>
      </c>
      <c r="I46" s="2">
        <v>0.26</v>
      </c>
      <c r="J46" s="31">
        <v>2.6</v>
      </c>
    </row>
    <row r="47" spans="1:10" s="2" customFormat="1">
      <c r="A47" s="30">
        <v>46</v>
      </c>
      <c r="B47" s="30">
        <v>3</v>
      </c>
      <c r="C47" s="2" t="s">
        <v>468</v>
      </c>
      <c r="D47" s="2" t="s">
        <v>469</v>
      </c>
      <c r="E47" s="2" t="s">
        <v>467</v>
      </c>
      <c r="F47" s="2" t="s">
        <v>466</v>
      </c>
      <c r="G47" s="30">
        <v>3</v>
      </c>
      <c r="H47" s="30">
        <v>0</v>
      </c>
      <c r="I47" s="2">
        <v>0.84</v>
      </c>
      <c r="J47" s="31">
        <v>2.52</v>
      </c>
    </row>
    <row r="48" spans="1:10" s="2" customFormat="1">
      <c r="A48" s="30">
        <v>47</v>
      </c>
      <c r="B48" s="30">
        <v>3</v>
      </c>
      <c r="C48" s="2" t="s">
        <v>500</v>
      </c>
      <c r="D48" s="2" t="s">
        <v>501</v>
      </c>
      <c r="E48" s="2" t="s">
        <v>499</v>
      </c>
      <c r="F48" s="2" t="s">
        <v>498</v>
      </c>
      <c r="G48" s="30">
        <v>3</v>
      </c>
      <c r="H48" s="30">
        <v>0</v>
      </c>
      <c r="I48" s="2">
        <v>0.41</v>
      </c>
      <c r="J48" s="31">
        <v>1.23</v>
      </c>
    </row>
    <row r="49" spans="1:10" s="2" customFormat="1">
      <c r="A49" s="30">
        <v>48</v>
      </c>
      <c r="B49" s="30">
        <v>10</v>
      </c>
      <c r="C49" s="2" t="s">
        <v>10</v>
      </c>
      <c r="D49" s="2" t="s">
        <v>11</v>
      </c>
      <c r="E49" s="2" t="s">
        <v>12</v>
      </c>
      <c r="F49" s="2" t="s">
        <v>213</v>
      </c>
      <c r="G49" s="30">
        <v>10</v>
      </c>
      <c r="H49" s="30">
        <v>0</v>
      </c>
      <c r="I49" s="2">
        <v>0.72199999999999998</v>
      </c>
      <c r="J49" s="31">
        <v>7.22</v>
      </c>
    </row>
    <row r="50" spans="1:10" s="2" customFormat="1">
      <c r="A50" s="30">
        <v>49</v>
      </c>
      <c r="B50" s="30">
        <v>20</v>
      </c>
      <c r="C50" s="2" t="s">
        <v>34</v>
      </c>
      <c r="D50" s="30">
        <v>74279220181</v>
      </c>
      <c r="E50" s="2" t="s">
        <v>35</v>
      </c>
      <c r="F50" s="2" t="s">
        <v>261</v>
      </c>
      <c r="G50" s="30">
        <v>20</v>
      </c>
      <c r="H50" s="30">
        <v>0</v>
      </c>
      <c r="I50" s="2">
        <v>0.32</v>
      </c>
      <c r="J50" s="31">
        <v>6.4</v>
      </c>
    </row>
    <row r="51" spans="1:10" s="2" customFormat="1">
      <c r="A51" s="30">
        <v>50</v>
      </c>
      <c r="B51" s="30">
        <v>3</v>
      </c>
      <c r="C51" s="2" t="s">
        <v>510</v>
      </c>
      <c r="D51" s="2" t="s">
        <v>511</v>
      </c>
      <c r="E51" s="2" t="s">
        <v>475</v>
      </c>
      <c r="F51" s="2" t="s">
        <v>508</v>
      </c>
      <c r="G51" s="30">
        <v>3</v>
      </c>
      <c r="H51" s="30">
        <v>0</v>
      </c>
      <c r="I51" s="2">
        <v>4.57</v>
      </c>
      <c r="J51" s="31">
        <v>13.71</v>
      </c>
    </row>
    <row r="52" spans="1:10" s="2" customFormat="1">
      <c r="A52" s="30">
        <v>51</v>
      </c>
      <c r="B52" s="30">
        <v>50</v>
      </c>
      <c r="C52" s="2" t="s">
        <v>85</v>
      </c>
      <c r="D52" s="2" t="s">
        <v>83</v>
      </c>
      <c r="E52" s="2" t="s">
        <v>86</v>
      </c>
      <c r="F52" s="2" t="s">
        <v>191</v>
      </c>
      <c r="G52" s="30">
        <v>50</v>
      </c>
      <c r="H52" s="30">
        <v>0</v>
      </c>
      <c r="I52" s="2">
        <v>2.4799999999999999E-2</v>
      </c>
      <c r="J52" s="31">
        <v>1.24</v>
      </c>
    </row>
    <row r="53" spans="1:10" s="2" customFormat="1">
      <c r="A53" s="30">
        <v>52</v>
      </c>
      <c r="B53" s="30">
        <v>100</v>
      </c>
      <c r="C53" s="2" t="s">
        <v>354</v>
      </c>
      <c r="D53" s="2" t="s">
        <v>355</v>
      </c>
      <c r="E53" s="2" t="s">
        <v>353</v>
      </c>
      <c r="F53" s="2" t="s">
        <v>352</v>
      </c>
      <c r="G53" s="30">
        <v>100</v>
      </c>
      <c r="H53" s="30">
        <v>0</v>
      </c>
      <c r="I53" s="2">
        <v>7.5700000000000003E-2</v>
      </c>
      <c r="J53" s="31">
        <v>7.57</v>
      </c>
    </row>
    <row r="54" spans="1:10" s="2" customFormat="1">
      <c r="A54" s="30">
        <v>53</v>
      </c>
      <c r="B54" s="30">
        <v>25</v>
      </c>
      <c r="C54" s="2" t="s">
        <v>254</v>
      </c>
      <c r="D54" s="2" t="s">
        <v>255</v>
      </c>
      <c r="E54" s="2" t="s">
        <v>568</v>
      </c>
      <c r="F54" s="2" t="s">
        <v>252</v>
      </c>
      <c r="G54" s="30">
        <v>25</v>
      </c>
      <c r="H54" s="30">
        <v>0</v>
      </c>
      <c r="I54" s="2">
        <v>7.0000000000000007E-2</v>
      </c>
      <c r="J54" s="31">
        <v>1.75</v>
      </c>
    </row>
    <row r="55" spans="1:10" s="2" customFormat="1">
      <c r="A55" s="30">
        <v>54</v>
      </c>
      <c r="B55" s="30">
        <v>10</v>
      </c>
      <c r="C55" s="2" t="s">
        <v>187</v>
      </c>
      <c r="D55" s="2" t="s">
        <v>188</v>
      </c>
      <c r="E55" s="2" t="s">
        <v>585</v>
      </c>
      <c r="F55" s="2" t="s">
        <v>185</v>
      </c>
      <c r="G55" s="30">
        <v>10</v>
      </c>
      <c r="H55" s="30">
        <v>0</v>
      </c>
      <c r="I55" s="2">
        <v>3.7999999999999999E-2</v>
      </c>
      <c r="J55" s="31">
        <v>0.38</v>
      </c>
    </row>
    <row r="56" spans="1:10" s="2" customFormat="1">
      <c r="A56" s="30">
        <v>55</v>
      </c>
      <c r="B56" s="30">
        <v>100</v>
      </c>
      <c r="C56" s="2" t="s">
        <v>618</v>
      </c>
      <c r="D56" s="2" t="s">
        <v>617</v>
      </c>
      <c r="E56" s="2" t="s">
        <v>379</v>
      </c>
      <c r="F56" s="2" t="s">
        <v>378</v>
      </c>
      <c r="G56" s="30">
        <v>100</v>
      </c>
      <c r="H56" s="30">
        <v>0</v>
      </c>
      <c r="I56" s="2">
        <v>0.10730000000000001</v>
      </c>
      <c r="J56" s="31">
        <v>10.73</v>
      </c>
    </row>
    <row r="57" spans="1:10" s="2" customFormat="1">
      <c r="A57" s="30">
        <v>56</v>
      </c>
      <c r="B57" s="30">
        <v>10</v>
      </c>
      <c r="C57" s="2" t="s">
        <v>621</v>
      </c>
      <c r="D57" s="2" t="s">
        <v>620</v>
      </c>
      <c r="E57" s="2" t="s">
        <v>623</v>
      </c>
      <c r="F57" s="2" t="s">
        <v>384</v>
      </c>
      <c r="G57" s="30">
        <v>10</v>
      </c>
      <c r="H57" s="30">
        <v>0</v>
      </c>
      <c r="I57" s="2">
        <v>1.7000000000000001E-2</v>
      </c>
      <c r="J57" s="31">
        <v>0.17</v>
      </c>
    </row>
    <row r="58" spans="1:10" s="2" customFormat="1">
      <c r="A58" s="30">
        <v>57</v>
      </c>
      <c r="B58" s="30">
        <v>100</v>
      </c>
      <c r="C58" s="2" t="s">
        <v>639</v>
      </c>
      <c r="D58" s="2" t="s">
        <v>640</v>
      </c>
      <c r="E58" s="2" t="s">
        <v>641</v>
      </c>
      <c r="G58" s="30">
        <v>100</v>
      </c>
      <c r="H58" s="30">
        <v>0</v>
      </c>
      <c r="I58" s="2">
        <v>6.0999999999999999E-2</v>
      </c>
      <c r="J58" s="31">
        <v>6.1</v>
      </c>
    </row>
    <row r="59" spans="1:10" s="2" customFormat="1">
      <c r="A59" s="30">
        <v>58</v>
      </c>
      <c r="B59" s="30">
        <v>20</v>
      </c>
      <c r="C59" s="2" t="s">
        <v>642</v>
      </c>
      <c r="D59" s="2" t="s">
        <v>643</v>
      </c>
      <c r="E59" s="2" t="s">
        <v>644</v>
      </c>
      <c r="G59" s="30">
        <v>20</v>
      </c>
      <c r="H59" s="30">
        <v>0</v>
      </c>
      <c r="I59" s="2">
        <v>0.19400000000000001</v>
      </c>
      <c r="J59" s="31">
        <v>3.88</v>
      </c>
    </row>
    <row r="60" spans="1:10" s="2" customFormat="1">
      <c r="A60" s="30">
        <v>59</v>
      </c>
      <c r="B60" s="30">
        <v>10</v>
      </c>
      <c r="C60" s="2" t="s">
        <v>645</v>
      </c>
      <c r="D60" s="2" t="s">
        <v>646</v>
      </c>
      <c r="E60" s="2" t="s">
        <v>647</v>
      </c>
      <c r="F60" s="2" t="s">
        <v>648</v>
      </c>
      <c r="G60" s="30">
        <v>10</v>
      </c>
      <c r="H60" s="30">
        <v>0</v>
      </c>
      <c r="I60" s="2">
        <v>0.221</v>
      </c>
      <c r="J60" s="31">
        <v>2.21</v>
      </c>
    </row>
    <row r="61" spans="1:10" s="2" customFormat="1">
      <c r="A61" s="30">
        <v>60</v>
      </c>
      <c r="B61" s="30">
        <v>1</v>
      </c>
      <c r="C61" s="2" t="s">
        <v>649</v>
      </c>
      <c r="D61" s="2" t="s">
        <v>650</v>
      </c>
      <c r="E61" s="2" t="s">
        <v>651</v>
      </c>
      <c r="G61" s="30">
        <v>1</v>
      </c>
      <c r="H61" s="30">
        <v>0</v>
      </c>
      <c r="I61" s="2">
        <v>16.989999999999998</v>
      </c>
      <c r="J61" s="31">
        <v>16.989999999999998</v>
      </c>
    </row>
    <row r="62" spans="1:10" s="2" customFormat="1">
      <c r="A62" s="30">
        <v>61</v>
      </c>
      <c r="B62" s="30">
        <v>1</v>
      </c>
      <c r="C62" s="2" t="s">
        <v>652</v>
      </c>
      <c r="D62" s="2" t="s">
        <v>653</v>
      </c>
      <c r="E62" s="2" t="s">
        <v>654</v>
      </c>
      <c r="G62" s="30">
        <v>1</v>
      </c>
      <c r="H62" s="30">
        <v>0</v>
      </c>
      <c r="I62" s="2">
        <v>20.57</v>
      </c>
      <c r="J62" s="31">
        <v>20.57</v>
      </c>
    </row>
    <row r="63" spans="1:10" s="2" customFormat="1">
      <c r="A63" s="30">
        <v>62</v>
      </c>
      <c r="B63" s="30">
        <v>1</v>
      </c>
      <c r="C63" s="2" t="s">
        <v>655</v>
      </c>
      <c r="D63" s="2" t="s">
        <v>656</v>
      </c>
      <c r="E63" s="2" t="s">
        <v>657</v>
      </c>
      <c r="G63" s="30">
        <v>1</v>
      </c>
      <c r="H63" s="30">
        <v>0</v>
      </c>
      <c r="I63" s="2">
        <v>20.57</v>
      </c>
      <c r="J63" s="31">
        <v>20.57</v>
      </c>
    </row>
  </sheetData>
  <sortState xmlns:xlrd2="http://schemas.microsoft.com/office/spreadsheetml/2017/richdata2" ref="A2:J31">
    <sortCondition ref="F2:F31"/>
  </sortState>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2D6D-91E2-409A-AA1E-33B048E14D93}">
  <dimension ref="A1:X59"/>
  <sheetViews>
    <sheetView tabSelected="1" workbookViewId="0">
      <selection activeCell="H43" sqref="H43"/>
    </sheetView>
  </sheetViews>
  <sheetFormatPr defaultColWidth="8.88671875" defaultRowHeight="14.4"/>
  <cols>
    <col min="1" max="1" width="12.44140625" style="2" customWidth="1"/>
    <col min="2" max="2" width="13" style="2" customWidth="1"/>
    <col min="3" max="3" width="23.88671875" style="2" customWidth="1"/>
    <col min="4" max="4" width="11" style="2" customWidth="1"/>
    <col min="5" max="5" width="10.5546875" style="2" customWidth="1"/>
    <col min="6" max="6" width="8.88671875" style="2" customWidth="1"/>
    <col min="7" max="7" width="8.88671875" style="2" hidden="1" customWidth="1"/>
    <col min="8" max="8" width="8.88671875" style="2"/>
    <col min="9" max="11" width="8.88671875" style="2" customWidth="1"/>
    <col min="12" max="12" width="8.88671875" style="2" hidden="1" customWidth="1"/>
    <col min="13" max="13" width="34" style="2" customWidth="1"/>
    <col min="14" max="17" width="8.88671875" style="2" hidden="1" customWidth="1"/>
    <col min="18" max="23" width="8.88671875" style="2"/>
    <col min="24" max="24" width="15.44140625" style="2" customWidth="1"/>
    <col min="25" max="16384" width="8.88671875" style="2"/>
  </cols>
  <sheetData>
    <row r="1" spans="1:24" s="4" customFormat="1" ht="43.8" thickBot="1">
      <c r="A1" s="3" t="s">
        <v>3</v>
      </c>
      <c r="B1" s="3" t="s">
        <v>39</v>
      </c>
      <c r="C1" s="14" t="s">
        <v>40</v>
      </c>
      <c r="D1" s="8" t="s">
        <v>5</v>
      </c>
      <c r="E1" s="8" t="s">
        <v>41</v>
      </c>
      <c r="F1" s="8" t="s">
        <v>42</v>
      </c>
      <c r="G1" s="8" t="s">
        <v>43</v>
      </c>
      <c r="H1" s="8" t="s">
        <v>1</v>
      </c>
      <c r="I1" s="6" t="s">
        <v>8</v>
      </c>
      <c r="J1" s="6" t="s">
        <v>44</v>
      </c>
      <c r="K1" s="6" t="s">
        <v>45</v>
      </c>
      <c r="L1" s="6" t="s">
        <v>46</v>
      </c>
      <c r="M1" s="6" t="s">
        <v>4</v>
      </c>
      <c r="N1" s="6" t="s">
        <v>47</v>
      </c>
      <c r="O1" s="6" t="s">
        <v>48</v>
      </c>
      <c r="P1" s="6" t="s">
        <v>49</v>
      </c>
      <c r="Q1" s="6"/>
      <c r="R1" s="15" t="s">
        <v>121</v>
      </c>
      <c r="S1" s="16" t="s">
        <v>120</v>
      </c>
      <c r="T1" s="21" t="s">
        <v>610</v>
      </c>
      <c r="U1" s="21" t="s">
        <v>611</v>
      </c>
    </row>
    <row r="2" spans="1:24">
      <c r="A2" s="2" t="s">
        <v>511</v>
      </c>
      <c r="B2" s="2" t="s">
        <v>65</v>
      </c>
      <c r="C2" s="2" t="s">
        <v>510</v>
      </c>
      <c r="D2" s="2" t="s">
        <v>508</v>
      </c>
      <c r="E2" s="2" t="s">
        <v>103</v>
      </c>
      <c r="F2" s="2" t="s">
        <v>50</v>
      </c>
      <c r="G2" s="2" t="s">
        <v>51</v>
      </c>
      <c r="H2" s="2">
        <v>1</v>
      </c>
      <c r="I2" s="2">
        <v>4.57</v>
      </c>
      <c r="J2" s="20">
        <v>4.57</v>
      </c>
      <c r="K2" s="2">
        <v>1201</v>
      </c>
      <c r="L2" s="2" t="s">
        <v>624</v>
      </c>
      <c r="M2" s="2" t="s">
        <v>475</v>
      </c>
      <c r="N2" s="2" t="s">
        <v>61</v>
      </c>
      <c r="O2" s="2" t="s">
        <v>55</v>
      </c>
      <c r="P2" s="2" t="s">
        <v>62</v>
      </c>
      <c r="R2" s="12">
        <f>_xlfn.XLOOKUP(D2,cart!$F:$F,cart!$B:$B)</f>
        <v>3</v>
      </c>
      <c r="S2" s="13">
        <f>R2-(H2*$X$3)</f>
        <v>1</v>
      </c>
      <c r="T2" s="12">
        <f>_xlfn.XLOOKUP(D2,kicad_bom!$F:$F,kicad_bom!$B:$B)</f>
        <v>1</v>
      </c>
      <c r="U2" s="13">
        <f t="shared" ref="U2:U33" si="0">T2-H2</f>
        <v>0</v>
      </c>
      <c r="X2" s="2" t="s">
        <v>658</v>
      </c>
    </row>
    <row r="3" spans="1:24">
      <c r="A3" s="2" t="s">
        <v>182</v>
      </c>
      <c r="B3" s="2" t="s">
        <v>84</v>
      </c>
      <c r="C3" s="2" t="s">
        <v>181</v>
      </c>
      <c r="D3" s="2" t="s">
        <v>179</v>
      </c>
      <c r="E3" s="2" t="s">
        <v>544</v>
      </c>
      <c r="F3" s="2" t="s">
        <v>50</v>
      </c>
      <c r="G3" s="2" t="s">
        <v>51</v>
      </c>
      <c r="H3" s="2">
        <v>6</v>
      </c>
      <c r="I3" s="2">
        <v>0.31</v>
      </c>
      <c r="J3" s="20">
        <v>1.86</v>
      </c>
      <c r="K3" s="2">
        <v>255</v>
      </c>
      <c r="L3" s="2" t="s">
        <v>545</v>
      </c>
      <c r="M3" s="2" t="s">
        <v>180</v>
      </c>
      <c r="N3" s="2" t="s">
        <v>61</v>
      </c>
      <c r="O3" s="2" t="s">
        <v>54</v>
      </c>
      <c r="P3" s="2" t="s">
        <v>62</v>
      </c>
      <c r="R3" s="12">
        <f>_xlfn.XLOOKUP(D3,cart!$F:$F,cart!$B:$B)</f>
        <v>20</v>
      </c>
      <c r="S3" s="13">
        <f t="shared" ref="S3:S56" si="1">R3-(H3*$X$3)</f>
        <v>8</v>
      </c>
      <c r="T3" s="12">
        <f>_xlfn.XLOOKUP(D3,kicad_bom!$F:$F,kicad_bom!$B:$B)</f>
        <v>6</v>
      </c>
      <c r="U3" s="13">
        <f t="shared" si="0"/>
        <v>0</v>
      </c>
      <c r="X3" s="2">
        <v>2</v>
      </c>
    </row>
    <row r="4" spans="1:24">
      <c r="A4" s="2" t="s">
        <v>418</v>
      </c>
      <c r="B4" s="2" t="s">
        <v>84</v>
      </c>
      <c r="C4" s="2" t="s">
        <v>417</v>
      </c>
      <c r="D4" s="2" t="s">
        <v>415</v>
      </c>
      <c r="E4" s="2" t="s">
        <v>106</v>
      </c>
      <c r="F4" s="2" t="s">
        <v>50</v>
      </c>
      <c r="G4" s="2" t="s">
        <v>51</v>
      </c>
      <c r="H4" s="2">
        <v>1</v>
      </c>
      <c r="I4" s="2">
        <v>0.5</v>
      </c>
      <c r="J4" s="20">
        <v>0.5</v>
      </c>
      <c r="K4" s="2">
        <v>30227</v>
      </c>
      <c r="L4" s="2" t="s">
        <v>74</v>
      </c>
      <c r="M4" s="2" t="s">
        <v>416</v>
      </c>
      <c r="N4" s="2" t="s">
        <v>61</v>
      </c>
      <c r="O4" s="2" t="s">
        <v>54</v>
      </c>
      <c r="P4" s="2" t="s">
        <v>62</v>
      </c>
      <c r="R4" s="12">
        <f>_xlfn.XLOOKUP(D4,cart!$F:$F,cart!$B:$B)</f>
        <v>10</v>
      </c>
      <c r="S4" s="13">
        <f t="shared" si="1"/>
        <v>8</v>
      </c>
      <c r="T4" s="12">
        <f>_xlfn.XLOOKUP(D4,kicad_bom!$F:$F,kicad_bom!$B:$B)</f>
        <v>1</v>
      </c>
      <c r="U4" s="13">
        <f t="shared" si="0"/>
        <v>0</v>
      </c>
    </row>
    <row r="5" spans="1:24">
      <c r="A5" s="2" t="s">
        <v>17</v>
      </c>
      <c r="B5" s="2" t="s">
        <v>65</v>
      </c>
      <c r="C5" s="2" t="s">
        <v>16</v>
      </c>
      <c r="D5" s="2" t="s">
        <v>523</v>
      </c>
      <c r="E5" s="2" t="s">
        <v>101</v>
      </c>
      <c r="F5" s="2" t="s">
        <v>50</v>
      </c>
      <c r="G5" s="2" t="s">
        <v>51</v>
      </c>
      <c r="H5" s="2">
        <v>1</v>
      </c>
      <c r="I5" s="2">
        <v>0.56000000000000005</v>
      </c>
      <c r="J5" s="20">
        <v>0.56000000000000005</v>
      </c>
      <c r="K5" s="2">
        <v>1491</v>
      </c>
      <c r="L5" s="2" t="s">
        <v>52</v>
      </c>
      <c r="M5" s="2" t="s">
        <v>18</v>
      </c>
      <c r="N5" s="2" t="s">
        <v>61</v>
      </c>
      <c r="O5" s="2" t="s">
        <v>54</v>
      </c>
      <c r="P5" s="2" t="s">
        <v>62</v>
      </c>
      <c r="R5" s="12">
        <f>_xlfn.XLOOKUP(D5,cart!$F:$F,cart!$B:$B)</f>
        <v>10</v>
      </c>
      <c r="S5" s="13">
        <f t="shared" si="1"/>
        <v>8</v>
      </c>
      <c r="T5" s="12">
        <f>_xlfn.XLOOKUP(D5,kicad_bom!$F:$F,kicad_bom!$B:$B)</f>
        <v>1</v>
      </c>
      <c r="U5" s="13">
        <f t="shared" si="0"/>
        <v>0</v>
      </c>
    </row>
    <row r="6" spans="1:24">
      <c r="A6" s="2" t="s">
        <v>477</v>
      </c>
      <c r="B6" s="2" t="s">
        <v>478</v>
      </c>
      <c r="C6" s="2" t="s">
        <v>476</v>
      </c>
      <c r="D6" s="2" t="s">
        <v>474</v>
      </c>
      <c r="E6" s="2" t="s">
        <v>551</v>
      </c>
      <c r="F6" s="2" t="s">
        <v>64</v>
      </c>
      <c r="G6" s="2" t="s">
        <v>51</v>
      </c>
      <c r="H6" s="2">
        <v>3</v>
      </c>
      <c r="I6" s="2">
        <v>8.68</v>
      </c>
      <c r="J6" s="20">
        <v>26.04</v>
      </c>
      <c r="K6" s="2">
        <v>313</v>
      </c>
      <c r="L6" s="2" t="s">
        <v>60</v>
      </c>
      <c r="M6" s="2" t="s">
        <v>475</v>
      </c>
      <c r="N6" s="2" t="s">
        <v>61</v>
      </c>
      <c r="O6" s="2" t="s">
        <v>54</v>
      </c>
      <c r="P6" s="2" t="s">
        <v>62</v>
      </c>
      <c r="R6" s="12">
        <f>_xlfn.XLOOKUP(D6,cart!$F:$F,cart!$B:$B)</f>
        <v>10</v>
      </c>
      <c r="S6" s="13">
        <f t="shared" si="1"/>
        <v>4</v>
      </c>
      <c r="T6" s="12">
        <f>_xlfn.XLOOKUP(D6,kicad_bom!$F:$F,kicad_bom!$B:$B)</f>
        <v>3</v>
      </c>
      <c r="U6" s="13">
        <f t="shared" si="0"/>
        <v>0</v>
      </c>
    </row>
    <row r="7" spans="1:24">
      <c r="A7" s="2" t="s">
        <v>96</v>
      </c>
      <c r="B7" s="2" t="s">
        <v>97</v>
      </c>
      <c r="C7" s="2" t="s">
        <v>98</v>
      </c>
      <c r="D7" s="2" t="s">
        <v>552</v>
      </c>
      <c r="E7" s="2" t="s">
        <v>99</v>
      </c>
      <c r="F7" s="2" t="s">
        <v>50</v>
      </c>
      <c r="G7" s="2" t="s">
        <v>51</v>
      </c>
      <c r="H7" s="2">
        <v>2</v>
      </c>
      <c r="I7" s="2">
        <v>0.1</v>
      </c>
      <c r="J7" s="20">
        <v>0.2</v>
      </c>
      <c r="K7" s="2">
        <v>215903</v>
      </c>
      <c r="L7" s="2" t="s">
        <v>553</v>
      </c>
      <c r="M7" s="2" t="s">
        <v>100</v>
      </c>
      <c r="N7" s="2" t="s">
        <v>61</v>
      </c>
      <c r="O7" s="2" t="s">
        <v>54</v>
      </c>
      <c r="P7" s="2" t="s">
        <v>62</v>
      </c>
      <c r="R7" s="12">
        <f>_xlfn.XLOOKUP(D7,cart!$F:$F,cart!$B:$B)</f>
        <v>10</v>
      </c>
      <c r="S7" s="13">
        <f t="shared" si="1"/>
        <v>6</v>
      </c>
      <c r="T7" s="12">
        <f>_xlfn.XLOOKUP(D7,kicad_bom!$F:$F,kicad_bom!$B:$B)</f>
        <v>2</v>
      </c>
      <c r="U7" s="13">
        <f t="shared" si="0"/>
        <v>0</v>
      </c>
    </row>
    <row r="8" spans="1:24">
      <c r="A8" s="2" t="s">
        <v>197</v>
      </c>
      <c r="B8" s="2" t="s">
        <v>168</v>
      </c>
      <c r="C8" s="2" t="s">
        <v>196</v>
      </c>
      <c r="D8" s="2" t="s">
        <v>194</v>
      </c>
      <c r="E8" s="2" t="s">
        <v>554</v>
      </c>
      <c r="F8" s="2" t="s">
        <v>50</v>
      </c>
      <c r="G8" s="2" t="s">
        <v>51</v>
      </c>
      <c r="H8" s="2">
        <v>16</v>
      </c>
      <c r="I8" s="2">
        <v>0</v>
      </c>
      <c r="J8" s="20">
        <v>0</v>
      </c>
      <c r="K8" s="2">
        <v>24000</v>
      </c>
      <c r="L8" s="2" t="s">
        <v>545</v>
      </c>
      <c r="M8" s="2" t="s">
        <v>195</v>
      </c>
      <c r="N8" s="2" t="s">
        <v>61</v>
      </c>
      <c r="O8" s="2" t="s">
        <v>54</v>
      </c>
      <c r="P8" s="2" t="s">
        <v>55</v>
      </c>
      <c r="R8" s="12" t="e">
        <f>_xlfn.XLOOKUP(D8,cart!$F:$F,cart!$B:$B)</f>
        <v>#N/A</v>
      </c>
      <c r="S8" s="13" t="e">
        <f t="shared" si="1"/>
        <v>#N/A</v>
      </c>
      <c r="T8" s="12">
        <f>_xlfn.XLOOKUP(D8,kicad_bom!$F:$F,kicad_bom!$B:$B)</f>
        <v>16</v>
      </c>
      <c r="U8" s="13">
        <f t="shared" si="0"/>
        <v>0</v>
      </c>
    </row>
    <row r="9" spans="1:24">
      <c r="A9" s="2" t="s">
        <v>408</v>
      </c>
      <c r="B9" s="2" t="s">
        <v>409</v>
      </c>
      <c r="C9" s="2" t="s">
        <v>407</v>
      </c>
      <c r="D9" s="2" t="s">
        <v>405</v>
      </c>
      <c r="E9" s="2" t="s">
        <v>556</v>
      </c>
      <c r="F9" s="2" t="s">
        <v>50</v>
      </c>
      <c r="G9" s="2" t="s">
        <v>51</v>
      </c>
      <c r="H9" s="2">
        <v>1</v>
      </c>
      <c r="I9" s="2">
        <v>0.1</v>
      </c>
      <c r="J9" s="20">
        <v>0.1</v>
      </c>
      <c r="K9" s="2">
        <v>1879</v>
      </c>
      <c r="L9" s="2" t="s">
        <v>549</v>
      </c>
      <c r="M9" s="2" t="s">
        <v>557</v>
      </c>
      <c r="N9" s="2" t="s">
        <v>61</v>
      </c>
      <c r="O9" s="2" t="s">
        <v>54</v>
      </c>
      <c r="P9" s="2" t="s">
        <v>62</v>
      </c>
      <c r="R9" s="12">
        <f>_xlfn.XLOOKUP(D9,cart!$F:$F,cart!$B:$B)</f>
        <v>10</v>
      </c>
      <c r="S9" s="13">
        <f t="shared" si="1"/>
        <v>8</v>
      </c>
      <c r="T9" s="12">
        <f>_xlfn.XLOOKUP(D9,kicad_bom!$F:$F,kicad_bom!$B:$B)</f>
        <v>1</v>
      </c>
      <c r="U9" s="13">
        <f t="shared" si="0"/>
        <v>0</v>
      </c>
    </row>
    <row r="10" spans="1:24">
      <c r="A10" s="2" t="s">
        <v>397</v>
      </c>
      <c r="B10" s="2" t="s">
        <v>344</v>
      </c>
      <c r="C10" s="2" t="s">
        <v>396</v>
      </c>
      <c r="D10" s="2" t="s">
        <v>394</v>
      </c>
      <c r="E10" s="2" t="s">
        <v>105</v>
      </c>
      <c r="F10" s="2" t="s">
        <v>50</v>
      </c>
      <c r="G10" s="2" t="s">
        <v>51</v>
      </c>
      <c r="H10" s="2">
        <v>5</v>
      </c>
      <c r="I10" s="2">
        <v>0.31</v>
      </c>
      <c r="J10" s="20">
        <v>1.55</v>
      </c>
      <c r="K10" s="2">
        <v>3418</v>
      </c>
      <c r="L10" s="2" t="s">
        <v>90</v>
      </c>
      <c r="M10" s="2" t="s">
        <v>395</v>
      </c>
      <c r="N10" s="2" t="s">
        <v>61</v>
      </c>
      <c r="O10" s="2" t="s">
        <v>54</v>
      </c>
      <c r="P10" s="2" t="s">
        <v>62</v>
      </c>
      <c r="R10" s="12">
        <f>_xlfn.XLOOKUP(D10,cart!$F:$F,cart!$B:$B)</f>
        <v>10</v>
      </c>
      <c r="S10" s="13">
        <f t="shared" si="1"/>
        <v>0</v>
      </c>
      <c r="T10" s="12">
        <f>_xlfn.XLOOKUP(D10,kicad_bom!$F:$F,kicad_bom!$B:$B)</f>
        <v>5</v>
      </c>
      <c r="U10" s="13">
        <f t="shared" si="0"/>
        <v>0</v>
      </c>
    </row>
    <row r="11" spans="1:24">
      <c r="A11" s="2" t="s">
        <v>277</v>
      </c>
      <c r="B11" s="2" t="s">
        <v>278</v>
      </c>
      <c r="C11" s="2" t="s">
        <v>276</v>
      </c>
      <c r="D11" s="2" t="s">
        <v>274</v>
      </c>
      <c r="E11" s="2" t="s">
        <v>119</v>
      </c>
      <c r="F11" s="2" t="s">
        <v>56</v>
      </c>
      <c r="G11" s="2" t="s">
        <v>51</v>
      </c>
      <c r="H11" s="2">
        <v>1</v>
      </c>
      <c r="I11" s="2">
        <v>1.66</v>
      </c>
      <c r="J11" s="20">
        <v>1.66</v>
      </c>
      <c r="K11" s="2">
        <v>1520</v>
      </c>
      <c r="L11" s="2" t="s">
        <v>60</v>
      </c>
      <c r="M11" s="2" t="s">
        <v>275</v>
      </c>
      <c r="N11" s="2" t="s">
        <v>53</v>
      </c>
      <c r="O11" s="2" t="s">
        <v>54</v>
      </c>
      <c r="P11" s="2" t="s">
        <v>55</v>
      </c>
      <c r="R11" s="12">
        <f>_xlfn.XLOOKUP(D11,cart!$F:$F,cart!$B:$B)</f>
        <v>2</v>
      </c>
      <c r="S11" s="13">
        <f t="shared" si="1"/>
        <v>0</v>
      </c>
      <c r="T11" s="12">
        <f>_xlfn.XLOOKUP(D11,kicad_bom!$F:$F,kicad_bom!$B:$B)</f>
        <v>1</v>
      </c>
      <c r="U11" s="13">
        <f t="shared" si="0"/>
        <v>0</v>
      </c>
    </row>
    <row r="12" spans="1:24">
      <c r="A12" s="2" t="s">
        <v>558</v>
      </c>
      <c r="B12" s="2" t="s">
        <v>88</v>
      </c>
      <c r="C12" s="2" t="s">
        <v>559</v>
      </c>
      <c r="D12" s="2" t="s">
        <v>218</v>
      </c>
      <c r="E12" s="2" t="s">
        <v>560</v>
      </c>
      <c r="F12" s="2" t="s">
        <v>50</v>
      </c>
      <c r="G12" s="2" t="s">
        <v>51</v>
      </c>
      <c r="H12" s="2">
        <v>18</v>
      </c>
      <c r="I12" s="2">
        <v>0.872</v>
      </c>
      <c r="J12" s="20">
        <v>15.69</v>
      </c>
      <c r="K12" s="2">
        <v>1024</v>
      </c>
      <c r="L12" s="2" t="s">
        <v>90</v>
      </c>
      <c r="M12" s="2" t="s">
        <v>24</v>
      </c>
      <c r="N12" s="2" t="s">
        <v>61</v>
      </c>
      <c r="O12" s="2" t="s">
        <v>54</v>
      </c>
      <c r="P12" s="2" t="s">
        <v>62</v>
      </c>
      <c r="R12" s="12">
        <f>_xlfn.XLOOKUP(D12,cart!$F:$F,cart!$B:$B)</f>
        <v>50</v>
      </c>
      <c r="S12" s="13">
        <f t="shared" si="1"/>
        <v>14</v>
      </c>
      <c r="T12" s="12">
        <f>_xlfn.XLOOKUP(D12,kicad_bom!$F:$F,kicad_bom!$B:$B)</f>
        <v>18</v>
      </c>
      <c r="U12" s="13">
        <f t="shared" si="0"/>
        <v>0</v>
      </c>
    </row>
    <row r="13" spans="1:24">
      <c r="A13" s="2" t="s">
        <v>83</v>
      </c>
      <c r="B13" s="2" t="s">
        <v>84</v>
      </c>
      <c r="C13" s="2" t="s">
        <v>85</v>
      </c>
      <c r="D13" s="2" t="s">
        <v>191</v>
      </c>
      <c r="E13" s="2" t="s">
        <v>546</v>
      </c>
      <c r="F13" s="2" t="s">
        <v>50</v>
      </c>
      <c r="G13" s="2" t="s">
        <v>51</v>
      </c>
      <c r="H13" s="2">
        <v>17</v>
      </c>
      <c r="I13" s="2">
        <v>4.4999999999999998E-2</v>
      </c>
      <c r="J13" s="20">
        <v>0.76</v>
      </c>
      <c r="K13" s="2">
        <v>9242198</v>
      </c>
      <c r="L13" s="2" t="s">
        <v>74</v>
      </c>
      <c r="M13" s="2" t="s">
        <v>86</v>
      </c>
      <c r="N13" s="2" t="s">
        <v>61</v>
      </c>
      <c r="O13" s="2" t="s">
        <v>54</v>
      </c>
      <c r="P13" s="2" t="s">
        <v>62</v>
      </c>
      <c r="R13" s="12">
        <f>_xlfn.XLOOKUP(D13,cart!$F:$F,cart!$B:$B)</f>
        <v>50</v>
      </c>
      <c r="S13" s="13">
        <f t="shared" si="1"/>
        <v>16</v>
      </c>
      <c r="T13" s="12">
        <f>_xlfn.XLOOKUP(D13,kicad_bom!$F:$F,kicad_bom!$B:$B)</f>
        <v>17</v>
      </c>
      <c r="U13" s="13">
        <f t="shared" si="0"/>
        <v>0</v>
      </c>
    </row>
    <row r="14" spans="1:24">
      <c r="A14" s="2" t="s">
        <v>518</v>
      </c>
      <c r="B14" s="2" t="s">
        <v>65</v>
      </c>
      <c r="C14" s="2" t="s">
        <v>517</v>
      </c>
      <c r="D14" s="2" t="s">
        <v>515</v>
      </c>
      <c r="E14" s="2" t="s">
        <v>561</v>
      </c>
      <c r="F14" s="2" t="s">
        <v>64</v>
      </c>
      <c r="G14" s="2" t="s">
        <v>51</v>
      </c>
      <c r="H14" s="2">
        <v>2</v>
      </c>
      <c r="I14" s="2">
        <v>3.03</v>
      </c>
      <c r="J14" s="20">
        <v>6.06</v>
      </c>
      <c r="K14" s="2">
        <v>184</v>
      </c>
      <c r="L14" s="2" t="s">
        <v>52</v>
      </c>
      <c r="M14" s="2" t="s">
        <v>516</v>
      </c>
      <c r="N14" s="2" t="s">
        <v>61</v>
      </c>
      <c r="O14" s="2" t="s">
        <v>54</v>
      </c>
      <c r="P14" s="2" t="s">
        <v>62</v>
      </c>
      <c r="R14" s="12">
        <f>_xlfn.XLOOKUP(D14,cart!$F:$F,cart!$B:$B)</f>
        <v>10</v>
      </c>
      <c r="S14" s="13">
        <f t="shared" si="1"/>
        <v>6</v>
      </c>
      <c r="T14" s="12">
        <f>_xlfn.XLOOKUP(D14,kicad_bom!$F:$F,kicad_bom!$B:$B)</f>
        <v>2</v>
      </c>
      <c r="U14" s="13">
        <f t="shared" si="0"/>
        <v>0</v>
      </c>
    </row>
    <row r="15" spans="1:24">
      <c r="A15" s="2" t="s">
        <v>562</v>
      </c>
      <c r="B15" s="2" t="s">
        <v>97</v>
      </c>
      <c r="C15" s="2" t="s">
        <v>563</v>
      </c>
      <c r="D15" s="2" t="s">
        <v>243</v>
      </c>
      <c r="E15" s="2" t="s">
        <v>564</v>
      </c>
      <c r="F15" s="2" t="s">
        <v>50</v>
      </c>
      <c r="G15" s="2" t="s">
        <v>51</v>
      </c>
      <c r="H15" s="2">
        <v>2</v>
      </c>
      <c r="I15" s="2">
        <v>0.33</v>
      </c>
      <c r="J15" s="20">
        <v>0.66</v>
      </c>
      <c r="K15" s="2">
        <v>5878</v>
      </c>
      <c r="L15" s="2" t="s">
        <v>94</v>
      </c>
      <c r="M15" s="2" t="s">
        <v>565</v>
      </c>
      <c r="N15" s="2" t="s">
        <v>61</v>
      </c>
      <c r="O15" s="2" t="s">
        <v>54</v>
      </c>
      <c r="P15" s="2" t="s">
        <v>62</v>
      </c>
      <c r="R15" s="12">
        <f>_xlfn.XLOOKUP(D15,cart!$F:$F,cart!$B:$B)</f>
        <v>5</v>
      </c>
      <c r="S15" s="13">
        <f t="shared" si="1"/>
        <v>1</v>
      </c>
      <c r="T15" s="12">
        <f>_xlfn.XLOOKUP(D15,kicad_bom!$F:$F,kicad_bom!$B:$B)</f>
        <v>2</v>
      </c>
      <c r="U15" s="13">
        <f t="shared" si="0"/>
        <v>0</v>
      </c>
    </row>
    <row r="16" spans="1:24">
      <c r="A16" s="2" t="s">
        <v>313</v>
      </c>
      <c r="B16" s="2" t="s">
        <v>318</v>
      </c>
      <c r="C16" s="2" t="s">
        <v>317</v>
      </c>
      <c r="D16" s="2" t="s">
        <v>315</v>
      </c>
      <c r="E16" s="2" t="s">
        <v>566</v>
      </c>
      <c r="F16" s="2" t="s">
        <v>50</v>
      </c>
      <c r="G16" s="2" t="s">
        <v>51</v>
      </c>
      <c r="H16" s="2">
        <v>1</v>
      </c>
      <c r="I16" s="2">
        <v>0.92</v>
      </c>
      <c r="J16" s="20">
        <v>0.92</v>
      </c>
      <c r="K16" s="2">
        <v>8311</v>
      </c>
      <c r="L16" s="2" t="s">
        <v>57</v>
      </c>
      <c r="M16" s="2" t="s">
        <v>316</v>
      </c>
      <c r="N16" s="2" t="s">
        <v>61</v>
      </c>
      <c r="O16" s="2" t="s">
        <v>54</v>
      </c>
      <c r="P16" s="2" t="s">
        <v>62</v>
      </c>
      <c r="R16" s="12">
        <f>_xlfn.XLOOKUP(D16,cart!$F:$F,cart!$B:$B)</f>
        <v>10</v>
      </c>
      <c r="S16" s="13">
        <f t="shared" si="1"/>
        <v>8</v>
      </c>
      <c r="T16" s="12">
        <f>_xlfn.XLOOKUP(D16,kicad_bom!$F:$F,kicad_bom!$B:$B)</f>
        <v>1</v>
      </c>
      <c r="U16" s="13">
        <f t="shared" si="0"/>
        <v>0</v>
      </c>
    </row>
    <row r="17" spans="1:23">
      <c r="A17" s="2" t="s">
        <v>306</v>
      </c>
      <c r="B17" s="2" t="s">
        <v>102</v>
      </c>
      <c r="C17" s="2" t="s">
        <v>311</v>
      </c>
      <c r="D17" s="2" t="s">
        <v>309</v>
      </c>
      <c r="E17" s="2" t="s">
        <v>567</v>
      </c>
      <c r="F17" s="2" t="s">
        <v>50</v>
      </c>
      <c r="G17" s="2" t="s">
        <v>51</v>
      </c>
      <c r="H17" s="2">
        <v>2</v>
      </c>
      <c r="I17" s="2">
        <v>0.69</v>
      </c>
      <c r="J17" s="20">
        <v>1.38</v>
      </c>
      <c r="K17" s="2">
        <v>1910</v>
      </c>
      <c r="L17" s="2" t="s">
        <v>60</v>
      </c>
      <c r="M17" s="2" t="s">
        <v>310</v>
      </c>
      <c r="N17" s="2" t="s">
        <v>61</v>
      </c>
      <c r="O17" s="2" t="s">
        <v>54</v>
      </c>
      <c r="P17" s="2" t="s">
        <v>62</v>
      </c>
      <c r="R17" s="12">
        <f>_xlfn.XLOOKUP(D17,cart!$F:$F,cart!$B:$B)</f>
        <v>10</v>
      </c>
      <c r="S17" s="13">
        <f t="shared" si="1"/>
        <v>6</v>
      </c>
      <c r="T17" s="12">
        <f>_xlfn.XLOOKUP(D17,kicad_bom!$F:$F,kicad_bom!$B:$B)</f>
        <v>2</v>
      </c>
      <c r="U17" s="13">
        <f t="shared" si="0"/>
        <v>0</v>
      </c>
      <c r="W17" s="17"/>
    </row>
    <row r="18" spans="1:23">
      <c r="A18" s="2" t="s">
        <v>255</v>
      </c>
      <c r="B18" s="2" t="s">
        <v>256</v>
      </c>
      <c r="C18" s="2" t="s">
        <v>254</v>
      </c>
      <c r="D18" s="2" t="s">
        <v>252</v>
      </c>
      <c r="E18" s="2" t="s">
        <v>80</v>
      </c>
      <c r="F18" s="2" t="s">
        <v>50</v>
      </c>
      <c r="G18" s="2" t="s">
        <v>51</v>
      </c>
      <c r="H18" s="2">
        <v>9</v>
      </c>
      <c r="I18" s="2">
        <v>0.11</v>
      </c>
      <c r="J18" s="20">
        <v>0.99</v>
      </c>
      <c r="K18" s="2">
        <v>26842</v>
      </c>
      <c r="L18" s="2" t="s">
        <v>553</v>
      </c>
      <c r="M18" s="2" t="s">
        <v>568</v>
      </c>
      <c r="N18" s="2" t="s">
        <v>61</v>
      </c>
      <c r="O18" s="2" t="s">
        <v>54</v>
      </c>
      <c r="P18" s="2" t="s">
        <v>55</v>
      </c>
      <c r="R18" s="12">
        <f>_xlfn.XLOOKUP(D18,cart!$F:$F,cart!$B:$B)</f>
        <v>25</v>
      </c>
      <c r="S18" s="13">
        <f t="shared" si="1"/>
        <v>7</v>
      </c>
      <c r="T18" s="12">
        <f>_xlfn.XLOOKUP(D18,kicad_bom!$F:$F,kicad_bom!$B:$B)</f>
        <v>9</v>
      </c>
      <c r="U18" s="13">
        <f t="shared" si="0"/>
        <v>0</v>
      </c>
    </row>
    <row r="19" spans="1:23">
      <c r="A19" s="2" t="s">
        <v>525</v>
      </c>
      <c r="B19" s="2" t="s">
        <v>102</v>
      </c>
      <c r="C19" s="2" t="s">
        <v>530</v>
      </c>
      <c r="D19" s="2" t="s">
        <v>528</v>
      </c>
      <c r="E19" s="2" t="s">
        <v>69</v>
      </c>
      <c r="F19" s="2" t="s">
        <v>50</v>
      </c>
      <c r="G19" s="2" t="s">
        <v>51</v>
      </c>
      <c r="H19" s="2">
        <v>2</v>
      </c>
      <c r="I19" s="2">
        <v>0.48</v>
      </c>
      <c r="J19" s="20">
        <v>0.96</v>
      </c>
      <c r="K19" s="2">
        <v>30695</v>
      </c>
      <c r="L19" s="2" t="s">
        <v>60</v>
      </c>
      <c r="M19" s="2" t="s">
        <v>529</v>
      </c>
      <c r="N19" s="2" t="s">
        <v>61</v>
      </c>
      <c r="O19" s="2" t="s">
        <v>54</v>
      </c>
      <c r="P19" s="2" t="s">
        <v>62</v>
      </c>
      <c r="R19" s="12">
        <f>_xlfn.XLOOKUP(D19,cart!$F:$F,cart!$B:$B)</f>
        <v>10</v>
      </c>
      <c r="S19" s="13">
        <f t="shared" si="1"/>
        <v>6</v>
      </c>
      <c r="T19" s="12">
        <f>_xlfn.XLOOKUP(D19,kicad_bom!$F:$F,kicad_bom!$B:$B)</f>
        <v>2</v>
      </c>
      <c r="U19" s="13">
        <f t="shared" si="0"/>
        <v>0</v>
      </c>
    </row>
    <row r="20" spans="1:23">
      <c r="A20" s="2" t="s">
        <v>208</v>
      </c>
      <c r="B20" s="2" t="s">
        <v>77</v>
      </c>
      <c r="C20" s="2" t="s">
        <v>207</v>
      </c>
      <c r="D20" s="2" t="s">
        <v>205</v>
      </c>
      <c r="E20" s="2" t="s">
        <v>71</v>
      </c>
      <c r="F20" s="2" t="s">
        <v>50</v>
      </c>
      <c r="G20" s="2" t="s">
        <v>51</v>
      </c>
      <c r="H20" s="2">
        <v>52</v>
      </c>
      <c r="I20" s="2">
        <v>2.98E-2</v>
      </c>
      <c r="J20" s="20">
        <v>1.54</v>
      </c>
      <c r="K20" s="2">
        <v>546379</v>
      </c>
      <c r="L20" s="2" t="s">
        <v>569</v>
      </c>
      <c r="M20" s="2" t="s">
        <v>570</v>
      </c>
      <c r="N20" s="2" t="s">
        <v>61</v>
      </c>
      <c r="O20" s="2" t="s">
        <v>54</v>
      </c>
      <c r="P20" s="2" t="s">
        <v>62</v>
      </c>
      <c r="R20" s="12">
        <f>_xlfn.XLOOKUP(D20,cart!$F:$F,cart!$B:$B)</f>
        <v>100</v>
      </c>
      <c r="S20" s="13">
        <f t="shared" si="1"/>
        <v>-4</v>
      </c>
      <c r="T20" s="12">
        <f>_xlfn.XLOOKUP(D20,kicad_bom!$F:$F,kicad_bom!$B:$B)</f>
        <v>52</v>
      </c>
      <c r="U20" s="13">
        <f t="shared" si="0"/>
        <v>0</v>
      </c>
    </row>
    <row r="21" spans="1:23">
      <c r="A21" s="2" t="s">
        <v>159</v>
      </c>
      <c r="B21" s="2" t="s">
        <v>67</v>
      </c>
      <c r="C21" s="2" t="s">
        <v>158</v>
      </c>
      <c r="D21" s="2" t="s">
        <v>156</v>
      </c>
      <c r="E21" s="2" t="s">
        <v>571</v>
      </c>
      <c r="F21" s="2" t="s">
        <v>50</v>
      </c>
      <c r="G21" s="2" t="s">
        <v>51</v>
      </c>
      <c r="H21" s="2">
        <v>3</v>
      </c>
      <c r="I21" s="2">
        <v>1.1599999999999999</v>
      </c>
      <c r="J21" s="20">
        <v>3.48</v>
      </c>
      <c r="K21" s="2">
        <v>256</v>
      </c>
      <c r="L21" s="2" t="s">
        <v>572</v>
      </c>
      <c r="M21" s="2" t="s">
        <v>157</v>
      </c>
      <c r="N21" s="2" t="s">
        <v>61</v>
      </c>
      <c r="O21" s="2" t="s">
        <v>54</v>
      </c>
      <c r="P21" s="2" t="s">
        <v>62</v>
      </c>
      <c r="R21" s="12">
        <f>_xlfn.XLOOKUP(D21,cart!$F:$F,cart!$B:$B)</f>
        <v>10</v>
      </c>
      <c r="S21" s="13">
        <f t="shared" si="1"/>
        <v>4</v>
      </c>
      <c r="T21" s="12">
        <f>_xlfn.XLOOKUP(D21,kicad_bom!$F:$F,kicad_bom!$B:$B)</f>
        <v>3</v>
      </c>
      <c r="U21" s="13">
        <f t="shared" si="0"/>
        <v>0</v>
      </c>
    </row>
    <row r="22" spans="1:23">
      <c r="A22" s="2" t="s">
        <v>20</v>
      </c>
      <c r="B22" s="2" t="s">
        <v>87</v>
      </c>
      <c r="C22" s="2" t="s">
        <v>19</v>
      </c>
      <c r="D22" s="2" t="s">
        <v>201</v>
      </c>
      <c r="E22" s="2" t="s">
        <v>573</v>
      </c>
      <c r="F22" s="2" t="s">
        <v>50</v>
      </c>
      <c r="G22" s="2" t="s">
        <v>51</v>
      </c>
      <c r="H22" s="2">
        <v>8</v>
      </c>
      <c r="I22" s="2">
        <v>0.24</v>
      </c>
      <c r="J22" s="20">
        <v>1.92</v>
      </c>
      <c r="K22" s="2">
        <v>1787235</v>
      </c>
      <c r="L22" s="2" t="s">
        <v>90</v>
      </c>
      <c r="M22" s="2" t="s">
        <v>21</v>
      </c>
      <c r="N22" s="2" t="s">
        <v>61</v>
      </c>
      <c r="O22" s="2" t="s">
        <v>54</v>
      </c>
      <c r="P22" s="2" t="s">
        <v>62</v>
      </c>
      <c r="R22" s="12">
        <f>_xlfn.XLOOKUP(D22,cart!$F:$F,cart!$B:$B)</f>
        <v>20</v>
      </c>
      <c r="S22" s="13">
        <f t="shared" si="1"/>
        <v>4</v>
      </c>
      <c r="T22" s="12">
        <f>_xlfn.XLOOKUP(D22,kicad_bom!$F:$F,kicad_bom!$B:$B)</f>
        <v>8</v>
      </c>
      <c r="U22" s="13">
        <f t="shared" si="0"/>
        <v>0</v>
      </c>
    </row>
    <row r="23" spans="1:23">
      <c r="A23" s="2" t="s">
        <v>485</v>
      </c>
      <c r="B23" s="2" t="s">
        <v>478</v>
      </c>
      <c r="C23" s="2" t="s">
        <v>484</v>
      </c>
      <c r="D23" s="2" t="s">
        <v>482</v>
      </c>
      <c r="E23" s="2" t="s">
        <v>547</v>
      </c>
      <c r="F23" s="2" t="s">
        <v>64</v>
      </c>
      <c r="G23" s="2" t="s">
        <v>51</v>
      </c>
      <c r="H23" s="2">
        <v>3</v>
      </c>
      <c r="I23" s="2">
        <v>21.04</v>
      </c>
      <c r="J23" s="20">
        <v>63.12</v>
      </c>
      <c r="K23" s="2">
        <v>95</v>
      </c>
      <c r="L23" s="2" t="s">
        <v>60</v>
      </c>
      <c r="M23" s="2" t="s">
        <v>483</v>
      </c>
      <c r="N23" s="2" t="s">
        <v>61</v>
      </c>
      <c r="O23" s="2" t="s">
        <v>54</v>
      </c>
      <c r="P23" s="2" t="s">
        <v>62</v>
      </c>
      <c r="R23" s="12">
        <f>_xlfn.XLOOKUP(D23,cart!$F:$F,cart!$B:$B)</f>
        <v>6</v>
      </c>
      <c r="S23" s="13">
        <f t="shared" si="1"/>
        <v>0</v>
      </c>
      <c r="T23" s="12">
        <f>_xlfn.XLOOKUP(D23,kicad_bom!$F:$F,kicad_bom!$B:$B)</f>
        <v>3</v>
      </c>
      <c r="U23" s="13">
        <f t="shared" si="0"/>
        <v>0</v>
      </c>
    </row>
    <row r="24" spans="1:23">
      <c r="A24" s="2" t="s">
        <v>331</v>
      </c>
      <c r="B24" s="2" t="s">
        <v>332</v>
      </c>
      <c r="C24" s="2" t="s">
        <v>330</v>
      </c>
      <c r="D24" s="2" t="s">
        <v>328</v>
      </c>
      <c r="E24" s="2" t="s">
        <v>73</v>
      </c>
      <c r="F24" s="2" t="s">
        <v>50</v>
      </c>
      <c r="G24" s="2" t="s">
        <v>51</v>
      </c>
      <c r="H24" s="2">
        <v>10</v>
      </c>
      <c r="I24" s="2">
        <v>0.49399999999999999</v>
      </c>
      <c r="J24" s="20">
        <v>4.9400000000000004</v>
      </c>
      <c r="K24" s="2">
        <v>5780</v>
      </c>
      <c r="L24" s="2" t="s">
        <v>612</v>
      </c>
      <c r="M24" s="2" t="s">
        <v>329</v>
      </c>
      <c r="N24" s="2" t="s">
        <v>53</v>
      </c>
      <c r="O24" s="2" t="s">
        <v>54</v>
      </c>
      <c r="P24" s="2" t="s">
        <v>55</v>
      </c>
      <c r="R24" s="12">
        <f>_xlfn.XLOOKUP(D24,cart!$F:$F,cart!$B:$B)</f>
        <v>20</v>
      </c>
      <c r="S24" s="13">
        <f t="shared" si="1"/>
        <v>0</v>
      </c>
      <c r="T24" s="12">
        <f>_xlfn.XLOOKUP(D24,kicad_bom!$F:$F,kicad_bom!$B:$B)</f>
        <v>10</v>
      </c>
      <c r="U24" s="13">
        <f t="shared" si="0"/>
        <v>0</v>
      </c>
    </row>
    <row r="25" spans="1:23">
      <c r="A25" s="2" t="s">
        <v>538</v>
      </c>
      <c r="B25" s="2" t="s">
        <v>65</v>
      </c>
      <c r="C25" s="2" t="s">
        <v>537</v>
      </c>
      <c r="D25" s="2" t="s">
        <v>535</v>
      </c>
      <c r="E25" s="2" t="s">
        <v>82</v>
      </c>
      <c r="F25" s="2" t="s">
        <v>50</v>
      </c>
      <c r="G25" s="2" t="s">
        <v>51</v>
      </c>
      <c r="H25" s="2">
        <v>1</v>
      </c>
      <c r="I25" s="2">
        <v>1.23</v>
      </c>
      <c r="J25" s="20">
        <v>1.23</v>
      </c>
      <c r="K25" s="2">
        <v>14643</v>
      </c>
      <c r="L25" s="2" t="s">
        <v>575</v>
      </c>
      <c r="M25" s="2" t="s">
        <v>536</v>
      </c>
      <c r="N25" s="2" t="s">
        <v>61</v>
      </c>
      <c r="O25" s="2" t="s">
        <v>54</v>
      </c>
      <c r="P25" s="2" t="s">
        <v>62</v>
      </c>
      <c r="R25" s="12">
        <f>_xlfn.XLOOKUP(D25,cart!$F:$F,cart!$B:$B)</f>
        <v>2</v>
      </c>
      <c r="S25" s="13">
        <f t="shared" si="1"/>
        <v>0</v>
      </c>
      <c r="T25" s="12">
        <f>_xlfn.XLOOKUP(D25,kicad_bom!$F:$F,kicad_bom!$B:$B)</f>
        <v>1</v>
      </c>
      <c r="U25" s="13">
        <f t="shared" si="0"/>
        <v>0</v>
      </c>
    </row>
    <row r="26" spans="1:23">
      <c r="A26" s="2" t="s">
        <v>285</v>
      </c>
      <c r="B26" s="2" t="s">
        <v>286</v>
      </c>
      <c r="C26" s="2" t="s">
        <v>284</v>
      </c>
      <c r="D26" s="2" t="s">
        <v>282</v>
      </c>
      <c r="E26" s="2" t="s">
        <v>576</v>
      </c>
      <c r="F26" s="2" t="s">
        <v>64</v>
      </c>
      <c r="G26" s="2" t="s">
        <v>51</v>
      </c>
      <c r="H26" s="2">
        <v>4</v>
      </c>
      <c r="I26" s="2">
        <v>0.42</v>
      </c>
      <c r="J26" s="20">
        <v>1.68</v>
      </c>
      <c r="K26" s="2">
        <v>3935</v>
      </c>
      <c r="L26" s="2" t="s">
        <v>577</v>
      </c>
      <c r="M26" s="2" t="s">
        <v>283</v>
      </c>
      <c r="N26" s="2" t="s">
        <v>61</v>
      </c>
      <c r="O26" s="2" t="s">
        <v>54</v>
      </c>
      <c r="P26" s="2" t="s">
        <v>62</v>
      </c>
      <c r="R26" s="12">
        <f>_xlfn.XLOOKUP(D26,cart!$F:$F,cart!$B:$B)</f>
        <v>10</v>
      </c>
      <c r="S26" s="13">
        <f t="shared" si="1"/>
        <v>2</v>
      </c>
      <c r="T26" s="12">
        <f>_xlfn.XLOOKUP(D26,kicad_bom!$F:$F,kicad_bom!$B:$B)</f>
        <v>3</v>
      </c>
      <c r="U26" s="13">
        <f t="shared" si="0"/>
        <v>-1</v>
      </c>
    </row>
    <row r="27" spans="1:23">
      <c r="A27" s="2" t="s">
        <v>114</v>
      </c>
      <c r="B27" s="2" t="s">
        <v>115</v>
      </c>
      <c r="C27" s="2" t="s">
        <v>116</v>
      </c>
      <c r="D27" s="2" t="s">
        <v>446</v>
      </c>
      <c r="F27" s="2" t="s">
        <v>68</v>
      </c>
      <c r="G27" s="2" t="s">
        <v>51</v>
      </c>
      <c r="H27" s="2">
        <v>2</v>
      </c>
      <c r="I27" s="2">
        <v>0.5</v>
      </c>
      <c r="J27" s="20">
        <v>1</v>
      </c>
      <c r="K27" s="2">
        <v>5738</v>
      </c>
      <c r="L27" s="2" t="s">
        <v>52</v>
      </c>
      <c r="M27" s="2" t="s">
        <v>117</v>
      </c>
      <c r="N27" s="2" t="s">
        <v>61</v>
      </c>
      <c r="O27" s="2" t="s">
        <v>54</v>
      </c>
      <c r="P27" s="2" t="s">
        <v>62</v>
      </c>
      <c r="R27" s="12">
        <f>_xlfn.XLOOKUP(D27,cart!$F:$F,cart!$B:$B)</f>
        <v>4</v>
      </c>
      <c r="S27" s="13">
        <f t="shared" si="1"/>
        <v>0</v>
      </c>
      <c r="T27" s="12">
        <f>_xlfn.XLOOKUP(D27,kicad_bom!$F:$F,kicad_bom!$B:$B)</f>
        <v>2</v>
      </c>
      <c r="U27" s="13">
        <f t="shared" si="0"/>
        <v>0</v>
      </c>
    </row>
    <row r="28" spans="1:23">
      <c r="A28" s="2">
        <v>734151471</v>
      </c>
      <c r="B28" s="2" t="s">
        <v>111</v>
      </c>
      <c r="C28" s="2" t="s">
        <v>31</v>
      </c>
      <c r="D28" s="2" t="s">
        <v>290</v>
      </c>
      <c r="E28" s="2" t="s">
        <v>112</v>
      </c>
      <c r="F28" s="2" t="s">
        <v>68</v>
      </c>
      <c r="G28" s="2" t="s">
        <v>51</v>
      </c>
      <c r="H28" s="2">
        <v>2</v>
      </c>
      <c r="I28" s="2">
        <v>2.5299999999999998</v>
      </c>
      <c r="J28" s="20">
        <v>5.0599999999999996</v>
      </c>
      <c r="K28" s="2">
        <v>8854</v>
      </c>
      <c r="L28" s="2" t="s">
        <v>57</v>
      </c>
      <c r="M28" s="2" t="s">
        <v>33</v>
      </c>
      <c r="N28" s="2" t="s">
        <v>61</v>
      </c>
      <c r="O28" s="2" t="s">
        <v>54</v>
      </c>
      <c r="P28" s="2" t="s">
        <v>62</v>
      </c>
      <c r="R28" s="12">
        <f>_xlfn.XLOOKUP(D28,cart!$F:$F,cart!$B:$B)</f>
        <v>4</v>
      </c>
      <c r="S28" s="13">
        <f t="shared" si="1"/>
        <v>0</v>
      </c>
      <c r="T28" s="12">
        <f>_xlfn.XLOOKUP(D28,kicad_bom!$F:$F,kicad_bom!$B:$B)</f>
        <v>3</v>
      </c>
      <c r="U28" s="13">
        <f t="shared" si="0"/>
        <v>1</v>
      </c>
    </row>
    <row r="29" spans="1:23">
      <c r="A29" s="2" t="s">
        <v>167</v>
      </c>
      <c r="B29" s="2" t="s">
        <v>168</v>
      </c>
      <c r="C29" s="2" t="s">
        <v>166</v>
      </c>
      <c r="D29" s="2" t="s">
        <v>164</v>
      </c>
      <c r="E29" s="2" t="s">
        <v>578</v>
      </c>
      <c r="F29" s="2" t="s">
        <v>50</v>
      </c>
      <c r="G29" s="2" t="s">
        <v>51</v>
      </c>
      <c r="H29" s="2">
        <v>6</v>
      </c>
      <c r="I29" s="2">
        <v>0.19</v>
      </c>
      <c r="J29" s="20">
        <v>1.1399999999999999</v>
      </c>
      <c r="K29" s="2">
        <v>32000</v>
      </c>
      <c r="L29" s="2" t="s">
        <v>545</v>
      </c>
      <c r="M29" s="2" t="s">
        <v>579</v>
      </c>
      <c r="N29" s="2" t="s">
        <v>61</v>
      </c>
      <c r="O29" s="2" t="s">
        <v>54</v>
      </c>
      <c r="P29" s="2" t="s">
        <v>55</v>
      </c>
      <c r="R29" s="12">
        <f>_xlfn.XLOOKUP(D29,cart!$F:$F,cart!$B:$B)</f>
        <v>15</v>
      </c>
      <c r="S29" s="13">
        <f t="shared" si="1"/>
        <v>3</v>
      </c>
      <c r="T29" s="12">
        <f>_xlfn.XLOOKUP(D29,kicad_bom!$F:$F,kicad_bom!$B:$B)</f>
        <v>6</v>
      </c>
      <c r="U29" s="13">
        <f t="shared" si="0"/>
        <v>0</v>
      </c>
    </row>
    <row r="30" spans="1:23">
      <c r="A30" s="2" t="s">
        <v>29</v>
      </c>
      <c r="B30" s="2" t="s">
        <v>102</v>
      </c>
      <c r="C30" s="2" t="s">
        <v>28</v>
      </c>
      <c r="D30" s="2" t="s">
        <v>505</v>
      </c>
      <c r="E30" s="2" t="s">
        <v>66</v>
      </c>
      <c r="F30" s="2" t="s">
        <v>50</v>
      </c>
      <c r="G30" s="2" t="s">
        <v>51</v>
      </c>
      <c r="H30" s="2">
        <v>1</v>
      </c>
      <c r="I30" s="2">
        <v>1.72</v>
      </c>
      <c r="J30" s="20">
        <v>1.72</v>
      </c>
      <c r="K30" s="2">
        <v>6838</v>
      </c>
      <c r="L30" s="2" t="s">
        <v>90</v>
      </c>
      <c r="M30" s="2" t="s">
        <v>30</v>
      </c>
      <c r="N30" s="2" t="s">
        <v>61</v>
      </c>
      <c r="O30" s="2" t="s">
        <v>54</v>
      </c>
      <c r="P30" s="2" t="s">
        <v>62</v>
      </c>
      <c r="R30" s="12">
        <f>_xlfn.XLOOKUP(D30,cart!$F:$F,cart!$B:$B)</f>
        <v>10</v>
      </c>
      <c r="S30" s="13">
        <f t="shared" si="1"/>
        <v>8</v>
      </c>
      <c r="T30" s="12">
        <f>_xlfn.XLOOKUP(D30,kicad_bom!$F:$F,kicad_bom!$B:$B)</f>
        <v>1</v>
      </c>
      <c r="U30" s="13">
        <f t="shared" si="0"/>
        <v>0</v>
      </c>
    </row>
    <row r="31" spans="1:23">
      <c r="A31" s="2" t="s">
        <v>26</v>
      </c>
      <c r="B31" s="2" t="s">
        <v>65</v>
      </c>
      <c r="C31" s="2" t="s">
        <v>25</v>
      </c>
      <c r="D31" s="2" t="s">
        <v>460</v>
      </c>
      <c r="E31" s="2" t="s">
        <v>63</v>
      </c>
      <c r="F31" s="2" t="s">
        <v>64</v>
      </c>
      <c r="G31" s="2" t="s">
        <v>51</v>
      </c>
      <c r="H31" s="2">
        <v>1</v>
      </c>
      <c r="I31" s="2">
        <v>3.23</v>
      </c>
      <c r="J31" s="20">
        <v>3.23</v>
      </c>
      <c r="K31" s="2">
        <v>2462</v>
      </c>
      <c r="L31" s="2" t="s">
        <v>52</v>
      </c>
      <c r="M31" s="2" t="s">
        <v>27</v>
      </c>
      <c r="N31" s="2" t="s">
        <v>61</v>
      </c>
      <c r="O31" s="2" t="s">
        <v>54</v>
      </c>
      <c r="P31" s="2" t="s">
        <v>62</v>
      </c>
      <c r="R31" s="12">
        <f>_xlfn.XLOOKUP(D31,cart!$F:$F,cart!$B:$B)</f>
        <v>10</v>
      </c>
      <c r="S31" s="13">
        <f t="shared" si="1"/>
        <v>8</v>
      </c>
      <c r="T31" s="12">
        <f>_xlfn.XLOOKUP(D31,kicad_bom!$F:$F,kicad_bom!$B:$B)</f>
        <v>1</v>
      </c>
      <c r="U31" s="13">
        <f t="shared" si="0"/>
        <v>0</v>
      </c>
    </row>
    <row r="32" spans="1:23">
      <c r="A32" s="2">
        <v>824500500</v>
      </c>
      <c r="B32" s="2" t="s">
        <v>92</v>
      </c>
      <c r="C32" s="2" t="s">
        <v>93</v>
      </c>
      <c r="D32" s="2" t="s">
        <v>232</v>
      </c>
      <c r="E32" s="2" t="s">
        <v>580</v>
      </c>
      <c r="F32" s="2" t="s">
        <v>50</v>
      </c>
      <c r="G32" s="2" t="s">
        <v>51</v>
      </c>
      <c r="H32" s="2">
        <v>6</v>
      </c>
      <c r="I32" s="2">
        <v>0.27</v>
      </c>
      <c r="J32" s="20">
        <v>1.62</v>
      </c>
      <c r="K32" s="2">
        <v>845</v>
      </c>
      <c r="L32" s="2" t="s">
        <v>94</v>
      </c>
      <c r="M32" s="2" t="s">
        <v>95</v>
      </c>
      <c r="N32" s="2" t="s">
        <v>61</v>
      </c>
      <c r="O32" s="2" t="s">
        <v>54</v>
      </c>
      <c r="P32" s="2" t="s">
        <v>581</v>
      </c>
      <c r="R32" s="12">
        <f>_xlfn.XLOOKUP(D32,cart!$F:$F,cart!$B:$B)</f>
        <v>20</v>
      </c>
      <c r="S32" s="13">
        <f t="shared" si="1"/>
        <v>8</v>
      </c>
      <c r="T32" s="12">
        <f>_xlfn.XLOOKUP(D32,kicad_bom!$F:$F,kicad_bom!$B:$B)</f>
        <v>6</v>
      </c>
      <c r="U32" s="13">
        <f t="shared" si="0"/>
        <v>0</v>
      </c>
    </row>
    <row r="33" spans="1:21">
      <c r="A33" s="2" t="s">
        <v>37</v>
      </c>
      <c r="B33" s="2" t="s">
        <v>238</v>
      </c>
      <c r="C33" s="2" t="s">
        <v>36</v>
      </c>
      <c r="D33" s="2" t="s">
        <v>236</v>
      </c>
      <c r="E33" s="2" t="s">
        <v>113</v>
      </c>
      <c r="F33" s="2" t="s">
        <v>50</v>
      </c>
      <c r="G33" s="2" t="s">
        <v>51</v>
      </c>
      <c r="H33" s="2">
        <v>3</v>
      </c>
      <c r="I33" s="2">
        <v>0.39</v>
      </c>
      <c r="J33" s="20">
        <v>1.17</v>
      </c>
      <c r="K33" s="2">
        <v>472</v>
      </c>
      <c r="L33" s="2" t="s">
        <v>582</v>
      </c>
      <c r="M33" s="2" t="s">
        <v>38</v>
      </c>
      <c r="N33" s="2" t="s">
        <v>61</v>
      </c>
      <c r="O33" s="2" t="s">
        <v>54</v>
      </c>
      <c r="P33" s="2" t="s">
        <v>62</v>
      </c>
      <c r="R33" s="12">
        <f>_xlfn.XLOOKUP(D33,cart!$F:$F,cart!$B:$B)</f>
        <v>10</v>
      </c>
      <c r="S33" s="13">
        <f t="shared" si="1"/>
        <v>4</v>
      </c>
      <c r="T33" s="12">
        <f>_xlfn.XLOOKUP(D33,kicad_bom!$F:$F,kicad_bom!$B:$B)</f>
        <v>3</v>
      </c>
      <c r="U33" s="13">
        <f t="shared" si="0"/>
        <v>0</v>
      </c>
    </row>
    <row r="34" spans="1:21">
      <c r="A34" s="2" t="s">
        <v>493</v>
      </c>
      <c r="B34" s="2" t="s">
        <v>65</v>
      </c>
      <c r="C34" s="2" t="s">
        <v>492</v>
      </c>
      <c r="D34" s="2" t="s">
        <v>490</v>
      </c>
      <c r="E34" s="2" t="s">
        <v>583</v>
      </c>
      <c r="F34" s="2" t="s">
        <v>50</v>
      </c>
      <c r="G34" s="2" t="s">
        <v>51</v>
      </c>
      <c r="H34" s="2">
        <v>3</v>
      </c>
      <c r="I34" s="2">
        <v>8.1300000000000008</v>
      </c>
      <c r="J34" s="20">
        <v>24.39</v>
      </c>
      <c r="K34" s="2">
        <v>1072</v>
      </c>
      <c r="L34" s="2" t="s">
        <v>52</v>
      </c>
      <c r="M34" s="2" t="s">
        <v>491</v>
      </c>
      <c r="N34" s="2" t="s">
        <v>61</v>
      </c>
      <c r="O34" s="2" t="s">
        <v>54</v>
      </c>
      <c r="P34" s="2" t="s">
        <v>62</v>
      </c>
      <c r="R34" s="12">
        <f>_xlfn.XLOOKUP(D34,cart!$F:$F,cart!$B:$B)</f>
        <v>10</v>
      </c>
      <c r="S34" s="13">
        <f t="shared" si="1"/>
        <v>4</v>
      </c>
      <c r="T34" s="12">
        <f>_xlfn.XLOOKUP(D34,kicad_bom!$F:$F,kicad_bom!$B:$B)</f>
        <v>3</v>
      </c>
      <c r="U34" s="13">
        <f t="shared" ref="U34:U65" si="2">T34-H34</f>
        <v>0</v>
      </c>
    </row>
    <row r="35" spans="1:21">
      <c r="A35" s="2" t="s">
        <v>227</v>
      </c>
      <c r="B35" s="2" t="s">
        <v>102</v>
      </c>
      <c r="C35" s="2" t="s">
        <v>226</v>
      </c>
      <c r="D35" s="2" t="s">
        <v>224</v>
      </c>
      <c r="E35" s="2" t="s">
        <v>91</v>
      </c>
      <c r="F35" s="2" t="s">
        <v>50</v>
      </c>
      <c r="G35" s="2" t="s">
        <v>51</v>
      </c>
      <c r="H35" s="2">
        <v>26</v>
      </c>
      <c r="I35" s="2">
        <v>0.14599999999999999</v>
      </c>
      <c r="J35" s="20">
        <v>3.79</v>
      </c>
      <c r="K35" s="2">
        <v>3081</v>
      </c>
      <c r="L35" s="2" t="s">
        <v>584</v>
      </c>
      <c r="M35" s="2" t="s">
        <v>225</v>
      </c>
      <c r="N35" s="2" t="s">
        <v>61</v>
      </c>
      <c r="O35" s="2" t="s">
        <v>54</v>
      </c>
      <c r="P35" s="2" t="s">
        <v>62</v>
      </c>
      <c r="R35" s="12">
        <f>_xlfn.XLOOKUP(D35,cart!$F:$F,cart!$B:$B)</f>
        <v>100</v>
      </c>
      <c r="S35" s="13">
        <f t="shared" si="1"/>
        <v>48</v>
      </c>
      <c r="T35" s="12">
        <f>_xlfn.XLOOKUP(D35,kicad_bom!$F:$F,kicad_bom!$B:$B)</f>
        <v>26</v>
      </c>
      <c r="U35" s="13">
        <f t="shared" si="2"/>
        <v>0</v>
      </c>
    </row>
    <row r="36" spans="1:21">
      <c r="A36" s="2" t="s">
        <v>188</v>
      </c>
      <c r="B36" s="2" t="s">
        <v>84</v>
      </c>
      <c r="C36" s="2" t="s">
        <v>187</v>
      </c>
      <c r="D36" s="2" t="s">
        <v>185</v>
      </c>
      <c r="E36" s="2" t="s">
        <v>89</v>
      </c>
      <c r="F36" s="2" t="s">
        <v>50</v>
      </c>
      <c r="G36" s="2" t="s">
        <v>51</v>
      </c>
      <c r="H36" s="2">
        <v>2</v>
      </c>
      <c r="I36" s="2">
        <v>0.1</v>
      </c>
      <c r="J36" s="20">
        <v>0.2</v>
      </c>
      <c r="K36" s="2">
        <v>206557</v>
      </c>
      <c r="L36" s="2" t="s">
        <v>74</v>
      </c>
      <c r="M36" s="2" t="s">
        <v>585</v>
      </c>
      <c r="N36" s="2" t="s">
        <v>61</v>
      </c>
      <c r="O36" s="2" t="s">
        <v>54</v>
      </c>
      <c r="P36" s="2" t="s">
        <v>62</v>
      </c>
      <c r="R36" s="12">
        <f>_xlfn.XLOOKUP(D36,cart!$F:$F,cart!$B:$B)</f>
        <v>10</v>
      </c>
      <c r="S36" s="13">
        <f t="shared" si="1"/>
        <v>6</v>
      </c>
      <c r="T36" s="12">
        <f>_xlfn.XLOOKUP(D36,kicad_bom!$F:$F,kicad_bom!$B:$B)</f>
        <v>2</v>
      </c>
      <c r="U36" s="13">
        <f t="shared" si="2"/>
        <v>0</v>
      </c>
    </row>
    <row r="37" spans="1:21">
      <c r="A37" s="2" t="s">
        <v>175</v>
      </c>
      <c r="B37" s="2" t="s">
        <v>84</v>
      </c>
      <c r="C37" s="2" t="s">
        <v>174</v>
      </c>
      <c r="D37" s="2" t="s">
        <v>172</v>
      </c>
      <c r="E37" s="2" t="s">
        <v>586</v>
      </c>
      <c r="F37" s="2" t="s">
        <v>50</v>
      </c>
      <c r="G37" s="2" t="s">
        <v>51</v>
      </c>
      <c r="H37" s="2">
        <v>3</v>
      </c>
      <c r="I37" s="2">
        <v>0.4</v>
      </c>
      <c r="J37" s="20">
        <v>1.2</v>
      </c>
      <c r="K37" s="2">
        <v>16461</v>
      </c>
      <c r="L37" s="2" t="s">
        <v>74</v>
      </c>
      <c r="M37" s="2" t="s">
        <v>587</v>
      </c>
      <c r="N37" s="2" t="s">
        <v>61</v>
      </c>
      <c r="O37" s="2" t="s">
        <v>54</v>
      </c>
      <c r="P37" s="2" t="s">
        <v>62</v>
      </c>
      <c r="R37" s="12">
        <f>_xlfn.XLOOKUP(D37,cart!$F:$F,cart!$B:$B)</f>
        <v>10</v>
      </c>
      <c r="S37" s="13">
        <f t="shared" si="1"/>
        <v>4</v>
      </c>
      <c r="T37" s="12">
        <f>_xlfn.XLOOKUP(D37,kicad_bom!$F:$F,kicad_bom!$B:$B)</f>
        <v>3</v>
      </c>
      <c r="U37" s="13">
        <f t="shared" si="2"/>
        <v>0</v>
      </c>
    </row>
    <row r="38" spans="1:21">
      <c r="A38" s="2" t="s">
        <v>588</v>
      </c>
      <c r="B38" s="2" t="s">
        <v>151</v>
      </c>
      <c r="C38" s="2" t="s">
        <v>589</v>
      </c>
      <c r="D38" s="2" t="s">
        <v>147</v>
      </c>
      <c r="E38" s="2" t="s">
        <v>590</v>
      </c>
      <c r="F38" s="2" t="s">
        <v>50</v>
      </c>
      <c r="G38" s="2" t="s">
        <v>51</v>
      </c>
      <c r="H38" s="2">
        <v>6</v>
      </c>
      <c r="I38" s="2">
        <v>0.24</v>
      </c>
      <c r="J38" s="20">
        <v>1.44</v>
      </c>
      <c r="K38" s="2">
        <v>4813</v>
      </c>
      <c r="L38" s="2" t="s">
        <v>74</v>
      </c>
      <c r="M38" s="2" t="s">
        <v>591</v>
      </c>
      <c r="N38" s="2" t="s">
        <v>61</v>
      </c>
      <c r="O38" s="2" t="s">
        <v>54</v>
      </c>
      <c r="P38" s="2" t="s">
        <v>62</v>
      </c>
      <c r="R38" s="12">
        <f>_xlfn.XLOOKUP(D38,cart!$F:$F,cart!$B:$B)</f>
        <v>20</v>
      </c>
      <c r="S38" s="13">
        <f t="shared" si="1"/>
        <v>8</v>
      </c>
      <c r="T38" s="12">
        <f>_xlfn.XLOOKUP(D38,kicad_bom!$F:$F,kicad_bom!$B:$B)</f>
        <v>6</v>
      </c>
      <c r="U38" s="13">
        <f t="shared" si="2"/>
        <v>0</v>
      </c>
    </row>
    <row r="39" spans="1:21">
      <c r="A39" s="2" t="s">
        <v>324</v>
      </c>
      <c r="B39" s="2" t="s">
        <v>84</v>
      </c>
      <c r="C39" s="2" t="s">
        <v>323</v>
      </c>
      <c r="D39" s="2" t="s">
        <v>321</v>
      </c>
      <c r="E39" s="2" t="s">
        <v>592</v>
      </c>
      <c r="F39" s="2" t="s">
        <v>50</v>
      </c>
      <c r="G39" s="2" t="s">
        <v>51</v>
      </c>
      <c r="H39" s="2">
        <v>6</v>
      </c>
      <c r="I39" s="2">
        <v>0.1</v>
      </c>
      <c r="J39" s="20">
        <v>0.6</v>
      </c>
      <c r="K39" s="2">
        <v>19890</v>
      </c>
      <c r="L39" s="2" t="s">
        <v>74</v>
      </c>
      <c r="M39" s="2" t="s">
        <v>593</v>
      </c>
      <c r="N39" s="2" t="s">
        <v>61</v>
      </c>
      <c r="O39" s="2" t="s">
        <v>54</v>
      </c>
      <c r="P39" s="2" t="s">
        <v>62</v>
      </c>
      <c r="R39" s="12">
        <f>_xlfn.XLOOKUP(D39,cart!$F:$F,cart!$B:$B)</f>
        <v>20</v>
      </c>
      <c r="S39" s="13">
        <f t="shared" si="1"/>
        <v>8</v>
      </c>
      <c r="T39" s="12">
        <f>_xlfn.XLOOKUP(D39,kicad_bom!$F:$F,kicad_bom!$B:$B)</f>
        <v>6</v>
      </c>
      <c r="U39" s="13">
        <f t="shared" si="2"/>
        <v>0</v>
      </c>
    </row>
    <row r="40" spans="1:21">
      <c r="A40" s="2" t="s">
        <v>617</v>
      </c>
      <c r="B40" s="2" t="s">
        <v>84</v>
      </c>
      <c r="C40" s="2" t="s">
        <v>618</v>
      </c>
      <c r="D40" s="2" t="s">
        <v>378</v>
      </c>
      <c r="E40" s="2" t="s">
        <v>110</v>
      </c>
      <c r="F40" s="2" t="s">
        <v>50</v>
      </c>
      <c r="G40" s="2" t="s">
        <v>51</v>
      </c>
      <c r="H40" s="2">
        <v>19</v>
      </c>
      <c r="I40" s="2">
        <v>0.27400000000000002</v>
      </c>
      <c r="J40" s="20">
        <v>5.2</v>
      </c>
      <c r="K40" s="2">
        <v>218515</v>
      </c>
      <c r="L40" s="2" t="s">
        <v>74</v>
      </c>
      <c r="M40" s="2" t="s">
        <v>379</v>
      </c>
      <c r="N40" s="2" t="s">
        <v>61</v>
      </c>
      <c r="O40" s="2" t="s">
        <v>54</v>
      </c>
      <c r="P40" s="2" t="s">
        <v>62</v>
      </c>
      <c r="R40" s="12">
        <f>_xlfn.XLOOKUP(D40,cart!$F:$F,cart!$B:$B)</f>
        <v>100</v>
      </c>
      <c r="S40" s="13">
        <f t="shared" si="1"/>
        <v>62</v>
      </c>
      <c r="T40" s="12">
        <f>_xlfn.XLOOKUP(D40,kicad_bom!$F:$F,kicad_bom!$B:$B)</f>
        <v>19</v>
      </c>
      <c r="U40" s="13">
        <f t="shared" si="2"/>
        <v>0</v>
      </c>
    </row>
    <row r="41" spans="1:21">
      <c r="A41" s="2" t="s">
        <v>337</v>
      </c>
      <c r="B41" s="2" t="s">
        <v>72</v>
      </c>
      <c r="C41" s="2" t="s">
        <v>336</v>
      </c>
      <c r="D41" s="2" t="s">
        <v>334</v>
      </c>
      <c r="E41" s="2" t="s">
        <v>594</v>
      </c>
      <c r="F41" s="2" t="s">
        <v>50</v>
      </c>
      <c r="G41" s="2" t="s">
        <v>51</v>
      </c>
      <c r="H41" s="2">
        <v>2</v>
      </c>
      <c r="I41" s="2">
        <v>0.1</v>
      </c>
      <c r="J41" s="20">
        <v>0.2</v>
      </c>
      <c r="K41" s="2">
        <v>4000</v>
      </c>
      <c r="L41" s="2" t="s">
        <v>574</v>
      </c>
      <c r="M41" s="2" t="s">
        <v>595</v>
      </c>
      <c r="N41" s="2" t="s">
        <v>61</v>
      </c>
      <c r="O41" s="2" t="s">
        <v>54</v>
      </c>
      <c r="P41" s="2" t="s">
        <v>62</v>
      </c>
      <c r="R41" s="12">
        <f>_xlfn.XLOOKUP(D41,cart!$F:$F,cart!$B:$B)</f>
        <v>10</v>
      </c>
      <c r="S41" s="13">
        <f t="shared" si="1"/>
        <v>6</v>
      </c>
      <c r="T41" s="12">
        <f>_xlfn.XLOOKUP(D41,kicad_bom!$F:$F,kicad_bom!$B:$B)</f>
        <v>2</v>
      </c>
      <c r="U41" s="13">
        <f t="shared" si="2"/>
        <v>0</v>
      </c>
    </row>
    <row r="42" spans="1:21">
      <c r="A42" s="2" t="s">
        <v>78</v>
      </c>
      <c r="B42" s="2" t="s">
        <v>75</v>
      </c>
      <c r="C42" s="2" t="s">
        <v>79</v>
      </c>
      <c r="D42" s="2" t="s">
        <v>265</v>
      </c>
      <c r="E42" s="2" t="s">
        <v>548</v>
      </c>
      <c r="F42" s="2" t="s">
        <v>50</v>
      </c>
      <c r="G42" s="2" t="s">
        <v>51</v>
      </c>
      <c r="H42" s="2">
        <v>1</v>
      </c>
      <c r="I42" s="2">
        <v>0.18</v>
      </c>
      <c r="J42" s="20">
        <v>0.18</v>
      </c>
      <c r="K42" s="2">
        <v>137193</v>
      </c>
      <c r="L42" s="2" t="s">
        <v>60</v>
      </c>
      <c r="M42" s="2" t="s">
        <v>81</v>
      </c>
      <c r="N42" s="2" t="s">
        <v>53</v>
      </c>
      <c r="O42" s="2" t="s">
        <v>54</v>
      </c>
      <c r="P42" s="2" t="s">
        <v>62</v>
      </c>
      <c r="R42" s="12">
        <f>_xlfn.XLOOKUP(D42,cart!$F:$F,cart!$B:$B)</f>
        <v>10</v>
      </c>
      <c r="S42" s="13">
        <f t="shared" si="1"/>
        <v>8</v>
      </c>
      <c r="T42" s="12">
        <f>_xlfn.XLOOKUP(D42,kicad_bom!$F:$F,kicad_bom!$B:$B)</f>
        <v>1</v>
      </c>
      <c r="U42" s="13">
        <f t="shared" si="2"/>
        <v>0</v>
      </c>
    </row>
    <row r="43" spans="1:21">
      <c r="A43" s="2" t="s">
        <v>401</v>
      </c>
      <c r="B43" s="2" t="s">
        <v>72</v>
      </c>
      <c r="C43" s="2" t="s">
        <v>400</v>
      </c>
      <c r="D43" s="2" t="s">
        <v>398</v>
      </c>
      <c r="E43" s="2" t="s">
        <v>104</v>
      </c>
      <c r="F43" s="2" t="s">
        <v>50</v>
      </c>
      <c r="G43" s="2" t="s">
        <v>51</v>
      </c>
      <c r="H43" s="2">
        <v>5</v>
      </c>
      <c r="I43" s="2">
        <v>0.1</v>
      </c>
      <c r="J43" s="20">
        <v>0.5</v>
      </c>
      <c r="K43" s="2">
        <v>6294</v>
      </c>
      <c r="L43" s="2" t="s">
        <v>574</v>
      </c>
      <c r="M43" s="2" t="s">
        <v>596</v>
      </c>
      <c r="N43" s="2" t="s">
        <v>61</v>
      </c>
      <c r="O43" s="2" t="s">
        <v>54</v>
      </c>
      <c r="P43" s="2" t="s">
        <v>62</v>
      </c>
      <c r="R43" s="12">
        <f>_xlfn.XLOOKUP(D43,cart!$F:$F,cart!$B:$B)</f>
        <v>10</v>
      </c>
      <c r="S43" s="13">
        <f t="shared" si="1"/>
        <v>0</v>
      </c>
      <c r="T43" s="12">
        <f>_xlfn.XLOOKUP(D43,kicad_bom!$F:$F,kicad_bom!$B:$B)</f>
        <v>5</v>
      </c>
      <c r="U43" s="13">
        <f t="shared" si="2"/>
        <v>0</v>
      </c>
    </row>
    <row r="44" spans="1:21">
      <c r="A44" s="2" t="s">
        <v>375</v>
      </c>
      <c r="B44" s="2" t="s">
        <v>344</v>
      </c>
      <c r="C44" s="2" t="s">
        <v>374</v>
      </c>
      <c r="D44" s="2" t="s">
        <v>372</v>
      </c>
      <c r="E44" s="2" t="s">
        <v>597</v>
      </c>
      <c r="F44" s="2" t="s">
        <v>50</v>
      </c>
      <c r="G44" s="2" t="s">
        <v>51</v>
      </c>
      <c r="H44" s="2">
        <v>6</v>
      </c>
      <c r="I44" s="2">
        <v>0.31</v>
      </c>
      <c r="J44" s="20">
        <v>1.86</v>
      </c>
      <c r="K44" s="2">
        <v>12368</v>
      </c>
      <c r="L44" s="2" t="s">
        <v>90</v>
      </c>
      <c r="M44" s="2" t="s">
        <v>598</v>
      </c>
      <c r="N44" s="2" t="s">
        <v>61</v>
      </c>
      <c r="O44" s="2" t="s">
        <v>54</v>
      </c>
      <c r="P44" s="2" t="s">
        <v>62</v>
      </c>
      <c r="R44" s="12">
        <f>_xlfn.XLOOKUP(D44,cart!$F:$F,cart!$B:$B)</f>
        <v>20</v>
      </c>
      <c r="S44" s="13">
        <f t="shared" si="1"/>
        <v>8</v>
      </c>
      <c r="T44" s="12">
        <f>_xlfn.XLOOKUP(D44,kicad_bom!$F:$F,kicad_bom!$B:$B)</f>
        <v>6</v>
      </c>
      <c r="U44" s="13">
        <f t="shared" si="2"/>
        <v>0</v>
      </c>
    </row>
    <row r="45" spans="1:21">
      <c r="A45" s="2" t="s">
        <v>107</v>
      </c>
      <c r="B45" s="2" t="s">
        <v>72</v>
      </c>
      <c r="C45" s="2" t="s">
        <v>108</v>
      </c>
      <c r="D45" s="2" t="s">
        <v>359</v>
      </c>
      <c r="E45" s="2" t="s">
        <v>599</v>
      </c>
      <c r="F45" s="2" t="s">
        <v>50</v>
      </c>
      <c r="G45" s="2" t="s">
        <v>51</v>
      </c>
      <c r="H45" s="2">
        <v>9</v>
      </c>
      <c r="I45" s="2">
        <v>0.1</v>
      </c>
      <c r="J45" s="20">
        <v>0.9</v>
      </c>
      <c r="K45" s="2">
        <v>380426</v>
      </c>
      <c r="L45" s="2" t="s">
        <v>612</v>
      </c>
      <c r="M45" s="2" t="s">
        <v>109</v>
      </c>
      <c r="N45" s="2" t="s">
        <v>61</v>
      </c>
      <c r="O45" s="2" t="s">
        <v>54</v>
      </c>
      <c r="P45" s="2" t="s">
        <v>62</v>
      </c>
      <c r="R45" s="12">
        <f>_xlfn.XLOOKUP(D45,cart!$F:$F,cart!$B:$B)</f>
        <v>100</v>
      </c>
      <c r="S45" s="13">
        <f t="shared" si="1"/>
        <v>82</v>
      </c>
      <c r="T45" s="12">
        <f>_xlfn.XLOOKUP(D45,kicad_bom!$F:$F,kicad_bom!$B:$B)</f>
        <v>9</v>
      </c>
      <c r="U45" s="13">
        <f t="shared" si="2"/>
        <v>0</v>
      </c>
    </row>
    <row r="46" spans="1:21">
      <c r="A46" s="2" t="s">
        <v>370</v>
      </c>
      <c r="B46" s="2" t="s">
        <v>84</v>
      </c>
      <c r="C46" s="2" t="s">
        <v>369</v>
      </c>
      <c r="D46" s="2" t="s">
        <v>367</v>
      </c>
      <c r="E46" s="2" t="s">
        <v>600</v>
      </c>
      <c r="F46" s="2" t="s">
        <v>50</v>
      </c>
      <c r="G46" s="2" t="s">
        <v>51</v>
      </c>
      <c r="H46" s="2">
        <v>11</v>
      </c>
      <c r="I46" s="2">
        <v>5.6000000000000001E-2</v>
      </c>
      <c r="J46" s="20">
        <v>0.61</v>
      </c>
      <c r="K46" s="2">
        <v>88389</v>
      </c>
      <c r="L46" s="2" t="s">
        <v>74</v>
      </c>
      <c r="M46" s="2" t="s">
        <v>601</v>
      </c>
      <c r="N46" s="2" t="s">
        <v>61</v>
      </c>
      <c r="O46" s="2" t="s">
        <v>54</v>
      </c>
      <c r="P46" s="2" t="s">
        <v>62</v>
      </c>
      <c r="R46" s="12">
        <f>_xlfn.XLOOKUP(D46,cart!$F:$F,cart!$B:$B)</f>
        <v>100</v>
      </c>
      <c r="S46" s="13">
        <f t="shared" si="1"/>
        <v>78</v>
      </c>
      <c r="T46" s="12">
        <f>_xlfn.XLOOKUP(D46,kicad_bom!$F:$F,kicad_bom!$B:$B)</f>
        <v>11</v>
      </c>
      <c r="U46" s="13">
        <f t="shared" si="2"/>
        <v>0</v>
      </c>
    </row>
    <row r="47" spans="1:21">
      <c r="A47" s="2" t="s">
        <v>390</v>
      </c>
      <c r="B47" s="2" t="s">
        <v>84</v>
      </c>
      <c r="C47" s="2" t="s">
        <v>389</v>
      </c>
      <c r="D47" s="2" t="s">
        <v>387</v>
      </c>
      <c r="E47" s="2" t="s">
        <v>602</v>
      </c>
      <c r="F47" s="2" t="s">
        <v>50</v>
      </c>
      <c r="G47" s="2" t="s">
        <v>51</v>
      </c>
      <c r="H47" s="2">
        <v>13</v>
      </c>
      <c r="I47" s="2">
        <v>5.6000000000000001E-2</v>
      </c>
      <c r="J47" s="20">
        <v>0.72</v>
      </c>
      <c r="K47" s="2">
        <v>2540</v>
      </c>
      <c r="L47" s="2" t="s">
        <v>74</v>
      </c>
      <c r="M47" s="2" t="s">
        <v>603</v>
      </c>
      <c r="N47" s="2" t="s">
        <v>61</v>
      </c>
      <c r="O47" s="2" t="s">
        <v>54</v>
      </c>
      <c r="P47" s="2" t="s">
        <v>62</v>
      </c>
      <c r="R47" s="12">
        <f>_xlfn.XLOOKUP(D47,cart!$F:$F,cart!$B:$B)</f>
        <v>100</v>
      </c>
      <c r="S47" s="13">
        <f t="shared" si="1"/>
        <v>74</v>
      </c>
      <c r="T47" s="12">
        <f>_xlfn.XLOOKUP(D47,kicad_bom!$F:$F,kicad_bom!$B:$B)</f>
        <v>13</v>
      </c>
      <c r="U47" s="13">
        <f t="shared" si="2"/>
        <v>0</v>
      </c>
    </row>
    <row r="48" spans="1:21">
      <c r="A48" s="2" t="s">
        <v>364</v>
      </c>
      <c r="B48" s="2" t="s">
        <v>72</v>
      </c>
      <c r="C48" s="2" t="s">
        <v>363</v>
      </c>
      <c r="D48" s="2" t="s">
        <v>361</v>
      </c>
      <c r="E48" s="2" t="s">
        <v>604</v>
      </c>
      <c r="F48" s="2" t="s">
        <v>50</v>
      </c>
      <c r="G48" s="2" t="s">
        <v>51</v>
      </c>
      <c r="H48" s="2">
        <v>10</v>
      </c>
      <c r="I48" s="2">
        <v>5.8000000000000003E-2</v>
      </c>
      <c r="J48" s="20">
        <v>0.57999999999999996</v>
      </c>
      <c r="K48" s="2">
        <v>34202</v>
      </c>
      <c r="L48" s="2" t="s">
        <v>574</v>
      </c>
      <c r="M48" s="2" t="s">
        <v>605</v>
      </c>
      <c r="N48" s="2" t="s">
        <v>61</v>
      </c>
      <c r="O48" s="2" t="s">
        <v>54</v>
      </c>
      <c r="P48" s="2" t="s">
        <v>62</v>
      </c>
      <c r="R48" s="12">
        <f>_xlfn.XLOOKUP(D48,cart!$F:$F,cart!$B:$B)</f>
        <v>100</v>
      </c>
      <c r="S48" s="13">
        <f t="shared" si="1"/>
        <v>80</v>
      </c>
      <c r="T48" s="12">
        <f>_xlfn.XLOOKUP(D48,kicad_bom!$F:$F,kicad_bom!$B:$B)</f>
        <v>10</v>
      </c>
      <c r="U48" s="13">
        <f t="shared" si="2"/>
        <v>0</v>
      </c>
    </row>
    <row r="49" spans="1:21">
      <c r="A49" s="2" t="s">
        <v>343</v>
      </c>
      <c r="B49" s="2" t="s">
        <v>344</v>
      </c>
      <c r="C49" s="2" t="s">
        <v>342</v>
      </c>
      <c r="D49" s="2" t="s">
        <v>340</v>
      </c>
      <c r="E49" s="2" t="s">
        <v>606</v>
      </c>
      <c r="F49" s="2" t="s">
        <v>50</v>
      </c>
      <c r="G49" s="2" t="s">
        <v>51</v>
      </c>
      <c r="H49" s="2">
        <v>12</v>
      </c>
      <c r="I49" s="2">
        <v>0.26</v>
      </c>
      <c r="J49" s="20">
        <v>3.12</v>
      </c>
      <c r="K49" s="2">
        <v>307399</v>
      </c>
      <c r="L49" s="2" t="s">
        <v>90</v>
      </c>
      <c r="M49" s="2" t="s">
        <v>341</v>
      </c>
      <c r="N49" s="2" t="s">
        <v>61</v>
      </c>
      <c r="O49" s="2" t="s">
        <v>54</v>
      </c>
      <c r="P49" s="2" t="s">
        <v>62</v>
      </c>
      <c r="R49" s="12">
        <f>_xlfn.XLOOKUP(D49,cart!$F:$F,cart!$B:$B)</f>
        <v>100</v>
      </c>
      <c r="S49" s="13">
        <f t="shared" si="1"/>
        <v>76</v>
      </c>
      <c r="T49" s="12">
        <f>_xlfn.XLOOKUP(D49,kicad_bom!$F:$F,kicad_bom!$B:$B)</f>
        <v>12</v>
      </c>
      <c r="U49" s="13">
        <f t="shared" si="2"/>
        <v>0</v>
      </c>
    </row>
    <row r="50" spans="1:21">
      <c r="A50" s="2" t="s">
        <v>349</v>
      </c>
      <c r="B50" s="2" t="s">
        <v>344</v>
      </c>
      <c r="C50" s="2" t="s">
        <v>348</v>
      </c>
      <c r="D50" s="2" t="s">
        <v>346</v>
      </c>
      <c r="E50" s="2" t="s">
        <v>607</v>
      </c>
      <c r="F50" s="2" t="s">
        <v>50</v>
      </c>
      <c r="G50" s="2" t="s">
        <v>51</v>
      </c>
      <c r="H50" s="2">
        <v>3</v>
      </c>
      <c r="I50" s="2">
        <v>0.31</v>
      </c>
      <c r="J50" s="20">
        <v>0.93</v>
      </c>
      <c r="K50" s="2">
        <v>8025</v>
      </c>
      <c r="L50" s="2" t="s">
        <v>90</v>
      </c>
      <c r="M50" s="2" t="s">
        <v>608</v>
      </c>
      <c r="N50" s="2" t="s">
        <v>61</v>
      </c>
      <c r="O50" s="2" t="s">
        <v>54</v>
      </c>
      <c r="P50" s="2" t="s">
        <v>62</v>
      </c>
      <c r="R50" s="12">
        <f>_xlfn.XLOOKUP(D50,cart!$F:$F,cart!$B:$B)</f>
        <v>10</v>
      </c>
      <c r="S50" s="13">
        <f t="shared" si="1"/>
        <v>4</v>
      </c>
      <c r="T50" s="12">
        <f>_xlfn.XLOOKUP(D50,kicad_bom!$F:$F,kicad_bom!$B:$B)</f>
        <v>3</v>
      </c>
      <c r="U50" s="13">
        <f t="shared" si="2"/>
        <v>0</v>
      </c>
    </row>
    <row r="51" spans="1:21">
      <c r="A51" s="2" t="s">
        <v>469</v>
      </c>
      <c r="B51" s="2" t="s">
        <v>70</v>
      </c>
      <c r="C51" s="2" t="s">
        <v>468</v>
      </c>
      <c r="D51" s="2" t="s">
        <v>466</v>
      </c>
      <c r="E51" s="2" t="s">
        <v>59</v>
      </c>
      <c r="F51" s="2" t="s">
        <v>50</v>
      </c>
      <c r="G51" s="2" t="s">
        <v>51</v>
      </c>
      <c r="H51" s="2">
        <v>1</v>
      </c>
      <c r="I51" s="2">
        <v>0.84</v>
      </c>
      <c r="J51" s="20">
        <v>0.84</v>
      </c>
      <c r="K51" s="2">
        <v>1285</v>
      </c>
      <c r="L51" s="2" t="s">
        <v>545</v>
      </c>
      <c r="M51" s="2" t="s">
        <v>467</v>
      </c>
      <c r="N51" s="2" t="s">
        <v>61</v>
      </c>
      <c r="O51" s="2" t="s">
        <v>54</v>
      </c>
      <c r="P51" s="2" t="s">
        <v>62</v>
      </c>
      <c r="R51" s="12">
        <f>_xlfn.XLOOKUP(D51,cart!$F:$F,cart!$B:$B)</f>
        <v>3</v>
      </c>
      <c r="S51" s="13">
        <f t="shared" si="1"/>
        <v>1</v>
      </c>
      <c r="T51" s="12">
        <f>_xlfn.XLOOKUP(D51,kicad_bom!$F:$F,kicad_bom!$B:$B)</f>
        <v>1</v>
      </c>
      <c r="U51" s="13">
        <f t="shared" si="2"/>
        <v>0</v>
      </c>
    </row>
    <row r="52" spans="1:21">
      <c r="A52" s="2" t="s">
        <v>501</v>
      </c>
      <c r="B52" s="2" t="s">
        <v>58</v>
      </c>
      <c r="C52" s="2" t="s">
        <v>500</v>
      </c>
      <c r="D52" s="2" t="s">
        <v>498</v>
      </c>
      <c r="E52" s="2" t="s">
        <v>609</v>
      </c>
      <c r="F52" s="2" t="s">
        <v>50</v>
      </c>
      <c r="G52" s="2" t="s">
        <v>51</v>
      </c>
      <c r="H52" s="2">
        <v>1</v>
      </c>
      <c r="I52" s="2">
        <v>0.41</v>
      </c>
      <c r="J52" s="20">
        <v>0.41</v>
      </c>
      <c r="K52" s="2">
        <v>22140</v>
      </c>
      <c r="L52" s="2" t="s">
        <v>90</v>
      </c>
      <c r="M52" s="2" t="s">
        <v>499</v>
      </c>
      <c r="N52" s="2" t="s">
        <v>61</v>
      </c>
      <c r="O52" s="2" t="s">
        <v>54</v>
      </c>
      <c r="P52" s="2" t="s">
        <v>62</v>
      </c>
      <c r="R52" s="12">
        <f>_xlfn.XLOOKUP(D52,cart!$F:$F,cart!$B:$B)</f>
        <v>3</v>
      </c>
      <c r="S52" s="13">
        <f t="shared" si="1"/>
        <v>1</v>
      </c>
      <c r="T52" s="12">
        <f>_xlfn.XLOOKUP(D52,kicad_bom!$F:$F,kicad_bom!$B:$B)</f>
        <v>1</v>
      </c>
      <c r="U52" s="13">
        <f t="shared" si="2"/>
        <v>0</v>
      </c>
    </row>
    <row r="53" spans="1:21">
      <c r="A53" s="2" t="s">
        <v>355</v>
      </c>
      <c r="B53" s="2" t="s">
        <v>356</v>
      </c>
      <c r="C53" s="2" t="s">
        <v>354</v>
      </c>
      <c r="D53" s="2" t="s">
        <v>352</v>
      </c>
      <c r="E53" s="2" t="s">
        <v>550</v>
      </c>
      <c r="F53" s="2" t="s">
        <v>50</v>
      </c>
      <c r="G53" s="2" t="s">
        <v>51</v>
      </c>
      <c r="H53" s="2">
        <v>26</v>
      </c>
      <c r="I53" s="2">
        <v>0.19400000000000001</v>
      </c>
      <c r="J53" s="20">
        <v>5.04</v>
      </c>
      <c r="K53" s="2">
        <v>231</v>
      </c>
      <c r="L53" s="2" t="s">
        <v>545</v>
      </c>
      <c r="M53" s="2" t="s">
        <v>353</v>
      </c>
      <c r="N53" s="2" t="s">
        <v>61</v>
      </c>
      <c r="O53" s="2" t="s">
        <v>54</v>
      </c>
      <c r="P53" s="2" t="s">
        <v>55</v>
      </c>
      <c r="R53" s="12">
        <f>_xlfn.XLOOKUP(D53,cart!$F:$F,cart!$B:$B)</f>
        <v>100</v>
      </c>
      <c r="S53" s="13">
        <f t="shared" si="1"/>
        <v>48</v>
      </c>
      <c r="T53" s="12">
        <f>_xlfn.XLOOKUP(D53,kicad_bom!$F:$F,kicad_bom!$B:$B)</f>
        <v>26</v>
      </c>
      <c r="U53" s="13">
        <f t="shared" si="2"/>
        <v>0</v>
      </c>
    </row>
    <row r="54" spans="1:21">
      <c r="A54" s="2" t="s">
        <v>620</v>
      </c>
      <c r="B54" s="2" t="s">
        <v>84</v>
      </c>
      <c r="C54" s="2" t="s">
        <v>621</v>
      </c>
      <c r="D54" s="2" t="s">
        <v>384</v>
      </c>
      <c r="F54" s="2" t="s">
        <v>50</v>
      </c>
      <c r="G54" s="2" t="s">
        <v>51</v>
      </c>
      <c r="H54" s="2">
        <v>1</v>
      </c>
      <c r="I54" s="2">
        <v>0.1</v>
      </c>
      <c r="J54" s="20">
        <v>0.1</v>
      </c>
      <c r="K54" s="2" t="s">
        <v>622</v>
      </c>
      <c r="L54" s="2" t="s">
        <v>74</v>
      </c>
      <c r="M54" s="2" t="s">
        <v>623</v>
      </c>
      <c r="N54" s="2" t="s">
        <v>61</v>
      </c>
      <c r="O54" s="2" t="s">
        <v>54</v>
      </c>
      <c r="P54" s="2" t="s">
        <v>62</v>
      </c>
      <c r="R54" s="12">
        <f>_xlfn.XLOOKUP(D54,cart!$F:$F,cart!$B:$B)</f>
        <v>10</v>
      </c>
      <c r="S54" s="13">
        <f t="shared" si="1"/>
        <v>8</v>
      </c>
      <c r="T54" s="12">
        <f>_xlfn.XLOOKUP(D54,kicad_bom!$F:$F,kicad_bom!$B:$B)</f>
        <v>1</v>
      </c>
      <c r="U54" s="13">
        <f t="shared" si="2"/>
        <v>0</v>
      </c>
    </row>
    <row r="55" spans="1:21">
      <c r="A55" s="2">
        <v>74279220181</v>
      </c>
      <c r="B55" s="2" t="s">
        <v>92</v>
      </c>
      <c r="C55" s="2" t="s">
        <v>34</v>
      </c>
      <c r="D55" s="2" t="s">
        <v>261</v>
      </c>
      <c r="F55" s="2" t="s">
        <v>50</v>
      </c>
      <c r="G55" s="2" t="s">
        <v>51</v>
      </c>
      <c r="H55" s="2">
        <v>4</v>
      </c>
      <c r="I55" s="2">
        <v>0.32</v>
      </c>
      <c r="J55" s="20">
        <v>1.28</v>
      </c>
      <c r="K55" s="2" t="s">
        <v>80</v>
      </c>
      <c r="L55" s="2" t="s">
        <v>555</v>
      </c>
      <c r="M55" s="2" t="s">
        <v>35</v>
      </c>
      <c r="N55" s="2" t="s">
        <v>61</v>
      </c>
      <c r="O55" s="2" t="s">
        <v>54</v>
      </c>
      <c r="P55" s="2" t="s">
        <v>62</v>
      </c>
      <c r="R55" s="12">
        <f>_xlfn.XLOOKUP(D55,cart!$F:$F,cart!$B:$B)</f>
        <v>20</v>
      </c>
      <c r="S55" s="13">
        <f t="shared" si="1"/>
        <v>12</v>
      </c>
      <c r="T55" s="12">
        <f>_xlfn.XLOOKUP(D55,kicad_bom!$F:$F,kicad_bom!$B:$B)</f>
        <v>4</v>
      </c>
      <c r="U55" s="13">
        <f t="shared" si="2"/>
        <v>0</v>
      </c>
    </row>
    <row r="56" spans="1:21">
      <c r="A56" s="2" t="s">
        <v>11</v>
      </c>
      <c r="B56" s="2" t="s">
        <v>67</v>
      </c>
      <c r="C56" s="2" t="s">
        <v>10</v>
      </c>
      <c r="D56" s="2" t="s">
        <v>213</v>
      </c>
      <c r="F56" s="2" t="s">
        <v>68</v>
      </c>
      <c r="G56" s="2" t="s">
        <v>51</v>
      </c>
      <c r="H56" s="2">
        <v>1</v>
      </c>
      <c r="I56" s="2">
        <v>0.91</v>
      </c>
      <c r="J56" s="20">
        <v>0.91</v>
      </c>
      <c r="K56" s="2" t="s">
        <v>619</v>
      </c>
      <c r="L56" s="2" t="s">
        <v>76</v>
      </c>
      <c r="M56" s="2" t="s">
        <v>12</v>
      </c>
      <c r="N56" s="2" t="s">
        <v>61</v>
      </c>
      <c r="O56" s="2" t="s">
        <v>54</v>
      </c>
      <c r="P56" s="2" t="s">
        <v>62</v>
      </c>
      <c r="R56" s="12">
        <f>_xlfn.XLOOKUP(D56,cart!$F:$F,cart!$B:$B)</f>
        <v>10</v>
      </c>
      <c r="S56" s="13">
        <f t="shared" si="1"/>
        <v>8</v>
      </c>
      <c r="T56" s="12">
        <f>_xlfn.XLOOKUP(D56,kicad_bom!$F:$F,kicad_bom!$B:$B)</f>
        <v>1</v>
      </c>
      <c r="U56" s="13">
        <f t="shared" si="2"/>
        <v>0</v>
      </c>
    </row>
    <row r="57" spans="1:21">
      <c r="J57" s="20"/>
      <c r="R57" s="12"/>
      <c r="S57" s="13"/>
      <c r="T57" s="12"/>
      <c r="U57" s="13"/>
    </row>
    <row r="58" spans="1:21">
      <c r="J58" s="20"/>
      <c r="R58" s="12"/>
      <c r="S58" s="13"/>
      <c r="T58" s="12"/>
      <c r="U58" s="13"/>
    </row>
    <row r="59" spans="1:21">
      <c r="J59" s="20"/>
      <c r="R59" s="12"/>
      <c r="S59" s="13"/>
      <c r="T59" s="12"/>
      <c r="U59" s="13"/>
    </row>
  </sheetData>
  <sortState xmlns:xlrd2="http://schemas.microsoft.com/office/spreadsheetml/2017/richdata2" ref="A2:W60">
    <sortCondition ref="D2:D60"/>
  </sortState>
  <conditionalFormatting sqref="U1:U1048576">
    <cfRule type="cellIs" dxfId="5" priority="3" operator="equal">
      <formula>0</formula>
    </cfRule>
  </conditionalFormatting>
  <conditionalFormatting sqref="K2:K56">
    <cfRule type="cellIs" dxfId="4" priority="1" operator="lessThan">
      <formula>1000</formula>
    </cfRule>
    <cfRule type="cellIs" dxfId="3" priority="2" operator="lessThan">
      <formula>200</formula>
    </cfRule>
  </conditionalFormatting>
  <pageMargins left="0.7" right="0.7" top="0.75" bottom="0.75" header="0.3" footer="0.3"/>
  <pageSetup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6592-0E98-47BD-A8BB-E46C38B006B9}">
  <dimension ref="A1:X83"/>
  <sheetViews>
    <sheetView workbookViewId="0">
      <selection activeCell="A39" sqref="A39:XFD39"/>
    </sheetView>
  </sheetViews>
  <sheetFormatPr defaultRowHeight="14.4"/>
  <cols>
    <col min="2" max="2" width="8.88671875" style="26"/>
    <col min="4" max="4" width="23" hidden="1" customWidth="1"/>
    <col min="5" max="5" width="0" hidden="1" customWidth="1"/>
    <col min="6" max="6" width="8.88671875" style="26"/>
    <col min="7" max="7" width="46" customWidth="1"/>
    <col min="8" max="8" width="16.88671875" customWidth="1"/>
    <col min="9" max="9" width="23.109375" style="24" customWidth="1"/>
    <col min="10" max="10" width="24.5546875" customWidth="1"/>
    <col min="11" max="18" width="0" hidden="1" customWidth="1"/>
    <col min="21" max="21" width="19.33203125" customWidth="1"/>
    <col min="22" max="22" width="11.88671875" customWidth="1"/>
    <col min="23" max="23" width="34.6640625" customWidth="1"/>
  </cols>
  <sheetData>
    <row r="1" spans="1:24">
      <c r="A1" s="2" t="s">
        <v>122</v>
      </c>
      <c r="B1" s="25" t="s">
        <v>123</v>
      </c>
      <c r="C1" s="2" t="s">
        <v>124</v>
      </c>
      <c r="D1" s="2" t="s">
        <v>125</v>
      </c>
      <c r="E1" s="2" t="s">
        <v>126</v>
      </c>
      <c r="F1" s="25" t="s">
        <v>127</v>
      </c>
      <c r="G1" s="2" t="s">
        <v>128</v>
      </c>
      <c r="H1" s="2" t="s">
        <v>129</v>
      </c>
      <c r="I1" s="23" t="s">
        <v>130</v>
      </c>
      <c r="J1" s="2" t="s">
        <v>131</v>
      </c>
      <c r="K1" s="2" t="s">
        <v>132</v>
      </c>
      <c r="L1" s="2" t="s">
        <v>133</v>
      </c>
      <c r="M1" s="2" t="s">
        <v>134</v>
      </c>
      <c r="N1" s="2" t="s">
        <v>135</v>
      </c>
      <c r="O1" s="2" t="s">
        <v>136</v>
      </c>
      <c r="P1" s="2" t="s">
        <v>137</v>
      </c>
      <c r="Q1" s="2" t="s">
        <v>138</v>
      </c>
      <c r="S1" s="22" t="s">
        <v>627</v>
      </c>
      <c r="T1" s="22" t="s">
        <v>625</v>
      </c>
      <c r="U1" s="22" t="s">
        <v>626</v>
      </c>
      <c r="V1" s="22" t="s">
        <v>615</v>
      </c>
      <c r="W1" s="22" t="s">
        <v>631</v>
      </c>
      <c r="X1" s="22" t="s">
        <v>632</v>
      </c>
    </row>
    <row r="2" spans="1:24">
      <c r="A2" s="2" t="s">
        <v>506</v>
      </c>
      <c r="B2" s="25">
        <v>1</v>
      </c>
      <c r="C2" s="2" t="s">
        <v>507</v>
      </c>
      <c r="D2" s="2" t="s">
        <v>472</v>
      </c>
      <c r="E2" s="2" t="s">
        <v>383</v>
      </c>
      <c r="F2" s="25" t="s">
        <v>508</v>
      </c>
      <c r="G2" s="2" t="s">
        <v>509</v>
      </c>
      <c r="H2" s="2" t="s">
        <v>510</v>
      </c>
      <c r="I2" s="23" t="s">
        <v>511</v>
      </c>
      <c r="J2" s="2" t="s">
        <v>65</v>
      </c>
      <c r="K2" s="2"/>
      <c r="L2" s="2"/>
      <c r="M2" s="2"/>
      <c r="N2" s="2"/>
      <c r="O2" s="2"/>
      <c r="P2" s="2"/>
      <c r="Q2" s="2"/>
      <c r="S2" s="12">
        <f>_xlfn.XLOOKUP(F2,digikey_bom!$D:$D,digikey_bom!$H:$H)</f>
        <v>1</v>
      </c>
      <c r="T2">
        <f t="shared" ref="T2:T33" si="0">S2-B2</f>
        <v>0</v>
      </c>
      <c r="U2" s="12" t="str">
        <f>_xlfn.XLOOKUP($F2,digikey_bom!$D:$D,digikey_bom!$A:$A)</f>
        <v>OPA2210IDR</v>
      </c>
      <c r="V2" t="b">
        <f>EXACT(I2,U2)</f>
        <v>1</v>
      </c>
      <c r="W2" s="12" t="str">
        <f>_xlfn.XLOOKUP($F2,digikey_bom!$D:$D,digikey_bom!$M:$M)</f>
        <v>IC OPAMP GP 2 CIRCUIT 8SOIC</v>
      </c>
      <c r="X2" s="5" t="b">
        <f>EXACT(G2,W2)</f>
        <v>0</v>
      </c>
    </row>
    <row r="3" spans="1:24">
      <c r="A3" s="2" t="s">
        <v>176</v>
      </c>
      <c r="B3" s="25">
        <v>6</v>
      </c>
      <c r="C3" s="2" t="s">
        <v>177</v>
      </c>
      <c r="D3" s="2" t="s">
        <v>141</v>
      </c>
      <c r="E3" s="2" t="s">
        <v>178</v>
      </c>
      <c r="F3" s="25" t="s">
        <v>179</v>
      </c>
      <c r="G3" s="2" t="s">
        <v>180</v>
      </c>
      <c r="H3" s="2" t="s">
        <v>181</v>
      </c>
      <c r="I3" s="23" t="s">
        <v>182</v>
      </c>
      <c r="J3" s="2" t="s">
        <v>84</v>
      </c>
      <c r="K3" s="2"/>
      <c r="L3" s="2"/>
      <c r="M3" s="2"/>
      <c r="N3" s="2"/>
      <c r="O3" s="2"/>
      <c r="P3" s="2"/>
      <c r="Q3" s="2"/>
      <c r="S3" s="12">
        <f>_xlfn.XLOOKUP(F3,digikey_bom!$D:$D,digikey_bom!$H:$H)</f>
        <v>6</v>
      </c>
      <c r="T3" s="5">
        <f t="shared" si="0"/>
        <v>0</v>
      </c>
      <c r="U3" s="12" t="str">
        <f>_xlfn.XLOOKUP($F3,digikey_bom!$D:$D,digikey_bom!$A:$A)</f>
        <v>CC0805FRNPO0BN102</v>
      </c>
      <c r="V3" s="5" t="b">
        <f t="shared" ref="V3:V66" si="1">EXACT(I3,U3)</f>
        <v>1</v>
      </c>
      <c r="W3" s="12" t="str">
        <f>_xlfn.XLOOKUP($F3,digikey_bom!$D:$D,digikey_bom!$M:$M)</f>
        <v>CAP CER 1000PF 100V NPO 0805</v>
      </c>
      <c r="X3" s="5" t="b">
        <f t="shared" ref="X3:X66" si="2">EXACT(G3,W3)</f>
        <v>1</v>
      </c>
    </row>
    <row r="4" spans="1:24">
      <c r="A4" s="2" t="s">
        <v>412</v>
      </c>
      <c r="B4" s="25">
        <v>1</v>
      </c>
      <c r="C4" s="2" t="s">
        <v>413</v>
      </c>
      <c r="D4" s="2" t="s">
        <v>403</v>
      </c>
      <c r="E4" s="2" t="s">
        <v>414</v>
      </c>
      <c r="F4" s="25" t="s">
        <v>415</v>
      </c>
      <c r="G4" s="2" t="s">
        <v>416</v>
      </c>
      <c r="H4" s="2" t="s">
        <v>417</v>
      </c>
      <c r="I4" s="23" t="s">
        <v>418</v>
      </c>
      <c r="J4" s="2" t="s">
        <v>84</v>
      </c>
      <c r="K4" s="2"/>
      <c r="L4" s="2"/>
      <c r="M4" s="2"/>
      <c r="N4" s="2"/>
      <c r="O4" s="2"/>
      <c r="P4" s="2"/>
      <c r="Q4" s="2"/>
      <c r="S4" s="12">
        <f>_xlfn.XLOOKUP(F4,digikey_bom!$D:$D,digikey_bom!$H:$H)</f>
        <v>1</v>
      </c>
      <c r="T4" s="5">
        <f t="shared" si="0"/>
        <v>0</v>
      </c>
      <c r="U4" s="12" t="str">
        <f>_xlfn.XLOOKUP($F4,digikey_bom!$D:$D,digikey_bom!$A:$A)</f>
        <v>RL1206FR-070R068L</v>
      </c>
      <c r="V4" s="5" t="b">
        <f t="shared" si="1"/>
        <v>1</v>
      </c>
      <c r="W4" s="12" t="str">
        <f>_xlfn.XLOOKUP($F4,digikey_bom!$D:$D,digikey_bom!$M:$M)</f>
        <v>RES 0.068 OHM 1% 1/4W 1206</v>
      </c>
      <c r="X4" s="5" t="b">
        <f t="shared" si="2"/>
        <v>1</v>
      </c>
    </row>
    <row r="5" spans="1:24">
      <c r="A5" s="2" t="s">
        <v>519</v>
      </c>
      <c r="B5" s="25">
        <v>1</v>
      </c>
      <c r="C5" s="2" t="s">
        <v>520</v>
      </c>
      <c r="D5" s="2" t="s">
        <v>521</v>
      </c>
      <c r="E5" s="2" t="s">
        <v>522</v>
      </c>
      <c r="F5" s="25" t="s">
        <v>523</v>
      </c>
      <c r="G5" s="2" t="s">
        <v>18</v>
      </c>
      <c r="H5" s="2" t="s">
        <v>16</v>
      </c>
      <c r="I5" s="23" t="s">
        <v>17</v>
      </c>
      <c r="J5" s="2" t="s">
        <v>65</v>
      </c>
      <c r="K5" s="2"/>
      <c r="L5" s="2"/>
      <c r="M5" s="2"/>
      <c r="N5" s="2"/>
      <c r="O5" s="2"/>
      <c r="P5" s="2"/>
      <c r="Q5" s="2"/>
      <c r="S5" s="12">
        <f>_xlfn.XLOOKUP(F5,digikey_bom!$D:$D,digikey_bom!$H:$H)</f>
        <v>1</v>
      </c>
      <c r="T5" s="5">
        <f t="shared" si="0"/>
        <v>0</v>
      </c>
      <c r="U5" s="12" t="str">
        <f>_xlfn.XLOOKUP($F5,digikey_bom!$D:$D,digikey_bom!$A:$A)</f>
        <v>SN74LVC541ADBR</v>
      </c>
      <c r="V5" s="5" t="b">
        <f t="shared" si="1"/>
        <v>1</v>
      </c>
      <c r="W5" s="12" t="str">
        <f>_xlfn.XLOOKUP($F5,digikey_bom!$D:$D,digikey_bom!$M:$M)</f>
        <v>IC BUF NON-INVERT 3.6V 20SSOP</v>
      </c>
      <c r="X5" s="5" t="b">
        <f t="shared" si="2"/>
        <v>1</v>
      </c>
    </row>
    <row r="6" spans="1:24">
      <c r="A6" s="2" t="s">
        <v>470</v>
      </c>
      <c r="B6" s="25">
        <v>3</v>
      </c>
      <c r="C6" s="2" t="s">
        <v>471</v>
      </c>
      <c r="D6" s="2" t="s">
        <v>472</v>
      </c>
      <c r="E6" s="2" t="s">
        <v>473</v>
      </c>
      <c r="F6" s="25" t="s">
        <v>474</v>
      </c>
      <c r="G6" s="2" t="s">
        <v>475</v>
      </c>
      <c r="H6" s="2" t="s">
        <v>476</v>
      </c>
      <c r="I6" s="23" t="s">
        <v>477</v>
      </c>
      <c r="J6" s="2" t="s">
        <v>478</v>
      </c>
      <c r="K6" s="2"/>
      <c r="L6" s="2"/>
      <c r="M6" s="2"/>
      <c r="N6" s="2"/>
      <c r="O6" s="2"/>
      <c r="P6" s="2"/>
      <c r="Q6" s="2"/>
      <c r="S6" s="12">
        <f>_xlfn.XLOOKUP(F6,digikey_bom!$D:$D,digikey_bom!$H:$H)</f>
        <v>3</v>
      </c>
      <c r="T6" s="5">
        <f t="shared" si="0"/>
        <v>0</v>
      </c>
      <c r="U6" s="12" t="str">
        <f>_xlfn.XLOOKUP($F6,digikey_bom!$D:$D,digikey_bom!$A:$A)</f>
        <v>AD8599ARZ</v>
      </c>
      <c r="V6" s="5" t="b">
        <f t="shared" si="1"/>
        <v>1</v>
      </c>
      <c r="W6" s="12" t="str">
        <f>_xlfn.XLOOKUP($F6,digikey_bom!$D:$D,digikey_bom!$M:$M)</f>
        <v>IC OPAMP GP 2 CIRCUIT 8SOIC</v>
      </c>
      <c r="X6" s="5" t="b">
        <f t="shared" si="2"/>
        <v>1</v>
      </c>
    </row>
    <row r="7" spans="1:24">
      <c r="A7" s="2" t="s">
        <v>419</v>
      </c>
      <c r="B7" s="25">
        <v>2</v>
      </c>
      <c r="C7" s="2">
        <v>33</v>
      </c>
      <c r="D7" s="2" t="s">
        <v>420</v>
      </c>
      <c r="E7" s="2" t="s">
        <v>421</v>
      </c>
      <c r="F7" s="25" t="s">
        <v>552</v>
      </c>
      <c r="G7" s="2" t="s">
        <v>100</v>
      </c>
      <c r="H7" s="2" t="s">
        <v>98</v>
      </c>
      <c r="I7" s="23" t="s">
        <v>96</v>
      </c>
      <c r="J7" s="2" t="s">
        <v>97</v>
      </c>
      <c r="K7" s="2"/>
      <c r="L7" s="2"/>
      <c r="M7" s="2"/>
      <c r="N7" s="2"/>
      <c r="O7" s="2"/>
      <c r="P7" s="2"/>
      <c r="Q7" s="2"/>
      <c r="S7" s="12">
        <f>_xlfn.XLOOKUP(F7,digikey_bom!$D:$D,digikey_bom!$H:$H)</f>
        <v>2</v>
      </c>
      <c r="T7" s="5">
        <f t="shared" si="0"/>
        <v>0</v>
      </c>
      <c r="U7" s="12" t="str">
        <f>_xlfn.XLOOKUP($F7,digikey_bom!$D:$D,digikey_bom!$A:$A)</f>
        <v>CAY16-330J4LF</v>
      </c>
      <c r="V7" s="5" t="b">
        <f t="shared" si="1"/>
        <v>1</v>
      </c>
      <c r="W7" s="12" t="str">
        <f>_xlfn.XLOOKUP($F7,digikey_bom!$D:$D,digikey_bom!$M:$M)</f>
        <v>RES ARRAY 4 RES 33 OHM 1206</v>
      </c>
      <c r="X7" s="5" t="b">
        <f t="shared" si="2"/>
        <v>1</v>
      </c>
    </row>
    <row r="8" spans="1:24">
      <c r="A8" s="2" t="s">
        <v>192</v>
      </c>
      <c r="B8" s="25">
        <v>16</v>
      </c>
      <c r="C8" s="2" t="s">
        <v>193</v>
      </c>
      <c r="D8" s="2" t="s">
        <v>141</v>
      </c>
      <c r="E8" s="2" t="s">
        <v>163</v>
      </c>
      <c r="F8" s="25" t="s">
        <v>194</v>
      </c>
      <c r="G8" s="2" t="s">
        <v>195</v>
      </c>
      <c r="H8" s="2" t="s">
        <v>196</v>
      </c>
      <c r="I8" s="23" t="s">
        <v>197</v>
      </c>
      <c r="J8" s="2" t="s">
        <v>168</v>
      </c>
      <c r="K8" s="2" t="s">
        <v>169</v>
      </c>
      <c r="L8" s="2"/>
      <c r="M8" s="2"/>
      <c r="N8" s="2"/>
      <c r="O8" s="2"/>
      <c r="P8" s="2"/>
      <c r="Q8" s="2"/>
      <c r="S8" s="12">
        <f>_xlfn.XLOOKUP(F8,digikey_bom!$D:$D,digikey_bom!$H:$H)</f>
        <v>16</v>
      </c>
      <c r="T8" s="5">
        <f t="shared" si="0"/>
        <v>0</v>
      </c>
      <c r="U8" s="12" t="str">
        <f>_xlfn.XLOOKUP($F8,digikey_bom!$D:$D,digikey_bom!$A:$A)</f>
        <v>GRM2195C1H103GA01D</v>
      </c>
      <c r="V8" s="5" t="b">
        <f t="shared" si="1"/>
        <v>1</v>
      </c>
      <c r="W8" s="12" t="str">
        <f>_xlfn.XLOOKUP($F8,digikey_bom!$D:$D,digikey_bom!$M:$M)</f>
        <v>CAP CER 10000PF 50V C0G/NP0 0805</v>
      </c>
      <c r="X8" s="5" t="b">
        <f t="shared" si="2"/>
        <v>1</v>
      </c>
    </row>
    <row r="9" spans="1:24">
      <c r="A9" s="2" t="s">
        <v>402</v>
      </c>
      <c r="B9" s="25">
        <v>1</v>
      </c>
      <c r="C9" s="2">
        <v>2.74</v>
      </c>
      <c r="D9" s="2" t="s">
        <v>403</v>
      </c>
      <c r="E9" s="2" t="s">
        <v>404</v>
      </c>
      <c r="F9" s="25" t="s">
        <v>405</v>
      </c>
      <c r="G9" s="2" t="s">
        <v>406</v>
      </c>
      <c r="H9" s="2" t="s">
        <v>407</v>
      </c>
      <c r="I9" s="23" t="s">
        <v>408</v>
      </c>
      <c r="J9" s="2" t="s">
        <v>409</v>
      </c>
      <c r="K9" s="2"/>
      <c r="L9" s="2" t="s">
        <v>266</v>
      </c>
      <c r="M9" s="2" t="s">
        <v>267</v>
      </c>
      <c r="N9" s="2" t="s">
        <v>268</v>
      </c>
      <c r="O9" s="2" t="s">
        <v>269</v>
      </c>
      <c r="P9" s="2" t="s">
        <v>257</v>
      </c>
      <c r="Q9" s="2" t="s">
        <v>51</v>
      </c>
      <c r="S9" s="12">
        <f>_xlfn.XLOOKUP(F9,digikey_bom!$D:$D,digikey_bom!$H:$H)</f>
        <v>1</v>
      </c>
      <c r="T9" s="5">
        <f t="shared" si="0"/>
        <v>0</v>
      </c>
      <c r="U9" s="12" t="str">
        <f>_xlfn.XLOOKUP($F9,digikey_bom!$D:$D,digikey_bom!$A:$A)</f>
        <v>RK73H2BTTD2R74F</v>
      </c>
      <c r="V9" s="5" t="b">
        <f t="shared" si="1"/>
        <v>1</v>
      </c>
      <c r="W9" s="12" t="str">
        <f>_xlfn.XLOOKUP($F9,digikey_bom!$D:$D,digikey_bom!$M:$M)</f>
        <v>RES 2.74 OHM 1% 1/4W 1206</v>
      </c>
      <c r="X9" s="5" t="b">
        <f t="shared" si="2"/>
        <v>0</v>
      </c>
    </row>
    <row r="10" spans="1:24">
      <c r="A10" s="2" t="s">
        <v>391</v>
      </c>
      <c r="B10" s="25">
        <v>5</v>
      </c>
      <c r="C10" s="2" t="s">
        <v>392</v>
      </c>
      <c r="D10" s="2" t="s">
        <v>320</v>
      </c>
      <c r="E10" s="2" t="s">
        <v>393</v>
      </c>
      <c r="F10" s="25" t="s">
        <v>394</v>
      </c>
      <c r="G10" s="2" t="s">
        <v>395</v>
      </c>
      <c r="H10" s="2" t="s">
        <v>396</v>
      </c>
      <c r="I10" s="23" t="s">
        <v>397</v>
      </c>
      <c r="J10" s="2" t="s">
        <v>344</v>
      </c>
      <c r="K10" s="18">
        <v>1E-3</v>
      </c>
      <c r="L10" s="2"/>
      <c r="M10" s="2"/>
      <c r="N10" s="2"/>
      <c r="O10" s="2"/>
      <c r="P10" s="2"/>
      <c r="Q10" s="2"/>
      <c r="S10" s="12">
        <f>_xlfn.XLOOKUP(F10,digikey_bom!$D:$D,digikey_bom!$H:$H)</f>
        <v>5</v>
      </c>
      <c r="T10" s="5">
        <f t="shared" si="0"/>
        <v>0</v>
      </c>
      <c r="U10" s="12" t="str">
        <f>_xlfn.XLOOKUP($F10,digikey_bom!$D:$D,digikey_bom!$A:$A)</f>
        <v>ERA-6AEB202V</v>
      </c>
      <c r="V10" s="5" t="b">
        <f t="shared" si="1"/>
        <v>1</v>
      </c>
      <c r="W10" s="12" t="str">
        <f>_xlfn.XLOOKUP($F10,digikey_bom!$D:$D,digikey_bom!$M:$M)</f>
        <v>RES 2K OHM 0.1% 1/8W 0805</v>
      </c>
      <c r="X10" s="5" t="b">
        <f t="shared" si="2"/>
        <v>1</v>
      </c>
    </row>
    <row r="11" spans="1:24">
      <c r="A11" s="2" t="s">
        <v>270</v>
      </c>
      <c r="B11" s="25">
        <v>1</v>
      </c>
      <c r="C11" s="2" t="s">
        <v>271</v>
      </c>
      <c r="D11" s="2" t="s">
        <v>272</v>
      </c>
      <c r="E11" s="2" t="s">
        <v>273</v>
      </c>
      <c r="F11" s="25" t="s">
        <v>274</v>
      </c>
      <c r="G11" s="2" t="s">
        <v>275</v>
      </c>
      <c r="H11" s="2" t="s">
        <v>276</v>
      </c>
      <c r="I11" s="23" t="s">
        <v>277</v>
      </c>
      <c r="J11" s="2" t="s">
        <v>278</v>
      </c>
      <c r="K11" s="2"/>
      <c r="L11" s="2"/>
      <c r="M11" s="2"/>
      <c r="N11" s="2"/>
      <c r="O11" s="2"/>
      <c r="P11" s="2"/>
      <c r="Q11" s="2"/>
      <c r="S11" s="12">
        <f>_xlfn.XLOOKUP(F11,digikey_bom!$D:$D,digikey_bom!$H:$H)</f>
        <v>1</v>
      </c>
      <c r="T11" s="5">
        <f t="shared" si="0"/>
        <v>0</v>
      </c>
      <c r="U11" s="12" t="str">
        <f>_xlfn.XLOOKUP($F11,digikey_bom!$D:$D,digikey_bom!$A:$A)</f>
        <v>RJHSE5387</v>
      </c>
      <c r="V11" s="5" t="b">
        <f t="shared" si="1"/>
        <v>1</v>
      </c>
      <c r="W11" s="12" t="str">
        <f>_xlfn.XLOOKUP($F11,digikey_bom!$D:$D,digikey_bom!$M:$M)</f>
        <v>CONN MOD JACK 8P8C R/A SHIELDED</v>
      </c>
      <c r="X11" s="5" t="b">
        <f t="shared" si="2"/>
        <v>1</v>
      </c>
    </row>
    <row r="12" spans="1:24">
      <c r="A12" s="2" t="s">
        <v>214</v>
      </c>
      <c r="B12" s="25">
        <v>18</v>
      </c>
      <c r="C12" s="2" t="s">
        <v>215</v>
      </c>
      <c r="D12" s="2" t="s">
        <v>216</v>
      </c>
      <c r="E12" s="2" t="s">
        <v>217</v>
      </c>
      <c r="F12" s="25" t="s">
        <v>218</v>
      </c>
      <c r="G12" s="2" t="s">
        <v>219</v>
      </c>
      <c r="H12" s="2" t="s">
        <v>22</v>
      </c>
      <c r="I12" s="23" t="s">
        <v>23</v>
      </c>
      <c r="J12" s="2" t="s">
        <v>88</v>
      </c>
      <c r="K12" s="2"/>
      <c r="L12" s="2"/>
      <c r="M12" s="2"/>
      <c r="N12" s="2"/>
      <c r="O12" s="2"/>
      <c r="P12" s="2"/>
      <c r="Q12" s="2"/>
      <c r="S12" s="12">
        <f>_xlfn.XLOOKUP(F12,digikey_bom!$D:$D,digikey_bom!$H:$H)</f>
        <v>18</v>
      </c>
      <c r="T12" s="5">
        <f t="shared" si="0"/>
        <v>0</v>
      </c>
      <c r="U12" s="12" t="str">
        <f>_xlfn.XLOOKUP($F12,digikey_bom!$D:$D,digikey_bom!$A:$A)</f>
        <v>APXG160ARA331MHA0G</v>
      </c>
      <c r="V12" s="5" t="b">
        <f t="shared" si="1"/>
        <v>0</v>
      </c>
      <c r="W12" s="12" t="str">
        <f>_xlfn.XLOOKUP($F12,digikey_bom!$D:$D,digikey_bom!$M:$M)</f>
        <v>CAP ALUM POLY 330UF 20% 16V SMD</v>
      </c>
      <c r="X12" s="5" t="b">
        <f t="shared" si="2"/>
        <v>0</v>
      </c>
    </row>
    <row r="13" spans="1:24">
      <c r="A13" s="2" t="s">
        <v>189</v>
      </c>
      <c r="B13" s="25">
        <v>17</v>
      </c>
      <c r="C13" s="2" t="s">
        <v>190</v>
      </c>
      <c r="D13" s="2" t="s">
        <v>162</v>
      </c>
      <c r="E13" s="2" t="s">
        <v>142</v>
      </c>
      <c r="F13" s="25" t="s">
        <v>191</v>
      </c>
      <c r="G13" s="2" t="s">
        <v>86</v>
      </c>
      <c r="H13" s="2" t="s">
        <v>85</v>
      </c>
      <c r="I13" s="23" t="s">
        <v>83</v>
      </c>
      <c r="J13" s="2" t="s">
        <v>84</v>
      </c>
      <c r="K13" s="2"/>
      <c r="L13" s="2"/>
      <c r="M13" s="2"/>
      <c r="N13" s="2"/>
      <c r="O13" s="2"/>
      <c r="P13" s="2"/>
      <c r="Q13" s="2"/>
      <c r="S13" s="12">
        <f>_xlfn.XLOOKUP(F13,digikey_bom!$D:$D,digikey_bom!$H:$H)</f>
        <v>17</v>
      </c>
      <c r="T13" s="5">
        <f t="shared" si="0"/>
        <v>0</v>
      </c>
      <c r="U13" s="12" t="str">
        <f>_xlfn.XLOOKUP($F13,digikey_bom!$D:$D,digikey_bom!$A:$A)</f>
        <v>CC0603KRX7R8BB104</v>
      </c>
      <c r="V13" s="5" t="b">
        <f t="shared" si="1"/>
        <v>1</v>
      </c>
      <c r="W13" s="12" t="str">
        <f>_xlfn.XLOOKUP($F13,digikey_bom!$D:$D,digikey_bom!$M:$M)</f>
        <v>CAP CER 0.1UF 25V X7R 0603</v>
      </c>
      <c r="X13" s="5" t="b">
        <f t="shared" si="2"/>
        <v>1</v>
      </c>
    </row>
    <row r="14" spans="1:24">
      <c r="A14" s="2" t="s">
        <v>512</v>
      </c>
      <c r="B14" s="25">
        <v>2</v>
      </c>
      <c r="C14" s="2" t="s">
        <v>513</v>
      </c>
      <c r="D14" s="2" t="s">
        <v>472</v>
      </c>
      <c r="E14" s="2" t="s">
        <v>514</v>
      </c>
      <c r="F14" s="25" t="s">
        <v>515</v>
      </c>
      <c r="G14" s="2" t="s">
        <v>516</v>
      </c>
      <c r="H14" s="2" t="s">
        <v>517</v>
      </c>
      <c r="I14" s="23" t="s">
        <v>518</v>
      </c>
      <c r="J14" s="2" t="s">
        <v>65</v>
      </c>
      <c r="K14" s="2"/>
      <c r="L14" s="2"/>
      <c r="M14" s="2"/>
      <c r="N14" s="2"/>
      <c r="O14" s="2"/>
      <c r="P14" s="2"/>
      <c r="Q14" s="2"/>
      <c r="S14" s="12">
        <f>_xlfn.XLOOKUP(F14,digikey_bom!$D:$D,digikey_bom!$H:$H)</f>
        <v>2</v>
      </c>
      <c r="T14" s="5">
        <f t="shared" si="0"/>
        <v>0</v>
      </c>
      <c r="U14" s="12" t="str">
        <f>_xlfn.XLOOKUP($F14,digikey_bom!$D:$D,digikey_bom!$A:$A)</f>
        <v>OPA830ID</v>
      </c>
      <c r="V14" s="5" t="b">
        <f t="shared" si="1"/>
        <v>1</v>
      </c>
      <c r="W14" s="12" t="str">
        <f>_xlfn.XLOOKUP($F14,digikey_bom!$D:$D,digikey_bom!$M:$M)</f>
        <v>IC OPAMP VFB 1 CIRCUIT 8SOIC</v>
      </c>
      <c r="X14" s="5" t="b">
        <f t="shared" si="2"/>
        <v>1</v>
      </c>
    </row>
    <row r="15" spans="1:24">
      <c r="A15" s="2" t="s">
        <v>239</v>
      </c>
      <c r="B15" s="25">
        <v>2</v>
      </c>
      <c r="C15" s="2" t="s">
        <v>240</v>
      </c>
      <c r="D15" s="2" t="s">
        <v>241</v>
      </c>
      <c r="E15" s="2" t="s">
        <v>242</v>
      </c>
      <c r="F15" s="25" t="s">
        <v>243</v>
      </c>
      <c r="G15" s="2" t="s">
        <v>244</v>
      </c>
      <c r="H15" s="2" t="s">
        <v>245</v>
      </c>
      <c r="I15" s="23" t="s">
        <v>246</v>
      </c>
      <c r="J15" s="2" t="s">
        <v>247</v>
      </c>
      <c r="K15" s="2"/>
      <c r="L15" s="2"/>
      <c r="M15" s="2"/>
      <c r="N15" s="2"/>
      <c r="O15" s="2"/>
      <c r="P15" s="2"/>
      <c r="Q15" s="2"/>
      <c r="S15" s="12">
        <f>_xlfn.XLOOKUP(F15,digikey_bom!$D:$D,digikey_bom!$H:$H)</f>
        <v>2</v>
      </c>
      <c r="T15" s="5">
        <f t="shared" si="0"/>
        <v>0</v>
      </c>
      <c r="U15" s="12" t="str">
        <f>_xlfn.XLOOKUP($F15,digikey_bom!$D:$D,digikey_bom!$A:$A)</f>
        <v>MF-NSMF050-2</v>
      </c>
      <c r="V15" s="5" t="b">
        <f t="shared" si="1"/>
        <v>0</v>
      </c>
      <c r="W15" s="12" t="str">
        <f>_xlfn.XLOOKUP($F15,digikey_bom!$D:$D,digikey_bom!$M:$M)</f>
        <v>PTC RESET FUSE 13.2V 500MA 1206</v>
      </c>
      <c r="X15" s="5" t="b">
        <f t="shared" si="2"/>
        <v>0</v>
      </c>
    </row>
    <row r="16" spans="1:24">
      <c r="A16" s="2" t="s">
        <v>312</v>
      </c>
      <c r="B16" s="25">
        <v>1</v>
      </c>
      <c r="C16" s="2" t="s">
        <v>313</v>
      </c>
      <c r="D16" s="2" t="s">
        <v>307</v>
      </c>
      <c r="E16" s="2" t="s">
        <v>314</v>
      </c>
      <c r="F16" s="25" t="s">
        <v>315</v>
      </c>
      <c r="G16" s="2" t="s">
        <v>316</v>
      </c>
      <c r="H16" s="2" t="s">
        <v>317</v>
      </c>
      <c r="I16" s="23" t="s">
        <v>313</v>
      </c>
      <c r="J16" s="2" t="s">
        <v>318</v>
      </c>
      <c r="K16" s="2"/>
      <c r="L16" s="2"/>
      <c r="M16" s="2"/>
      <c r="N16" s="2"/>
      <c r="O16" s="2"/>
      <c r="P16" s="2"/>
      <c r="Q16" s="2"/>
      <c r="S16" s="12">
        <f>_xlfn.XLOOKUP(F16,digikey_bom!$D:$D,digikey_bom!$H:$H)</f>
        <v>1</v>
      </c>
      <c r="T16" s="5">
        <f t="shared" si="0"/>
        <v>0</v>
      </c>
      <c r="U16" s="12" t="str">
        <f>_xlfn.XLOOKUP($F16,digikey_bom!$D:$D,digikey_bom!$A:$A)</f>
        <v>2STD1665T4</v>
      </c>
      <c r="V16" s="5" t="b">
        <f t="shared" si="1"/>
        <v>1</v>
      </c>
      <c r="W16" s="12" t="str">
        <f>_xlfn.XLOOKUP($F16,digikey_bom!$D:$D,digikey_bom!$M:$M)</f>
        <v>TRANS NPN 65V 6A DPAK</v>
      </c>
      <c r="X16" s="5" t="b">
        <f t="shared" si="2"/>
        <v>1</v>
      </c>
    </row>
    <row r="17" spans="1:24">
      <c r="A17" s="2" t="s">
        <v>305</v>
      </c>
      <c r="B17" s="25">
        <v>2</v>
      </c>
      <c r="C17" s="2" t="s">
        <v>306</v>
      </c>
      <c r="D17" s="2" t="s">
        <v>307</v>
      </c>
      <c r="E17" s="2" t="s">
        <v>308</v>
      </c>
      <c r="F17" s="25" t="s">
        <v>309</v>
      </c>
      <c r="G17" s="2" t="s">
        <v>310</v>
      </c>
      <c r="H17" s="2" t="s">
        <v>311</v>
      </c>
      <c r="I17" s="23" t="s">
        <v>306</v>
      </c>
      <c r="J17" s="2" t="s">
        <v>102</v>
      </c>
      <c r="K17" s="2"/>
      <c r="L17" s="2"/>
      <c r="M17" s="2"/>
      <c r="N17" s="2"/>
      <c r="O17" s="2"/>
      <c r="P17" s="2"/>
      <c r="Q17" s="2"/>
      <c r="S17" s="12">
        <f>_xlfn.XLOOKUP(F17,digikey_bom!$D:$D,digikey_bom!$H:$H)</f>
        <v>2</v>
      </c>
      <c r="T17" s="5">
        <f t="shared" si="0"/>
        <v>0</v>
      </c>
      <c r="U17" s="12" t="str">
        <f>_xlfn.XLOOKUP($F17,digikey_bom!$D:$D,digikey_bom!$A:$A)</f>
        <v>NSS1C300ET4G</v>
      </c>
      <c r="V17" s="5" t="b">
        <f t="shared" si="1"/>
        <v>1</v>
      </c>
      <c r="W17" s="12" t="str">
        <f>_xlfn.XLOOKUP($F17,digikey_bom!$D:$D,digikey_bom!$M:$M)</f>
        <v>TRANS PNP 100V 3A 3DPAK</v>
      </c>
      <c r="X17" s="5" t="b">
        <f t="shared" si="2"/>
        <v>1</v>
      </c>
    </row>
    <row r="18" spans="1:24">
      <c r="A18" s="2" t="s">
        <v>248</v>
      </c>
      <c r="B18" s="25">
        <v>9</v>
      </c>
      <c r="C18" s="2" t="s">
        <v>249</v>
      </c>
      <c r="D18" s="2" t="s">
        <v>250</v>
      </c>
      <c r="E18" s="2" t="s">
        <v>251</v>
      </c>
      <c r="F18" s="25" t="s">
        <v>252</v>
      </c>
      <c r="G18" s="2" t="s">
        <v>253</v>
      </c>
      <c r="H18" s="2" t="s">
        <v>254</v>
      </c>
      <c r="I18" s="23" t="s">
        <v>255</v>
      </c>
      <c r="J18" s="2" t="s">
        <v>256</v>
      </c>
      <c r="K18" s="2"/>
      <c r="L18" s="2"/>
      <c r="M18" s="2"/>
      <c r="N18" s="2"/>
      <c r="O18" s="2"/>
      <c r="P18" s="2"/>
      <c r="Q18" s="2"/>
      <c r="S18" s="12">
        <f>_xlfn.XLOOKUP(F18,digikey_bom!$D:$D,digikey_bom!$H:$H)</f>
        <v>9</v>
      </c>
      <c r="T18" s="5">
        <f t="shared" si="0"/>
        <v>0</v>
      </c>
      <c r="U18" s="12" t="str">
        <f>_xlfn.XLOOKUP($F18,digikey_bom!$D:$D,digikey_bom!$A:$A)</f>
        <v>FBMJ2125HM210NT</v>
      </c>
      <c r="V18" s="5" t="b">
        <f t="shared" si="1"/>
        <v>1</v>
      </c>
      <c r="W18" s="12" t="str">
        <f>_xlfn.XLOOKUP($F18,digikey_bom!$D:$D,digikey_bom!$M:$M)</f>
        <v>FERRITE BEAD 21 OHM 0805 1LN</v>
      </c>
      <c r="X18" s="5" t="b">
        <f t="shared" si="2"/>
        <v>0</v>
      </c>
    </row>
    <row r="19" spans="1:24">
      <c r="A19" s="2" t="s">
        <v>524</v>
      </c>
      <c r="B19" s="25">
        <v>2</v>
      </c>
      <c r="C19" s="2" t="s">
        <v>525</v>
      </c>
      <c r="D19" s="2" t="s">
        <v>526</v>
      </c>
      <c r="E19" s="2" t="s">
        <v>527</v>
      </c>
      <c r="F19" s="25" t="s">
        <v>528</v>
      </c>
      <c r="G19" s="2" t="s">
        <v>529</v>
      </c>
      <c r="H19" s="2" t="s">
        <v>530</v>
      </c>
      <c r="I19" s="23" t="s">
        <v>525</v>
      </c>
      <c r="J19" s="2" t="s">
        <v>102</v>
      </c>
      <c r="K19" s="2"/>
      <c r="L19" s="2"/>
      <c r="M19" s="2"/>
      <c r="N19" s="2"/>
      <c r="O19" s="2"/>
      <c r="P19" s="2"/>
      <c r="Q19" s="2"/>
      <c r="S19" s="12">
        <f>_xlfn.XLOOKUP(F19,digikey_bom!$D:$D,digikey_bom!$H:$H)</f>
        <v>2</v>
      </c>
      <c r="T19" s="5">
        <f t="shared" si="0"/>
        <v>0</v>
      </c>
      <c r="U19" s="12" t="str">
        <f>_xlfn.XLOOKUP($F19,digikey_bom!$D:$D,digikey_bom!$A:$A)</f>
        <v>NCP1117STAT3G</v>
      </c>
      <c r="V19" s="5" t="b">
        <f t="shared" si="1"/>
        <v>1</v>
      </c>
      <c r="W19" s="12" t="str">
        <f>_xlfn.XLOOKUP($F19,digikey_bom!$D:$D,digikey_bom!$M:$M)</f>
        <v>IC REG LINEAR POS ADJ 1A SOT223</v>
      </c>
      <c r="X19" s="5" t="b">
        <f t="shared" si="2"/>
        <v>1</v>
      </c>
    </row>
    <row r="20" spans="1:24">
      <c r="A20" s="2" t="s">
        <v>202</v>
      </c>
      <c r="B20" s="25">
        <v>52</v>
      </c>
      <c r="C20" s="2" t="s">
        <v>203</v>
      </c>
      <c r="D20" s="2" t="s">
        <v>141</v>
      </c>
      <c r="E20" s="2" t="s">
        <v>204</v>
      </c>
      <c r="F20" s="25" t="s">
        <v>205</v>
      </c>
      <c r="G20" s="2" t="s">
        <v>206</v>
      </c>
      <c r="H20" s="2" t="s">
        <v>207</v>
      </c>
      <c r="I20" s="23" t="s">
        <v>208</v>
      </c>
      <c r="J20" s="2" t="s">
        <v>77</v>
      </c>
      <c r="K20" s="2"/>
      <c r="L20" s="2"/>
      <c r="M20" s="2"/>
      <c r="N20" s="2"/>
      <c r="O20" s="2"/>
      <c r="P20" s="2"/>
      <c r="Q20" s="2"/>
      <c r="S20" s="12">
        <f>_xlfn.XLOOKUP(F20,digikey_bom!$D:$D,digikey_bom!$H:$H)</f>
        <v>52</v>
      </c>
      <c r="T20" s="5">
        <f t="shared" si="0"/>
        <v>0</v>
      </c>
      <c r="U20" s="12" t="str">
        <f>_xlfn.XLOOKUP($F20,digikey_bom!$D:$D,digikey_bom!$A:$A)</f>
        <v>CL21B105KOFNNNG</v>
      </c>
      <c r="V20" s="5" t="b">
        <f t="shared" si="1"/>
        <v>1</v>
      </c>
      <c r="W20" s="12" t="str">
        <f>_xlfn.XLOOKUP($F20,digikey_bom!$D:$D,digikey_bom!$M:$M)</f>
        <v>CAP CER 1UF 16V X7R 0805</v>
      </c>
      <c r="X20" s="5" t="b">
        <f t="shared" si="2"/>
        <v>0</v>
      </c>
    </row>
    <row r="21" spans="1:24">
      <c r="A21" s="2" t="s">
        <v>152</v>
      </c>
      <c r="B21" s="25">
        <v>3</v>
      </c>
      <c r="C21" s="2" t="s">
        <v>153</v>
      </c>
      <c r="D21" s="2" t="s">
        <v>154</v>
      </c>
      <c r="E21" s="2" t="s">
        <v>155</v>
      </c>
      <c r="F21" s="25" t="s">
        <v>156</v>
      </c>
      <c r="G21" s="2" t="s">
        <v>157</v>
      </c>
      <c r="H21" s="2" t="s">
        <v>158</v>
      </c>
      <c r="I21" s="23" t="s">
        <v>159</v>
      </c>
      <c r="J21" s="2" t="s">
        <v>67</v>
      </c>
      <c r="K21" s="2"/>
      <c r="L21" s="2"/>
      <c r="M21" s="2"/>
      <c r="N21" s="2"/>
      <c r="O21" s="2"/>
      <c r="P21" s="2"/>
      <c r="Q21" s="2"/>
      <c r="S21" s="12">
        <f>_xlfn.XLOOKUP(F21,digikey_bom!$D:$D,digikey_bom!$H:$H)</f>
        <v>3</v>
      </c>
      <c r="T21" s="5">
        <f t="shared" si="0"/>
        <v>0</v>
      </c>
      <c r="U21" s="12" t="str">
        <f>_xlfn.XLOOKUP($F21,digikey_bom!$D:$D,digikey_bom!$A:$A)</f>
        <v>C1210C476M9RACTU</v>
      </c>
      <c r="V21" s="5" t="b">
        <f t="shared" si="1"/>
        <v>1</v>
      </c>
      <c r="W21" s="12" t="str">
        <f>_xlfn.XLOOKUP($F21,digikey_bom!$D:$D,digikey_bom!$M:$M)</f>
        <v>CAP CER 47UF 6.3V X7R 1210</v>
      </c>
      <c r="X21" s="5" t="b">
        <f t="shared" si="2"/>
        <v>1</v>
      </c>
    </row>
    <row r="22" spans="1:24">
      <c r="A22" s="2" t="s">
        <v>198</v>
      </c>
      <c r="B22" s="25">
        <v>8</v>
      </c>
      <c r="C22" s="2" t="s">
        <v>199</v>
      </c>
      <c r="D22" s="2" t="s">
        <v>162</v>
      </c>
      <c r="E22" s="2" t="s">
        <v>200</v>
      </c>
      <c r="F22" s="25" t="s">
        <v>201</v>
      </c>
      <c r="G22" s="2" t="s">
        <v>21</v>
      </c>
      <c r="H22" s="2" t="s">
        <v>19</v>
      </c>
      <c r="I22" s="23" t="s">
        <v>20</v>
      </c>
      <c r="J22" s="2" t="s">
        <v>87</v>
      </c>
      <c r="K22" s="2"/>
      <c r="L22" s="2"/>
      <c r="M22" s="2"/>
      <c r="N22" s="2"/>
      <c r="O22" s="2"/>
      <c r="P22" s="2"/>
      <c r="Q22" s="2"/>
      <c r="S22" s="12">
        <f>_xlfn.XLOOKUP(F22,digikey_bom!$D:$D,digikey_bom!$H:$H)</f>
        <v>8</v>
      </c>
      <c r="T22" s="5">
        <f t="shared" si="0"/>
        <v>0</v>
      </c>
      <c r="U22" s="12" t="str">
        <f>_xlfn.XLOOKUP($F22,digikey_bom!$D:$D,digikey_bom!$A:$A)</f>
        <v>06036D106MAT2A</v>
      </c>
      <c r="V22" s="5" t="b">
        <f t="shared" si="1"/>
        <v>1</v>
      </c>
      <c r="W22" s="12" t="str">
        <f>_xlfn.XLOOKUP($F22,digikey_bom!$D:$D,digikey_bom!$M:$M)</f>
        <v>CAP CER 10UF 6.3V X5R 0603</v>
      </c>
      <c r="X22" s="5" t="b">
        <f t="shared" si="2"/>
        <v>1</v>
      </c>
    </row>
    <row r="23" spans="1:24">
      <c r="A23" s="2" t="s">
        <v>479</v>
      </c>
      <c r="B23" s="25">
        <v>3</v>
      </c>
      <c r="C23" s="2" t="s">
        <v>480</v>
      </c>
      <c r="D23" s="2" t="s">
        <v>481</v>
      </c>
      <c r="E23" s="2"/>
      <c r="F23" s="25" t="s">
        <v>482</v>
      </c>
      <c r="G23" s="2" t="s">
        <v>483</v>
      </c>
      <c r="H23" s="2" t="s">
        <v>484</v>
      </c>
      <c r="I23" s="23" t="s">
        <v>485</v>
      </c>
      <c r="J23" s="2" t="s">
        <v>486</v>
      </c>
      <c r="K23" s="2"/>
      <c r="L23" s="2"/>
      <c r="M23" s="2"/>
      <c r="N23" s="2"/>
      <c r="O23" s="2"/>
      <c r="P23" s="2"/>
      <c r="Q23" s="2"/>
      <c r="S23" s="12">
        <f>_xlfn.XLOOKUP(F23,digikey_bom!$D:$D,digikey_bom!$H:$H)</f>
        <v>3</v>
      </c>
      <c r="T23" s="5">
        <f t="shared" si="0"/>
        <v>0</v>
      </c>
      <c r="U23" s="12" t="str">
        <f>_xlfn.XLOOKUP($F23,digikey_bom!$D:$D,digikey_bom!$A:$A)</f>
        <v>LTC2512CDKD-24#PBF</v>
      </c>
      <c r="V23" s="5" t="b">
        <f t="shared" si="1"/>
        <v>1</v>
      </c>
      <c r="W23" s="12" t="str">
        <f>_xlfn.XLOOKUP($F23,digikey_bom!$D:$D,digikey_bom!$M:$M)</f>
        <v>IC ADC 24BIT SAR 24DFN</v>
      </c>
      <c r="X23" s="5" t="b">
        <f t="shared" si="2"/>
        <v>1</v>
      </c>
    </row>
    <row r="24" spans="1:24">
      <c r="A24" s="2" t="s">
        <v>325</v>
      </c>
      <c r="B24" s="25">
        <v>10</v>
      </c>
      <c r="C24" s="2">
        <v>499</v>
      </c>
      <c r="D24" s="2" t="s">
        <v>326</v>
      </c>
      <c r="E24" s="2" t="s">
        <v>327</v>
      </c>
      <c r="F24" s="25" t="s">
        <v>328</v>
      </c>
      <c r="G24" s="2" t="s">
        <v>329</v>
      </c>
      <c r="H24" s="2" t="s">
        <v>330</v>
      </c>
      <c r="I24" s="23" t="s">
        <v>331</v>
      </c>
      <c r="J24" s="2" t="s">
        <v>332</v>
      </c>
      <c r="K24" s="18">
        <v>1E-3</v>
      </c>
      <c r="L24" s="2"/>
      <c r="M24" s="2"/>
      <c r="N24" s="2"/>
      <c r="O24" s="2"/>
      <c r="P24" s="2"/>
      <c r="Q24" s="2"/>
      <c r="S24" s="12">
        <f>_xlfn.XLOOKUP(F24,digikey_bom!$D:$D,digikey_bom!$H:$H)</f>
        <v>10</v>
      </c>
      <c r="T24" s="5">
        <f t="shared" si="0"/>
        <v>0</v>
      </c>
      <c r="U24" s="12" t="str">
        <f>_xlfn.XLOOKUP($F24,digikey_bom!$D:$D,digikey_bom!$A:$A)</f>
        <v>8-2176091-9</v>
      </c>
      <c r="V24" s="5" t="b">
        <f t="shared" si="1"/>
        <v>1</v>
      </c>
      <c r="W24" s="12" t="str">
        <f>_xlfn.XLOOKUP($F24,digikey_bom!$D:$D,digikey_bom!$M:$M)</f>
        <v>RES SMD 499 OHM 0.1% 1/4W 0805</v>
      </c>
      <c r="X24" s="5" t="b">
        <f t="shared" si="2"/>
        <v>1</v>
      </c>
    </row>
    <row r="25" spans="1:24">
      <c r="A25" s="2" t="s">
        <v>531</v>
      </c>
      <c r="B25" s="25">
        <v>1</v>
      </c>
      <c r="C25" s="2" t="s">
        <v>532</v>
      </c>
      <c r="D25" s="2" t="s">
        <v>533</v>
      </c>
      <c r="E25" s="2" t="s">
        <v>534</v>
      </c>
      <c r="F25" s="25" t="s">
        <v>535</v>
      </c>
      <c r="G25" s="2" t="s">
        <v>536</v>
      </c>
      <c r="H25" s="2" t="s">
        <v>537</v>
      </c>
      <c r="I25" s="23" t="s">
        <v>538</v>
      </c>
      <c r="J25" s="2" t="s">
        <v>65</v>
      </c>
      <c r="K25" s="2"/>
      <c r="L25" s="2"/>
      <c r="M25" s="2"/>
      <c r="N25" s="2"/>
      <c r="O25" s="2"/>
      <c r="P25" s="2"/>
      <c r="Q25" s="2"/>
      <c r="S25" s="12">
        <f>_xlfn.XLOOKUP(F25,digikey_bom!$D:$D,digikey_bom!$H:$H)</f>
        <v>1</v>
      </c>
      <c r="T25" s="5">
        <f t="shared" si="0"/>
        <v>0</v>
      </c>
      <c r="U25" s="12" t="str">
        <f>_xlfn.XLOOKUP($F25,digikey_bom!$D:$D,digikey_bom!$A:$A)</f>
        <v>OPA1679IDR</v>
      </c>
      <c r="V25" s="5" t="b">
        <f t="shared" si="1"/>
        <v>1</v>
      </c>
      <c r="W25" s="12" t="str">
        <f>_xlfn.XLOOKUP($F25,digikey_bom!$D:$D,digikey_bom!$M:$M)</f>
        <v>IC AUDIO 4 CIRCUIT 14SOIC</v>
      </c>
      <c r="X25" s="5" t="b">
        <f t="shared" si="2"/>
        <v>1</v>
      </c>
    </row>
    <row r="26" spans="1:24">
      <c r="A26" s="2" t="s">
        <v>279</v>
      </c>
      <c r="B26" s="25">
        <v>3</v>
      </c>
      <c r="C26" s="2" t="s">
        <v>280</v>
      </c>
      <c r="D26" s="2" t="s">
        <v>281</v>
      </c>
      <c r="E26" s="2" t="s">
        <v>142</v>
      </c>
      <c r="F26" s="25" t="s">
        <v>282</v>
      </c>
      <c r="G26" s="2" t="s">
        <v>283</v>
      </c>
      <c r="H26" s="2" t="s">
        <v>284</v>
      </c>
      <c r="I26" s="23" t="s">
        <v>285</v>
      </c>
      <c r="J26" s="2" t="s">
        <v>286</v>
      </c>
      <c r="K26" s="2"/>
      <c r="L26" s="2"/>
      <c r="M26" s="2"/>
      <c r="N26" s="2"/>
      <c r="O26" s="2"/>
      <c r="P26" s="2"/>
      <c r="Q26" s="2"/>
      <c r="S26" s="12">
        <f>_xlfn.XLOOKUP(F26,digikey_bom!$D:$D,digikey_bom!$H:$H)</f>
        <v>4</v>
      </c>
      <c r="T26" s="5">
        <f t="shared" si="0"/>
        <v>1</v>
      </c>
      <c r="U26" s="12" t="str">
        <f>_xlfn.XLOOKUP($F26,digikey_bom!$D:$D,digikey_bom!$A:$A)</f>
        <v>NRPN022MAMS-RC</v>
      </c>
      <c r="V26" s="5" t="b">
        <f t="shared" si="1"/>
        <v>1</v>
      </c>
      <c r="W26" s="12" t="str">
        <f>_xlfn.XLOOKUP($F26,digikey_bom!$D:$D,digikey_bom!$M:$M)</f>
        <v>CONN HEADER SMD 4POS 2MM</v>
      </c>
      <c r="X26" s="5" t="b">
        <f t="shared" si="2"/>
        <v>1</v>
      </c>
    </row>
    <row r="27" spans="1:24">
      <c r="A27" s="2" t="s">
        <v>294</v>
      </c>
      <c r="B27" s="25">
        <v>1</v>
      </c>
      <c r="C27" s="2" t="s">
        <v>295</v>
      </c>
      <c r="D27" s="2" t="s">
        <v>281</v>
      </c>
      <c r="E27" s="2" t="s">
        <v>142</v>
      </c>
      <c r="F27" s="25" t="s">
        <v>282</v>
      </c>
      <c r="G27" s="2" t="s">
        <v>283</v>
      </c>
      <c r="H27" s="2" t="s">
        <v>284</v>
      </c>
      <c r="I27" s="23" t="s">
        <v>285</v>
      </c>
      <c r="J27" s="2" t="s">
        <v>286</v>
      </c>
      <c r="K27" s="2"/>
      <c r="L27" s="2"/>
      <c r="M27" s="2"/>
      <c r="N27" s="2"/>
      <c r="O27" s="2"/>
      <c r="P27" s="2"/>
      <c r="Q27" s="2"/>
      <c r="S27" s="12">
        <f>_xlfn.XLOOKUP(F27,digikey_bom!$D:$D,digikey_bom!$H:$H)</f>
        <v>4</v>
      </c>
      <c r="T27" s="5">
        <f t="shared" si="0"/>
        <v>3</v>
      </c>
      <c r="U27" s="12" t="str">
        <f>_xlfn.XLOOKUP($F27,digikey_bom!$D:$D,digikey_bom!$A:$A)</f>
        <v>NRPN022MAMS-RC</v>
      </c>
      <c r="V27" s="5" t="b">
        <f t="shared" si="1"/>
        <v>1</v>
      </c>
      <c r="W27" s="12" t="str">
        <f>_xlfn.XLOOKUP($F27,digikey_bom!$D:$D,digikey_bom!$M:$M)</f>
        <v>CONN HEADER SMD 4POS 2MM</v>
      </c>
      <c r="X27" s="5" t="b">
        <f t="shared" si="2"/>
        <v>1</v>
      </c>
    </row>
    <row r="28" spans="1:24">
      <c r="A28" s="2" t="s">
        <v>444</v>
      </c>
      <c r="B28" s="25">
        <v>2</v>
      </c>
      <c r="C28" s="2" t="s">
        <v>436</v>
      </c>
      <c r="D28" s="2" t="s">
        <v>445</v>
      </c>
      <c r="E28" s="2" t="s">
        <v>142</v>
      </c>
      <c r="F28" s="25" t="s">
        <v>446</v>
      </c>
      <c r="G28" s="2" t="s">
        <v>117</v>
      </c>
      <c r="H28" s="2" t="s">
        <v>116</v>
      </c>
      <c r="I28" s="23" t="s">
        <v>114</v>
      </c>
      <c r="J28" s="2" t="s">
        <v>115</v>
      </c>
      <c r="K28" s="2"/>
      <c r="L28" s="2"/>
      <c r="M28" s="2"/>
      <c r="N28" s="2"/>
      <c r="O28" s="2"/>
      <c r="P28" s="2"/>
      <c r="Q28" s="2"/>
      <c r="S28" s="12">
        <f>_xlfn.XLOOKUP(F28,digikey_bom!$D:$D,digikey_bom!$H:$H)</f>
        <v>2</v>
      </c>
      <c r="T28" s="5">
        <f t="shared" si="0"/>
        <v>0</v>
      </c>
      <c r="U28" s="12" t="str">
        <f>_xlfn.XLOOKUP($F28,digikey_bom!$D:$D,digikey_bom!$A:$A)</f>
        <v>1540-2</v>
      </c>
      <c r="V28" s="5" t="b">
        <f t="shared" si="1"/>
        <v>1</v>
      </c>
      <c r="W28" s="12" t="str">
        <f>_xlfn.XLOOKUP($F28,digikey_bom!$D:$D,digikey_bom!$M:$M)</f>
        <v>TERM TURRET HOLLOW L=6.75MM TIN</v>
      </c>
      <c r="X28" s="5" t="b">
        <f t="shared" si="2"/>
        <v>1</v>
      </c>
    </row>
    <row r="29" spans="1:24">
      <c r="A29" s="2" t="s">
        <v>287</v>
      </c>
      <c r="B29" s="25">
        <v>3</v>
      </c>
      <c r="C29" s="2" t="e">
        <f>+IN</f>
        <v>#NAME?</v>
      </c>
      <c r="D29" s="2" t="s">
        <v>288</v>
      </c>
      <c r="E29" s="2" t="s">
        <v>289</v>
      </c>
      <c r="F29" s="25" t="s">
        <v>290</v>
      </c>
      <c r="G29" s="2" t="s">
        <v>143</v>
      </c>
      <c r="H29" s="2"/>
      <c r="I29" s="23" t="s">
        <v>144</v>
      </c>
      <c r="J29" s="2"/>
      <c r="K29" s="2"/>
      <c r="L29" s="2"/>
      <c r="M29" s="2"/>
      <c r="N29" s="2"/>
      <c r="O29" s="2"/>
      <c r="P29" s="2"/>
      <c r="Q29" s="2"/>
      <c r="S29" s="12">
        <f>_xlfn.XLOOKUP(F29,digikey_bom!$D:$D,digikey_bom!$H:$H)</f>
        <v>2</v>
      </c>
      <c r="T29" s="5">
        <f t="shared" si="0"/>
        <v>-1</v>
      </c>
      <c r="U29" s="12">
        <f>_xlfn.XLOOKUP($F29,digikey_bom!$D:$D,digikey_bom!$A:$A)</f>
        <v>734151471</v>
      </c>
      <c r="V29" s="5" t="b">
        <f t="shared" si="1"/>
        <v>0</v>
      </c>
      <c r="W29" s="12" t="str">
        <f>_xlfn.XLOOKUP($F29,digikey_bom!$D:$D,digikey_bom!$M:$M)</f>
        <v>CONN MMCX JACK STR 50 OHM PCB</v>
      </c>
      <c r="X29" s="5" t="b">
        <f t="shared" si="2"/>
        <v>0</v>
      </c>
    </row>
    <row r="30" spans="1:24">
      <c r="A30" s="2" t="s">
        <v>291</v>
      </c>
      <c r="B30" s="25">
        <v>3</v>
      </c>
      <c r="C30" s="2" t="e">
        <f>-IN</f>
        <v>#NAME?</v>
      </c>
      <c r="D30" s="2" t="s">
        <v>288</v>
      </c>
      <c r="E30" s="2" t="s">
        <v>289</v>
      </c>
      <c r="F30" s="25" t="s">
        <v>290</v>
      </c>
      <c r="G30" s="2" t="s">
        <v>143</v>
      </c>
      <c r="H30" s="2"/>
      <c r="I30" s="23" t="s">
        <v>144</v>
      </c>
      <c r="J30" s="2"/>
      <c r="K30" s="2"/>
      <c r="L30" s="2"/>
      <c r="M30" s="2"/>
      <c r="N30" s="2"/>
      <c r="O30" s="2"/>
      <c r="P30" s="2"/>
      <c r="Q30" s="2"/>
      <c r="S30" s="12">
        <f>_xlfn.XLOOKUP(F30,digikey_bom!$D:$D,digikey_bom!$H:$H)</f>
        <v>2</v>
      </c>
      <c r="T30" s="5">
        <f t="shared" si="0"/>
        <v>-1</v>
      </c>
      <c r="U30" s="12">
        <f>_xlfn.XLOOKUP($F30,digikey_bom!$D:$D,digikey_bom!$A:$A)</f>
        <v>734151471</v>
      </c>
      <c r="V30" s="5" t="b">
        <f t="shared" si="1"/>
        <v>0</v>
      </c>
      <c r="W30" s="12" t="str">
        <f>_xlfn.XLOOKUP($F30,digikey_bom!$D:$D,digikey_bom!$M:$M)</f>
        <v>CONN MMCX JACK STR 50 OHM PCB</v>
      </c>
      <c r="X30" s="5" t="b">
        <f t="shared" si="2"/>
        <v>0</v>
      </c>
    </row>
    <row r="31" spans="1:24">
      <c r="A31" s="2" t="s">
        <v>292</v>
      </c>
      <c r="B31" s="25">
        <v>1</v>
      </c>
      <c r="C31" s="2" t="s">
        <v>293</v>
      </c>
      <c r="D31" s="2" t="s">
        <v>288</v>
      </c>
      <c r="E31" s="2" t="s">
        <v>289</v>
      </c>
      <c r="F31" s="25" t="s">
        <v>290</v>
      </c>
      <c r="G31" s="2" t="s">
        <v>143</v>
      </c>
      <c r="H31" s="2"/>
      <c r="I31" s="23" t="s">
        <v>144</v>
      </c>
      <c r="J31" s="2"/>
      <c r="K31" s="2"/>
      <c r="L31" s="2"/>
      <c r="M31" s="2"/>
      <c r="N31" s="2"/>
      <c r="O31" s="2"/>
      <c r="P31" s="2"/>
      <c r="Q31" s="2"/>
      <c r="S31" s="12">
        <f>_xlfn.XLOOKUP(F31,digikey_bom!$D:$D,digikey_bom!$H:$H)</f>
        <v>2</v>
      </c>
      <c r="T31" s="5">
        <f t="shared" si="0"/>
        <v>1</v>
      </c>
      <c r="U31" s="12">
        <f>_xlfn.XLOOKUP($F31,digikey_bom!$D:$D,digikey_bom!$A:$A)</f>
        <v>734151471</v>
      </c>
      <c r="V31" s="5" t="b">
        <f t="shared" si="1"/>
        <v>0</v>
      </c>
      <c r="W31" s="12" t="str">
        <f>_xlfn.XLOOKUP($F31,digikey_bom!$D:$D,digikey_bom!$M:$M)</f>
        <v>CONN MMCX JACK STR 50 OHM PCB</v>
      </c>
      <c r="X31" s="5" t="b">
        <f t="shared" si="2"/>
        <v>0</v>
      </c>
    </row>
    <row r="32" spans="1:24">
      <c r="A32" s="2" t="s">
        <v>296</v>
      </c>
      <c r="B32" s="25">
        <v>1</v>
      </c>
      <c r="C32" s="2" t="s">
        <v>297</v>
      </c>
      <c r="D32" s="2" t="s">
        <v>288</v>
      </c>
      <c r="E32" s="2" t="s">
        <v>289</v>
      </c>
      <c r="F32" s="25" t="s">
        <v>290</v>
      </c>
      <c r="G32" s="2" t="s">
        <v>143</v>
      </c>
      <c r="H32" s="2"/>
      <c r="I32" s="23" t="s">
        <v>144</v>
      </c>
      <c r="J32" s="2"/>
      <c r="K32" s="2"/>
      <c r="L32" s="2"/>
      <c r="M32" s="2"/>
      <c r="N32" s="2"/>
      <c r="O32" s="2"/>
      <c r="P32" s="2"/>
      <c r="Q32" s="2"/>
      <c r="S32" s="12">
        <f>_xlfn.XLOOKUP(F32,digikey_bom!$D:$D,digikey_bom!$H:$H)</f>
        <v>2</v>
      </c>
      <c r="T32" s="5">
        <f t="shared" si="0"/>
        <v>1</v>
      </c>
      <c r="U32" s="12">
        <f>_xlfn.XLOOKUP($F32,digikey_bom!$D:$D,digikey_bom!$A:$A)</f>
        <v>734151471</v>
      </c>
      <c r="V32" s="5" t="b">
        <f t="shared" si="1"/>
        <v>0</v>
      </c>
      <c r="W32" s="12" t="str">
        <f>_xlfn.XLOOKUP($F32,digikey_bom!$D:$D,digikey_bom!$M:$M)</f>
        <v>CONN MMCX JACK STR 50 OHM PCB</v>
      </c>
      <c r="X32" s="5" t="b">
        <f t="shared" si="2"/>
        <v>0</v>
      </c>
    </row>
    <row r="33" spans="1:24">
      <c r="A33" s="2" t="s">
        <v>298</v>
      </c>
      <c r="B33" s="25">
        <v>1</v>
      </c>
      <c r="C33" s="2" t="s">
        <v>299</v>
      </c>
      <c r="D33" s="2" t="s">
        <v>288</v>
      </c>
      <c r="E33" s="2" t="s">
        <v>289</v>
      </c>
      <c r="F33" s="25" t="s">
        <v>290</v>
      </c>
      <c r="G33" s="2" t="s">
        <v>143</v>
      </c>
      <c r="H33" s="2"/>
      <c r="I33" s="23" t="s">
        <v>144</v>
      </c>
      <c r="J33" s="2"/>
      <c r="K33" s="2"/>
      <c r="L33" s="2"/>
      <c r="M33" s="2"/>
      <c r="N33" s="2"/>
      <c r="O33" s="2"/>
      <c r="P33" s="2"/>
      <c r="Q33" s="2"/>
      <c r="S33" s="12">
        <f>_xlfn.XLOOKUP(F33,digikey_bom!$D:$D,digikey_bom!$H:$H)</f>
        <v>2</v>
      </c>
      <c r="T33" s="5">
        <f t="shared" si="0"/>
        <v>1</v>
      </c>
      <c r="U33" s="12">
        <f>_xlfn.XLOOKUP($F33,digikey_bom!$D:$D,digikey_bom!$A:$A)</f>
        <v>734151471</v>
      </c>
      <c r="V33" s="5" t="b">
        <f t="shared" si="1"/>
        <v>0</v>
      </c>
      <c r="W33" s="12" t="str">
        <f>_xlfn.XLOOKUP($F33,digikey_bom!$D:$D,digikey_bom!$M:$M)</f>
        <v>CONN MMCX JACK STR 50 OHM PCB</v>
      </c>
      <c r="X33" s="5" t="b">
        <f t="shared" si="2"/>
        <v>0</v>
      </c>
    </row>
    <row r="34" spans="1:24">
      <c r="A34" s="2" t="s">
        <v>300</v>
      </c>
      <c r="B34" s="25">
        <v>1</v>
      </c>
      <c r="C34" s="2" t="s">
        <v>301</v>
      </c>
      <c r="D34" s="2" t="s">
        <v>288</v>
      </c>
      <c r="E34" s="2" t="s">
        <v>289</v>
      </c>
      <c r="F34" s="25" t="s">
        <v>290</v>
      </c>
      <c r="G34" s="2" t="s">
        <v>143</v>
      </c>
      <c r="H34" s="2"/>
      <c r="I34" s="23" t="s">
        <v>144</v>
      </c>
      <c r="J34" s="2"/>
      <c r="K34" s="2"/>
      <c r="L34" s="2" t="s">
        <v>539</v>
      </c>
      <c r="M34" s="2" t="s">
        <v>540</v>
      </c>
      <c r="N34" s="2" t="s">
        <v>541</v>
      </c>
      <c r="O34" s="2" t="s">
        <v>542</v>
      </c>
      <c r="P34" s="2" t="s">
        <v>543</v>
      </c>
      <c r="Q34" s="2" t="s">
        <v>51</v>
      </c>
      <c r="S34" s="12">
        <f>_xlfn.XLOOKUP(F34,digikey_bom!$D:$D,digikey_bom!$H:$H)</f>
        <v>2</v>
      </c>
      <c r="T34" s="5">
        <f t="shared" ref="T34:T65" si="3">S34-B34</f>
        <v>1</v>
      </c>
      <c r="U34" s="12">
        <f>_xlfn.XLOOKUP($F34,digikey_bom!$D:$D,digikey_bom!$A:$A)</f>
        <v>734151471</v>
      </c>
      <c r="V34" s="5" t="b">
        <f t="shared" si="1"/>
        <v>0</v>
      </c>
      <c r="W34" s="12" t="str">
        <f>_xlfn.XLOOKUP($F34,digikey_bom!$D:$D,digikey_bom!$M:$M)</f>
        <v>CONN MMCX JACK STR 50 OHM PCB</v>
      </c>
      <c r="X34" s="5" t="b">
        <f t="shared" si="2"/>
        <v>0</v>
      </c>
    </row>
    <row r="35" spans="1:24">
      <c r="A35" s="2" t="s">
        <v>160</v>
      </c>
      <c r="B35" s="25">
        <v>6</v>
      </c>
      <c r="C35" s="2" t="s">
        <v>161</v>
      </c>
      <c r="D35" s="2" t="s">
        <v>162</v>
      </c>
      <c r="E35" s="2" t="s">
        <v>163</v>
      </c>
      <c r="F35" s="25" t="s">
        <v>164</v>
      </c>
      <c r="G35" s="2" t="s">
        <v>165</v>
      </c>
      <c r="H35" s="2" t="s">
        <v>166</v>
      </c>
      <c r="I35" s="23" t="s">
        <v>167</v>
      </c>
      <c r="J35" s="2" t="s">
        <v>168</v>
      </c>
      <c r="K35" s="2" t="s">
        <v>169</v>
      </c>
      <c r="L35" s="2"/>
      <c r="M35" s="2"/>
      <c r="N35" s="2"/>
      <c r="O35" s="2"/>
      <c r="P35" s="2"/>
      <c r="Q35" s="2"/>
      <c r="S35" s="12">
        <f>_xlfn.XLOOKUP(F35,digikey_bom!$D:$D,digikey_bom!$H:$H)</f>
        <v>6</v>
      </c>
      <c r="T35" s="5">
        <f t="shared" si="3"/>
        <v>0</v>
      </c>
      <c r="U35" s="12" t="str">
        <f>_xlfn.XLOOKUP($F35,digikey_bom!$D:$D,digikey_bom!$A:$A)</f>
        <v>GRM1885C1H222GA01D</v>
      </c>
      <c r="V35" s="5" t="b">
        <f t="shared" si="1"/>
        <v>1</v>
      </c>
      <c r="W35" s="12" t="str">
        <f>_xlfn.XLOOKUP($F35,digikey_bom!$D:$D,digikey_bom!$M:$M)</f>
        <v>CAP CER 2200PF 50V C0G/NP0 0603</v>
      </c>
      <c r="X35" s="5" t="b">
        <f t="shared" si="2"/>
        <v>0</v>
      </c>
    </row>
    <row r="36" spans="1:24">
      <c r="A36" s="2" t="s">
        <v>502</v>
      </c>
      <c r="B36" s="25">
        <v>1</v>
      </c>
      <c r="C36" s="2" t="s">
        <v>503</v>
      </c>
      <c r="D36" s="2" t="s">
        <v>458</v>
      </c>
      <c r="E36" s="2" t="s">
        <v>504</v>
      </c>
      <c r="F36" s="25" t="s">
        <v>505</v>
      </c>
      <c r="G36" s="2" t="s">
        <v>30</v>
      </c>
      <c r="H36" s="2" t="s">
        <v>28</v>
      </c>
      <c r="I36" s="23" t="s">
        <v>29</v>
      </c>
      <c r="J36" s="2" t="s">
        <v>102</v>
      </c>
      <c r="K36" s="2"/>
      <c r="L36" s="2"/>
      <c r="M36" s="2"/>
      <c r="N36" s="2"/>
      <c r="O36" s="2"/>
      <c r="P36" s="2"/>
      <c r="Q36" s="2"/>
      <c r="S36" s="12">
        <f>_xlfn.XLOOKUP(F36,digikey_bom!$D:$D,digikey_bom!$H:$H)</f>
        <v>1</v>
      </c>
      <c r="T36" s="5">
        <f t="shared" si="3"/>
        <v>0</v>
      </c>
      <c r="U36" s="12" t="str">
        <f>_xlfn.XLOOKUP($F36,digikey_bom!$D:$D,digikey_bom!$A:$A)</f>
        <v>FIN1047MTCX</v>
      </c>
      <c r="V36" s="5" t="b">
        <f t="shared" si="1"/>
        <v>1</v>
      </c>
      <c r="W36" s="12" t="str">
        <f>_xlfn.XLOOKUP($F36,digikey_bom!$D:$D,digikey_bom!$M:$M)</f>
        <v>IC DRIVER 4/0 16TSSOP</v>
      </c>
      <c r="X36" s="5" t="b">
        <f t="shared" si="2"/>
        <v>1</v>
      </c>
    </row>
    <row r="37" spans="1:24">
      <c r="A37" s="2" t="s">
        <v>456</v>
      </c>
      <c r="B37" s="25">
        <v>1</v>
      </c>
      <c r="C37" s="2" t="s">
        <v>457</v>
      </c>
      <c r="D37" s="2" t="s">
        <v>458</v>
      </c>
      <c r="E37" s="2" t="s">
        <v>459</v>
      </c>
      <c r="F37" s="25" t="s">
        <v>460</v>
      </c>
      <c r="G37" s="2" t="s">
        <v>461</v>
      </c>
      <c r="H37" s="2" t="s">
        <v>25</v>
      </c>
      <c r="I37" s="23" t="s">
        <v>26</v>
      </c>
      <c r="J37" s="2" t="s">
        <v>65</v>
      </c>
      <c r="K37" s="2"/>
      <c r="L37" s="2"/>
      <c r="M37" s="2"/>
      <c r="N37" s="2"/>
      <c r="O37" s="2"/>
      <c r="P37" s="2"/>
      <c r="Q37" s="2"/>
      <c r="S37" s="12">
        <f>_xlfn.XLOOKUP(F37,digikey_bom!$D:$D,digikey_bom!$H:$H)</f>
        <v>1</v>
      </c>
      <c r="T37" s="5">
        <f t="shared" si="3"/>
        <v>0</v>
      </c>
      <c r="U37" s="12" t="str">
        <f>_xlfn.XLOOKUP($F37,digikey_bom!$D:$D,digikey_bom!$A:$A)</f>
        <v>DS90LV048ATMTC/NOPB</v>
      </c>
      <c r="V37" s="5" t="b">
        <f t="shared" si="1"/>
        <v>1</v>
      </c>
      <c r="W37" s="12" t="str">
        <f>_xlfn.XLOOKUP($F37,digikey_bom!$D:$D,digikey_bom!$M:$M)</f>
        <v>IC RECEIVER 0/4 16TSSOP</v>
      </c>
      <c r="X37" s="5" t="b">
        <f t="shared" si="2"/>
        <v>0</v>
      </c>
    </row>
    <row r="38" spans="1:24">
      <c r="A38" s="2" t="s">
        <v>228</v>
      </c>
      <c r="B38" s="25">
        <v>6</v>
      </c>
      <c r="C38" s="2" t="s">
        <v>229</v>
      </c>
      <c r="D38" s="2" t="s">
        <v>230</v>
      </c>
      <c r="E38" s="2" t="s">
        <v>231</v>
      </c>
      <c r="F38" s="25" t="s">
        <v>232</v>
      </c>
      <c r="G38" s="2" t="s">
        <v>95</v>
      </c>
      <c r="H38" s="2" t="s">
        <v>93</v>
      </c>
      <c r="I38" s="23">
        <v>824500500</v>
      </c>
      <c r="J38" s="2" t="s">
        <v>233</v>
      </c>
      <c r="K38" s="2"/>
      <c r="L38" s="2"/>
      <c r="M38" s="2"/>
      <c r="N38" s="2"/>
      <c r="O38" s="2"/>
      <c r="P38" s="2"/>
      <c r="Q38" s="2"/>
      <c r="S38" s="12">
        <f>_xlfn.XLOOKUP(F38,digikey_bom!$D:$D,digikey_bom!$H:$H)</f>
        <v>6</v>
      </c>
      <c r="T38" s="5">
        <f t="shared" si="3"/>
        <v>0</v>
      </c>
      <c r="U38" s="12">
        <f>_xlfn.XLOOKUP($F38,digikey_bom!$D:$D,digikey_bom!$A:$A)</f>
        <v>824500500</v>
      </c>
      <c r="V38" s="5" t="b">
        <f t="shared" si="1"/>
        <v>1</v>
      </c>
      <c r="W38" s="12" t="str">
        <f>_xlfn.XLOOKUP($F38,digikey_bom!$D:$D,digikey_bom!$M:$M)</f>
        <v>TVS DIODE 5V 9.2V DO214AC</v>
      </c>
      <c r="X38" s="5" t="b">
        <f t="shared" si="2"/>
        <v>1</v>
      </c>
    </row>
    <row r="39" spans="1:24">
      <c r="A39" s="2" t="s">
        <v>234</v>
      </c>
      <c r="B39" s="25">
        <v>3</v>
      </c>
      <c r="C39" s="2" t="s">
        <v>235</v>
      </c>
      <c r="D39" s="2" t="s">
        <v>230</v>
      </c>
      <c r="E39" s="2" t="s">
        <v>231</v>
      </c>
      <c r="F39" s="25" t="s">
        <v>236</v>
      </c>
      <c r="G39" s="2" t="s">
        <v>237</v>
      </c>
      <c r="H39" s="2" t="s">
        <v>36</v>
      </c>
      <c r="I39" s="23" t="s">
        <v>37</v>
      </c>
      <c r="J39" s="2" t="s">
        <v>238</v>
      </c>
      <c r="K39" s="2"/>
      <c r="L39" s="2"/>
      <c r="M39" s="2"/>
      <c r="N39" s="2"/>
      <c r="O39" s="2"/>
      <c r="P39" s="2"/>
      <c r="Q39" s="2"/>
      <c r="S39" s="12">
        <f>_xlfn.XLOOKUP(F39,digikey_bom!$D:$D,digikey_bom!$H:$H)</f>
        <v>3</v>
      </c>
      <c r="T39" s="5">
        <f t="shared" si="3"/>
        <v>0</v>
      </c>
      <c r="U39" s="12" t="str">
        <f>_xlfn.XLOOKUP($F39,digikey_bom!$D:$D,digikey_bom!$A:$A)</f>
        <v>P4SMA12A-E3/61</v>
      </c>
      <c r="V39" s="5" t="b">
        <f t="shared" si="1"/>
        <v>1</v>
      </c>
      <c r="W39" s="12" t="str">
        <f>_xlfn.XLOOKUP($F39,digikey_bom!$D:$D,digikey_bom!$M:$M)</f>
        <v>TVS DIODE 10.2V 16.7V DO214AC</v>
      </c>
      <c r="X39" s="5" t="b">
        <f t="shared" si="2"/>
        <v>0</v>
      </c>
    </row>
    <row r="40" spans="1:24">
      <c r="A40" s="2" t="s">
        <v>487</v>
      </c>
      <c r="B40" s="25">
        <v>3</v>
      </c>
      <c r="C40" s="2" t="s">
        <v>488</v>
      </c>
      <c r="D40" s="2" t="s">
        <v>472</v>
      </c>
      <c r="E40" s="2" t="s">
        <v>489</v>
      </c>
      <c r="F40" s="25" t="s">
        <v>490</v>
      </c>
      <c r="G40" s="2" t="s">
        <v>491</v>
      </c>
      <c r="H40" s="2" t="s">
        <v>492</v>
      </c>
      <c r="I40" s="23" t="s">
        <v>493</v>
      </c>
      <c r="J40" s="2" t="s">
        <v>65</v>
      </c>
      <c r="K40" s="2"/>
      <c r="L40" s="2"/>
      <c r="M40" s="2"/>
      <c r="N40" s="2"/>
      <c r="O40" s="2"/>
      <c r="P40" s="2" t="s">
        <v>257</v>
      </c>
      <c r="Q40" s="2"/>
      <c r="S40" s="12">
        <f>_xlfn.XLOOKUP(F40,digikey_bom!$D:$D,digikey_bom!$H:$H)</f>
        <v>3</v>
      </c>
      <c r="T40" s="5">
        <f t="shared" si="3"/>
        <v>0</v>
      </c>
      <c r="U40" s="12" t="str">
        <f>_xlfn.XLOOKUP($F40,digikey_bom!$D:$D,digikey_bom!$A:$A)</f>
        <v>THS4131CDR</v>
      </c>
      <c r="V40" s="5" t="b">
        <f t="shared" si="1"/>
        <v>1</v>
      </c>
      <c r="W40" s="12" t="str">
        <f>_xlfn.XLOOKUP($F40,digikey_bom!$D:$D,digikey_bom!$M:$M)</f>
        <v>IC OPAMP DIFF 1 CIRCUIT 8SOIC</v>
      </c>
      <c r="X40" s="5" t="b">
        <f t="shared" si="2"/>
        <v>1</v>
      </c>
    </row>
    <row r="41" spans="1:24">
      <c r="A41" s="2" t="s">
        <v>220</v>
      </c>
      <c r="B41" s="25">
        <v>26</v>
      </c>
      <c r="C41" s="2" t="s">
        <v>221</v>
      </c>
      <c r="D41" s="2" t="s">
        <v>222</v>
      </c>
      <c r="E41" s="2" t="s">
        <v>223</v>
      </c>
      <c r="F41" s="25" t="s">
        <v>224</v>
      </c>
      <c r="G41" s="2" t="s">
        <v>225</v>
      </c>
      <c r="H41" s="2" t="s">
        <v>226</v>
      </c>
      <c r="I41" s="23" t="s">
        <v>227</v>
      </c>
      <c r="J41" s="2" t="s">
        <v>102</v>
      </c>
      <c r="K41" s="2"/>
      <c r="L41" s="2"/>
      <c r="M41" s="2"/>
      <c r="N41" s="2"/>
      <c r="O41" s="2"/>
      <c r="P41" s="2" t="s">
        <v>257</v>
      </c>
      <c r="Q41" s="2"/>
      <c r="S41" s="12">
        <f>_xlfn.XLOOKUP(F41,digikey_bom!$D:$D,digikey_bom!$H:$H)</f>
        <v>26</v>
      </c>
      <c r="T41" s="5">
        <f t="shared" si="3"/>
        <v>0</v>
      </c>
      <c r="U41" s="12" t="str">
        <f>_xlfn.XLOOKUP($F41,digikey_bom!$D:$D,digikey_bom!$A:$A)</f>
        <v>BAS21SLT1G</v>
      </c>
      <c r="V41" s="5" t="b">
        <f t="shared" si="1"/>
        <v>1</v>
      </c>
      <c r="W41" s="12" t="str">
        <f>_xlfn.XLOOKUP($F41,digikey_bom!$D:$D,digikey_bom!$M:$M)</f>
        <v>DIODE ARRAY GP 250V 225MA SOT23</v>
      </c>
      <c r="X41" s="5" t="b">
        <f t="shared" si="2"/>
        <v>1</v>
      </c>
    </row>
    <row r="42" spans="1:24">
      <c r="A42" s="2" t="s">
        <v>183</v>
      </c>
      <c r="B42" s="25">
        <v>2</v>
      </c>
      <c r="C42" s="2" t="s">
        <v>184</v>
      </c>
      <c r="D42" s="2" t="s">
        <v>162</v>
      </c>
      <c r="E42" s="2" t="s">
        <v>142</v>
      </c>
      <c r="F42" s="25" t="s">
        <v>185</v>
      </c>
      <c r="G42" s="2" t="s">
        <v>186</v>
      </c>
      <c r="H42" s="2" t="s">
        <v>187</v>
      </c>
      <c r="I42" s="23" t="s">
        <v>188</v>
      </c>
      <c r="J42" s="2" t="s">
        <v>84</v>
      </c>
      <c r="K42" s="2"/>
      <c r="L42" s="2"/>
      <c r="M42" s="2"/>
      <c r="N42" s="2"/>
      <c r="O42" s="2"/>
      <c r="P42" s="2"/>
      <c r="Q42" s="2"/>
      <c r="S42" s="12">
        <f>_xlfn.XLOOKUP(F42,digikey_bom!$D:$D,digikey_bom!$H:$H)</f>
        <v>2</v>
      </c>
      <c r="T42" s="5">
        <f t="shared" si="3"/>
        <v>0</v>
      </c>
      <c r="U42" s="12" t="str">
        <f>_xlfn.XLOOKUP($F42,digikey_bom!$D:$D,digikey_bom!$A:$A)</f>
        <v>CC0603JRNPO9BN470</v>
      </c>
      <c r="V42" s="5" t="b">
        <f t="shared" si="1"/>
        <v>1</v>
      </c>
      <c r="W42" s="12" t="str">
        <f>_xlfn.XLOOKUP($F42,digikey_bom!$D:$D,digikey_bom!$M:$M)</f>
        <v>CAP CER 47PF 50V C0G/NPO 0603</v>
      </c>
      <c r="X42" s="5" t="b">
        <f t="shared" si="2"/>
        <v>0</v>
      </c>
    </row>
    <row r="43" spans="1:24">
      <c r="A43" s="2" t="s">
        <v>170</v>
      </c>
      <c r="B43" s="25">
        <v>3</v>
      </c>
      <c r="C43" s="2" t="s">
        <v>171</v>
      </c>
      <c r="D43" s="2" t="s">
        <v>141</v>
      </c>
      <c r="E43" s="2" t="s">
        <v>142</v>
      </c>
      <c r="F43" s="25" t="s">
        <v>172</v>
      </c>
      <c r="G43" s="2" t="s">
        <v>173</v>
      </c>
      <c r="H43" s="2" t="s">
        <v>174</v>
      </c>
      <c r="I43" s="23" t="s">
        <v>175</v>
      </c>
      <c r="J43" s="2" t="s">
        <v>84</v>
      </c>
      <c r="K43" s="2"/>
      <c r="L43" s="2"/>
      <c r="M43" s="2"/>
      <c r="N43" s="2"/>
      <c r="O43" s="2"/>
      <c r="P43" s="2"/>
      <c r="Q43" s="2"/>
      <c r="S43" s="12">
        <f>_xlfn.XLOOKUP(F43,digikey_bom!$D:$D,digikey_bom!$H:$H)</f>
        <v>3</v>
      </c>
      <c r="T43" s="5">
        <f t="shared" si="3"/>
        <v>0</v>
      </c>
      <c r="U43" s="12" t="str">
        <f>_xlfn.XLOOKUP($F43,digikey_bom!$D:$D,digikey_bom!$A:$A)</f>
        <v>CC0805JKNPO9BN332</v>
      </c>
      <c r="V43" s="5" t="b">
        <f t="shared" si="1"/>
        <v>1</v>
      </c>
      <c r="W43" s="12" t="str">
        <f>_xlfn.XLOOKUP($F43,digikey_bom!$D:$D,digikey_bom!$M:$M)</f>
        <v>CAP CER 3300PF 50V NPO 0805</v>
      </c>
      <c r="X43" s="5" t="b">
        <f t="shared" si="2"/>
        <v>0</v>
      </c>
    </row>
    <row r="44" spans="1:24">
      <c r="A44" s="2" t="s">
        <v>145</v>
      </c>
      <c r="B44" s="25">
        <v>6</v>
      </c>
      <c r="C44" s="2" t="s">
        <v>146</v>
      </c>
      <c r="D44" s="2" t="s">
        <v>141</v>
      </c>
      <c r="E44" s="2" t="s">
        <v>142</v>
      </c>
      <c r="F44" s="25" t="s">
        <v>147</v>
      </c>
      <c r="G44" s="2" t="s">
        <v>148</v>
      </c>
      <c r="H44" s="2" t="s">
        <v>149</v>
      </c>
      <c r="I44" s="23" t="s">
        <v>150</v>
      </c>
      <c r="J44" s="2" t="s">
        <v>151</v>
      </c>
      <c r="K44" s="2"/>
      <c r="L44" s="2"/>
      <c r="M44" s="2"/>
      <c r="N44" s="2"/>
      <c r="O44" s="2"/>
      <c r="P44" s="2"/>
      <c r="Q44" s="2"/>
      <c r="S44" s="12">
        <f>_xlfn.XLOOKUP(F44,digikey_bom!$D:$D,digikey_bom!$H:$H)</f>
        <v>6</v>
      </c>
      <c r="T44" s="5">
        <f t="shared" si="3"/>
        <v>0</v>
      </c>
      <c r="U44" s="12" t="str">
        <f>_xlfn.XLOOKUP($F44,digikey_bom!$D:$D,digikey_bom!$A:$A)</f>
        <v>CGA4C2C0G1H682J060AA</v>
      </c>
      <c r="V44" s="5" t="b">
        <f t="shared" si="1"/>
        <v>0</v>
      </c>
      <c r="W44" s="12" t="str">
        <f>_xlfn.XLOOKUP($F44,digikey_bom!$D:$D,digikey_bom!$M:$M)</f>
        <v>CAP CER 6800PF 50V C0G 0805</v>
      </c>
      <c r="X44" s="5" t="b">
        <f t="shared" si="2"/>
        <v>0</v>
      </c>
    </row>
    <row r="45" spans="1:24">
      <c r="A45" s="2" t="s">
        <v>319</v>
      </c>
      <c r="B45" s="25">
        <v>6</v>
      </c>
      <c r="C45" s="2">
        <v>698</v>
      </c>
      <c r="D45" s="2" t="s">
        <v>320</v>
      </c>
      <c r="E45" s="2"/>
      <c r="F45" s="25" t="s">
        <v>321</v>
      </c>
      <c r="G45" s="2" t="s">
        <v>322</v>
      </c>
      <c r="H45" s="2" t="s">
        <v>323</v>
      </c>
      <c r="I45" s="23" t="s">
        <v>324</v>
      </c>
      <c r="J45" s="2" t="s">
        <v>84</v>
      </c>
      <c r="K45" s="2" t="s">
        <v>616</v>
      </c>
      <c r="L45" s="2"/>
      <c r="M45" s="2"/>
      <c r="N45" s="2"/>
      <c r="O45" s="2"/>
      <c r="P45" s="2"/>
      <c r="Q45" s="2"/>
      <c r="S45" s="12">
        <f>_xlfn.XLOOKUP(F45,digikey_bom!$D:$D,digikey_bom!$H:$H)</f>
        <v>6</v>
      </c>
      <c r="T45" s="5">
        <f t="shared" si="3"/>
        <v>0</v>
      </c>
      <c r="U45" s="12" t="str">
        <f>_xlfn.XLOOKUP($F45,digikey_bom!$D:$D,digikey_bom!$A:$A)</f>
        <v>RT0603DRE07698RL</v>
      </c>
      <c r="V45" s="5" t="b">
        <f t="shared" si="1"/>
        <v>1</v>
      </c>
      <c r="W45" s="12" t="str">
        <f>_xlfn.XLOOKUP($F45,digikey_bom!$D:$D,digikey_bom!$M:$M)</f>
        <v>RES SMD 698 OHM 0.5% 1/10W 0603</v>
      </c>
      <c r="X45" s="5" t="b">
        <f t="shared" si="2"/>
        <v>0</v>
      </c>
    </row>
    <row r="46" spans="1:24">
      <c r="A46" s="2" t="s">
        <v>376</v>
      </c>
      <c r="B46" s="25">
        <v>19</v>
      </c>
      <c r="C46" s="2" t="s">
        <v>377</v>
      </c>
      <c r="D46" s="2" t="s">
        <v>320</v>
      </c>
      <c r="E46" s="2" t="s">
        <v>142</v>
      </c>
      <c r="F46" s="25" t="s">
        <v>378</v>
      </c>
      <c r="G46" s="2" t="s">
        <v>379</v>
      </c>
      <c r="H46" s="2" t="s">
        <v>380</v>
      </c>
      <c r="I46" s="23" t="s">
        <v>381</v>
      </c>
      <c r="J46" s="2" t="s">
        <v>344</v>
      </c>
      <c r="K46" s="18">
        <v>1E-3</v>
      </c>
      <c r="L46" s="2"/>
      <c r="M46" s="2"/>
      <c r="N46" s="2"/>
      <c r="O46" s="2"/>
      <c r="P46" s="2"/>
      <c r="Q46" s="2"/>
      <c r="S46" s="12">
        <f>_xlfn.XLOOKUP(F46,digikey_bom!$D:$D,digikey_bom!$H:$H)</f>
        <v>19</v>
      </c>
      <c r="T46" s="5">
        <f t="shared" si="3"/>
        <v>0</v>
      </c>
      <c r="U46" s="12" t="str">
        <f>_xlfn.XLOOKUP($F46,digikey_bom!$D:$D,digikey_bom!$A:$A)</f>
        <v>RT0603BRD071KL</v>
      </c>
      <c r="V46" s="5" t="b">
        <f t="shared" si="1"/>
        <v>0</v>
      </c>
      <c r="W46" s="12" t="str">
        <f>_xlfn.XLOOKUP($F46,digikey_bom!$D:$D,digikey_bom!$M:$M)</f>
        <v>RES SMD 1K OHM 0.1% 1/10W 0603</v>
      </c>
      <c r="X46" s="5" t="b">
        <f t="shared" si="2"/>
        <v>1</v>
      </c>
    </row>
    <row r="47" spans="1:24">
      <c r="A47" s="2" t="s">
        <v>333</v>
      </c>
      <c r="B47" s="25">
        <v>2</v>
      </c>
      <c r="C47" s="2">
        <v>392</v>
      </c>
      <c r="D47" s="2" t="s">
        <v>320</v>
      </c>
      <c r="E47" s="2" t="s">
        <v>142</v>
      </c>
      <c r="F47" s="25" t="s">
        <v>334</v>
      </c>
      <c r="G47" s="2" t="s">
        <v>335</v>
      </c>
      <c r="H47" s="2" t="s">
        <v>336</v>
      </c>
      <c r="I47" s="23" t="s">
        <v>337</v>
      </c>
      <c r="J47" s="2" t="s">
        <v>72</v>
      </c>
      <c r="K47" s="2"/>
      <c r="L47" s="2"/>
      <c r="M47" s="2"/>
      <c r="N47" s="2"/>
      <c r="O47" s="2"/>
      <c r="P47" s="2"/>
      <c r="Q47" s="2"/>
      <c r="S47" s="12">
        <f>_xlfn.XLOOKUP(F47,digikey_bom!$D:$D,digikey_bom!$H:$H)</f>
        <v>2</v>
      </c>
      <c r="T47" s="5">
        <f t="shared" si="3"/>
        <v>0</v>
      </c>
      <c r="U47" s="12" t="str">
        <f>_xlfn.XLOOKUP($F47,digikey_bom!$D:$D,digikey_bom!$A:$A)</f>
        <v>RNCP0603FTD392R</v>
      </c>
      <c r="V47" s="5" t="b">
        <f t="shared" si="1"/>
        <v>1</v>
      </c>
      <c r="W47" s="12" t="str">
        <f>_xlfn.XLOOKUP($F47,digikey_bom!$D:$D,digikey_bom!$M:$M)</f>
        <v>RES 392 OHM 1% 1/8W 0603</v>
      </c>
      <c r="X47" s="5" t="b">
        <f t="shared" si="2"/>
        <v>0</v>
      </c>
    </row>
    <row r="48" spans="1:24">
      <c r="A48" s="2" t="s">
        <v>262</v>
      </c>
      <c r="B48" s="25">
        <v>1</v>
      </c>
      <c r="C48" s="2" t="s">
        <v>263</v>
      </c>
      <c r="D48" s="2" t="s">
        <v>250</v>
      </c>
      <c r="E48" s="2" t="s">
        <v>264</v>
      </c>
      <c r="F48" s="25" t="s">
        <v>265</v>
      </c>
      <c r="G48" s="2" t="s">
        <v>81</v>
      </c>
      <c r="H48" s="2" t="s">
        <v>79</v>
      </c>
      <c r="I48" s="23" t="s">
        <v>78</v>
      </c>
      <c r="J48" s="2" t="s">
        <v>75</v>
      </c>
      <c r="K48" s="2"/>
      <c r="L48" s="2"/>
      <c r="M48" s="2"/>
      <c r="N48" s="2"/>
      <c r="O48" s="2"/>
      <c r="P48" s="2"/>
      <c r="Q48" s="2"/>
      <c r="S48" s="12">
        <f>_xlfn.XLOOKUP(F48,digikey_bom!$D:$D,digikey_bom!$H:$H)</f>
        <v>1</v>
      </c>
      <c r="T48" s="5">
        <f t="shared" si="3"/>
        <v>0</v>
      </c>
      <c r="U48" s="12" t="str">
        <f>_xlfn.XLOOKUP($F48,digikey_bom!$D:$D,digikey_bom!$A:$A)</f>
        <v>HZ0805C202R-10</v>
      </c>
      <c r="V48" s="5" t="b">
        <f t="shared" si="1"/>
        <v>1</v>
      </c>
      <c r="W48" s="12" t="str">
        <f>_xlfn.XLOOKUP($F48,digikey_bom!$D:$D,digikey_bom!$M:$M)</f>
        <v>FERRITE BEAD 2 KOHM 0805 1LN</v>
      </c>
      <c r="X48" s="5" t="b">
        <f t="shared" si="2"/>
        <v>1</v>
      </c>
    </row>
    <row r="49" spans="1:24">
      <c r="A49" s="2" t="s">
        <v>613</v>
      </c>
      <c r="B49" s="25">
        <v>5</v>
      </c>
      <c r="C49" s="2">
        <v>301</v>
      </c>
      <c r="D49" s="2" t="s">
        <v>320</v>
      </c>
      <c r="E49" s="2" t="s">
        <v>614</v>
      </c>
      <c r="F49" s="25" t="s">
        <v>398</v>
      </c>
      <c r="G49" s="2" t="s">
        <v>399</v>
      </c>
      <c r="H49" s="2" t="s">
        <v>400</v>
      </c>
      <c r="I49" s="23" t="s">
        <v>401</v>
      </c>
      <c r="J49" s="2" t="s">
        <v>72</v>
      </c>
      <c r="K49" s="2"/>
      <c r="L49" s="2"/>
      <c r="M49" s="2"/>
      <c r="N49" s="2"/>
      <c r="O49" s="2"/>
      <c r="P49" s="2"/>
      <c r="Q49" s="2"/>
      <c r="S49" s="12">
        <f>_xlfn.XLOOKUP(F49,digikey_bom!$D:$D,digikey_bom!$H:$H)</f>
        <v>5</v>
      </c>
      <c r="T49" s="5">
        <f t="shared" si="3"/>
        <v>0</v>
      </c>
      <c r="U49" s="12" t="str">
        <f>_xlfn.XLOOKUP($F49,digikey_bom!$D:$D,digikey_bom!$A:$A)</f>
        <v>RNCP0603FTD301R</v>
      </c>
      <c r="V49" s="5" t="b">
        <f t="shared" si="1"/>
        <v>1</v>
      </c>
      <c r="W49" s="12" t="str">
        <f>_xlfn.XLOOKUP($F49,digikey_bom!$D:$D,digikey_bom!$M:$M)</f>
        <v>RES 301 OHM 1% 1/8W 0603</v>
      </c>
      <c r="X49" s="5" t="b">
        <f t="shared" si="2"/>
        <v>0</v>
      </c>
    </row>
    <row r="50" spans="1:24">
      <c r="A50" s="2" t="s">
        <v>371</v>
      </c>
      <c r="B50" s="25">
        <v>6</v>
      </c>
      <c r="C50" s="2">
        <v>100</v>
      </c>
      <c r="D50" s="2" t="s">
        <v>320</v>
      </c>
      <c r="E50" s="2" t="s">
        <v>142</v>
      </c>
      <c r="F50" s="25" t="s">
        <v>372</v>
      </c>
      <c r="G50" s="2" t="s">
        <v>373</v>
      </c>
      <c r="H50" s="2" t="s">
        <v>374</v>
      </c>
      <c r="I50" s="23" t="s">
        <v>375</v>
      </c>
      <c r="J50" s="2" t="s">
        <v>344</v>
      </c>
      <c r="K50" s="18">
        <v>1E-3</v>
      </c>
      <c r="L50" s="2"/>
      <c r="M50" s="2"/>
      <c r="N50" s="2"/>
      <c r="O50" s="2"/>
      <c r="P50" s="2"/>
      <c r="Q50" s="2"/>
      <c r="S50" s="12">
        <f>_xlfn.XLOOKUP(F50,digikey_bom!$D:$D,digikey_bom!$H:$H)</f>
        <v>6</v>
      </c>
      <c r="T50" s="5">
        <f t="shared" si="3"/>
        <v>0</v>
      </c>
      <c r="U50" s="12" t="str">
        <f>_xlfn.XLOOKUP($F50,digikey_bom!$D:$D,digikey_bom!$A:$A)</f>
        <v>ERA-3AEB101V</v>
      </c>
      <c r="V50" s="5" t="b">
        <f t="shared" si="1"/>
        <v>1</v>
      </c>
      <c r="W50" s="12" t="str">
        <f>_xlfn.XLOOKUP($F50,digikey_bom!$D:$D,digikey_bom!$M:$M)</f>
        <v>RES SMD 100 OHM 0.1% 1/10W 0603</v>
      </c>
      <c r="X50" s="5" t="b">
        <f t="shared" si="2"/>
        <v>0</v>
      </c>
    </row>
    <row r="51" spans="1:24">
      <c r="A51" s="2" t="s">
        <v>358</v>
      </c>
      <c r="B51" s="25">
        <v>9</v>
      </c>
      <c r="C51" s="2">
        <v>33</v>
      </c>
      <c r="D51" s="2" t="s">
        <v>320</v>
      </c>
      <c r="E51" s="2" t="s">
        <v>142</v>
      </c>
      <c r="F51" s="25" t="s">
        <v>359</v>
      </c>
      <c r="G51" s="2" t="s">
        <v>109</v>
      </c>
      <c r="H51" s="2" t="s">
        <v>108</v>
      </c>
      <c r="I51" s="23" t="s">
        <v>107</v>
      </c>
      <c r="J51" s="2" t="s">
        <v>72</v>
      </c>
      <c r="K51" s="2"/>
      <c r="L51" s="2"/>
      <c r="M51" s="2"/>
      <c r="N51" s="2"/>
      <c r="O51" s="2"/>
      <c r="P51" s="2"/>
      <c r="Q51" s="2"/>
      <c r="S51" s="12">
        <f>_xlfn.XLOOKUP(F51,digikey_bom!$D:$D,digikey_bom!$H:$H)</f>
        <v>9</v>
      </c>
      <c r="T51" s="5">
        <f t="shared" si="3"/>
        <v>0</v>
      </c>
      <c r="U51" s="12" t="str">
        <f>_xlfn.XLOOKUP($F51,digikey_bom!$D:$D,digikey_bom!$A:$A)</f>
        <v>RMCF0603FT33R0</v>
      </c>
      <c r="V51" s="5" t="b">
        <f t="shared" si="1"/>
        <v>1</v>
      </c>
      <c r="W51" s="12" t="str">
        <f>_xlfn.XLOOKUP($F51,digikey_bom!$D:$D,digikey_bom!$M:$M)</f>
        <v>RES 33 OHM 1% 1/10W 0603</v>
      </c>
      <c r="X51" s="5" t="b">
        <f t="shared" si="2"/>
        <v>1</v>
      </c>
    </row>
    <row r="52" spans="1:24">
      <c r="A52" s="2" t="s">
        <v>365</v>
      </c>
      <c r="B52" s="25">
        <v>11</v>
      </c>
      <c r="C52" s="2" t="s">
        <v>366</v>
      </c>
      <c r="D52" s="2" t="s">
        <v>320</v>
      </c>
      <c r="E52" s="2" t="s">
        <v>142</v>
      </c>
      <c r="F52" s="25" t="s">
        <v>367</v>
      </c>
      <c r="G52" s="2" t="s">
        <v>368</v>
      </c>
      <c r="H52" s="2" t="s">
        <v>369</v>
      </c>
      <c r="I52" s="23" t="s">
        <v>370</v>
      </c>
      <c r="J52" s="2" t="s">
        <v>84</v>
      </c>
      <c r="K52" s="2"/>
      <c r="L52" s="2"/>
      <c r="M52" s="2"/>
      <c r="N52" s="2"/>
      <c r="O52" s="2"/>
      <c r="P52" s="2"/>
      <c r="Q52" s="2"/>
      <c r="S52" s="12">
        <f>_xlfn.XLOOKUP(F52,digikey_bom!$D:$D,digikey_bom!$H:$H)</f>
        <v>11</v>
      </c>
      <c r="T52" s="5">
        <f t="shared" si="3"/>
        <v>0</v>
      </c>
      <c r="U52" s="12" t="str">
        <f>_xlfn.XLOOKUP($F52,digikey_bom!$D:$D,digikey_bom!$A:$A)</f>
        <v>RT0603FRE073K3L</v>
      </c>
      <c r="V52" s="5" t="b">
        <f t="shared" si="1"/>
        <v>1</v>
      </c>
      <c r="W52" s="12" t="str">
        <f>_xlfn.XLOOKUP($F52,digikey_bom!$D:$D,digikey_bom!$M:$M)</f>
        <v>RES SMD 3.3K OHM 1% 1/10W 0603</v>
      </c>
      <c r="X52" s="5" t="b">
        <f t="shared" si="2"/>
        <v>0</v>
      </c>
    </row>
    <row r="53" spans="1:24">
      <c r="A53" s="2" t="s">
        <v>385</v>
      </c>
      <c r="B53" s="25">
        <v>13</v>
      </c>
      <c r="C53" s="2" t="s">
        <v>386</v>
      </c>
      <c r="D53" s="2" t="s">
        <v>320</v>
      </c>
      <c r="E53" s="2" t="s">
        <v>142</v>
      </c>
      <c r="F53" s="25" t="s">
        <v>387</v>
      </c>
      <c r="G53" s="2" t="s">
        <v>388</v>
      </c>
      <c r="H53" s="2" t="s">
        <v>389</v>
      </c>
      <c r="I53" s="23" t="s">
        <v>390</v>
      </c>
      <c r="J53" s="2" t="s">
        <v>84</v>
      </c>
      <c r="K53" s="19">
        <v>0.01</v>
      </c>
      <c r="L53" s="2"/>
      <c r="M53" s="2"/>
      <c r="N53" s="2"/>
      <c r="O53" s="2"/>
      <c r="P53" s="2"/>
      <c r="Q53" s="2"/>
      <c r="S53" s="12">
        <f>_xlfn.XLOOKUP(F53,digikey_bom!$D:$D,digikey_bom!$H:$H)</f>
        <v>13</v>
      </c>
      <c r="T53" s="5">
        <f t="shared" si="3"/>
        <v>0</v>
      </c>
      <c r="U53" s="12" t="str">
        <f>_xlfn.XLOOKUP($F53,digikey_bom!$D:$D,digikey_bom!$A:$A)</f>
        <v>RT0603FRE07200KL</v>
      </c>
      <c r="V53" s="5" t="b">
        <f t="shared" si="1"/>
        <v>1</v>
      </c>
      <c r="W53" s="12" t="str">
        <f>_xlfn.XLOOKUP($F53,digikey_bom!$D:$D,digikey_bom!$M:$M)</f>
        <v>RES SMD 200K OHM 1% 1/10W 0603</v>
      </c>
      <c r="X53" s="5" t="b">
        <f t="shared" si="2"/>
        <v>0</v>
      </c>
    </row>
    <row r="54" spans="1:24">
      <c r="A54" s="2" t="s">
        <v>360</v>
      </c>
      <c r="B54" s="25">
        <v>10</v>
      </c>
      <c r="C54" s="2">
        <v>200</v>
      </c>
      <c r="D54" s="2" t="s">
        <v>320</v>
      </c>
      <c r="E54" s="2" t="s">
        <v>142</v>
      </c>
      <c r="F54" s="25" t="s">
        <v>361</v>
      </c>
      <c r="G54" s="2" t="s">
        <v>362</v>
      </c>
      <c r="H54" s="2" t="s">
        <v>363</v>
      </c>
      <c r="I54" s="23" t="s">
        <v>364</v>
      </c>
      <c r="J54" s="2" t="s">
        <v>72</v>
      </c>
      <c r="K54" s="2"/>
      <c r="L54" s="2"/>
      <c r="M54" s="2"/>
      <c r="N54" s="2"/>
      <c r="O54" s="2"/>
      <c r="P54" s="2"/>
      <c r="Q54" s="2"/>
      <c r="S54" s="12">
        <f>_xlfn.XLOOKUP(F54,digikey_bom!$D:$D,digikey_bom!$H:$H)</f>
        <v>10</v>
      </c>
      <c r="T54" s="5">
        <f t="shared" si="3"/>
        <v>0</v>
      </c>
      <c r="U54" s="12" t="str">
        <f>_xlfn.XLOOKUP($F54,digikey_bom!$D:$D,digikey_bom!$A:$A)</f>
        <v>RNCP0603FTD200R</v>
      </c>
      <c r="V54" s="5" t="b">
        <f t="shared" si="1"/>
        <v>1</v>
      </c>
      <c r="W54" s="12" t="str">
        <f>_xlfn.XLOOKUP($F54,digikey_bom!$D:$D,digikey_bom!$M:$M)</f>
        <v>RES 200 OHM 1% 1/8W 0603</v>
      </c>
      <c r="X54" s="5" t="b">
        <f t="shared" si="2"/>
        <v>0</v>
      </c>
    </row>
    <row r="55" spans="1:24">
      <c r="A55" s="2" t="s">
        <v>338</v>
      </c>
      <c r="B55" s="25">
        <v>12</v>
      </c>
      <c r="C55" s="2" t="s">
        <v>339</v>
      </c>
      <c r="D55" s="2" t="s">
        <v>320</v>
      </c>
      <c r="E55" s="2" t="s">
        <v>142</v>
      </c>
      <c r="F55" s="25" t="s">
        <v>340</v>
      </c>
      <c r="G55" s="2" t="s">
        <v>341</v>
      </c>
      <c r="H55" s="2" t="s">
        <v>342</v>
      </c>
      <c r="I55" s="23" t="s">
        <v>343</v>
      </c>
      <c r="J55" s="2" t="s">
        <v>344</v>
      </c>
      <c r="K55" s="18">
        <v>1E-3</v>
      </c>
      <c r="L55" s="2"/>
      <c r="M55" s="2"/>
      <c r="N55" s="2"/>
      <c r="O55" s="2"/>
      <c r="P55" s="2"/>
      <c r="Q55" s="2"/>
      <c r="S55" s="12">
        <f>_xlfn.XLOOKUP(F55,digikey_bom!$D:$D,digikey_bom!$H:$H)</f>
        <v>12</v>
      </c>
      <c r="T55" s="5">
        <f t="shared" si="3"/>
        <v>0</v>
      </c>
      <c r="U55" s="12" t="str">
        <f>_xlfn.XLOOKUP($F55,digikey_bom!$D:$D,digikey_bom!$A:$A)</f>
        <v>ERA-3AEB103V</v>
      </c>
      <c r="V55" s="5" t="b">
        <f t="shared" si="1"/>
        <v>1</v>
      </c>
      <c r="W55" s="12" t="str">
        <f>_xlfn.XLOOKUP($F55,digikey_bom!$D:$D,digikey_bom!$M:$M)</f>
        <v>RES SMD 10K OHM 0.1% 1/10W 0603</v>
      </c>
      <c r="X55" s="5" t="b">
        <f t="shared" si="2"/>
        <v>1</v>
      </c>
    </row>
    <row r="56" spans="1:24">
      <c r="A56" s="2" t="s">
        <v>345</v>
      </c>
      <c r="B56" s="25">
        <v>3</v>
      </c>
      <c r="C56" s="2">
        <v>243</v>
      </c>
      <c r="D56" s="2" t="s">
        <v>320</v>
      </c>
      <c r="E56" s="2" t="s">
        <v>142</v>
      </c>
      <c r="F56" s="25" t="s">
        <v>346</v>
      </c>
      <c r="G56" s="2" t="s">
        <v>347</v>
      </c>
      <c r="H56" s="2" t="s">
        <v>348</v>
      </c>
      <c r="I56" s="23" t="s">
        <v>349</v>
      </c>
      <c r="J56" s="2" t="s">
        <v>344</v>
      </c>
      <c r="K56" s="2"/>
      <c r="L56" s="2"/>
      <c r="M56" s="2"/>
      <c r="N56" s="2"/>
      <c r="O56" s="2"/>
      <c r="P56" s="2"/>
      <c r="Q56" s="2"/>
      <c r="S56" s="12">
        <f>_xlfn.XLOOKUP(F56,digikey_bom!$D:$D,digikey_bom!$H:$H)</f>
        <v>3</v>
      </c>
      <c r="T56" s="5">
        <f t="shared" si="3"/>
        <v>0</v>
      </c>
      <c r="U56" s="12" t="str">
        <f>_xlfn.XLOOKUP($F56,digikey_bom!$D:$D,digikey_bom!$A:$A)</f>
        <v>ERA-3AEB2430V</v>
      </c>
      <c r="V56" s="5" t="b">
        <f t="shared" si="1"/>
        <v>1</v>
      </c>
      <c r="W56" s="12" t="str">
        <f>_xlfn.XLOOKUP($F56,digikey_bom!$D:$D,digikey_bom!$M:$M)</f>
        <v>RES SMD 243 OHM 0.1% 1/10W 0603</v>
      </c>
      <c r="X56" s="5" t="b">
        <f t="shared" si="2"/>
        <v>0</v>
      </c>
    </row>
    <row r="57" spans="1:24">
      <c r="A57" s="2" t="s">
        <v>462</v>
      </c>
      <c r="B57" s="25">
        <v>1</v>
      </c>
      <c r="C57" s="2" t="s">
        <v>463</v>
      </c>
      <c r="D57" s="2" t="s">
        <v>464</v>
      </c>
      <c r="E57" s="2" t="s">
        <v>465</v>
      </c>
      <c r="F57" s="25" t="s">
        <v>466</v>
      </c>
      <c r="G57" s="2" t="s">
        <v>467</v>
      </c>
      <c r="H57" s="2" t="s">
        <v>468</v>
      </c>
      <c r="I57" s="23" t="s">
        <v>469</v>
      </c>
      <c r="J57" s="2" t="s">
        <v>70</v>
      </c>
      <c r="K57" s="2"/>
      <c r="L57" s="2"/>
      <c r="M57" s="2"/>
      <c r="N57" s="2"/>
      <c r="O57" s="2"/>
      <c r="P57" s="2"/>
      <c r="Q57" s="2"/>
      <c r="S57" s="12">
        <f>_xlfn.XLOOKUP(F57,digikey_bom!$D:$D,digikey_bom!$H:$H)</f>
        <v>1</v>
      </c>
      <c r="T57" s="5">
        <f t="shared" si="3"/>
        <v>0</v>
      </c>
      <c r="U57" s="12" t="str">
        <f>_xlfn.XLOOKUP($F57,digikey_bom!$D:$D,digikey_bom!$A:$A)</f>
        <v>24LC256T-I/MS</v>
      </c>
      <c r="V57" s="5" t="b">
        <f t="shared" si="1"/>
        <v>1</v>
      </c>
      <c r="W57" s="12" t="str">
        <f>_xlfn.XLOOKUP($F57,digikey_bom!$D:$D,digikey_bom!$M:$M)</f>
        <v>IC EEPROM 256KBIT I2C 8MSOP</v>
      </c>
      <c r="X57" s="5" t="b">
        <f t="shared" si="2"/>
        <v>1</v>
      </c>
    </row>
    <row r="58" spans="1:24">
      <c r="A58" s="2" t="s">
        <v>494</v>
      </c>
      <c r="B58" s="25">
        <v>1</v>
      </c>
      <c r="C58" s="2" t="s">
        <v>495</v>
      </c>
      <c r="D58" s="2" t="s">
        <v>496</v>
      </c>
      <c r="E58" s="2" t="s">
        <v>497</v>
      </c>
      <c r="F58" s="25" t="s">
        <v>498</v>
      </c>
      <c r="G58" s="2" t="s">
        <v>499</v>
      </c>
      <c r="H58" s="2" t="s">
        <v>500</v>
      </c>
      <c r="I58" s="23" t="s">
        <v>501</v>
      </c>
      <c r="J58" s="2" t="s">
        <v>58</v>
      </c>
      <c r="K58" s="2"/>
      <c r="L58" s="2"/>
      <c r="M58" s="2"/>
      <c r="N58" s="2"/>
      <c r="O58" s="2"/>
      <c r="P58" s="2"/>
      <c r="Q58" s="2"/>
      <c r="S58" s="12">
        <f>_xlfn.XLOOKUP(F58,digikey_bom!$D:$D,digikey_bom!$H:$H)</f>
        <v>1</v>
      </c>
      <c r="T58" s="5">
        <f t="shared" si="3"/>
        <v>0</v>
      </c>
      <c r="U58" s="12" t="str">
        <f>_xlfn.XLOOKUP($F58,digikey_bom!$D:$D,digikey_bom!$A:$A)</f>
        <v>74LVC1G384GV,125</v>
      </c>
      <c r="V58" s="5" t="b">
        <f t="shared" si="1"/>
        <v>1</v>
      </c>
      <c r="W58" s="12" t="str">
        <f>_xlfn.XLOOKUP($F58,digikey_bom!$D:$D,digikey_bom!$M:$M)</f>
        <v>IC SWITCH SPST 5TSOP</v>
      </c>
      <c r="X58" s="5" t="b">
        <f t="shared" si="2"/>
        <v>1</v>
      </c>
    </row>
    <row r="59" spans="1:24">
      <c r="A59" s="2" t="s">
        <v>350</v>
      </c>
      <c r="B59" s="25">
        <v>26</v>
      </c>
      <c r="C59" s="2">
        <v>10</v>
      </c>
      <c r="D59" s="2" t="s">
        <v>326</v>
      </c>
      <c r="E59" s="2" t="s">
        <v>351</v>
      </c>
      <c r="F59" s="25" t="s">
        <v>352</v>
      </c>
      <c r="G59" s="2" t="s">
        <v>353</v>
      </c>
      <c r="H59" s="2" t="s">
        <v>354</v>
      </c>
      <c r="I59" s="23" t="s">
        <v>355</v>
      </c>
      <c r="J59" s="2" t="s">
        <v>356</v>
      </c>
      <c r="K59" s="2" t="s">
        <v>357</v>
      </c>
      <c r="L59" s="2"/>
      <c r="M59" s="2"/>
      <c r="N59" s="2"/>
      <c r="O59" s="2"/>
      <c r="P59" s="2"/>
      <c r="Q59" s="2"/>
      <c r="S59" s="12">
        <f>_xlfn.XLOOKUP(F59,digikey_bom!$D:$D,digikey_bom!$H:$H)</f>
        <v>26</v>
      </c>
      <c r="T59" s="5">
        <f t="shared" si="3"/>
        <v>0</v>
      </c>
      <c r="U59" s="12" t="str">
        <f>_xlfn.XLOOKUP($F59,digikey_bom!$D:$D,digikey_bom!$A:$A)</f>
        <v>CRCW080510R0JNEAHP</v>
      </c>
      <c r="V59" s="5" t="b">
        <f t="shared" si="1"/>
        <v>1</v>
      </c>
      <c r="W59" s="12" t="str">
        <f>_xlfn.XLOOKUP($F59,digikey_bom!$D:$D,digikey_bom!$M:$M)</f>
        <v>RES SMD 10 OHM 5% 1/2W 0805</v>
      </c>
      <c r="X59" s="5" t="b">
        <f t="shared" si="2"/>
        <v>1</v>
      </c>
    </row>
    <row r="60" spans="1:24">
      <c r="A60" s="2" t="s">
        <v>382</v>
      </c>
      <c r="B60" s="25">
        <v>1</v>
      </c>
      <c r="C60" s="2">
        <v>0</v>
      </c>
      <c r="D60" s="2" t="s">
        <v>320</v>
      </c>
      <c r="E60" s="2" t="s">
        <v>383</v>
      </c>
      <c r="F60" s="25" t="s">
        <v>384</v>
      </c>
      <c r="G60" s="2" t="s">
        <v>15</v>
      </c>
      <c r="H60" s="2" t="s">
        <v>13</v>
      </c>
      <c r="I60" s="23" t="s">
        <v>14</v>
      </c>
      <c r="J60" s="2" t="s">
        <v>72</v>
      </c>
      <c r="K60" s="2"/>
      <c r="L60" s="2"/>
      <c r="M60" s="2"/>
      <c r="N60" s="2"/>
      <c r="O60" s="2"/>
      <c r="P60" s="2"/>
      <c r="Q60" s="2"/>
      <c r="S60" s="12">
        <f>_xlfn.XLOOKUP(F60,digikey_bom!$D:$D,digikey_bom!$H:$H)</f>
        <v>1</v>
      </c>
      <c r="T60" s="5">
        <f t="shared" si="3"/>
        <v>0</v>
      </c>
      <c r="U60" s="12" t="str">
        <f>_xlfn.XLOOKUP($F60,digikey_bom!$D:$D,digikey_bom!$A:$A)</f>
        <v>RC0603JR-070RL</v>
      </c>
      <c r="V60" s="5" t="b">
        <f t="shared" si="1"/>
        <v>0</v>
      </c>
      <c r="W60" s="12" t="str">
        <f>_xlfn.XLOOKUP($F60,digikey_bom!$D:$D,digikey_bom!$M:$M)</f>
        <v>RES SMD 0 OHM JUMPER 1/10W 0603</v>
      </c>
      <c r="X60" s="5" t="b">
        <f t="shared" si="2"/>
        <v>0</v>
      </c>
    </row>
    <row r="61" spans="1:24">
      <c r="A61" s="2" t="s">
        <v>258</v>
      </c>
      <c r="B61" s="25">
        <v>4</v>
      </c>
      <c r="C61" s="2" t="s">
        <v>259</v>
      </c>
      <c r="D61" s="2" t="s">
        <v>250</v>
      </c>
      <c r="E61" s="2" t="s">
        <v>260</v>
      </c>
      <c r="F61" s="25" t="s">
        <v>261</v>
      </c>
      <c r="G61" s="2" t="s">
        <v>35</v>
      </c>
      <c r="H61" s="2" t="s">
        <v>34</v>
      </c>
      <c r="I61" s="23">
        <v>74279220181</v>
      </c>
      <c r="J61" s="2" t="s">
        <v>233</v>
      </c>
      <c r="K61" s="2"/>
      <c r="L61" s="2"/>
      <c r="M61" s="2"/>
      <c r="N61" s="2"/>
      <c r="O61" s="2"/>
      <c r="P61" s="2"/>
      <c r="Q61" s="2"/>
      <c r="S61" s="12">
        <f>_xlfn.XLOOKUP(F61,digikey_bom!$D:$D,digikey_bom!$H:$H)</f>
        <v>4</v>
      </c>
      <c r="T61" s="5">
        <f t="shared" si="3"/>
        <v>0</v>
      </c>
      <c r="U61" s="12">
        <f>_xlfn.XLOOKUP($F61,digikey_bom!$D:$D,digikey_bom!$A:$A)</f>
        <v>74279220181</v>
      </c>
      <c r="V61" s="5" t="b">
        <f t="shared" si="1"/>
        <v>1</v>
      </c>
      <c r="W61" s="12" t="str">
        <f>_xlfn.XLOOKUP($F61,digikey_bom!$D:$D,digikey_bom!$M:$M)</f>
        <v>FERRITE BEAD 180 OHM 0805 1LN</v>
      </c>
      <c r="X61" s="5" t="b">
        <f t="shared" si="2"/>
        <v>1</v>
      </c>
    </row>
    <row r="62" spans="1:24">
      <c r="A62" s="2" t="s">
        <v>209</v>
      </c>
      <c r="B62" s="25">
        <v>1</v>
      </c>
      <c r="C62" s="2" t="s">
        <v>210</v>
      </c>
      <c r="D62" s="2" t="s">
        <v>211</v>
      </c>
      <c r="E62" s="2" t="s">
        <v>212</v>
      </c>
      <c r="F62" s="25" t="s">
        <v>213</v>
      </c>
      <c r="G62" s="2" t="s">
        <v>12</v>
      </c>
      <c r="H62" s="2" t="s">
        <v>10</v>
      </c>
      <c r="I62" s="23" t="s">
        <v>11</v>
      </c>
      <c r="J62" s="2" t="s">
        <v>67</v>
      </c>
      <c r="K62" s="2"/>
      <c r="L62" s="2"/>
      <c r="M62" s="2"/>
      <c r="N62" s="2"/>
      <c r="O62" s="2"/>
      <c r="P62" s="2"/>
      <c r="Q62" s="2"/>
      <c r="S62" s="12">
        <f>_xlfn.XLOOKUP(F62,digikey_bom!$D:$D,digikey_bom!$H:$H)</f>
        <v>1</v>
      </c>
      <c r="T62" s="5">
        <f t="shared" si="3"/>
        <v>0</v>
      </c>
      <c r="U62" s="12" t="str">
        <f>_xlfn.XLOOKUP($F62,digikey_bom!$D:$D,digikey_bom!$A:$A)</f>
        <v>R60DF4330506AJ</v>
      </c>
      <c r="V62" s="5" t="b">
        <f t="shared" si="1"/>
        <v>1</v>
      </c>
      <c r="W62" s="12" t="str">
        <f>_xlfn.XLOOKUP($F62,digikey_bom!$D:$D,digikey_bom!$M:$M)</f>
        <v>CAP FILM 3.3UF 5% 63VDC RADIAL</v>
      </c>
      <c r="X62" s="5" t="b">
        <f t="shared" si="2"/>
        <v>1</v>
      </c>
    </row>
    <row r="63" spans="1:24">
      <c r="A63" s="2" t="s">
        <v>139</v>
      </c>
      <c r="B63" s="25">
        <v>3</v>
      </c>
      <c r="C63" s="2" t="s">
        <v>140</v>
      </c>
      <c r="D63" s="2" t="s">
        <v>141</v>
      </c>
      <c r="E63" s="2" t="s">
        <v>142</v>
      </c>
      <c r="F63" s="25"/>
      <c r="G63" s="2" t="s">
        <v>143</v>
      </c>
      <c r="H63" s="2"/>
      <c r="I63" s="23" t="s">
        <v>144</v>
      </c>
      <c r="J63" s="2"/>
      <c r="K63" s="2"/>
      <c r="L63" s="2"/>
      <c r="M63" s="2"/>
      <c r="N63" s="2"/>
      <c r="O63" s="2"/>
      <c r="P63" s="2"/>
      <c r="Q63" s="2"/>
      <c r="S63" s="12">
        <f>_xlfn.XLOOKUP(F63,digikey_bom!$D:$D,digikey_bom!$H:$H)</f>
        <v>0</v>
      </c>
      <c r="T63" s="5">
        <f t="shared" si="3"/>
        <v>-3</v>
      </c>
      <c r="U63" s="12">
        <f>_xlfn.XLOOKUP($F63,digikey_bom!$D:$D,digikey_bom!$A:$A)</f>
        <v>0</v>
      </c>
      <c r="V63" s="5" t="b">
        <f t="shared" si="1"/>
        <v>0</v>
      </c>
      <c r="W63" s="12">
        <f>_xlfn.XLOOKUP($F63,digikey_bom!$D:$D,digikey_bom!$M:$M)</f>
        <v>0</v>
      </c>
      <c r="X63" s="5" t="b">
        <f t="shared" si="2"/>
        <v>0</v>
      </c>
    </row>
    <row r="64" spans="1:24">
      <c r="A64" s="2" t="s">
        <v>302</v>
      </c>
      <c r="B64" s="25">
        <v>1</v>
      </c>
      <c r="C64" s="2" t="s">
        <v>303</v>
      </c>
      <c r="D64" s="2" t="s">
        <v>304</v>
      </c>
      <c r="E64" s="2"/>
      <c r="F64" s="25"/>
      <c r="G64" s="2" t="s">
        <v>143</v>
      </c>
      <c r="H64" s="2"/>
      <c r="I64" s="23" t="s">
        <v>144</v>
      </c>
      <c r="J64" s="2"/>
      <c r="K64" s="2"/>
      <c r="L64" s="2"/>
      <c r="M64" s="2"/>
      <c r="N64" s="2"/>
      <c r="O64" s="2"/>
      <c r="P64" s="2"/>
      <c r="Q64" s="2"/>
      <c r="S64" s="12">
        <f>_xlfn.XLOOKUP(F64,digikey_bom!$D:$D,digikey_bom!$H:$H)</f>
        <v>0</v>
      </c>
      <c r="T64" s="5">
        <f t="shared" si="3"/>
        <v>-1</v>
      </c>
      <c r="U64" s="12">
        <f>_xlfn.XLOOKUP($F64,digikey_bom!$D:$D,digikey_bom!$A:$A)</f>
        <v>0</v>
      </c>
      <c r="V64" s="5" t="b">
        <f t="shared" si="1"/>
        <v>0</v>
      </c>
      <c r="W64" s="12">
        <f>_xlfn.XLOOKUP($F64,digikey_bom!$D:$D,digikey_bom!$M:$M)</f>
        <v>0</v>
      </c>
      <c r="X64" s="5" t="b">
        <f t="shared" si="2"/>
        <v>0</v>
      </c>
    </row>
    <row r="65" spans="1:24">
      <c r="A65" s="2" t="s">
        <v>410</v>
      </c>
      <c r="B65" s="25">
        <v>4</v>
      </c>
      <c r="C65" s="2" t="s">
        <v>411</v>
      </c>
      <c r="D65" s="2" t="s">
        <v>320</v>
      </c>
      <c r="E65" s="2"/>
      <c r="F65" s="25"/>
      <c r="G65" s="2" t="s">
        <v>143</v>
      </c>
      <c r="H65" s="2"/>
      <c r="I65" s="23" t="s">
        <v>144</v>
      </c>
      <c r="J65" s="2"/>
      <c r="K65" s="2"/>
      <c r="L65" s="2"/>
      <c r="M65" s="2"/>
      <c r="N65" s="2"/>
      <c r="O65" s="2"/>
      <c r="P65" s="2"/>
      <c r="Q65" s="2"/>
      <c r="S65" s="12">
        <f>_xlfn.XLOOKUP(F65,digikey_bom!$D:$D,digikey_bom!$H:$H)</f>
        <v>0</v>
      </c>
      <c r="T65" s="5">
        <f t="shared" si="3"/>
        <v>-4</v>
      </c>
      <c r="U65" s="12">
        <f>_xlfn.XLOOKUP($F65,digikey_bom!$D:$D,digikey_bom!$A:$A)</f>
        <v>0</v>
      </c>
      <c r="V65" s="5" t="b">
        <f t="shared" si="1"/>
        <v>0</v>
      </c>
      <c r="W65" s="12">
        <f>_xlfn.XLOOKUP($F65,digikey_bom!$D:$D,digikey_bom!$M:$M)</f>
        <v>0</v>
      </c>
      <c r="X65" s="5" t="b">
        <f t="shared" si="2"/>
        <v>0</v>
      </c>
    </row>
    <row r="66" spans="1:24">
      <c r="A66" s="2" t="s">
        <v>422</v>
      </c>
      <c r="B66" s="25">
        <v>1</v>
      </c>
      <c r="C66" s="2" t="s">
        <v>423</v>
      </c>
      <c r="D66" s="2" t="s">
        <v>424</v>
      </c>
      <c r="E66" s="2" t="s">
        <v>142</v>
      </c>
      <c r="F66" s="25"/>
      <c r="G66" s="2" t="s">
        <v>143</v>
      </c>
      <c r="H66" s="2"/>
      <c r="I66" s="23" t="s">
        <v>144</v>
      </c>
      <c r="J66" s="2"/>
      <c r="K66" s="2"/>
      <c r="L66" s="2"/>
      <c r="M66" s="2"/>
      <c r="N66" s="2"/>
      <c r="O66" s="2"/>
      <c r="P66" s="2"/>
      <c r="Q66" s="2"/>
      <c r="S66" s="12">
        <f>_xlfn.XLOOKUP(F66,digikey_bom!$D:$D,digikey_bom!$H:$H)</f>
        <v>0</v>
      </c>
      <c r="T66" s="5">
        <f t="shared" ref="T66:T97" si="4">S66-B66</f>
        <v>-1</v>
      </c>
      <c r="U66" s="12">
        <f>_xlfn.XLOOKUP($F66,digikey_bom!$D:$D,digikey_bom!$A:$A)</f>
        <v>0</v>
      </c>
      <c r="V66" s="5" t="b">
        <f t="shared" si="1"/>
        <v>0</v>
      </c>
      <c r="W66" s="12">
        <f>_xlfn.XLOOKUP($F66,digikey_bom!$D:$D,digikey_bom!$M:$M)</f>
        <v>0</v>
      </c>
      <c r="X66" s="5" t="b">
        <f t="shared" si="2"/>
        <v>0</v>
      </c>
    </row>
    <row r="67" spans="1:24">
      <c r="A67" s="2" t="s">
        <v>425</v>
      </c>
      <c r="B67" s="25">
        <v>3</v>
      </c>
      <c r="C67" s="2" t="s">
        <v>426</v>
      </c>
      <c r="D67" s="2" t="s">
        <v>424</v>
      </c>
      <c r="E67" s="2" t="s">
        <v>142</v>
      </c>
      <c r="F67" s="25"/>
      <c r="G67" s="2" t="s">
        <v>143</v>
      </c>
      <c r="H67" s="2"/>
      <c r="I67" s="23" t="s">
        <v>144</v>
      </c>
      <c r="J67" s="2"/>
      <c r="K67" s="2"/>
      <c r="L67" s="2"/>
      <c r="M67" s="2"/>
      <c r="N67" s="2"/>
      <c r="O67" s="2"/>
      <c r="P67" s="2"/>
      <c r="Q67" s="2"/>
      <c r="S67" s="12">
        <f>_xlfn.XLOOKUP(F67,digikey_bom!$D:$D,digikey_bom!$H:$H)</f>
        <v>0</v>
      </c>
      <c r="T67" s="5">
        <f t="shared" si="4"/>
        <v>-3</v>
      </c>
      <c r="U67" s="12">
        <f>_xlfn.XLOOKUP($F67,digikey_bom!$D:$D,digikey_bom!$A:$A)</f>
        <v>0</v>
      </c>
      <c r="V67" s="5" t="b">
        <f t="shared" ref="V67:V83" si="5">EXACT(I67,U67)</f>
        <v>0</v>
      </c>
      <c r="W67" s="12">
        <f>_xlfn.XLOOKUP($F67,digikey_bom!$D:$D,digikey_bom!$M:$M)</f>
        <v>0</v>
      </c>
      <c r="X67" s="5" t="b">
        <f t="shared" ref="X67:X83" si="6">EXACT(G67,W67)</f>
        <v>0</v>
      </c>
    </row>
    <row r="68" spans="1:24">
      <c r="A68" s="2" t="s">
        <v>427</v>
      </c>
      <c r="B68" s="25">
        <v>3</v>
      </c>
      <c r="C68" s="2" t="s">
        <v>428</v>
      </c>
      <c r="D68" s="2" t="s">
        <v>424</v>
      </c>
      <c r="E68" s="2" t="s">
        <v>142</v>
      </c>
      <c r="F68" s="25"/>
      <c r="G68" s="2" t="s">
        <v>143</v>
      </c>
      <c r="H68" s="2"/>
      <c r="I68" s="23" t="s">
        <v>144</v>
      </c>
      <c r="J68" s="2"/>
      <c r="K68" s="2"/>
      <c r="L68" s="2"/>
      <c r="M68" s="2"/>
      <c r="N68" s="2"/>
      <c r="O68" s="2"/>
      <c r="P68" s="2"/>
      <c r="Q68" s="2"/>
      <c r="S68" s="12">
        <f>_xlfn.XLOOKUP(F68,digikey_bom!$D:$D,digikey_bom!$H:$H)</f>
        <v>0</v>
      </c>
      <c r="T68" s="5">
        <f t="shared" si="4"/>
        <v>-3</v>
      </c>
      <c r="U68" s="12">
        <f>_xlfn.XLOOKUP($F68,digikey_bom!$D:$D,digikey_bom!$A:$A)</f>
        <v>0</v>
      </c>
      <c r="V68" s="5" t="b">
        <f t="shared" si="5"/>
        <v>0</v>
      </c>
      <c r="W68" s="12">
        <f>_xlfn.XLOOKUP($F68,digikey_bom!$D:$D,digikey_bom!$M:$M)</f>
        <v>0</v>
      </c>
      <c r="X68" s="5" t="b">
        <f t="shared" si="6"/>
        <v>0</v>
      </c>
    </row>
    <row r="69" spans="1:24">
      <c r="A69" s="2" t="s">
        <v>429</v>
      </c>
      <c r="B69" s="25">
        <v>3</v>
      </c>
      <c r="C69" s="2" t="s">
        <v>430</v>
      </c>
      <c r="D69" s="2" t="s">
        <v>424</v>
      </c>
      <c r="E69" s="2" t="s">
        <v>142</v>
      </c>
      <c r="F69" s="25"/>
      <c r="G69" s="2" t="s">
        <v>143</v>
      </c>
      <c r="H69" s="2"/>
      <c r="I69" s="23" t="s">
        <v>144</v>
      </c>
      <c r="J69" s="2"/>
      <c r="K69" s="2"/>
      <c r="L69" s="2"/>
      <c r="M69" s="2"/>
      <c r="N69" s="2"/>
      <c r="O69" s="2"/>
      <c r="P69" s="2"/>
      <c r="Q69" s="2"/>
      <c r="S69" s="12">
        <f>_xlfn.XLOOKUP(F69,digikey_bom!$D:$D,digikey_bom!$H:$H)</f>
        <v>0</v>
      </c>
      <c r="T69" s="5">
        <f t="shared" si="4"/>
        <v>-3</v>
      </c>
      <c r="U69" s="12">
        <f>_xlfn.XLOOKUP($F69,digikey_bom!$D:$D,digikey_bom!$A:$A)</f>
        <v>0</v>
      </c>
      <c r="V69" s="5" t="b">
        <f t="shared" si="5"/>
        <v>0</v>
      </c>
      <c r="W69" s="12">
        <f>_xlfn.XLOOKUP($F69,digikey_bom!$D:$D,digikey_bom!$M:$M)</f>
        <v>0</v>
      </c>
      <c r="X69" s="5" t="b">
        <f t="shared" si="6"/>
        <v>0</v>
      </c>
    </row>
    <row r="70" spans="1:24">
      <c r="A70" s="2" t="s">
        <v>431</v>
      </c>
      <c r="B70" s="25">
        <v>3</v>
      </c>
      <c r="C70" s="2">
        <f>+IN15</f>
        <v>0</v>
      </c>
      <c r="D70" s="2" t="s">
        <v>424</v>
      </c>
      <c r="E70" s="2" t="s">
        <v>142</v>
      </c>
      <c r="F70" s="25"/>
      <c r="G70" s="2" t="s">
        <v>143</v>
      </c>
      <c r="H70" s="2"/>
      <c r="I70" s="23" t="s">
        <v>144</v>
      </c>
      <c r="J70" s="2"/>
      <c r="K70" s="2"/>
      <c r="L70" s="2"/>
      <c r="M70" s="2"/>
      <c r="N70" s="2"/>
      <c r="O70" s="2"/>
      <c r="P70" s="2"/>
      <c r="Q70" s="2"/>
      <c r="S70" s="12">
        <f>_xlfn.XLOOKUP(F70,digikey_bom!$D:$D,digikey_bom!$H:$H)</f>
        <v>0</v>
      </c>
      <c r="T70" s="5">
        <f t="shared" si="4"/>
        <v>-3</v>
      </c>
      <c r="U70" s="12">
        <f>_xlfn.XLOOKUP($F70,digikey_bom!$D:$D,digikey_bom!$A:$A)</f>
        <v>0</v>
      </c>
      <c r="V70" s="5" t="b">
        <f t="shared" si="5"/>
        <v>0</v>
      </c>
      <c r="W70" s="12">
        <f>_xlfn.XLOOKUP($F70,digikey_bom!$D:$D,digikey_bom!$M:$M)</f>
        <v>0</v>
      </c>
      <c r="X70" s="5" t="b">
        <f t="shared" si="6"/>
        <v>0</v>
      </c>
    </row>
    <row r="71" spans="1:24">
      <c r="A71" s="2" t="s">
        <v>432</v>
      </c>
      <c r="B71" s="25">
        <v>3</v>
      </c>
      <c r="C71" s="2">
        <f>-IN15</f>
        <v>0</v>
      </c>
      <c r="D71" s="2" t="s">
        <v>424</v>
      </c>
      <c r="E71" s="2" t="s">
        <v>142</v>
      </c>
      <c r="F71" s="25"/>
      <c r="G71" s="2" t="s">
        <v>143</v>
      </c>
      <c r="H71" s="2"/>
      <c r="I71" s="23" t="s">
        <v>144</v>
      </c>
      <c r="J71" s="2"/>
      <c r="K71" s="2"/>
      <c r="L71" s="2"/>
      <c r="M71" s="2"/>
      <c r="N71" s="2"/>
      <c r="O71" s="2"/>
      <c r="P71" s="2"/>
      <c r="Q71" s="2"/>
      <c r="S71" s="12">
        <f>_xlfn.XLOOKUP(F71,digikey_bom!$D:$D,digikey_bom!$H:$H)</f>
        <v>0</v>
      </c>
      <c r="T71" s="5">
        <f t="shared" si="4"/>
        <v>-3</v>
      </c>
      <c r="U71" s="12">
        <f>_xlfn.XLOOKUP($F71,digikey_bom!$D:$D,digikey_bom!$A:$A)</f>
        <v>0</v>
      </c>
      <c r="V71" s="5" t="b">
        <f t="shared" si="5"/>
        <v>0</v>
      </c>
      <c r="W71" s="12">
        <f>_xlfn.XLOOKUP($F71,digikey_bom!$D:$D,digikey_bom!$M:$M)</f>
        <v>0</v>
      </c>
      <c r="X71" s="5" t="b">
        <f t="shared" si="6"/>
        <v>0</v>
      </c>
    </row>
    <row r="72" spans="1:24">
      <c r="A72" s="2" t="s">
        <v>433</v>
      </c>
      <c r="B72" s="25">
        <v>3</v>
      </c>
      <c r="C72" s="2">
        <f>-IN14</f>
        <v>0</v>
      </c>
      <c r="D72" s="2" t="s">
        <v>424</v>
      </c>
      <c r="E72" s="2" t="s">
        <v>142</v>
      </c>
      <c r="F72" s="25"/>
      <c r="G72" s="2" t="s">
        <v>143</v>
      </c>
      <c r="H72" s="2"/>
      <c r="I72" s="23" t="s">
        <v>144</v>
      </c>
      <c r="J72" s="2"/>
      <c r="K72" s="2"/>
      <c r="L72" s="2"/>
      <c r="M72" s="2"/>
      <c r="N72" s="2"/>
      <c r="O72" s="2"/>
      <c r="P72" s="2"/>
      <c r="Q72" s="2"/>
      <c r="S72" s="12">
        <f>_xlfn.XLOOKUP(F72,digikey_bom!$D:$D,digikey_bom!$H:$H)</f>
        <v>0</v>
      </c>
      <c r="T72" s="5">
        <f t="shared" si="4"/>
        <v>-3</v>
      </c>
      <c r="U72" s="12">
        <f>_xlfn.XLOOKUP($F72,digikey_bom!$D:$D,digikey_bom!$A:$A)</f>
        <v>0</v>
      </c>
      <c r="V72" s="5" t="b">
        <f t="shared" si="5"/>
        <v>0</v>
      </c>
      <c r="W72" s="12">
        <f>_xlfn.XLOOKUP($F72,digikey_bom!$D:$D,digikey_bom!$M:$M)</f>
        <v>0</v>
      </c>
      <c r="X72" s="5" t="b">
        <f t="shared" si="6"/>
        <v>0</v>
      </c>
    </row>
    <row r="73" spans="1:24">
      <c r="A73" s="2" t="s">
        <v>434</v>
      </c>
      <c r="B73" s="25">
        <v>3</v>
      </c>
      <c r="C73" s="2">
        <f>+IN14</f>
        <v>0</v>
      </c>
      <c r="D73" s="2" t="s">
        <v>424</v>
      </c>
      <c r="E73" s="2" t="s">
        <v>142</v>
      </c>
      <c r="F73" s="25"/>
      <c r="G73" s="2" t="s">
        <v>143</v>
      </c>
      <c r="H73" s="2"/>
      <c r="I73" s="23" t="s">
        <v>144</v>
      </c>
      <c r="J73" s="2"/>
      <c r="K73" s="2"/>
      <c r="L73" s="2"/>
      <c r="M73" s="2"/>
      <c r="N73" s="2"/>
      <c r="O73" s="2"/>
      <c r="P73" s="2"/>
      <c r="Q73" s="2"/>
      <c r="S73" s="12">
        <f>_xlfn.XLOOKUP(F73,digikey_bom!$D:$D,digikey_bom!$H:$H)</f>
        <v>0</v>
      </c>
      <c r="T73" s="5">
        <f t="shared" si="4"/>
        <v>-3</v>
      </c>
      <c r="U73" s="12">
        <f>_xlfn.XLOOKUP($F73,digikey_bom!$D:$D,digikey_bom!$A:$A)</f>
        <v>0</v>
      </c>
      <c r="V73" s="5" t="b">
        <f t="shared" si="5"/>
        <v>0</v>
      </c>
      <c r="W73" s="12">
        <f>_xlfn.XLOOKUP($F73,digikey_bom!$D:$D,digikey_bom!$M:$M)</f>
        <v>0</v>
      </c>
      <c r="X73" s="5" t="b">
        <f t="shared" si="6"/>
        <v>0</v>
      </c>
    </row>
    <row r="74" spans="1:24">
      <c r="A74" s="2" t="s">
        <v>435</v>
      </c>
      <c r="B74" s="25">
        <v>3</v>
      </c>
      <c r="C74" s="2" t="s">
        <v>436</v>
      </c>
      <c r="D74" s="2" t="s">
        <v>437</v>
      </c>
      <c r="E74" s="2" t="s">
        <v>142</v>
      </c>
      <c r="F74" s="25"/>
      <c r="G74" s="2" t="s">
        <v>143</v>
      </c>
      <c r="H74" s="2"/>
      <c r="I74" s="23" t="s">
        <v>144</v>
      </c>
      <c r="J74" s="2"/>
      <c r="K74" s="2"/>
      <c r="L74" s="2"/>
      <c r="M74" s="2"/>
      <c r="N74" s="2"/>
      <c r="O74" s="2"/>
      <c r="P74" s="2"/>
      <c r="Q74" s="2"/>
      <c r="S74" s="12">
        <f>_xlfn.XLOOKUP(F74,digikey_bom!$D:$D,digikey_bom!$H:$H)</f>
        <v>0</v>
      </c>
      <c r="T74" s="5">
        <f t="shared" si="4"/>
        <v>-3</v>
      </c>
      <c r="U74" s="12">
        <f>_xlfn.XLOOKUP($F74,digikey_bom!$D:$D,digikey_bom!$A:$A)</f>
        <v>0</v>
      </c>
      <c r="V74" s="5" t="b">
        <f t="shared" si="5"/>
        <v>0</v>
      </c>
      <c r="W74" s="12">
        <f>_xlfn.XLOOKUP($F74,digikey_bom!$D:$D,digikey_bom!$M:$M)</f>
        <v>0</v>
      </c>
      <c r="X74" s="5" t="b">
        <f t="shared" si="6"/>
        <v>0</v>
      </c>
    </row>
    <row r="75" spans="1:24">
      <c r="A75" s="2" t="s">
        <v>438</v>
      </c>
      <c r="B75" s="25">
        <v>3</v>
      </c>
      <c r="C75" s="2" t="s">
        <v>439</v>
      </c>
      <c r="D75" s="2" t="s">
        <v>424</v>
      </c>
      <c r="E75" s="2" t="s">
        <v>142</v>
      </c>
      <c r="F75" s="25"/>
      <c r="G75" s="2" t="s">
        <v>143</v>
      </c>
      <c r="H75" s="2"/>
      <c r="I75" s="23" t="s">
        <v>144</v>
      </c>
      <c r="J75" s="2"/>
      <c r="K75" s="2"/>
      <c r="L75" s="2"/>
      <c r="M75" s="2"/>
      <c r="N75" s="2"/>
      <c r="O75" s="2"/>
      <c r="P75" s="2"/>
      <c r="Q75" s="2"/>
      <c r="S75" s="12">
        <f>_xlfn.XLOOKUP(F75,digikey_bom!$D:$D,digikey_bom!$H:$H)</f>
        <v>0</v>
      </c>
      <c r="T75" s="5">
        <f t="shared" si="4"/>
        <v>-3</v>
      </c>
      <c r="U75" s="12">
        <f>_xlfn.XLOOKUP($F75,digikey_bom!$D:$D,digikey_bom!$A:$A)</f>
        <v>0</v>
      </c>
      <c r="V75" s="5" t="b">
        <f t="shared" si="5"/>
        <v>0</v>
      </c>
      <c r="W75" s="12">
        <f>_xlfn.XLOOKUP($F75,digikey_bom!$D:$D,digikey_bom!$M:$M)</f>
        <v>0</v>
      </c>
      <c r="X75" s="5" t="b">
        <f t="shared" si="6"/>
        <v>0</v>
      </c>
    </row>
    <row r="76" spans="1:24">
      <c r="A76" s="2" t="s">
        <v>440</v>
      </c>
      <c r="B76" s="25">
        <v>1</v>
      </c>
      <c r="C76" s="2" t="s">
        <v>441</v>
      </c>
      <c r="D76" s="2" t="s">
        <v>424</v>
      </c>
      <c r="E76" s="2" t="s">
        <v>142</v>
      </c>
      <c r="F76" s="25"/>
      <c r="G76" s="2" t="s">
        <v>143</v>
      </c>
      <c r="H76" s="2"/>
      <c r="I76" s="23" t="s">
        <v>144</v>
      </c>
      <c r="J76" s="2"/>
      <c r="K76" s="2"/>
      <c r="L76" s="2"/>
      <c r="M76" s="2"/>
      <c r="N76" s="2"/>
      <c r="O76" s="2"/>
      <c r="P76" s="2"/>
      <c r="Q76" s="2"/>
      <c r="S76" s="12">
        <f>_xlfn.XLOOKUP(F76,digikey_bom!$D:$D,digikey_bom!$H:$H)</f>
        <v>0</v>
      </c>
      <c r="T76" s="5">
        <f t="shared" si="4"/>
        <v>-1</v>
      </c>
      <c r="U76" s="12">
        <f>_xlfn.XLOOKUP($F76,digikey_bom!$D:$D,digikey_bom!$A:$A)</f>
        <v>0</v>
      </c>
      <c r="V76" s="5" t="b">
        <f t="shared" si="5"/>
        <v>0</v>
      </c>
      <c r="W76" s="12">
        <f>_xlfn.XLOOKUP($F76,digikey_bom!$D:$D,digikey_bom!$M:$M)</f>
        <v>0</v>
      </c>
      <c r="X76" s="5" t="b">
        <f t="shared" si="6"/>
        <v>0</v>
      </c>
    </row>
    <row r="77" spans="1:24">
      <c r="A77" s="2" t="s">
        <v>442</v>
      </c>
      <c r="B77" s="25">
        <v>1</v>
      </c>
      <c r="C77" s="2" t="s">
        <v>443</v>
      </c>
      <c r="D77" s="2" t="s">
        <v>424</v>
      </c>
      <c r="E77" s="2" t="s">
        <v>142</v>
      </c>
      <c r="F77" s="25"/>
      <c r="G77" s="2" t="s">
        <v>143</v>
      </c>
      <c r="H77" s="2"/>
      <c r="I77" s="23" t="s">
        <v>144</v>
      </c>
      <c r="J77" s="2"/>
      <c r="K77" s="2"/>
      <c r="L77" s="2"/>
      <c r="M77" s="2"/>
      <c r="N77" s="2"/>
      <c r="O77" s="2"/>
      <c r="P77" s="2"/>
      <c r="Q77" s="2"/>
      <c r="S77" s="12">
        <f>_xlfn.XLOOKUP(F77,digikey_bom!$D:$D,digikey_bom!$H:$H)</f>
        <v>0</v>
      </c>
      <c r="T77" s="5">
        <f t="shared" si="4"/>
        <v>-1</v>
      </c>
      <c r="U77" s="12">
        <f>_xlfn.XLOOKUP($F77,digikey_bom!$D:$D,digikey_bom!$A:$A)</f>
        <v>0</v>
      </c>
      <c r="V77" s="5" t="b">
        <f t="shared" si="5"/>
        <v>0</v>
      </c>
      <c r="W77" s="12">
        <f>_xlfn.XLOOKUP($F77,digikey_bom!$D:$D,digikey_bom!$M:$M)</f>
        <v>0</v>
      </c>
      <c r="X77" s="5" t="b">
        <f t="shared" si="6"/>
        <v>0</v>
      </c>
    </row>
    <row r="78" spans="1:24">
      <c r="A78" s="2" t="s">
        <v>447</v>
      </c>
      <c r="B78" s="25">
        <v>1</v>
      </c>
      <c r="C78" s="2" t="s">
        <v>439</v>
      </c>
      <c r="D78" s="2" t="s">
        <v>437</v>
      </c>
      <c r="E78" s="2" t="s">
        <v>142</v>
      </c>
      <c r="F78" s="25"/>
      <c r="G78" s="2" t="s">
        <v>143</v>
      </c>
      <c r="H78" s="2"/>
      <c r="I78" s="23" t="s">
        <v>144</v>
      </c>
      <c r="J78" s="2"/>
      <c r="K78" s="2"/>
      <c r="L78" s="2"/>
      <c r="M78" s="2"/>
      <c r="N78" s="2"/>
      <c r="O78" s="2"/>
      <c r="P78" s="2"/>
      <c r="Q78" s="2"/>
      <c r="S78" s="12">
        <f>_xlfn.XLOOKUP(F78,digikey_bom!$D:$D,digikey_bom!$H:$H)</f>
        <v>0</v>
      </c>
      <c r="T78" s="5">
        <f t="shared" si="4"/>
        <v>-1</v>
      </c>
      <c r="U78" s="12">
        <f>_xlfn.XLOOKUP($F78,digikey_bom!$D:$D,digikey_bom!$A:$A)</f>
        <v>0</v>
      </c>
      <c r="V78" s="5" t="b">
        <f t="shared" si="5"/>
        <v>0</v>
      </c>
      <c r="W78" s="12">
        <f>_xlfn.XLOOKUP($F78,digikey_bom!$D:$D,digikey_bom!$M:$M)</f>
        <v>0</v>
      </c>
      <c r="X78" s="5" t="b">
        <f t="shared" si="6"/>
        <v>0</v>
      </c>
    </row>
    <row r="79" spans="1:24">
      <c r="A79" s="2" t="s">
        <v>448</v>
      </c>
      <c r="B79" s="25">
        <v>1</v>
      </c>
      <c r="C79" s="2" t="s">
        <v>449</v>
      </c>
      <c r="D79" s="2" t="s">
        <v>437</v>
      </c>
      <c r="E79" s="2" t="s">
        <v>142</v>
      </c>
      <c r="F79" s="25"/>
      <c r="G79" s="2" t="s">
        <v>143</v>
      </c>
      <c r="H79" s="2"/>
      <c r="I79" s="23" t="s">
        <v>144</v>
      </c>
      <c r="J79" s="2"/>
      <c r="K79" s="2"/>
      <c r="L79" s="2"/>
      <c r="M79" s="2"/>
      <c r="N79" s="2"/>
      <c r="O79" s="2"/>
      <c r="P79" s="2"/>
      <c r="Q79" s="2"/>
      <c r="S79" s="12">
        <f>_xlfn.XLOOKUP(F79,digikey_bom!$D:$D,digikey_bom!$H:$H)</f>
        <v>0</v>
      </c>
      <c r="T79" s="5">
        <f t="shared" si="4"/>
        <v>-1</v>
      </c>
      <c r="U79" s="12">
        <f>_xlfn.XLOOKUP($F79,digikey_bom!$D:$D,digikey_bom!$A:$A)</f>
        <v>0</v>
      </c>
      <c r="V79" s="5" t="b">
        <f t="shared" si="5"/>
        <v>0</v>
      </c>
      <c r="W79" s="12">
        <f>_xlfn.XLOOKUP($F79,digikey_bom!$D:$D,digikey_bom!$M:$M)</f>
        <v>0</v>
      </c>
      <c r="X79" s="5" t="b">
        <f t="shared" si="6"/>
        <v>0</v>
      </c>
    </row>
    <row r="80" spans="1:24">
      <c r="A80" s="2" t="s">
        <v>450</v>
      </c>
      <c r="B80" s="25">
        <v>1</v>
      </c>
      <c r="C80" s="2" t="s">
        <v>451</v>
      </c>
      <c r="D80" s="2" t="s">
        <v>437</v>
      </c>
      <c r="E80" s="2" t="s">
        <v>142</v>
      </c>
      <c r="F80" s="25"/>
      <c r="G80" s="2" t="s">
        <v>143</v>
      </c>
      <c r="H80" s="2"/>
      <c r="I80" s="23" t="s">
        <v>144</v>
      </c>
      <c r="J80" s="2"/>
      <c r="K80" s="2"/>
      <c r="L80" s="2"/>
      <c r="M80" s="2"/>
      <c r="N80" s="2"/>
      <c r="O80" s="2"/>
      <c r="P80" s="2"/>
      <c r="Q80" s="2"/>
      <c r="S80" s="12">
        <f>_xlfn.XLOOKUP(F80,digikey_bom!$D:$D,digikey_bom!$H:$H)</f>
        <v>0</v>
      </c>
      <c r="T80" s="5">
        <f t="shared" si="4"/>
        <v>-1</v>
      </c>
      <c r="U80" s="12">
        <f>_xlfn.XLOOKUP($F80,digikey_bom!$D:$D,digikey_bom!$A:$A)</f>
        <v>0</v>
      </c>
      <c r="V80" s="5" t="b">
        <f t="shared" si="5"/>
        <v>0</v>
      </c>
      <c r="W80" s="12">
        <f>_xlfn.XLOOKUP($F80,digikey_bom!$D:$D,digikey_bom!$M:$M)</f>
        <v>0</v>
      </c>
      <c r="X80" s="5" t="b">
        <f t="shared" si="6"/>
        <v>0</v>
      </c>
    </row>
    <row r="81" spans="1:24">
      <c r="A81" s="2" t="s">
        <v>452</v>
      </c>
      <c r="B81" s="25">
        <v>1</v>
      </c>
      <c r="C81" s="2" t="s">
        <v>453</v>
      </c>
      <c r="D81" s="2" t="s">
        <v>437</v>
      </c>
      <c r="E81" s="2" t="s">
        <v>142</v>
      </c>
      <c r="F81" s="25"/>
      <c r="G81" s="2" t="s">
        <v>143</v>
      </c>
      <c r="H81" s="2"/>
      <c r="I81" s="23" t="s">
        <v>144</v>
      </c>
      <c r="J81" s="2"/>
      <c r="K81" s="2"/>
      <c r="L81" s="2"/>
      <c r="M81" s="2"/>
      <c r="N81" s="2"/>
      <c r="O81" s="2"/>
      <c r="P81" s="2"/>
      <c r="Q81" s="2"/>
      <c r="S81" s="12">
        <f>_xlfn.XLOOKUP(F81,digikey_bom!$D:$D,digikey_bom!$H:$H)</f>
        <v>0</v>
      </c>
      <c r="T81" s="5">
        <f t="shared" si="4"/>
        <v>-1</v>
      </c>
      <c r="U81" s="12">
        <f>_xlfn.XLOOKUP($F81,digikey_bom!$D:$D,digikey_bom!$A:$A)</f>
        <v>0</v>
      </c>
      <c r="V81" s="5" t="b">
        <f t="shared" si="5"/>
        <v>0</v>
      </c>
      <c r="W81" s="12">
        <f>_xlfn.XLOOKUP($F81,digikey_bom!$D:$D,digikey_bom!$M:$M)</f>
        <v>0</v>
      </c>
      <c r="X81" s="5" t="b">
        <f t="shared" si="6"/>
        <v>0</v>
      </c>
    </row>
    <row r="82" spans="1:24">
      <c r="A82" s="2" t="s">
        <v>454</v>
      </c>
      <c r="B82" s="25">
        <v>1</v>
      </c>
      <c r="C82" s="2" t="s">
        <v>455</v>
      </c>
      <c r="D82" s="2" t="s">
        <v>437</v>
      </c>
      <c r="E82" s="2" t="s">
        <v>142</v>
      </c>
      <c r="F82" s="25"/>
      <c r="G82" s="2" t="s">
        <v>143</v>
      </c>
      <c r="H82" s="2"/>
      <c r="I82" s="23" t="s">
        <v>144</v>
      </c>
      <c r="J82" s="2"/>
      <c r="K82" s="2"/>
      <c r="L82" s="2"/>
      <c r="M82" s="2"/>
      <c r="N82" s="2"/>
      <c r="O82" s="2"/>
      <c r="P82" s="2"/>
      <c r="Q82" s="2"/>
      <c r="S82" s="12">
        <f>_xlfn.XLOOKUP(F82,digikey_bom!$D:$D,digikey_bom!$H:$H)</f>
        <v>0</v>
      </c>
      <c r="T82" s="5">
        <f t="shared" si="4"/>
        <v>-1</v>
      </c>
      <c r="U82" s="12">
        <f>_xlfn.XLOOKUP($F82,digikey_bom!$D:$D,digikey_bom!$A:$A)</f>
        <v>0</v>
      </c>
      <c r="V82" s="5" t="b">
        <f t="shared" si="5"/>
        <v>0</v>
      </c>
      <c r="W82" s="12">
        <f>_xlfn.XLOOKUP($F82,digikey_bom!$D:$D,digikey_bom!$M:$M)</f>
        <v>0</v>
      </c>
      <c r="X82" s="5" t="b">
        <f t="shared" si="6"/>
        <v>0</v>
      </c>
    </row>
    <row r="83" spans="1:24">
      <c r="A83" s="2" t="s">
        <v>454</v>
      </c>
      <c r="B83" s="25">
        <v>1</v>
      </c>
      <c r="C83" s="2" t="s">
        <v>455</v>
      </c>
      <c r="D83" s="2" t="s">
        <v>437</v>
      </c>
      <c r="E83" s="2" t="s">
        <v>142</v>
      </c>
      <c r="F83" s="25"/>
      <c r="G83" s="2" t="s">
        <v>143</v>
      </c>
      <c r="H83" s="2"/>
      <c r="I83" s="23" t="s">
        <v>144</v>
      </c>
      <c r="J83" s="2"/>
      <c r="K83" s="2"/>
      <c r="L83" s="2"/>
      <c r="M83" s="2"/>
      <c r="N83" s="2"/>
      <c r="O83" s="2"/>
      <c r="P83" s="2"/>
      <c r="Q83" s="2"/>
      <c r="S83" s="12">
        <f>_xlfn.XLOOKUP(F83,digikey_bom!$D:$D,digikey_bom!$H:$H)</f>
        <v>0</v>
      </c>
      <c r="T83" s="5">
        <f t="shared" si="4"/>
        <v>-1</v>
      </c>
      <c r="U83" s="12">
        <f>_xlfn.XLOOKUP($F83,digikey_bom!$D:$D,digikey_bom!$A:$A)</f>
        <v>0</v>
      </c>
      <c r="V83" s="5" t="b">
        <f t="shared" si="5"/>
        <v>0</v>
      </c>
      <c r="W83" s="12">
        <f>_xlfn.XLOOKUP($F83,digikey_bom!$D:$D,digikey_bom!$M:$M)</f>
        <v>0</v>
      </c>
      <c r="X83" s="5" t="b">
        <f t="shared" si="6"/>
        <v>0</v>
      </c>
    </row>
  </sheetData>
  <sortState xmlns:xlrd2="http://schemas.microsoft.com/office/spreadsheetml/2017/richdata2" ref="A2:V83">
    <sortCondition ref="F2:F83"/>
  </sortState>
  <conditionalFormatting sqref="V1:V1048576 W1:X1">
    <cfRule type="cellIs" dxfId="2" priority="5" operator="equal">
      <formula>FALSE</formula>
    </cfRule>
    <cfRule type="colorScale" priority="6">
      <colorScale>
        <cfvo type="min"/>
        <cfvo type="percentile" val="50"/>
        <cfvo type="max"/>
        <color rgb="FFF8696B"/>
        <color rgb="FFFFEB84"/>
        <color rgb="FF63BE7B"/>
      </colorScale>
    </cfRule>
    <cfRule type="cellIs" priority="7" operator="greaterThan">
      <formula>0</formula>
    </cfRule>
  </conditionalFormatting>
  <conditionalFormatting sqref="T2:T83">
    <cfRule type="cellIs" dxfId="1" priority="4" operator="equal">
      <formula>0</formula>
    </cfRule>
  </conditionalFormatting>
  <conditionalFormatting sqref="X2:X83">
    <cfRule type="cellIs" dxfId="0" priority="1" operator="equal">
      <formula>FALSE</formula>
    </cfRule>
    <cfRule type="colorScale" priority="2">
      <colorScale>
        <cfvo type="min"/>
        <cfvo type="percentile" val="50"/>
        <cfvo type="max"/>
        <color rgb="FFF8696B"/>
        <color rgb="FFFFEB84"/>
        <color rgb="FF63BE7B"/>
      </colorScale>
    </cfRule>
    <cfRule type="cellIs" priority="3"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help</vt:lpstr>
      <vt:lpstr>cart</vt:lpstr>
      <vt:lpstr>digikey_bom</vt:lpstr>
      <vt:lpstr>kicad_bom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robma</dc:creator>
  <cp:lastModifiedBy>robma</cp:lastModifiedBy>
  <cp:lastPrinted>2020-07-23T20:19:14Z</cp:lastPrinted>
  <dcterms:created xsi:type="dcterms:W3CDTF">2020-07-20T16:17:13Z</dcterms:created>
  <dcterms:modified xsi:type="dcterms:W3CDTF">2021-02-24T17:30:08Z</dcterms:modified>
</cp:coreProperties>
</file>