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0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okecanada-my.sharepoint.com/personal/osilvazapata_cokecanada_com/Documents/Documents/2023/SIP/Cans Analysis/"/>
    </mc:Choice>
  </mc:AlternateContent>
  <xr:revisionPtr revIDLastSave="167" documentId="8_{F7B6EDD7-4581-435E-90D9-3A9536706A19}" xr6:coauthVersionLast="47" xr6:coauthVersionMax="47" xr10:uidLastSave="{9783604F-3EE9-4FC8-8309-232AEAB41CE1}"/>
  <bookViews>
    <workbookView xWindow="-28920" yWindow="-6660" windowWidth="29040" windowHeight="15840" firstSheet="1" activeTab="1" xr2:uid="{4736AF7F-2EBB-4B67-9CF8-E7C2EFF33F24}"/>
  </bookViews>
  <sheets>
    <sheet name="Transportation Cost" sheetId="1" r:id="rId1"/>
    <sheet name="Summary" sheetId="2" r:id="rId2"/>
  </sheets>
  <externalReferences>
    <externalReference r:id="rId3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0" i="2" l="1"/>
  <c r="Q9" i="2"/>
  <c r="N7" i="2"/>
  <c r="N6" i="2"/>
  <c r="M7" i="2"/>
  <c r="Q7" i="2"/>
  <c r="M6" i="2"/>
  <c r="Q6" i="2"/>
  <c r="N5" i="2"/>
  <c r="N4" i="2"/>
  <c r="M5" i="2"/>
  <c r="Q5" i="2"/>
  <c r="M4" i="2"/>
  <c r="Q4" i="2"/>
  <c r="N3" i="2"/>
  <c r="G10" i="2"/>
  <c r="Y45" i="1"/>
  <c r="Q45" i="1"/>
  <c r="M44" i="1"/>
  <c r="L44" i="1"/>
  <c r="M43" i="1"/>
  <c r="L43" i="1"/>
  <c r="M42" i="1"/>
  <c r="L42" i="1"/>
  <c r="M41" i="1"/>
  <c r="L41" i="1"/>
  <c r="M40" i="1"/>
  <c r="L40" i="1"/>
  <c r="M39" i="1"/>
  <c r="L39" i="1"/>
  <c r="M38" i="1"/>
  <c r="L38" i="1"/>
  <c r="M37" i="1"/>
  <c r="L37" i="1"/>
  <c r="S16" i="1"/>
  <c r="O45" i="1"/>
  <c r="P45" i="1"/>
  <c r="N45" i="1"/>
  <c r="O37" i="1"/>
  <c r="P37" i="1"/>
  <c r="O38" i="1"/>
  <c r="P38" i="1"/>
  <c r="O39" i="1"/>
  <c r="P39" i="1"/>
  <c r="O40" i="1"/>
  <c r="P40" i="1"/>
  <c r="O41" i="1"/>
  <c r="P41" i="1"/>
  <c r="O42" i="1"/>
  <c r="P42" i="1"/>
  <c r="O43" i="1"/>
  <c r="P43" i="1"/>
  <c r="O44" i="1"/>
  <c r="P44" i="1"/>
  <c r="N38" i="1"/>
  <c r="N39" i="1"/>
  <c r="N40" i="1"/>
  <c r="N41" i="1"/>
  <c r="N42" i="1"/>
  <c r="N43" i="1"/>
  <c r="N44" i="1"/>
  <c r="N37" i="1"/>
  <c r="C11" i="1"/>
  <c r="B11" i="1"/>
  <c r="C10" i="1"/>
  <c r="B10" i="1"/>
  <c r="C9" i="1"/>
  <c r="B9" i="1"/>
  <c r="C8" i="1"/>
  <c r="B8" i="1"/>
  <c r="C7" i="1"/>
  <c r="B7" i="1"/>
  <c r="C6" i="1"/>
  <c r="B6" i="1"/>
  <c r="C5" i="1"/>
  <c r="B5" i="1"/>
  <c r="C4" i="1"/>
  <c r="B4" i="1"/>
  <c r="C3" i="1"/>
  <c r="B3" i="1"/>
  <c r="C2" i="1"/>
  <c r="B2" i="1"/>
  <c r="F21" i="2"/>
  <c r="D19" i="2"/>
  <c r="E16" i="2"/>
  <c r="E21" i="2"/>
  <c r="F18" i="2"/>
  <c r="D16" i="2"/>
  <c r="D21" i="2"/>
  <c r="E18" i="2"/>
  <c r="F15" i="2"/>
  <c r="F20" i="2"/>
  <c r="D18" i="2"/>
  <c r="E15" i="2"/>
  <c r="E20" i="2"/>
  <c r="F17" i="2"/>
  <c r="D15" i="2"/>
  <c r="D20" i="2"/>
  <c r="E17" i="2"/>
  <c r="F14" i="2"/>
  <c r="F19" i="2"/>
  <c r="D17" i="2"/>
  <c r="E14" i="2"/>
  <c r="E19" i="2"/>
  <c r="F16" i="2"/>
  <c r="D14" i="2"/>
  <c r="I44" i="1"/>
  <c r="G42" i="1"/>
  <c r="H39" i="1"/>
  <c r="H44" i="1"/>
  <c r="I41" i="1"/>
  <c r="G39" i="1"/>
  <c r="G44" i="1"/>
  <c r="H41" i="1"/>
  <c r="I38" i="1"/>
  <c r="I43" i="1"/>
  <c r="G41" i="1"/>
  <c r="H38" i="1"/>
  <c r="H43" i="1"/>
  <c r="I40" i="1"/>
  <c r="G38" i="1"/>
  <c r="G43" i="1"/>
  <c r="H40" i="1"/>
  <c r="I37" i="1"/>
  <c r="I42" i="1"/>
  <c r="G40" i="1"/>
  <c r="H37" i="1"/>
  <c r="H42" i="1"/>
  <c r="I39" i="1"/>
  <c r="G37" i="1"/>
  <c r="Q9" i="1"/>
  <c r="E9" i="1"/>
  <c r="N8" i="1"/>
  <c r="K7" i="1"/>
  <c r="D6" i="1"/>
  <c r="F4" i="1"/>
  <c r="E2" i="1"/>
  <c r="P9" i="1"/>
  <c r="D9" i="1"/>
  <c r="M8" i="1"/>
  <c r="R7" i="1"/>
  <c r="F7" i="1"/>
  <c r="E4" i="1"/>
  <c r="D2" i="1"/>
  <c r="F10" i="1"/>
  <c r="O9" i="1"/>
  <c r="L8" i="1"/>
  <c r="Q7" i="1"/>
  <c r="E7" i="1"/>
  <c r="D4" i="1"/>
  <c r="E10" i="1"/>
  <c r="N9" i="1"/>
  <c r="K8" i="1"/>
  <c r="P7" i="1"/>
  <c r="D7" i="1"/>
  <c r="F5" i="1"/>
  <c r="D10" i="1"/>
  <c r="M9" i="1"/>
  <c r="R8" i="1"/>
  <c r="F8" i="1"/>
  <c r="O7" i="1"/>
  <c r="E5" i="1"/>
  <c r="L9" i="1"/>
  <c r="Q8" i="1"/>
  <c r="E8" i="1"/>
  <c r="N7" i="1"/>
  <c r="D5" i="1"/>
  <c r="K9" i="1"/>
  <c r="P8" i="1"/>
  <c r="D8" i="1"/>
  <c r="M7" i="1"/>
  <c r="F6" i="1"/>
  <c r="R9" i="1"/>
  <c r="F9" i="1"/>
  <c r="O8" i="1"/>
  <c r="L7" i="1"/>
  <c r="E6" i="1"/>
  <c r="F2" i="1"/>
  <c r="N9" i="2" l="1"/>
  <c r="N10" i="2"/>
  <c r="Q3" i="2"/>
  <c r="M3" i="2" s="1"/>
  <c r="D22" i="2"/>
  <c r="E22" i="2"/>
  <c r="F22" i="2"/>
  <c r="L10" i="1"/>
  <c r="L13" i="1"/>
  <c r="O14" i="1"/>
  <c r="R15" i="1"/>
  <c r="M13" i="1"/>
  <c r="M10" i="1"/>
  <c r="P14" i="1"/>
  <c r="K15" i="1"/>
  <c r="N13" i="1"/>
  <c r="N10" i="1"/>
  <c r="Q14" i="1"/>
  <c r="L15" i="1"/>
  <c r="O13" i="1"/>
  <c r="O10" i="1"/>
  <c r="R14" i="1"/>
  <c r="M15" i="1"/>
  <c r="P13" i="1"/>
  <c r="P16" i="1" s="1"/>
  <c r="P10" i="1"/>
  <c r="K14" i="1"/>
  <c r="N15" i="1"/>
  <c r="Q13" i="1"/>
  <c r="Q16" i="1" s="1"/>
  <c r="Q10" i="1"/>
  <c r="L14" i="1"/>
  <c r="O15" i="1"/>
  <c r="R13" i="1"/>
  <c r="R16" i="1" s="1"/>
  <c r="R10" i="1"/>
  <c r="M14" i="1"/>
  <c r="P15" i="1"/>
  <c r="K10" i="1"/>
  <c r="K13" i="1"/>
  <c r="N14" i="1"/>
  <c r="Q15" i="1"/>
  <c r="M10" i="2" l="1"/>
  <c r="O10" i="2" s="1"/>
  <c r="M9" i="2"/>
  <c r="O9" i="2" s="1"/>
  <c r="G22" i="2"/>
  <c r="K16" i="1"/>
  <c r="O16" i="1"/>
  <c r="M16" i="1"/>
  <c r="L16" i="1"/>
  <c r="N16" i="1"/>
</calcChain>
</file>

<file path=xl/sharedStrings.xml><?xml version="1.0" encoding="utf-8"?>
<sst xmlns="http://schemas.openxmlformats.org/spreadsheetml/2006/main" count="294" uniqueCount="85">
  <si>
    <t>Lane</t>
  </si>
  <si>
    <t>Destination</t>
  </si>
  <si>
    <t>Source</t>
  </si>
  <si>
    <t>222ml</t>
  </si>
  <si>
    <t>355ml</t>
  </si>
  <si>
    <t>473 ml</t>
  </si>
  <si>
    <t>Y071-Y044</t>
  </si>
  <si>
    <t>Y053-Y044</t>
  </si>
  <si>
    <t>Y044-Y053</t>
  </si>
  <si>
    <t>Y071-Y053</t>
  </si>
  <si>
    <t>Y002-Y053</t>
  </si>
  <si>
    <t>Y044-Y002</t>
  </si>
  <si>
    <t>Y071-Y002</t>
  </si>
  <si>
    <t>Y002-Y071</t>
  </si>
  <si>
    <t>222M CN</t>
  </si>
  <si>
    <t>Y002-Y044</t>
  </si>
  <si>
    <t>355M CN</t>
  </si>
  <si>
    <t>473M CN</t>
  </si>
  <si>
    <t>Volume</t>
  </si>
  <si>
    <t>Y053-Y002</t>
  </si>
  <si>
    <t>Total $ Cost</t>
  </si>
  <si>
    <t>Material</t>
  </si>
  <si>
    <t>Line Haul $</t>
  </si>
  <si>
    <t>Fuel Surcharge $</t>
  </si>
  <si>
    <t>Accessorial $</t>
  </si>
  <si>
    <t>Detention $</t>
  </si>
  <si>
    <t xml:space="preserve"> Dunnage Line Haul $ </t>
  </si>
  <si>
    <t xml:space="preserve"> Dunnage Fuel Surcharge $ </t>
  </si>
  <si>
    <t xml:space="preserve"> Dunnage Accessorial $ </t>
  </si>
  <si>
    <t xml:space="preserve"> Dunnage Detention $ </t>
  </si>
  <si>
    <t>Total Line Haul $</t>
  </si>
  <si>
    <t>Total Fuel Surcharge $</t>
  </si>
  <si>
    <t>Total Detention $</t>
  </si>
  <si>
    <t>Total Accessorial $</t>
  </si>
  <si>
    <t>Total Cost $</t>
  </si>
  <si>
    <t>Rate</t>
  </si>
  <si>
    <t>Transported Volume (Cases)</t>
  </si>
  <si>
    <t>Number of Loads</t>
  </si>
  <si>
    <t>Material Code</t>
  </si>
  <si>
    <t>Lanes Flat Lookup</t>
  </si>
  <si>
    <t>Plant Source</t>
  </si>
  <si>
    <t>Plant Destination</t>
  </si>
  <si>
    <t>PPG</t>
  </si>
  <si>
    <t>SC Package</t>
  </si>
  <si>
    <t>Case Ratio</t>
  </si>
  <si>
    <t>Pallets</t>
  </si>
  <si>
    <t>Lane Type</t>
  </si>
  <si>
    <t>355M CN 12FPX1_DT AW RTBR NKO_CA</t>
  </si>
  <si>
    <t>119272|Y071-Y044</t>
  </si>
  <si>
    <t>355 ML CANS 12</t>
  </si>
  <si>
    <t>Regular Lane</t>
  </si>
  <si>
    <t>222M CN SLK 6P HC_DT COKE_CA</t>
  </si>
  <si>
    <t>137678|Y071-Y044</t>
  </si>
  <si>
    <t>222 ML CANS 24</t>
  </si>
  <si>
    <t>473M CN 12LS_MON NRG LO-CAL_CA</t>
  </si>
  <si>
    <t>133488|Y071-Y044</t>
  </si>
  <si>
    <t>473 ML CANS 12-MONSTER</t>
  </si>
  <si>
    <t>119272|Y053-Y044</t>
  </si>
  <si>
    <t>355M PT 12LS_FIVE ALIVE_CA</t>
  </si>
  <si>
    <t>155251|Y044-Y053</t>
  </si>
  <si>
    <t>355 ML PET 12</t>
  </si>
  <si>
    <t>473M CN 12LS_MON NRG ULTRA SUNRISE_CA</t>
  </si>
  <si>
    <t>150962|Y044-Y053</t>
  </si>
  <si>
    <t>473 ML CANS 12-MONSTER-T</t>
  </si>
  <si>
    <t>QD355M GL 4P PB_COKE QUEBEC MPL_CA</t>
  </si>
  <si>
    <t>157385|Y071-Y053</t>
  </si>
  <si>
    <t>355 ML NRG 24</t>
  </si>
  <si>
    <t>473M CN 12LS_MON NRG J PPLN PNCH_CA</t>
  </si>
  <si>
    <t>152208|Y071-Y053</t>
  </si>
  <si>
    <t>TCS</t>
  </si>
  <si>
    <t>Richmond</t>
  </si>
  <si>
    <t>NFI</t>
  </si>
  <si>
    <t>Calgary</t>
  </si>
  <si>
    <t>Transport savings</t>
  </si>
  <si>
    <t>Double Handling savings</t>
  </si>
  <si>
    <t>Nelson</t>
  </si>
  <si>
    <t>If Calgary Produces 222 ml</t>
  </si>
  <si>
    <t>if Calgary Produces 473 ml avoids Richmond</t>
  </si>
  <si>
    <t>if Calgary Produces 473 ml avoids Weston</t>
  </si>
  <si>
    <t>if Calgary Produces all 355 ml avoids Richmond</t>
  </si>
  <si>
    <t>if Calgary Produces all 355 ml avoids Weston</t>
  </si>
  <si>
    <t>222, 473</t>
  </si>
  <si>
    <t>222, 473, 355</t>
  </si>
  <si>
    <t>Cost per case</t>
  </si>
  <si>
    <t>Note: assumes tunnel production in Calgary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</si>
</sst>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.000_);_(&quot;$&quot;* \(#,##0.000\);_(&quot;$&quot;* &quot;-&quot;??_);_(@_)"/>
    <numFmt numFmtId="166" formatCode="_(&quot;$&quot;* #,##0_);_(&quot;$&quot;* \(#,##0\);_(&quot;$&quot;* &quot;-&quot;??_);_(@_)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5">
    <xf numFmtId="0" fontId="0" fillId="0" borderId="0" xfId="0"/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164" fontId="0" fillId="0" borderId="1" xfId="1" applyNumberFormat="1" applyFont="1" applyBorder="1" applyAlignment="1">
      <alignment horizontal="center"/>
    </xf>
    <xf numFmtId="165" fontId="0" fillId="0" borderId="1" xfId="2" applyNumberFormat="1" applyFont="1" applyBorder="1" applyAlignment="1">
      <alignment horizontal="center"/>
    </xf>
    <xf numFmtId="164" fontId="3" fillId="0" borderId="1" xfId="0" applyNumberFormat="1" applyFont="1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166" fontId="0" fillId="0" borderId="1" xfId="2" applyNumberFormat="1" applyFont="1" applyBorder="1"/>
    <xf numFmtId="166" fontId="3" fillId="0" borderId="1" xfId="0" applyNumberFormat="1" applyFont="1" applyBorder="1"/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16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1" xfId="2" applyNumberFormat="1" applyFont="1" applyBorder="1" applyAlignment="1">
      <alignment horizontal="center"/>
    </xf>
    <xf numFmtId="166" fontId="3" fillId="0" borderId="1" xfId="0" applyNumberFormat="1" applyFont="1" applyBorder="1" applyAlignment="1">
      <alignment horizontal="center"/>
    </xf>
    <xf numFmtId="166" fontId="0" fillId="0" borderId="0" xfId="0" applyNumberFormat="1"/>
    <xf numFmtId="166" fontId="3" fillId="4" borderId="1" xfId="0" applyNumberFormat="1" applyFont="1" applyFill="1" applyBorder="1" applyAlignment="1">
      <alignment horizontal="center"/>
    </xf>
    <xf numFmtId="164" fontId="0" fillId="0" borderId="1" xfId="0" applyNumberFormat="1" applyBorder="1"/>
    <xf numFmtId="164" fontId="3" fillId="4" borderId="1" xfId="0" applyNumberFormat="1" applyFont="1" applyFill="1" applyBorder="1"/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166" fontId="0" fillId="0" borderId="1" xfId="0" applyNumberFormat="1" applyBorder="1"/>
    <xf numFmtId="44" fontId="0" fillId="0" borderId="1" xfId="0" applyNumberFormat="1" applyBorder="1"/>
    <xf numFmtId="166" fontId="3" fillId="6" borderId="1" xfId="0" applyNumberFormat="1" applyFont="1" applyFill="1" applyBorder="1"/>
    <xf numFmtId="0" fontId="3" fillId="7" borderId="1" xfId="0" applyFont="1" applyFill="1" applyBorder="1" applyAlignment="1">
      <alignment horizontal="right"/>
    </xf>
    <xf numFmtId="166" fontId="3" fillId="8" borderId="1" xfId="0" applyNumberFormat="1" applyFont="1" applyFill="1" applyBorder="1"/>
    <xf numFmtId="0" fontId="2" fillId="2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right" wrapText="1"/>
    </xf>
    <xf numFmtId="0" fontId="0" fillId="0" borderId="1" xfId="0" applyBorder="1" applyAlignment="1">
      <alignment horizontal="right"/>
    </xf>
    <xf numFmtId="0" fontId="4" fillId="5" borderId="0" xfId="0" applyFont="1" applyFill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portation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est cost per case CAN"/>
      <sheetName val="Cost per case by format"/>
      <sheetName val="Transportation Data"/>
      <sheetName val="Cans Total"/>
      <sheetName val="Cans Filter"/>
      <sheetName val="Cans flowing from Calgary"/>
      <sheetName val="transp data 1"/>
      <sheetName val="Cans Y002 Pivot by Format"/>
      <sheetName val="Cans flowing from Richmond"/>
      <sheetName val="transp data 2"/>
      <sheetName val="Cans Y044 pivot by Format"/>
      <sheetName val="Cans flowing from NFI"/>
      <sheetName val="transp data 3"/>
      <sheetName val="NFI to TCS"/>
      <sheetName val="Transportation Cost"/>
      <sheetName val="BIB analysis case rate by lane"/>
      <sheetName val="Pallet Rate Analysis"/>
      <sheetName val="Total Transport Cost"/>
      <sheetName val="Chart BIB Lanes comparison BIB"/>
      <sheetName val="Pallets &amp; Cases"/>
      <sheetName val="BIB filtered after pivot cas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3">
          <cell r="A3" t="str">
            <v>Row Labels</v>
          </cell>
        </row>
      </sheetData>
      <sheetData sheetId="8"/>
      <sheetData sheetId="9"/>
      <sheetData sheetId="10">
        <row r="3">
          <cell r="A3" t="str">
            <v>Row Labels</v>
          </cell>
        </row>
      </sheetData>
      <sheetData sheetId="11"/>
      <sheetData sheetId="12"/>
      <sheetData sheetId="13">
        <row r="3">
          <cell r="A3" t="str">
            <v>Row Labels</v>
          </cell>
        </row>
      </sheetData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3CCD6-0AAC-4037-813D-35FD0BD4C265}">
  <dimension ref="A1:AB96"/>
  <sheetViews>
    <sheetView workbookViewId="0">
      <selection activeCell="A36" sqref="A36:D44"/>
    </sheetView>
  </sheetViews>
  <sheetFormatPr defaultRowHeight="15"/>
  <cols>
    <col min="1" max="1" width="14" customWidth="1"/>
    <col min="2" max="3" width="15.7109375" style="7" customWidth="1"/>
    <col min="4" max="5" width="11.5703125" style="7" bestFit="1" customWidth="1"/>
    <col min="6" max="6" width="10.5703125" style="7" bestFit="1" customWidth="1"/>
    <col min="7" max="7" width="10.5703125" bestFit="1" customWidth="1"/>
    <col min="8" max="8" width="11.5703125" bestFit="1" customWidth="1"/>
    <col min="9" max="9" width="10.5703125" bestFit="1" customWidth="1"/>
    <col min="10" max="10" width="12.5703125" bestFit="1" customWidth="1"/>
    <col min="11" max="18" width="16.42578125" bestFit="1" customWidth="1"/>
    <col min="19" max="19" width="11.5703125" bestFit="1" customWidth="1"/>
    <col min="20" max="20" width="16.85546875" bestFit="1" customWidth="1"/>
    <col min="21" max="21" width="10" bestFit="1" customWidth="1"/>
    <col min="22" max="24" width="11.5703125" bestFit="1" customWidth="1"/>
    <col min="25" max="25" width="24.5703125" bestFit="1" customWidth="1"/>
    <col min="28" max="28" width="12.28515625" bestFit="1" customWidth="1"/>
  </cols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J1" s="2"/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</row>
    <row r="2" spans="1:19">
      <c r="A2" s="2" t="s">
        <v>6</v>
      </c>
      <c r="B2" s="3" t="str">
        <f>LEFT(A2,4)</f>
        <v>Y071</v>
      </c>
      <c r="C2" s="3" t="str">
        <f>RIGHT(A2,4)</f>
        <v>Y044</v>
      </c>
      <c r="D2" s="4">
        <f>GETPIVOTDATA("Sum of Y071-Y044",'[1]Cans Y044 pivot by Format'!$A$3,"Format","222M")</f>
        <v>1071695</v>
      </c>
      <c r="E2" s="4">
        <f>GETPIVOTDATA("Sum of Y071-Y044",'[1]Cans Y044 pivot by Format'!$A$3,"Format","355M")</f>
        <v>232489</v>
      </c>
      <c r="F2" s="4">
        <f>GETPIVOTDATA("Sum of Y071-Y044",'[1]Cans Y044 pivot by Format'!$A$3,"Format","473M")</f>
        <v>1779645</v>
      </c>
      <c r="J2" s="5" t="s">
        <v>14</v>
      </c>
      <c r="K2" s="5">
        <v>0.69347850834425839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6.9215879945207892E-2</v>
      </c>
    </row>
    <row r="3" spans="1:19">
      <c r="A3" s="2" t="s">
        <v>15</v>
      </c>
      <c r="B3" s="3" t="str">
        <f t="shared" ref="B3:B11" si="0">LEFT(A3,4)</f>
        <v>Y002</v>
      </c>
      <c r="C3" s="3" t="str">
        <f t="shared" ref="C3:C11" si="1">RIGHT(A3,4)</f>
        <v>Y044</v>
      </c>
      <c r="D3" s="4">
        <v>0</v>
      </c>
      <c r="E3" s="4">
        <v>0</v>
      </c>
      <c r="F3" s="4">
        <v>0</v>
      </c>
      <c r="J3" s="5" t="s">
        <v>16</v>
      </c>
      <c r="K3" s="5">
        <v>0.50541436369032522</v>
      </c>
      <c r="L3" s="5">
        <v>0.70478562649121534</v>
      </c>
      <c r="M3" s="5">
        <v>0.7689399301431602</v>
      </c>
      <c r="N3" s="5">
        <v>0.70564830381001253</v>
      </c>
      <c r="O3" s="5">
        <v>0.66871184349156443</v>
      </c>
      <c r="P3" s="5">
        <v>1.2512500319407178</v>
      </c>
      <c r="Q3" s="5">
        <v>6.5246131518819431E-2</v>
      </c>
      <c r="R3" s="5">
        <v>5.0831693334474209E-2</v>
      </c>
    </row>
    <row r="4" spans="1:19">
      <c r="A4" s="2" t="s">
        <v>7</v>
      </c>
      <c r="B4" s="3" t="str">
        <f t="shared" si="0"/>
        <v>Y053</v>
      </c>
      <c r="C4" s="3" t="str">
        <f t="shared" si="1"/>
        <v>Y044</v>
      </c>
      <c r="D4" s="4">
        <f>GETPIVOTDATA("Sum of Y053-Y044",'[1]Cans Y044 pivot by Format'!$A$3,"Format","222M")</f>
        <v>0</v>
      </c>
      <c r="E4" s="4">
        <f>GETPIVOTDATA("Sum of Y053-Y044",'[1]Cans Y044 pivot by Format'!$A$3,"Format","355M")</f>
        <v>13831</v>
      </c>
      <c r="F4" s="4">
        <f>GETPIVOTDATA("Sum of Y053-Y044",'[1]Cans Y044 pivot by Format'!$A$3,"Format","473M")</f>
        <v>0</v>
      </c>
      <c r="J4" s="5" t="s">
        <v>17</v>
      </c>
      <c r="K4" s="5">
        <v>0.82427999966285359</v>
      </c>
      <c r="L4" s="5">
        <v>0</v>
      </c>
      <c r="M4" s="5">
        <v>1.2667269545356796</v>
      </c>
      <c r="N4" s="5">
        <v>1.0201631739667589</v>
      </c>
      <c r="O4" s="5">
        <v>1.1070706488177564</v>
      </c>
      <c r="P4" s="5">
        <v>0</v>
      </c>
      <c r="Q4" s="5">
        <v>0</v>
      </c>
      <c r="R4" s="5">
        <v>8.2692506176069686E-2</v>
      </c>
    </row>
    <row r="5" spans="1:19">
      <c r="A5" s="2" t="s">
        <v>8</v>
      </c>
      <c r="B5" s="3" t="str">
        <f t="shared" si="0"/>
        <v>Y044</v>
      </c>
      <c r="C5" s="3" t="str">
        <f t="shared" si="1"/>
        <v>Y053</v>
      </c>
      <c r="D5" s="4">
        <f>GETPIVOTDATA("Sum of Y044-Y053",'[1]Cans Y044 pivot by Format'!$A$3,"Format","222M")</f>
        <v>0</v>
      </c>
      <c r="E5" s="4">
        <f>GETPIVOTDATA("Sum of Y044-Y053",'[1]Cans Y044 pivot by Format'!$A$3,"Format","355M")</f>
        <v>911006</v>
      </c>
      <c r="F5" s="4">
        <f>GETPIVOTDATA("Sum of Y044-Y053",'[1]Cans Y044 pivot by Format'!$A$3,"Format","473M")</f>
        <v>269706</v>
      </c>
    </row>
    <row r="6" spans="1:19">
      <c r="A6" s="2" t="s">
        <v>9</v>
      </c>
      <c r="B6" s="3" t="str">
        <f t="shared" si="0"/>
        <v>Y071</v>
      </c>
      <c r="C6" s="3" t="str">
        <f t="shared" si="1"/>
        <v>Y053</v>
      </c>
      <c r="D6" s="4">
        <f>GETPIVOTDATA("Y071-Y053",'[1]NFI to TCS'!$A$3,"Format","222M")</f>
        <v>0</v>
      </c>
      <c r="E6" s="4">
        <f>GETPIVOTDATA("Y071-Y053",'[1]NFI to TCS'!$A$3,"Format","355M")</f>
        <v>113018</v>
      </c>
      <c r="F6" s="4">
        <f>GETPIVOTDATA("Y071-Y053",'[1]NFI to TCS'!$A$3,"Format","473M")</f>
        <v>42899</v>
      </c>
      <c r="J6" s="1" t="s">
        <v>18</v>
      </c>
      <c r="K6" s="1" t="s">
        <v>6</v>
      </c>
      <c r="L6" s="1" t="s">
        <v>7</v>
      </c>
      <c r="M6" s="1" t="s">
        <v>8</v>
      </c>
      <c r="N6" s="1" t="s">
        <v>9</v>
      </c>
      <c r="O6" s="1" t="s">
        <v>10</v>
      </c>
      <c r="P6" s="1" t="s">
        <v>11</v>
      </c>
      <c r="Q6" s="1" t="s">
        <v>12</v>
      </c>
      <c r="R6" s="1" t="s">
        <v>13</v>
      </c>
    </row>
    <row r="7" spans="1:19">
      <c r="A7" s="2" t="s">
        <v>10</v>
      </c>
      <c r="B7" s="3" t="str">
        <f t="shared" si="0"/>
        <v>Y002</v>
      </c>
      <c r="C7" s="3" t="str">
        <f t="shared" si="1"/>
        <v>Y053</v>
      </c>
      <c r="D7" s="4">
        <f>GETPIVOTDATA("Sum of Y002-Y053",'[1]Cans Y002 Pivot by Format'!$A$3,"Format","222M")</f>
        <v>0</v>
      </c>
      <c r="E7" s="4">
        <f>GETPIVOTDATA("Sum of Y002-Y053",'[1]Cans Y002 Pivot by Format'!$A$3,"Format","355M")</f>
        <v>831444</v>
      </c>
      <c r="F7" s="4">
        <f>GETPIVOTDATA("Sum of Y002-Y053",'[1]Cans Y002 Pivot by Format'!$A$3,"Format","473M")</f>
        <v>195941</v>
      </c>
      <c r="J7" s="2" t="s">
        <v>3</v>
      </c>
      <c r="K7" s="4">
        <f>GETPIVOTDATA("Sum of Y071-Y044",'[1]Cans Y044 pivot by Format'!$A$3,"Format","222M")</f>
        <v>1071695</v>
      </c>
      <c r="L7" s="4">
        <f>GETPIVOTDATA("Sum of Y053-Y044",'[1]Cans Y044 pivot by Format'!$A$3,"Format","222M")</f>
        <v>0</v>
      </c>
      <c r="M7" s="4">
        <f>GETPIVOTDATA("Sum of Y044-Y053",'[1]Cans Y044 pivot by Format'!$A$3,"Format","222M")</f>
        <v>0</v>
      </c>
      <c r="N7" s="4">
        <f>GETPIVOTDATA("Y071-Y053",'[1]NFI to TCS'!$A$3,"Format","222M")</f>
        <v>0</v>
      </c>
      <c r="O7" s="4">
        <f>GETPIVOTDATA("Sum of Y002-Y053",'[1]Cans Y002 Pivot by Format'!$A$3,"Format","222M")</f>
        <v>0</v>
      </c>
      <c r="P7" s="4">
        <f>GETPIVOTDATA("Sum of Y044-Y002",'[1]Cans Y002 Pivot by Format'!$A$3,"Format","222M")</f>
        <v>0</v>
      </c>
      <c r="Q7" s="4">
        <f>GETPIVOTDATA("Sum of Y071-Y002",'[1]Cans Y002 Pivot by Format'!$A$3,"Format","222M")</f>
        <v>0</v>
      </c>
      <c r="R7" s="4">
        <f>GETPIVOTDATA("Sum of Y002-Y071",'[1]Cans Y002 Pivot by Format'!$A$3,"Format","222M")</f>
        <v>492042</v>
      </c>
    </row>
    <row r="8" spans="1:19">
      <c r="A8" s="2" t="s">
        <v>11</v>
      </c>
      <c r="B8" s="3" t="str">
        <f t="shared" si="0"/>
        <v>Y044</v>
      </c>
      <c r="C8" s="3" t="str">
        <f t="shared" si="1"/>
        <v>Y002</v>
      </c>
      <c r="D8" s="4">
        <f>GETPIVOTDATA("Sum of Y044-Y002",'[1]Cans Y002 Pivot by Format'!$A$3,"Format","222M")</f>
        <v>0</v>
      </c>
      <c r="E8" s="4">
        <f>GETPIVOTDATA("Sum of Y044-Y002",'[1]Cans Y002 Pivot by Format'!$A$3,"Format","355M")</f>
        <v>39135</v>
      </c>
      <c r="F8" s="4">
        <f>GETPIVOTDATA("Sum of Y044-Y002",'[1]Cans Y002 Pivot by Format'!$A$3,"Format","473M")</f>
        <v>0</v>
      </c>
      <c r="J8" s="2" t="s">
        <v>4</v>
      </c>
      <c r="K8" s="4">
        <f>GETPIVOTDATA("Sum of Y071-Y044",'[1]Cans Y044 pivot by Format'!$A$3,"Format","355M")</f>
        <v>232489</v>
      </c>
      <c r="L8" s="4">
        <f>GETPIVOTDATA("Sum of Y053-Y044",'[1]Cans Y044 pivot by Format'!$A$3,"Format","355M")</f>
        <v>13831</v>
      </c>
      <c r="M8" s="4">
        <f>GETPIVOTDATA("Sum of Y044-Y053",'[1]Cans Y044 pivot by Format'!$A$3,"Format","355M")</f>
        <v>911006</v>
      </c>
      <c r="N8" s="4">
        <f>GETPIVOTDATA("Y071-Y053",'[1]NFI to TCS'!$A$3,"Format","355M")</f>
        <v>113018</v>
      </c>
      <c r="O8" s="4">
        <f>GETPIVOTDATA("Sum of Y002-Y053",'[1]Cans Y002 Pivot by Format'!$A$3,"Format","355M")</f>
        <v>831444</v>
      </c>
      <c r="P8" s="4">
        <f>GETPIVOTDATA("Sum of Y044-Y002",'[1]Cans Y002 Pivot by Format'!$A$3,"Format","355M")</f>
        <v>39135</v>
      </c>
      <c r="Q8" s="4">
        <f>GETPIVOTDATA("Sum of Y071-Y002",'[1]Cans Y002 Pivot by Format'!$A$3,"Format","355M")</f>
        <v>18342470</v>
      </c>
      <c r="R8" s="4">
        <f>GETPIVOTDATA("Sum of Y002-Y071",'[1]Cans Y002 Pivot by Format'!$A$3,"Format","355M")</f>
        <v>70122</v>
      </c>
    </row>
    <row r="9" spans="1:19">
      <c r="A9" s="2" t="s">
        <v>12</v>
      </c>
      <c r="B9" s="3" t="str">
        <f t="shared" si="0"/>
        <v>Y071</v>
      </c>
      <c r="C9" s="3" t="str">
        <f t="shared" si="1"/>
        <v>Y002</v>
      </c>
      <c r="D9" s="4">
        <f>GETPIVOTDATA("Sum of Y071-Y002",'[1]Cans Y002 Pivot by Format'!$A$3,"Format","222M")</f>
        <v>0</v>
      </c>
      <c r="E9" s="4">
        <f>GETPIVOTDATA("Sum of Y071-Y002",'[1]Cans Y002 Pivot by Format'!$A$3,"Format","355M")</f>
        <v>18342470</v>
      </c>
      <c r="F9" s="4">
        <f>GETPIVOTDATA("Sum of Y071-Y002",'[1]Cans Y002 Pivot by Format'!$A$3,"Format","473M")</f>
        <v>0</v>
      </c>
      <c r="J9" s="2" t="s">
        <v>5</v>
      </c>
      <c r="K9" s="4">
        <f>GETPIVOTDATA("Sum of Y071-Y044",'[1]Cans Y044 pivot by Format'!$A$3,"Format","473M")</f>
        <v>1779645</v>
      </c>
      <c r="L9" s="4">
        <f>GETPIVOTDATA("Sum of Y053-Y044",'[1]Cans Y044 pivot by Format'!$A$3,"Format","473M")</f>
        <v>0</v>
      </c>
      <c r="M9" s="4">
        <f>GETPIVOTDATA("Sum of Y044-Y053",'[1]Cans Y044 pivot by Format'!$A$3,"Format","473M")</f>
        <v>269706</v>
      </c>
      <c r="N9" s="4">
        <f>GETPIVOTDATA("Y071-Y053",'[1]NFI to TCS'!$A$3,"Format","473M")</f>
        <v>42899</v>
      </c>
      <c r="O9" s="4">
        <f>GETPIVOTDATA("Sum of Y002-Y053",'[1]Cans Y002 Pivot by Format'!$A$3,"Format","473M")</f>
        <v>195941</v>
      </c>
      <c r="P9" s="4">
        <f>GETPIVOTDATA("Sum of Y044-Y002",'[1]Cans Y002 Pivot by Format'!$A$3,"Format","473M")</f>
        <v>0</v>
      </c>
      <c r="Q9" s="4">
        <f>GETPIVOTDATA("Sum of Y071-Y002",'[1]Cans Y002 Pivot by Format'!$A$3,"Format","473M")</f>
        <v>0</v>
      </c>
      <c r="R9" s="4">
        <f>GETPIVOTDATA("Sum of Y002-Y071",'[1]Cans Y002 Pivot by Format'!$A$3,"Format","473M")</f>
        <v>691783</v>
      </c>
    </row>
    <row r="10" spans="1:19">
      <c r="A10" s="2" t="s">
        <v>13</v>
      </c>
      <c r="B10" s="3" t="str">
        <f t="shared" si="0"/>
        <v>Y002</v>
      </c>
      <c r="C10" s="3" t="str">
        <f t="shared" si="1"/>
        <v>Y071</v>
      </c>
      <c r="D10" s="4">
        <f>GETPIVOTDATA("Sum of Y002-Y071",'[1]Cans Y002 Pivot by Format'!$A$3,"Format","222M")</f>
        <v>492042</v>
      </c>
      <c r="E10" s="4">
        <f>GETPIVOTDATA("Sum of Y002-Y071",'[1]Cans Y002 Pivot by Format'!$A$3,"Format","355M")</f>
        <v>70122</v>
      </c>
      <c r="F10" s="4">
        <f>GETPIVOTDATA("Sum of Y002-Y071",'[1]Cans Y002 Pivot by Format'!$A$3,"Format","473M")</f>
        <v>691783</v>
      </c>
      <c r="K10" s="6">
        <f>SUM(K7:K9)</f>
        <v>3083829</v>
      </c>
      <c r="L10" s="6">
        <f t="shared" ref="L10:R10" si="2">SUM(L7:L9)</f>
        <v>13831</v>
      </c>
      <c r="M10" s="6">
        <f t="shared" si="2"/>
        <v>1180712</v>
      </c>
      <c r="N10" s="6">
        <f t="shared" si="2"/>
        <v>155917</v>
      </c>
      <c r="O10" s="6">
        <f t="shared" si="2"/>
        <v>1027385</v>
      </c>
      <c r="P10" s="6">
        <f t="shared" si="2"/>
        <v>39135</v>
      </c>
      <c r="Q10" s="6">
        <f t="shared" si="2"/>
        <v>18342470</v>
      </c>
      <c r="R10" s="6">
        <f t="shared" si="2"/>
        <v>1253947</v>
      </c>
    </row>
    <row r="11" spans="1:19">
      <c r="A11" s="2" t="s">
        <v>19</v>
      </c>
      <c r="B11" s="3" t="str">
        <f t="shared" si="0"/>
        <v>Y053</v>
      </c>
      <c r="C11" s="3" t="str">
        <f t="shared" si="1"/>
        <v>Y002</v>
      </c>
      <c r="D11" s="4">
        <v>0</v>
      </c>
      <c r="E11" s="4">
        <v>0</v>
      </c>
      <c r="F11" s="4">
        <v>0</v>
      </c>
    </row>
    <row r="12" spans="1:19">
      <c r="J12" s="1" t="s">
        <v>20</v>
      </c>
      <c r="K12" s="1" t="s">
        <v>6</v>
      </c>
      <c r="L12" s="1" t="s">
        <v>7</v>
      </c>
      <c r="M12" s="1" t="s">
        <v>8</v>
      </c>
      <c r="N12" s="1" t="s">
        <v>9</v>
      </c>
      <c r="O12" s="1" t="s">
        <v>10</v>
      </c>
      <c r="P12" s="1" t="s">
        <v>11</v>
      </c>
      <c r="Q12" s="1" t="s">
        <v>12</v>
      </c>
      <c r="R12" s="1" t="s">
        <v>13</v>
      </c>
    </row>
    <row r="13" spans="1:19">
      <c r="J13" s="8" t="s">
        <v>3</v>
      </c>
      <c r="K13" s="9">
        <f>K7*K2</f>
        <v>743197.45</v>
      </c>
      <c r="L13" s="9">
        <f>L7*L2</f>
        <v>0</v>
      </c>
      <c r="M13" s="9">
        <f>M7*M2</f>
        <v>0</v>
      </c>
      <c r="N13" s="9">
        <f>N7*N2</f>
        <v>0</v>
      </c>
      <c r="O13" s="9">
        <f>O7*O2</f>
        <v>0</v>
      </c>
      <c r="P13" s="9">
        <f>P7*P2</f>
        <v>0</v>
      </c>
      <c r="Q13" s="9">
        <f>Q7*Q2</f>
        <v>0</v>
      </c>
      <c r="R13" s="9">
        <f>R7*R2</f>
        <v>34057.119999999981</v>
      </c>
    </row>
    <row r="14" spans="1:19">
      <c r="J14" s="8" t="s">
        <v>4</v>
      </c>
      <c r="K14" s="9">
        <f>K8*K3</f>
        <v>117503.28000000001</v>
      </c>
      <c r="L14" s="9">
        <f>L8*L3</f>
        <v>9747.89</v>
      </c>
      <c r="M14" s="9">
        <f>M8*M3</f>
        <v>700508.88999999978</v>
      </c>
      <c r="N14" s="9">
        <f>N8*N3</f>
        <v>79750.959999999992</v>
      </c>
      <c r="O14" s="9">
        <f>O8*O3</f>
        <v>555996.4500000003</v>
      </c>
      <c r="P14" s="9">
        <f>P8*P3</f>
        <v>48967.669999999991</v>
      </c>
      <c r="Q14" s="9">
        <f>Q8*Q3</f>
        <v>1196775.2099999997</v>
      </c>
      <c r="R14" s="9">
        <f>R8*R3</f>
        <v>3564.4200000000005</v>
      </c>
    </row>
    <row r="15" spans="1:19">
      <c r="J15" s="8" t="s">
        <v>5</v>
      </c>
      <c r="K15" s="9">
        <f>K9*K4</f>
        <v>1466925.7799999991</v>
      </c>
      <c r="L15" s="9">
        <f>L9*L4</f>
        <v>0</v>
      </c>
      <c r="M15" s="9">
        <f>M9*M4</f>
        <v>341643.86</v>
      </c>
      <c r="N15" s="9">
        <f>N9*N4</f>
        <v>43763.979999999989</v>
      </c>
      <c r="O15" s="9">
        <f>O9*O4</f>
        <v>216920.53</v>
      </c>
      <c r="P15" s="9">
        <f>P9*P4</f>
        <v>0</v>
      </c>
      <c r="Q15" s="9">
        <f>Q9*Q4</f>
        <v>0</v>
      </c>
      <c r="R15" s="9">
        <f>R9*R4</f>
        <v>57205.270000000019</v>
      </c>
    </row>
    <row r="16" spans="1:19">
      <c r="K16" s="10">
        <f>SUM(K13:K15)</f>
        <v>2327626.5099999988</v>
      </c>
      <c r="L16" s="10">
        <f t="shared" ref="L16:R16" si="3">SUM(L13:L15)</f>
        <v>9747.89</v>
      </c>
      <c r="M16" s="10">
        <f t="shared" si="3"/>
        <v>1042152.7499999998</v>
      </c>
      <c r="N16" s="10">
        <f t="shared" si="3"/>
        <v>123514.93999999997</v>
      </c>
      <c r="O16" s="10">
        <f t="shared" si="3"/>
        <v>772916.98000000033</v>
      </c>
      <c r="P16" s="10">
        <f t="shared" si="3"/>
        <v>48967.669999999991</v>
      </c>
      <c r="Q16" s="10">
        <f t="shared" si="3"/>
        <v>1196775.2099999997</v>
      </c>
      <c r="R16" s="10">
        <f t="shared" si="3"/>
        <v>94826.81</v>
      </c>
      <c r="S16" s="10">
        <f>SUM(K16:R16)</f>
        <v>5616528.7599999979</v>
      </c>
    </row>
    <row r="21" spans="1:28">
      <c r="A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8" s="12" customFormat="1" ht="75">
      <c r="A22" s="7"/>
      <c r="B22" s="11" t="s">
        <v>21</v>
      </c>
      <c r="C22" s="11" t="s">
        <v>0</v>
      </c>
      <c r="D22" s="11" t="s">
        <v>22</v>
      </c>
      <c r="E22" s="11" t="s">
        <v>23</v>
      </c>
      <c r="F22" s="11" t="s">
        <v>24</v>
      </c>
      <c r="G22" s="11" t="s">
        <v>25</v>
      </c>
      <c r="H22" s="11" t="s">
        <v>26</v>
      </c>
      <c r="I22" s="11" t="s">
        <v>27</v>
      </c>
      <c r="J22" s="11" t="s">
        <v>28</v>
      </c>
      <c r="K22" s="11" t="s">
        <v>29</v>
      </c>
      <c r="L22" s="11" t="s">
        <v>30</v>
      </c>
      <c r="M22" s="11" t="s">
        <v>31</v>
      </c>
      <c r="N22" s="11" t="s">
        <v>32</v>
      </c>
      <c r="O22" s="11" t="s">
        <v>33</v>
      </c>
      <c r="P22" s="11" t="s">
        <v>34</v>
      </c>
      <c r="Q22" s="11" t="s">
        <v>35</v>
      </c>
      <c r="R22" s="11" t="s">
        <v>36</v>
      </c>
      <c r="S22" s="11" t="s">
        <v>37</v>
      </c>
      <c r="T22" s="11" t="s">
        <v>38</v>
      </c>
      <c r="U22" s="11" t="s">
        <v>39</v>
      </c>
      <c r="V22" s="11" t="s">
        <v>40</v>
      </c>
      <c r="W22" s="11" t="s">
        <v>41</v>
      </c>
      <c r="X22" s="11" t="s">
        <v>42</v>
      </c>
      <c r="Y22" s="11" t="s">
        <v>43</v>
      </c>
      <c r="Z22" s="12" t="s">
        <v>44</v>
      </c>
      <c r="AA22" s="12" t="s">
        <v>45</v>
      </c>
      <c r="AB22" s="12" t="s">
        <v>46</v>
      </c>
    </row>
    <row r="23" spans="1:28" s="7" customFormat="1">
      <c r="A23" s="13">
        <v>44949</v>
      </c>
      <c r="B23" s="7" t="s">
        <v>47</v>
      </c>
      <c r="C23" s="7" t="s">
        <v>6</v>
      </c>
      <c r="D23" s="14">
        <v>1475.58</v>
      </c>
      <c r="E23" s="7">
        <v>566.62</v>
      </c>
      <c r="F23" s="7">
        <v>32.76</v>
      </c>
      <c r="G23" s="7">
        <v>10.48</v>
      </c>
      <c r="H23" s="7">
        <v>0</v>
      </c>
      <c r="I23" s="7">
        <v>0</v>
      </c>
      <c r="J23" s="7">
        <v>0</v>
      </c>
      <c r="K23" s="7">
        <v>0</v>
      </c>
      <c r="L23" s="14">
        <v>1475.58</v>
      </c>
      <c r="M23" s="7">
        <v>566.62</v>
      </c>
      <c r="N23" s="7">
        <v>10.48</v>
      </c>
      <c r="O23" s="7">
        <v>32.76</v>
      </c>
      <c r="P23" s="14">
        <v>2085.44</v>
      </c>
      <c r="Q23" s="15">
        <v>2100</v>
      </c>
      <c r="R23" s="15">
        <v>4090</v>
      </c>
      <c r="S23" s="7">
        <v>1</v>
      </c>
      <c r="T23" s="7" t="s">
        <v>48</v>
      </c>
      <c r="U23" s="7" t="s">
        <v>6</v>
      </c>
      <c r="Y23" s="7" t="s">
        <v>49</v>
      </c>
      <c r="Z23" s="7">
        <v>3.663E-3</v>
      </c>
      <c r="AA23" s="7">
        <v>14.98</v>
      </c>
      <c r="AB23" s="7" t="s">
        <v>50</v>
      </c>
    </row>
    <row r="24" spans="1:28" s="7" customFormat="1">
      <c r="A24" s="13">
        <v>44949</v>
      </c>
      <c r="B24" s="7" t="s">
        <v>51</v>
      </c>
      <c r="C24" s="7" t="s">
        <v>6</v>
      </c>
      <c r="D24" s="14">
        <v>2800.53</v>
      </c>
      <c r="E24" s="14">
        <v>1075.4000000000001</v>
      </c>
      <c r="F24" s="7">
        <v>62.17</v>
      </c>
      <c r="G24" s="7">
        <v>19.88</v>
      </c>
      <c r="H24" s="7">
        <v>0</v>
      </c>
      <c r="I24" s="7">
        <v>0</v>
      </c>
      <c r="J24" s="7">
        <v>0</v>
      </c>
      <c r="K24" s="7">
        <v>0</v>
      </c>
      <c r="L24" s="14">
        <v>2800.53</v>
      </c>
      <c r="M24" s="14">
        <v>1075.4000000000001</v>
      </c>
      <c r="N24" s="7">
        <v>19.88</v>
      </c>
      <c r="O24" s="7">
        <v>62.17</v>
      </c>
      <c r="P24" s="14">
        <v>3957.98</v>
      </c>
      <c r="Q24" s="15">
        <v>2100</v>
      </c>
      <c r="R24" s="15">
        <v>5544</v>
      </c>
      <c r="S24" s="7">
        <v>1</v>
      </c>
      <c r="T24" s="7" t="s">
        <v>52</v>
      </c>
      <c r="U24" s="7" t="s">
        <v>6</v>
      </c>
      <c r="Y24" s="7" t="s">
        <v>53</v>
      </c>
      <c r="Z24" s="7">
        <v>5.1279999999999997E-3</v>
      </c>
      <c r="AA24" s="7">
        <v>28.43</v>
      </c>
      <c r="AB24" s="7" t="s">
        <v>50</v>
      </c>
    </row>
    <row r="25" spans="1:28" s="7" customFormat="1">
      <c r="A25" s="13">
        <v>44949</v>
      </c>
      <c r="B25" s="7" t="s">
        <v>54</v>
      </c>
      <c r="C25" s="7" t="s">
        <v>6</v>
      </c>
      <c r="D25" s="7">
        <v>392.21</v>
      </c>
      <c r="E25" s="7">
        <v>150.61000000000001</v>
      </c>
      <c r="F25" s="7">
        <v>8.7100000000000009</v>
      </c>
      <c r="G25" s="7">
        <v>2.78</v>
      </c>
      <c r="H25" s="7">
        <v>0</v>
      </c>
      <c r="I25" s="7">
        <v>0</v>
      </c>
      <c r="J25" s="7">
        <v>0</v>
      </c>
      <c r="K25" s="7">
        <v>0</v>
      </c>
      <c r="L25" s="7">
        <v>392.21</v>
      </c>
      <c r="M25" s="7">
        <v>150.61000000000001</v>
      </c>
      <c r="N25" s="7">
        <v>2.78</v>
      </c>
      <c r="O25" s="7">
        <v>8.7100000000000009</v>
      </c>
      <c r="P25" s="7">
        <v>554.30999999999995</v>
      </c>
      <c r="Q25" s="7">
        <v>2100</v>
      </c>
      <c r="R25" s="7">
        <v>717</v>
      </c>
      <c r="S25" s="7">
        <v>0</v>
      </c>
      <c r="T25" s="7" t="s">
        <v>55</v>
      </c>
      <c r="U25" s="7" t="s">
        <v>6</v>
      </c>
      <c r="Y25" s="7" t="s">
        <v>56</v>
      </c>
      <c r="Z25" s="7">
        <v>5.5560000000000002E-3</v>
      </c>
      <c r="AA25" s="7">
        <v>3.9820000000000002</v>
      </c>
      <c r="AB25" s="7" t="s">
        <v>50</v>
      </c>
    </row>
    <row r="26" spans="1:28">
      <c r="A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8" s="7" customFormat="1">
      <c r="A27" s="13">
        <v>44949</v>
      </c>
      <c r="B27" s="7" t="s">
        <v>47</v>
      </c>
      <c r="C27" s="7" t="s">
        <v>7</v>
      </c>
      <c r="D27" s="14">
        <v>2278.7600000000002</v>
      </c>
      <c r="E27" s="7">
        <v>875.04</v>
      </c>
      <c r="F27" s="7">
        <v>50.59</v>
      </c>
      <c r="G27" s="7">
        <v>16.18</v>
      </c>
      <c r="H27" s="7">
        <v>0</v>
      </c>
      <c r="I27" s="7">
        <v>0</v>
      </c>
      <c r="J27" s="7">
        <v>0</v>
      </c>
      <c r="K27" s="7">
        <v>0</v>
      </c>
      <c r="L27" s="14">
        <v>2278.7600000000002</v>
      </c>
      <c r="M27" s="7">
        <v>875.04</v>
      </c>
      <c r="N27" s="7">
        <v>16.18</v>
      </c>
      <c r="O27" s="7">
        <v>50.59</v>
      </c>
      <c r="P27" s="14">
        <v>3220.57</v>
      </c>
      <c r="Q27" s="15">
        <v>3290</v>
      </c>
      <c r="R27" s="15">
        <v>4368</v>
      </c>
      <c r="S27" s="7">
        <v>1</v>
      </c>
      <c r="T27" s="7" t="s">
        <v>57</v>
      </c>
      <c r="U27" s="7" t="s">
        <v>7</v>
      </c>
      <c r="Y27" s="7" t="s">
        <v>49</v>
      </c>
      <c r="Z27" s="7">
        <v>3.663E-3</v>
      </c>
      <c r="AA27" s="7">
        <v>16</v>
      </c>
      <c r="AB27" s="7" t="s">
        <v>50</v>
      </c>
    </row>
    <row r="28" spans="1:28">
      <c r="A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28">
      <c r="A29" s="13">
        <v>44949</v>
      </c>
      <c r="B29" s="7" t="s">
        <v>58</v>
      </c>
      <c r="C29" s="7" t="s">
        <v>8</v>
      </c>
      <c r="D29" s="7">
        <v>369.19</v>
      </c>
      <c r="E29" s="7">
        <v>141.77000000000001</v>
      </c>
      <c r="F29" s="7">
        <v>8.1999999999999993</v>
      </c>
      <c r="G29" s="7">
        <v>2.62</v>
      </c>
      <c r="H29" s="7">
        <v>0</v>
      </c>
      <c r="I29" s="7">
        <v>0</v>
      </c>
      <c r="J29" s="7">
        <v>0</v>
      </c>
      <c r="K29" s="7">
        <v>0</v>
      </c>
      <c r="L29" s="7">
        <v>369.19</v>
      </c>
      <c r="M29" s="7">
        <v>141.77000000000001</v>
      </c>
      <c r="N29" s="7">
        <v>2.62</v>
      </c>
      <c r="O29" s="7">
        <v>8.1999999999999993</v>
      </c>
      <c r="P29" s="7">
        <v>521.78</v>
      </c>
      <c r="Q29" s="15">
        <v>3413</v>
      </c>
      <c r="R29" s="7">
        <v>433</v>
      </c>
      <c r="S29" s="7">
        <v>0</v>
      </c>
      <c r="T29" s="7" t="s">
        <v>59</v>
      </c>
      <c r="U29" s="7" t="s">
        <v>8</v>
      </c>
      <c r="V29" s="7"/>
      <c r="W29" s="7"/>
      <c r="X29" s="7"/>
      <c r="Y29" s="7" t="s">
        <v>60</v>
      </c>
      <c r="Z29">
        <v>5.0000000000000001E-3</v>
      </c>
      <c r="AA29">
        <v>2.1629999999999998</v>
      </c>
      <c r="AB29" t="s">
        <v>50</v>
      </c>
    </row>
    <row r="30" spans="1:28">
      <c r="A30" s="13">
        <v>44949</v>
      </c>
      <c r="B30" s="7" t="s">
        <v>61</v>
      </c>
      <c r="C30" s="7" t="s">
        <v>8</v>
      </c>
      <c r="D30" s="14">
        <v>3572.45</v>
      </c>
      <c r="E30" s="14">
        <v>1371.82</v>
      </c>
      <c r="F30" s="7">
        <v>79.31</v>
      </c>
      <c r="G30" s="7">
        <v>25.36</v>
      </c>
      <c r="H30" s="7">
        <v>0</v>
      </c>
      <c r="I30" s="7">
        <v>0</v>
      </c>
      <c r="J30" s="7">
        <v>0</v>
      </c>
      <c r="K30" s="7">
        <v>0</v>
      </c>
      <c r="L30" s="14">
        <v>3572.45</v>
      </c>
      <c r="M30" s="14">
        <v>1371.82</v>
      </c>
      <c r="N30" s="7">
        <v>25.36</v>
      </c>
      <c r="O30" s="7">
        <v>79.31</v>
      </c>
      <c r="P30" s="14">
        <v>5048.9399999999996</v>
      </c>
      <c r="Q30" s="15">
        <v>3413</v>
      </c>
      <c r="R30" s="15">
        <v>3768</v>
      </c>
      <c r="S30" s="7">
        <v>1</v>
      </c>
      <c r="T30" s="7" t="s">
        <v>62</v>
      </c>
      <c r="U30" s="7" t="s">
        <v>8</v>
      </c>
      <c r="V30" s="7"/>
      <c r="W30" s="7"/>
      <c r="X30" s="7"/>
      <c r="Y30" s="7" t="s">
        <v>63</v>
      </c>
      <c r="Z30" s="7">
        <v>5.5560000000000002E-3</v>
      </c>
      <c r="AA30" s="7">
        <v>20.93</v>
      </c>
      <c r="AB30" s="7" t="s">
        <v>50</v>
      </c>
    </row>
    <row r="31" spans="1:28">
      <c r="A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</row>
    <row r="32" spans="1:28">
      <c r="A32" s="13">
        <v>44949</v>
      </c>
      <c r="B32" s="7" t="s">
        <v>64</v>
      </c>
      <c r="C32" s="7" t="s">
        <v>9</v>
      </c>
      <c r="D32" s="7">
        <v>128.52000000000001</v>
      </c>
      <c r="E32" s="7">
        <v>49.35</v>
      </c>
      <c r="F32" s="7">
        <v>2.85</v>
      </c>
      <c r="G32" s="7">
        <v>0.91</v>
      </c>
      <c r="H32" s="7">
        <v>0</v>
      </c>
      <c r="I32" s="7">
        <v>0</v>
      </c>
      <c r="J32" s="7">
        <v>0</v>
      </c>
      <c r="K32" s="7">
        <v>0</v>
      </c>
      <c r="L32" s="7">
        <v>128.52000000000001</v>
      </c>
      <c r="M32" s="7">
        <v>49.35</v>
      </c>
      <c r="N32" s="7">
        <v>0.91</v>
      </c>
      <c r="O32" s="7">
        <v>2.85</v>
      </c>
      <c r="P32" s="7">
        <v>181.64</v>
      </c>
      <c r="Q32" s="15">
        <v>3099</v>
      </c>
      <c r="R32" s="7">
        <v>60</v>
      </c>
      <c r="S32" s="7">
        <v>0</v>
      </c>
      <c r="T32" s="7" t="s">
        <v>65</v>
      </c>
      <c r="U32" s="7" t="s">
        <v>9</v>
      </c>
      <c r="V32" s="7"/>
      <c r="W32" s="7"/>
      <c r="X32" s="7"/>
      <c r="Y32" s="7" t="s">
        <v>66</v>
      </c>
      <c r="Z32" s="7">
        <v>1.389E-2</v>
      </c>
      <c r="AA32" s="7">
        <v>0.82950000000000002</v>
      </c>
      <c r="AB32" s="7" t="s">
        <v>50</v>
      </c>
    </row>
    <row r="33" spans="1:28" s="7" customFormat="1">
      <c r="A33" s="13">
        <v>44980</v>
      </c>
      <c r="B33" s="7" t="s">
        <v>67</v>
      </c>
      <c r="C33" s="7" t="s">
        <v>9</v>
      </c>
      <c r="D33" s="7">
        <v>315.14999999999998</v>
      </c>
      <c r="E33" s="7">
        <v>121.02</v>
      </c>
      <c r="F33" s="7">
        <v>4.95</v>
      </c>
      <c r="G33" s="7">
        <v>2.2400000000000002</v>
      </c>
      <c r="H33" s="7">
        <v>0</v>
      </c>
      <c r="I33" s="7">
        <v>0</v>
      </c>
      <c r="J33" s="7">
        <v>0</v>
      </c>
      <c r="K33" s="7">
        <v>0</v>
      </c>
      <c r="L33" s="7">
        <v>315.14999999999998</v>
      </c>
      <c r="M33" s="7">
        <v>121.02</v>
      </c>
      <c r="N33" s="7">
        <v>2.2400000000000002</v>
      </c>
      <c r="O33" s="7">
        <v>4.95</v>
      </c>
      <c r="P33" s="7">
        <v>443.36</v>
      </c>
      <c r="Q33" s="15">
        <v>3099</v>
      </c>
      <c r="R33" s="7">
        <v>366</v>
      </c>
      <c r="S33" s="7">
        <v>0</v>
      </c>
      <c r="T33" s="7" t="s">
        <v>68</v>
      </c>
      <c r="U33" s="7" t="s">
        <v>9</v>
      </c>
      <c r="Y33" s="7" t="s">
        <v>63</v>
      </c>
      <c r="Z33" s="7">
        <v>5.5560000000000002E-3</v>
      </c>
      <c r="AA33" s="7">
        <v>2.0339999999999998</v>
      </c>
      <c r="AB33" s="7" t="s">
        <v>50</v>
      </c>
    </row>
    <row r="34" spans="1:28">
      <c r="A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1:28">
      <c r="A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1:28">
      <c r="A36" s="2"/>
      <c r="B36" s="1" t="s">
        <v>14</v>
      </c>
      <c r="C36" s="1" t="s">
        <v>16</v>
      </c>
      <c r="D36" s="1" t="s">
        <v>17</v>
      </c>
      <c r="F36" s="1" t="s">
        <v>0</v>
      </c>
      <c r="G36" s="1" t="s">
        <v>3</v>
      </c>
      <c r="H36" s="1" t="s">
        <v>4</v>
      </c>
      <c r="I36" s="1" t="s">
        <v>5</v>
      </c>
      <c r="J36" s="7"/>
      <c r="K36" s="1" t="s">
        <v>0</v>
      </c>
      <c r="L36" s="1" t="s">
        <v>1</v>
      </c>
      <c r="M36" s="1" t="s">
        <v>2</v>
      </c>
      <c r="N36" s="1" t="s">
        <v>3</v>
      </c>
      <c r="O36" s="1" t="s">
        <v>4</v>
      </c>
      <c r="P36" s="1" t="s">
        <v>5</v>
      </c>
      <c r="S36" s="1" t="s">
        <v>0</v>
      </c>
      <c r="T36" s="1" t="s">
        <v>1</v>
      </c>
      <c r="U36" s="1" t="s">
        <v>2</v>
      </c>
      <c r="V36" s="1" t="s">
        <v>3</v>
      </c>
      <c r="W36" s="1" t="s">
        <v>4</v>
      </c>
      <c r="X36" s="1" t="s">
        <v>5</v>
      </c>
      <c r="Y36" s="7"/>
    </row>
    <row r="37" spans="1:28">
      <c r="A37" s="2" t="s">
        <v>6</v>
      </c>
      <c r="B37" s="5">
        <v>0.69347850834425839</v>
      </c>
      <c r="C37" s="5">
        <v>0.50541436369032522</v>
      </c>
      <c r="D37" s="5">
        <v>0.82427999966285359</v>
      </c>
      <c r="F37" s="2" t="s">
        <v>6</v>
      </c>
      <c r="G37" s="4">
        <f>GETPIVOTDATA("Sum of Y071-Y044",'[1]Cans Y044 pivot by Format'!$A$3,"Format","222M")</f>
        <v>1071695</v>
      </c>
      <c r="H37" s="4">
        <f>GETPIVOTDATA("Sum of Y071-Y044",'[1]Cans Y044 pivot by Format'!$A$3,"Format","355M")</f>
        <v>232489</v>
      </c>
      <c r="I37" s="4">
        <f>GETPIVOTDATA("Sum of Y071-Y044",'[1]Cans Y044 pivot by Format'!$A$3,"Format","473M")</f>
        <v>1779645</v>
      </c>
      <c r="J37" s="7"/>
      <c r="K37" s="8" t="s">
        <v>6</v>
      </c>
      <c r="L37" s="3" t="str">
        <f>LEFT(K37,4)</f>
        <v>Y071</v>
      </c>
      <c r="M37" s="3" t="str">
        <f>RIGHT(K37,4)</f>
        <v>Y044</v>
      </c>
      <c r="N37" s="17">
        <f>G37*B37</f>
        <v>743197.45</v>
      </c>
      <c r="O37" s="17">
        <f>H37*C37</f>
        <v>117503.28000000001</v>
      </c>
      <c r="P37" s="17">
        <f>I37*D37</f>
        <v>1466925.7799999991</v>
      </c>
      <c r="S37" s="8" t="s">
        <v>6</v>
      </c>
      <c r="T37" s="3" t="s">
        <v>69</v>
      </c>
      <c r="U37" s="3" t="s">
        <v>70</v>
      </c>
      <c r="V37" s="17">
        <v>743197.45</v>
      </c>
      <c r="W37" s="17">
        <v>117503.28000000001</v>
      </c>
      <c r="X37" s="17">
        <v>1466925.7799999991</v>
      </c>
      <c r="Y37" s="7"/>
    </row>
    <row r="38" spans="1:28">
      <c r="A38" s="2" t="s">
        <v>7</v>
      </c>
      <c r="B38" s="5">
        <v>0</v>
      </c>
      <c r="C38" s="5">
        <v>0.70478562649121534</v>
      </c>
      <c r="D38" s="5">
        <v>0</v>
      </c>
      <c r="F38" s="2" t="s">
        <v>7</v>
      </c>
      <c r="G38" s="4">
        <f>GETPIVOTDATA("Sum of Y053-Y044",'[1]Cans Y044 pivot by Format'!$A$3,"Format","222M")</f>
        <v>0</v>
      </c>
      <c r="H38" s="4">
        <f>GETPIVOTDATA("Sum of Y053-Y044",'[1]Cans Y044 pivot by Format'!$A$3,"Format","355M")</f>
        <v>13831</v>
      </c>
      <c r="I38" s="4">
        <f>GETPIVOTDATA("Sum of Y053-Y044",'[1]Cans Y044 pivot by Format'!$A$3,"Format","473M")</f>
        <v>0</v>
      </c>
      <c r="J38" s="7"/>
      <c r="K38" s="8" t="s">
        <v>7</v>
      </c>
      <c r="L38" s="3" t="str">
        <f>LEFT(K38,4)</f>
        <v>Y053</v>
      </c>
      <c r="M38" s="3" t="str">
        <f>RIGHT(K38,4)</f>
        <v>Y044</v>
      </c>
      <c r="N38" s="17">
        <f>G38*B38</f>
        <v>0</v>
      </c>
      <c r="O38" s="17">
        <f>H38*C38</f>
        <v>9747.89</v>
      </c>
      <c r="P38" s="17">
        <f>I38*D38</f>
        <v>0</v>
      </c>
      <c r="S38" s="8" t="s">
        <v>7</v>
      </c>
      <c r="T38" s="3" t="s">
        <v>71</v>
      </c>
      <c r="U38" s="3" t="s">
        <v>70</v>
      </c>
      <c r="V38" s="17">
        <v>0</v>
      </c>
      <c r="W38" s="17">
        <v>9747.89</v>
      </c>
      <c r="X38" s="17">
        <v>0</v>
      </c>
      <c r="Y38" s="7"/>
    </row>
    <row r="39" spans="1:28">
      <c r="A39" s="2" t="s">
        <v>8</v>
      </c>
      <c r="B39" s="5">
        <v>0</v>
      </c>
      <c r="C39" s="5">
        <v>0.7689399301431602</v>
      </c>
      <c r="D39" s="5">
        <v>1.2667269545356796</v>
      </c>
      <c r="F39" s="2" t="s">
        <v>8</v>
      </c>
      <c r="G39" s="4">
        <f>GETPIVOTDATA("Sum of Y044-Y053",'[1]Cans Y044 pivot by Format'!$A$3,"Format","222M")</f>
        <v>0</v>
      </c>
      <c r="H39" s="4">
        <f>GETPIVOTDATA("Sum of Y044-Y053",'[1]Cans Y044 pivot by Format'!$A$3,"Format","355M")</f>
        <v>911006</v>
      </c>
      <c r="I39" s="4">
        <f>GETPIVOTDATA("Sum of Y044-Y053",'[1]Cans Y044 pivot by Format'!$A$3,"Format","473M")</f>
        <v>269706</v>
      </c>
      <c r="J39" s="7"/>
      <c r="K39" s="8" t="s">
        <v>8</v>
      </c>
      <c r="L39" s="3" t="str">
        <f>LEFT(K39,4)</f>
        <v>Y044</v>
      </c>
      <c r="M39" s="3" t="str">
        <f>RIGHT(K39,4)</f>
        <v>Y053</v>
      </c>
      <c r="N39" s="17">
        <f>G39*B39</f>
        <v>0</v>
      </c>
      <c r="O39" s="17">
        <f>H39*C39</f>
        <v>700508.88999999978</v>
      </c>
      <c r="P39" s="17">
        <f>I39*D39</f>
        <v>341643.86</v>
      </c>
      <c r="S39" s="8" t="s">
        <v>8</v>
      </c>
      <c r="T39" s="3" t="s">
        <v>70</v>
      </c>
      <c r="U39" s="3" t="s">
        <v>71</v>
      </c>
      <c r="V39" s="17">
        <v>0</v>
      </c>
      <c r="W39" s="17">
        <v>700508.88999999978</v>
      </c>
      <c r="X39" s="17">
        <v>341643.86</v>
      </c>
      <c r="Y39" s="7"/>
    </row>
    <row r="40" spans="1:28">
      <c r="A40" s="2" t="s">
        <v>9</v>
      </c>
      <c r="B40" s="5">
        <v>0</v>
      </c>
      <c r="C40" s="5">
        <v>0.70564830381001253</v>
      </c>
      <c r="D40" s="5">
        <v>1.0201631739667589</v>
      </c>
      <c r="F40" s="2" t="s">
        <v>9</v>
      </c>
      <c r="G40" s="4">
        <f>GETPIVOTDATA("Y071-Y053",'[1]NFI to TCS'!$A$3,"Format","222M")</f>
        <v>0</v>
      </c>
      <c r="H40" s="4">
        <f>GETPIVOTDATA("Y071-Y053",'[1]NFI to TCS'!$A$3,"Format","355M")</f>
        <v>113018</v>
      </c>
      <c r="I40" s="4">
        <f>GETPIVOTDATA("Y071-Y053",'[1]NFI to TCS'!$A$3,"Format","473M")</f>
        <v>42899</v>
      </c>
      <c r="J40" s="7"/>
      <c r="K40" s="8" t="s">
        <v>9</v>
      </c>
      <c r="L40" s="3" t="str">
        <f>LEFT(K40,4)</f>
        <v>Y071</v>
      </c>
      <c r="M40" s="3" t="str">
        <f>RIGHT(K40,4)</f>
        <v>Y053</v>
      </c>
      <c r="N40" s="17">
        <f>G40*B40</f>
        <v>0</v>
      </c>
      <c r="O40" s="17">
        <f>H40*C40</f>
        <v>79750.959999999992</v>
      </c>
      <c r="P40" s="17">
        <f>I40*D40</f>
        <v>43763.979999999989</v>
      </c>
      <c r="S40" s="8" t="s">
        <v>9</v>
      </c>
      <c r="T40" s="3" t="s">
        <v>69</v>
      </c>
      <c r="U40" s="3" t="s">
        <v>71</v>
      </c>
      <c r="V40" s="17">
        <v>0</v>
      </c>
      <c r="W40" s="17">
        <v>79750.959999999992</v>
      </c>
      <c r="X40" s="17">
        <v>43763.979999999989</v>
      </c>
      <c r="Y40" s="7"/>
    </row>
    <row r="41" spans="1:28">
      <c r="A41" s="2" t="s">
        <v>10</v>
      </c>
      <c r="B41" s="5">
        <v>0</v>
      </c>
      <c r="C41" s="5">
        <v>0.66871184349156443</v>
      </c>
      <c r="D41" s="5">
        <v>1.1070706488177564</v>
      </c>
      <c r="F41" s="2" t="s">
        <v>10</v>
      </c>
      <c r="G41" s="4">
        <f>GETPIVOTDATA("Sum of Y002-Y053",'[1]Cans Y002 Pivot by Format'!$A$3,"Format","222M")</f>
        <v>0</v>
      </c>
      <c r="H41" s="4">
        <f>GETPIVOTDATA("Sum of Y002-Y053",'[1]Cans Y002 Pivot by Format'!$A$3,"Format","355M")</f>
        <v>831444</v>
      </c>
      <c r="I41" s="4">
        <f>GETPIVOTDATA("Sum of Y002-Y053",'[1]Cans Y002 Pivot by Format'!$A$3,"Format","473M")</f>
        <v>195941</v>
      </c>
      <c r="J41" s="7"/>
      <c r="K41" s="8" t="s">
        <v>10</v>
      </c>
      <c r="L41" s="3" t="str">
        <f>LEFT(K41,4)</f>
        <v>Y002</v>
      </c>
      <c r="M41" s="3" t="str">
        <f>RIGHT(K41,4)</f>
        <v>Y053</v>
      </c>
      <c r="N41" s="17">
        <f>G41*B41</f>
        <v>0</v>
      </c>
      <c r="O41" s="17">
        <f>H41*C41</f>
        <v>555996.4500000003</v>
      </c>
      <c r="P41" s="17">
        <f>I41*D41</f>
        <v>216920.53</v>
      </c>
      <c r="S41" s="8" t="s">
        <v>10</v>
      </c>
      <c r="T41" s="3" t="s">
        <v>72</v>
      </c>
      <c r="U41" s="3" t="s">
        <v>71</v>
      </c>
      <c r="V41" s="17">
        <v>0</v>
      </c>
      <c r="W41" s="17">
        <v>555996.4500000003</v>
      </c>
      <c r="X41" s="17">
        <v>216920.53</v>
      </c>
      <c r="Y41" s="7"/>
    </row>
    <row r="42" spans="1:28">
      <c r="A42" s="2" t="s">
        <v>11</v>
      </c>
      <c r="B42" s="5">
        <v>0</v>
      </c>
      <c r="C42" s="5">
        <v>1.2512500319407178</v>
      </c>
      <c r="D42" s="5">
        <v>0</v>
      </c>
      <c r="F42" s="2" t="s">
        <v>11</v>
      </c>
      <c r="G42" s="4">
        <f>GETPIVOTDATA("Sum of Y044-Y002",'[1]Cans Y002 Pivot by Format'!$A$3,"Format","222M")</f>
        <v>0</v>
      </c>
      <c r="H42" s="4">
        <f>GETPIVOTDATA("Sum of Y044-Y002",'[1]Cans Y002 Pivot by Format'!$A$3,"Format","355M")</f>
        <v>39135</v>
      </c>
      <c r="I42" s="4">
        <f>GETPIVOTDATA("Sum of Y044-Y002",'[1]Cans Y002 Pivot by Format'!$A$3,"Format","473M")</f>
        <v>0</v>
      </c>
      <c r="J42" s="7"/>
      <c r="K42" s="8" t="s">
        <v>11</v>
      </c>
      <c r="L42" s="3" t="str">
        <f>LEFT(K42,4)</f>
        <v>Y044</v>
      </c>
      <c r="M42" s="3" t="str">
        <f>RIGHT(K42,4)</f>
        <v>Y002</v>
      </c>
      <c r="N42" s="17">
        <f>G42*B42</f>
        <v>0</v>
      </c>
      <c r="O42" s="17">
        <f>H42*C42</f>
        <v>48967.669999999991</v>
      </c>
      <c r="P42" s="17">
        <f>I42*D42</f>
        <v>0</v>
      </c>
      <c r="S42" s="8" t="s">
        <v>11</v>
      </c>
      <c r="T42" s="3" t="s">
        <v>70</v>
      </c>
      <c r="U42" s="3" t="s">
        <v>72</v>
      </c>
      <c r="V42" s="17">
        <v>0</v>
      </c>
      <c r="W42" s="17">
        <v>48967.669999999991</v>
      </c>
      <c r="X42" s="17">
        <v>0</v>
      </c>
      <c r="Y42" s="7"/>
    </row>
    <row r="43" spans="1:28">
      <c r="A43" s="2" t="s">
        <v>12</v>
      </c>
      <c r="B43" s="5">
        <v>0</v>
      </c>
      <c r="C43" s="5">
        <v>6.5246131518819431E-2</v>
      </c>
      <c r="D43" s="5">
        <v>0</v>
      </c>
      <c r="F43" s="2" t="s">
        <v>12</v>
      </c>
      <c r="G43" s="4">
        <f>GETPIVOTDATA("Sum of Y071-Y002",'[1]Cans Y002 Pivot by Format'!$A$3,"Format","222M")</f>
        <v>0</v>
      </c>
      <c r="H43" s="4">
        <f>GETPIVOTDATA("Sum of Y071-Y002",'[1]Cans Y002 Pivot by Format'!$A$3,"Format","355M")</f>
        <v>18342470</v>
      </c>
      <c r="I43" s="4">
        <f>GETPIVOTDATA("Sum of Y071-Y002",'[1]Cans Y002 Pivot by Format'!$A$3,"Format","473M")</f>
        <v>0</v>
      </c>
      <c r="J43" s="7"/>
      <c r="K43" s="8" t="s">
        <v>12</v>
      </c>
      <c r="L43" s="3" t="str">
        <f>LEFT(K43,4)</f>
        <v>Y071</v>
      </c>
      <c r="M43" s="3" t="str">
        <f>RIGHT(K43,4)</f>
        <v>Y002</v>
      </c>
      <c r="N43" s="17">
        <f>G43*B43</f>
        <v>0</v>
      </c>
      <c r="O43" s="17">
        <f>H43*C43</f>
        <v>1196775.2099999997</v>
      </c>
      <c r="P43" s="17">
        <f>I43*D43</f>
        <v>0</v>
      </c>
      <c r="S43" s="8" t="s">
        <v>12</v>
      </c>
      <c r="T43" s="3" t="s">
        <v>69</v>
      </c>
      <c r="U43" s="3" t="s">
        <v>72</v>
      </c>
      <c r="V43" s="17">
        <v>0</v>
      </c>
      <c r="W43" s="17">
        <v>1196775.2099999997</v>
      </c>
      <c r="X43" s="17">
        <v>0</v>
      </c>
      <c r="Y43" s="7"/>
    </row>
    <row r="44" spans="1:28">
      <c r="A44" s="2" t="s">
        <v>13</v>
      </c>
      <c r="B44" s="5">
        <v>6.9215879945207892E-2</v>
      </c>
      <c r="C44" s="5">
        <v>5.0831693334474209E-2</v>
      </c>
      <c r="D44" s="5">
        <v>8.2692506176069686E-2</v>
      </c>
      <c r="F44" s="2" t="s">
        <v>13</v>
      </c>
      <c r="G44" s="4">
        <f>GETPIVOTDATA("Sum of Y002-Y071",'[1]Cans Y002 Pivot by Format'!$A$3,"Format","222M")</f>
        <v>492042</v>
      </c>
      <c r="H44" s="4">
        <f>GETPIVOTDATA("Sum of Y002-Y071",'[1]Cans Y002 Pivot by Format'!$A$3,"Format","355M")</f>
        <v>70122</v>
      </c>
      <c r="I44" s="4">
        <f>GETPIVOTDATA("Sum of Y002-Y071",'[1]Cans Y002 Pivot by Format'!$A$3,"Format","473M")</f>
        <v>691783</v>
      </c>
      <c r="J44" s="7"/>
      <c r="K44" s="8" t="s">
        <v>13</v>
      </c>
      <c r="L44" s="3" t="str">
        <f>LEFT(K44,4)</f>
        <v>Y002</v>
      </c>
      <c r="M44" s="3" t="str">
        <f>RIGHT(K44,4)</f>
        <v>Y071</v>
      </c>
      <c r="N44" s="17">
        <f>G44*B44</f>
        <v>34057.119999999981</v>
      </c>
      <c r="O44" s="17">
        <f>H44*C44</f>
        <v>3564.4200000000005</v>
      </c>
      <c r="P44" s="17">
        <f>I44*D44</f>
        <v>57205.270000000019</v>
      </c>
      <c r="S44" s="8" t="s">
        <v>13</v>
      </c>
      <c r="T44" s="3" t="s">
        <v>72</v>
      </c>
      <c r="U44" s="3" t="s">
        <v>69</v>
      </c>
      <c r="V44" s="17">
        <v>34057.119999999981</v>
      </c>
      <c r="W44" s="17">
        <v>3564.4200000000005</v>
      </c>
      <c r="X44" s="17">
        <v>57205.270000000019</v>
      </c>
      <c r="Y44" s="7"/>
    </row>
    <row r="45" spans="1:28">
      <c r="A45" s="7"/>
      <c r="J45" s="7"/>
      <c r="K45" s="7"/>
      <c r="L45" s="7"/>
      <c r="M45" s="7"/>
      <c r="N45" s="18">
        <f>SUM(N37:N44)</f>
        <v>777254.57</v>
      </c>
      <c r="O45" s="18">
        <f t="shared" ref="O45:P45" si="4">SUM(O37:O44)</f>
        <v>2712814.7699999996</v>
      </c>
      <c r="P45" s="18">
        <f t="shared" si="4"/>
        <v>2126459.419999999</v>
      </c>
      <c r="Q45" s="19">
        <f>SUM(N45:P45)</f>
        <v>5616528.7599999979</v>
      </c>
      <c r="S45" s="7"/>
      <c r="T45" s="7"/>
      <c r="U45" s="7"/>
      <c r="V45" s="18">
        <v>777254.57</v>
      </c>
      <c r="W45" s="18">
        <v>2712814.7699999996</v>
      </c>
      <c r="X45" s="18">
        <v>2126459.419999999</v>
      </c>
      <c r="Y45" s="16">
        <f>SUM(V45:X45)</f>
        <v>5616528.7599999979</v>
      </c>
    </row>
    <row r="46" spans="1:28">
      <c r="A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spans="1:28">
      <c r="A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spans="1:28">
      <c r="A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spans="1:25">
      <c r="A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spans="1:25">
      <c r="A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spans="1:25">
      <c r="A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spans="1:25">
      <c r="A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spans="1:25">
      <c r="A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spans="1:25">
      <c r="A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spans="1:25">
      <c r="A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spans="1:25">
      <c r="A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spans="1:25">
      <c r="A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spans="1:25">
      <c r="A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spans="1:25">
      <c r="A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spans="1:25">
      <c r="A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spans="1:25">
      <c r="A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spans="1:25">
      <c r="A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spans="1:25">
      <c r="A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spans="1:25">
      <c r="A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spans="1:25">
      <c r="A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spans="1:25">
      <c r="A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spans="1:25">
      <c r="A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spans="1:25">
      <c r="A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spans="1:25">
      <c r="A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spans="1:25">
      <c r="A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spans="1:25">
      <c r="A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spans="1:25">
      <c r="A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spans="1:25">
      <c r="A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spans="1:25">
      <c r="A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spans="1:25">
      <c r="A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spans="1:25">
      <c r="A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spans="1:25">
      <c r="A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spans="1:25">
      <c r="A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spans="1:25">
      <c r="A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spans="1:25">
      <c r="A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spans="1:25">
      <c r="A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spans="1:25">
      <c r="A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spans="1:25">
      <c r="A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spans="1:25">
      <c r="A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spans="1:25">
      <c r="A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spans="1:25">
      <c r="A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spans="1:25">
      <c r="A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spans="1:25">
      <c r="A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spans="1:25">
      <c r="A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spans="1:25">
      <c r="A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spans="1:25">
      <c r="A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spans="1:25">
      <c r="A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spans="1:25">
      <c r="A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spans="1:25">
      <c r="A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spans="1:25">
      <c r="A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spans="1:25">
      <c r="A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</sheetData>
  <conditionalFormatting sqref="V37:X44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50717-E0A9-4B64-84B6-40086C2E4141}">
  <dimension ref="A1:R35"/>
  <sheetViews>
    <sheetView tabSelected="1" workbookViewId="0">
      <selection activeCell="J1" sqref="J1"/>
    </sheetView>
  </sheetViews>
  <sheetFormatPr defaultRowHeight="15"/>
  <cols>
    <col min="1" max="1" width="9.7109375" bestFit="1" customWidth="1"/>
    <col min="2" max="2" width="11.28515625" bestFit="1" customWidth="1"/>
    <col min="3" max="3" width="9.85546875" bestFit="1" customWidth="1"/>
    <col min="4" max="4" width="10.5703125" bestFit="1" customWidth="1"/>
    <col min="5" max="7" width="11.5703125" bestFit="1" customWidth="1"/>
    <col min="11" max="11" width="10" bestFit="1" customWidth="1"/>
    <col min="12" max="12" width="34.7109375" customWidth="1"/>
    <col min="13" max="13" width="16.42578125" bestFit="1" customWidth="1"/>
    <col min="14" max="16" width="11.5703125" bestFit="1" customWidth="1"/>
    <col min="17" max="17" width="10.5703125" bestFit="1" customWidth="1"/>
    <col min="18" max="18" width="11.5703125" bestFit="1" customWidth="1"/>
  </cols>
  <sheetData>
    <row r="1" spans="1:1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7"/>
      <c r="M1" s="31" t="s">
        <v>73</v>
      </c>
      <c r="N1" s="30" t="s">
        <v>74</v>
      </c>
      <c r="Q1" s="30" t="s">
        <v>18</v>
      </c>
    </row>
    <row r="2" spans="1:17">
      <c r="A2" s="8" t="s">
        <v>6</v>
      </c>
      <c r="B2" s="3" t="s">
        <v>69</v>
      </c>
      <c r="C2" s="3" t="s">
        <v>75</v>
      </c>
      <c r="D2" s="17">
        <v>743197.45</v>
      </c>
      <c r="E2" s="17">
        <v>117503.28000000001</v>
      </c>
      <c r="F2" s="17">
        <v>1466925.7799999991</v>
      </c>
      <c r="G2" s="7"/>
      <c r="M2" s="31"/>
      <c r="N2" s="30"/>
      <c r="Q2" s="30"/>
    </row>
    <row r="3" spans="1:17">
      <c r="A3" s="8" t="s">
        <v>7</v>
      </c>
      <c r="B3" s="3" t="s">
        <v>71</v>
      </c>
      <c r="C3" s="3" t="s">
        <v>75</v>
      </c>
      <c r="D3" s="17">
        <v>0</v>
      </c>
      <c r="E3" s="17">
        <v>9747.89</v>
      </c>
      <c r="F3" s="17">
        <v>0</v>
      </c>
      <c r="G3" s="7"/>
      <c r="J3" s="32" t="s">
        <v>76</v>
      </c>
      <c r="K3" s="32"/>
      <c r="L3" s="32"/>
      <c r="M3" s="25">
        <f>(D26-D33)*Q3</f>
        <v>669019.13754212041</v>
      </c>
      <c r="N3" s="9">
        <f>D21*D33</f>
        <v>34057.119999999981</v>
      </c>
      <c r="Q3" s="21">
        <f>D14</f>
        <v>1071695</v>
      </c>
    </row>
    <row r="4" spans="1:17">
      <c r="A4" s="8" t="s">
        <v>8</v>
      </c>
      <c r="B4" s="3" t="s">
        <v>70</v>
      </c>
      <c r="C4" s="3" t="s">
        <v>71</v>
      </c>
      <c r="D4" s="17">
        <v>0</v>
      </c>
      <c r="E4" s="17">
        <v>700508.88999999978</v>
      </c>
      <c r="F4" s="17">
        <v>341643.86</v>
      </c>
      <c r="G4" s="7"/>
      <c r="J4" s="32" t="s">
        <v>77</v>
      </c>
      <c r="K4" s="32"/>
      <c r="L4" s="32"/>
      <c r="M4" s="26">
        <f>(F26-F33)*Q4</f>
        <v>1319762.4748462874</v>
      </c>
      <c r="N4" s="9">
        <f>Q4*F33</f>
        <v>147163.30515371152</v>
      </c>
      <c r="Q4" s="21">
        <f>F14</f>
        <v>1779645</v>
      </c>
    </row>
    <row r="5" spans="1:17">
      <c r="A5" s="8" t="s">
        <v>9</v>
      </c>
      <c r="B5" s="3" t="s">
        <v>69</v>
      </c>
      <c r="C5" s="3" t="s">
        <v>71</v>
      </c>
      <c r="D5" s="17">
        <v>0</v>
      </c>
      <c r="E5" s="17">
        <v>79750.959999999992</v>
      </c>
      <c r="F5" s="17">
        <v>43763.979999999989</v>
      </c>
      <c r="G5" s="7"/>
      <c r="J5" s="33" t="s">
        <v>78</v>
      </c>
      <c r="K5" s="33"/>
      <c r="L5" s="33"/>
      <c r="M5" s="26">
        <f>(F29-F32)*Q5</f>
        <v>243655.77247022069</v>
      </c>
      <c r="N5" s="9">
        <f>Q5*F33</f>
        <v>19750.278175092484</v>
      </c>
      <c r="Q5" s="21">
        <f>F17+F18</f>
        <v>238840</v>
      </c>
    </row>
    <row r="6" spans="1:17">
      <c r="A6" s="8" t="s">
        <v>10</v>
      </c>
      <c r="B6" s="3" t="s">
        <v>72</v>
      </c>
      <c r="C6" s="3" t="s">
        <v>71</v>
      </c>
      <c r="D6" s="17">
        <v>0</v>
      </c>
      <c r="E6" s="17">
        <v>555996.4500000003</v>
      </c>
      <c r="F6" s="17">
        <v>216920.53</v>
      </c>
      <c r="G6" s="7"/>
      <c r="J6" s="33" t="s">
        <v>79</v>
      </c>
      <c r="K6" s="33"/>
      <c r="L6" s="33"/>
      <c r="M6" s="26">
        <f>(F26-F33)*Q6</f>
        <v>172410.93477324891</v>
      </c>
      <c r="N6" s="9">
        <f>Q6*E33</f>
        <v>11817.809551638575</v>
      </c>
      <c r="Q6" s="21">
        <f>E14</f>
        <v>232489</v>
      </c>
    </row>
    <row r="7" spans="1:17">
      <c r="A7" s="8" t="s">
        <v>11</v>
      </c>
      <c r="B7" s="3" t="s">
        <v>70</v>
      </c>
      <c r="C7" s="3" t="s">
        <v>72</v>
      </c>
      <c r="D7" s="17">
        <v>0</v>
      </c>
      <c r="E7" s="17">
        <v>48967.669999999991</v>
      </c>
      <c r="F7" s="17">
        <v>0</v>
      </c>
      <c r="G7" s="7"/>
      <c r="J7" s="33" t="s">
        <v>80</v>
      </c>
      <c r="K7" s="33"/>
      <c r="L7" s="33"/>
      <c r="M7" s="26">
        <f>(E29-E33)*Q7</f>
        <v>618449.40556294785</v>
      </c>
      <c r="N7" s="9">
        <f>Q7*E33</f>
        <v>48008.602750064179</v>
      </c>
      <c r="Q7" s="21">
        <f>E17+E18</f>
        <v>944462</v>
      </c>
    </row>
    <row r="8" spans="1:17">
      <c r="A8" s="8" t="s">
        <v>12</v>
      </c>
      <c r="B8" s="3" t="s">
        <v>69</v>
      </c>
      <c r="C8" s="3" t="s">
        <v>72</v>
      </c>
      <c r="D8" s="17">
        <v>0</v>
      </c>
      <c r="E8" s="17">
        <v>1196775.2099999997</v>
      </c>
      <c r="F8" s="17">
        <v>0</v>
      </c>
      <c r="G8" s="7"/>
    </row>
    <row r="9" spans="1:17">
      <c r="A9" s="8" t="s">
        <v>13</v>
      </c>
      <c r="B9" s="3" t="s">
        <v>72</v>
      </c>
      <c r="C9" s="3" t="s">
        <v>69</v>
      </c>
      <c r="D9" s="17">
        <v>34057.119999999981</v>
      </c>
      <c r="E9" s="17">
        <v>3564.4200000000005</v>
      </c>
      <c r="F9" s="17">
        <v>57205.270000000019</v>
      </c>
      <c r="G9" s="7"/>
      <c r="L9" s="28" t="s">
        <v>81</v>
      </c>
      <c r="M9" s="27">
        <f>SUM(M3:M5)</f>
        <v>2232437.3848586287</v>
      </c>
      <c r="N9" s="27">
        <f>SUM(N3:N5)</f>
        <v>200970.703328804</v>
      </c>
      <c r="O9" s="29">
        <f>M9+N9</f>
        <v>2433408.0881874328</v>
      </c>
      <c r="Q9" s="21">
        <f>SUM(Q3:Q5)</f>
        <v>3090180</v>
      </c>
    </row>
    <row r="10" spans="1:17">
      <c r="A10" s="7"/>
      <c r="B10" s="7"/>
      <c r="C10" s="7"/>
      <c r="D10" s="18">
        <v>777254.57</v>
      </c>
      <c r="E10" s="18">
        <v>2712814.7699999996</v>
      </c>
      <c r="F10" s="18">
        <v>2126459.419999999</v>
      </c>
      <c r="G10" s="20">
        <f>SUM(D10:F10)</f>
        <v>5616528.7599999979</v>
      </c>
      <c r="L10" s="28" t="s">
        <v>82</v>
      </c>
      <c r="M10" s="27">
        <f>SUM(M3:M7)</f>
        <v>3023297.7251948258</v>
      </c>
      <c r="N10" s="27">
        <f>SUM(N3:N7)</f>
        <v>260797.11563050677</v>
      </c>
      <c r="O10" s="29">
        <f>M10+N10</f>
        <v>3284094.8408253323</v>
      </c>
      <c r="Q10" s="21">
        <f>SUM(Q3:Q7)</f>
        <v>4267131</v>
      </c>
    </row>
    <row r="13" spans="1:17">
      <c r="A13" s="1" t="s">
        <v>0</v>
      </c>
      <c r="B13" s="1" t="s">
        <v>1</v>
      </c>
      <c r="C13" s="1" t="s">
        <v>2</v>
      </c>
      <c r="D13" s="1" t="s">
        <v>3</v>
      </c>
      <c r="E13" s="1" t="s">
        <v>4</v>
      </c>
      <c r="F13" s="1" t="s">
        <v>5</v>
      </c>
    </row>
    <row r="14" spans="1:17">
      <c r="A14" s="2" t="s">
        <v>6</v>
      </c>
      <c r="B14" s="3" t="s">
        <v>69</v>
      </c>
      <c r="C14" s="3" t="s">
        <v>75</v>
      </c>
      <c r="D14" s="4">
        <f>GETPIVOTDATA("Sum of Y071-Y044",'[1]Cans Y044 pivot by Format'!$A$3,"Format","222M")</f>
        <v>1071695</v>
      </c>
      <c r="E14" s="4">
        <f>GETPIVOTDATA("Sum of Y071-Y044",'[1]Cans Y044 pivot by Format'!$A$3,"Format","355M")</f>
        <v>232489</v>
      </c>
      <c r="F14" s="4">
        <f>GETPIVOTDATA("Sum of Y071-Y044",'[1]Cans Y044 pivot by Format'!$A$3,"Format","473M")</f>
        <v>1779645</v>
      </c>
    </row>
    <row r="15" spans="1:17">
      <c r="A15" s="2" t="s">
        <v>7</v>
      </c>
      <c r="B15" s="3" t="s">
        <v>71</v>
      </c>
      <c r="C15" s="3" t="s">
        <v>75</v>
      </c>
      <c r="D15" s="4">
        <f>GETPIVOTDATA("Sum of Y053-Y044",'[1]Cans Y044 pivot by Format'!$A$3,"Format","222M")</f>
        <v>0</v>
      </c>
      <c r="E15" s="4">
        <f>GETPIVOTDATA("Sum of Y053-Y044",'[1]Cans Y044 pivot by Format'!$A$3,"Format","355M")</f>
        <v>13831</v>
      </c>
      <c r="F15" s="4">
        <f>GETPIVOTDATA("Sum of Y053-Y044",'[1]Cans Y044 pivot by Format'!$A$3,"Format","473M")</f>
        <v>0</v>
      </c>
    </row>
    <row r="16" spans="1:17">
      <c r="A16" s="2" t="s">
        <v>8</v>
      </c>
      <c r="B16" s="3" t="s">
        <v>75</v>
      </c>
      <c r="C16" s="3" t="s">
        <v>71</v>
      </c>
      <c r="D16" s="4">
        <f>GETPIVOTDATA("Sum of Y044-Y053",'[1]Cans Y044 pivot by Format'!$A$3,"Format","222M")</f>
        <v>0</v>
      </c>
      <c r="E16" s="4">
        <f>GETPIVOTDATA("Sum of Y044-Y053",'[1]Cans Y044 pivot by Format'!$A$3,"Format","355M")</f>
        <v>911006</v>
      </c>
      <c r="F16" s="4">
        <f>GETPIVOTDATA("Sum of Y044-Y053",'[1]Cans Y044 pivot by Format'!$A$3,"Format","473M")</f>
        <v>269706</v>
      </c>
    </row>
    <row r="17" spans="1:7">
      <c r="A17" s="2" t="s">
        <v>9</v>
      </c>
      <c r="B17" s="3" t="s">
        <v>69</v>
      </c>
      <c r="C17" s="3" t="s">
        <v>71</v>
      </c>
      <c r="D17" s="4">
        <f>GETPIVOTDATA("Y071-Y053",'[1]NFI to TCS'!$A$3,"Format","222M")</f>
        <v>0</v>
      </c>
      <c r="E17" s="4">
        <f>GETPIVOTDATA("Y071-Y053",'[1]NFI to TCS'!$A$3,"Format","355M")</f>
        <v>113018</v>
      </c>
      <c r="F17" s="4">
        <f>GETPIVOTDATA("Y071-Y053",'[1]NFI to TCS'!$A$3,"Format","473M")</f>
        <v>42899</v>
      </c>
    </row>
    <row r="18" spans="1:7">
      <c r="A18" s="2" t="s">
        <v>10</v>
      </c>
      <c r="B18" s="3" t="s">
        <v>72</v>
      </c>
      <c r="C18" s="3" t="s">
        <v>71</v>
      </c>
      <c r="D18" s="4">
        <f>GETPIVOTDATA("Sum of Y002-Y053",'[1]Cans Y002 Pivot by Format'!$A$3,"Format","222M")</f>
        <v>0</v>
      </c>
      <c r="E18" s="4">
        <f>GETPIVOTDATA("Sum of Y002-Y053",'[1]Cans Y002 Pivot by Format'!$A$3,"Format","355M")</f>
        <v>831444</v>
      </c>
      <c r="F18" s="4">
        <f>GETPIVOTDATA("Sum of Y002-Y053",'[1]Cans Y002 Pivot by Format'!$A$3,"Format","473M")</f>
        <v>195941</v>
      </c>
    </row>
    <row r="19" spans="1:7">
      <c r="A19" s="2" t="s">
        <v>11</v>
      </c>
      <c r="B19" s="3" t="s">
        <v>75</v>
      </c>
      <c r="C19" s="3" t="s">
        <v>72</v>
      </c>
      <c r="D19" s="4">
        <f>GETPIVOTDATA("Sum of Y044-Y002",'[1]Cans Y002 Pivot by Format'!$A$3,"Format","222M")</f>
        <v>0</v>
      </c>
      <c r="E19" s="4">
        <f>GETPIVOTDATA("Sum of Y044-Y002",'[1]Cans Y002 Pivot by Format'!$A$3,"Format","355M")</f>
        <v>39135</v>
      </c>
      <c r="F19" s="4">
        <f>GETPIVOTDATA("Sum of Y044-Y002",'[1]Cans Y002 Pivot by Format'!$A$3,"Format","473M")</f>
        <v>0</v>
      </c>
    </row>
    <row r="20" spans="1:7">
      <c r="A20" s="2" t="s">
        <v>12</v>
      </c>
      <c r="B20" s="3" t="s">
        <v>69</v>
      </c>
      <c r="C20" s="3" t="s">
        <v>72</v>
      </c>
      <c r="D20" s="4">
        <f>GETPIVOTDATA("Sum of Y071-Y002",'[1]Cans Y002 Pivot by Format'!$A$3,"Format","222M")</f>
        <v>0</v>
      </c>
      <c r="E20" s="4">
        <f>GETPIVOTDATA("Sum of Y071-Y002",'[1]Cans Y002 Pivot by Format'!$A$3,"Format","355M")</f>
        <v>18342470</v>
      </c>
      <c r="F20" s="4">
        <f>GETPIVOTDATA("Sum of Y071-Y002",'[1]Cans Y002 Pivot by Format'!$A$3,"Format","473M")</f>
        <v>0</v>
      </c>
    </row>
    <row r="21" spans="1:7">
      <c r="A21" s="2" t="s">
        <v>13</v>
      </c>
      <c r="B21" s="3" t="s">
        <v>72</v>
      </c>
      <c r="C21" s="3" t="s">
        <v>69</v>
      </c>
      <c r="D21" s="4">
        <f>GETPIVOTDATA("Sum of Y002-Y071",'[1]Cans Y002 Pivot by Format'!$A$3,"Format","222M")</f>
        <v>492042</v>
      </c>
      <c r="E21" s="4">
        <f>GETPIVOTDATA("Sum of Y002-Y071",'[1]Cans Y002 Pivot by Format'!$A$3,"Format","355M")</f>
        <v>70122</v>
      </c>
      <c r="F21" s="4">
        <f>GETPIVOTDATA("Sum of Y002-Y071",'[1]Cans Y002 Pivot by Format'!$A$3,"Format","473M")</f>
        <v>691783</v>
      </c>
    </row>
    <row r="22" spans="1:7">
      <c r="D22" s="6">
        <f>SUM(D14:D21)</f>
        <v>1563737</v>
      </c>
      <c r="E22" s="6">
        <f t="shared" ref="E22:F22" si="0">SUM(E14:E21)</f>
        <v>20553515</v>
      </c>
      <c r="F22" s="6">
        <f t="shared" si="0"/>
        <v>2979974</v>
      </c>
      <c r="G22" s="22">
        <f>SUM(D22:F22)</f>
        <v>25097226</v>
      </c>
    </row>
    <row r="25" spans="1:7" ht="30">
      <c r="A25" s="23" t="s">
        <v>83</v>
      </c>
      <c r="B25" s="24" t="s">
        <v>1</v>
      </c>
      <c r="C25" s="24" t="s">
        <v>2</v>
      </c>
      <c r="D25" s="24" t="s">
        <v>14</v>
      </c>
      <c r="E25" s="24" t="s">
        <v>16</v>
      </c>
      <c r="F25" s="24" t="s">
        <v>17</v>
      </c>
    </row>
    <row r="26" spans="1:7">
      <c r="A26" s="2" t="s">
        <v>6</v>
      </c>
      <c r="B26" s="3" t="s">
        <v>69</v>
      </c>
      <c r="C26" s="3" t="s">
        <v>75</v>
      </c>
      <c r="D26" s="5">
        <v>0.69347850834425839</v>
      </c>
      <c r="E26" s="5">
        <v>0.50541436369032522</v>
      </c>
      <c r="F26" s="5">
        <v>0.82427999966285359</v>
      </c>
    </row>
    <row r="27" spans="1:7">
      <c r="A27" s="2" t="s">
        <v>7</v>
      </c>
      <c r="B27" s="3" t="s">
        <v>71</v>
      </c>
      <c r="C27" s="3" t="s">
        <v>75</v>
      </c>
      <c r="D27" s="5">
        <v>0</v>
      </c>
      <c r="E27" s="5">
        <v>0.70478562649121534</v>
      </c>
      <c r="F27" s="5">
        <v>0</v>
      </c>
    </row>
    <row r="28" spans="1:7">
      <c r="A28" s="2" t="s">
        <v>8</v>
      </c>
      <c r="B28" s="3" t="s">
        <v>75</v>
      </c>
      <c r="C28" s="3" t="s">
        <v>71</v>
      </c>
      <c r="D28" s="5">
        <v>0</v>
      </c>
      <c r="E28" s="5">
        <v>0.7689399301431602</v>
      </c>
      <c r="F28" s="5">
        <v>1.2667269545356796</v>
      </c>
    </row>
    <row r="29" spans="1:7">
      <c r="A29" s="2" t="s">
        <v>9</v>
      </c>
      <c r="B29" s="3" t="s">
        <v>69</v>
      </c>
      <c r="C29" s="3" t="s">
        <v>71</v>
      </c>
      <c r="D29" s="5">
        <v>0</v>
      </c>
      <c r="E29" s="5">
        <v>0.70564830381001253</v>
      </c>
      <c r="F29" s="5">
        <v>1.0201631739667589</v>
      </c>
    </row>
    <row r="30" spans="1:7">
      <c r="A30" s="2" t="s">
        <v>10</v>
      </c>
      <c r="B30" s="3" t="s">
        <v>72</v>
      </c>
      <c r="C30" s="3" t="s">
        <v>71</v>
      </c>
      <c r="D30" s="5">
        <v>0</v>
      </c>
      <c r="E30" s="5">
        <v>0.66871184349156443</v>
      </c>
      <c r="F30" s="5">
        <v>1.1070706488177564</v>
      </c>
    </row>
    <row r="31" spans="1:7">
      <c r="A31" s="2" t="s">
        <v>11</v>
      </c>
      <c r="B31" s="3" t="s">
        <v>75</v>
      </c>
      <c r="C31" s="3" t="s">
        <v>72</v>
      </c>
      <c r="D31" s="5">
        <v>0</v>
      </c>
      <c r="E31" s="5">
        <v>1.2512500319407178</v>
      </c>
      <c r="F31" s="5">
        <v>0</v>
      </c>
    </row>
    <row r="32" spans="1:7">
      <c r="A32" s="2" t="s">
        <v>12</v>
      </c>
      <c r="B32" s="3" t="s">
        <v>69</v>
      </c>
      <c r="C32" s="3" t="s">
        <v>72</v>
      </c>
      <c r="D32" s="5">
        <v>0</v>
      </c>
      <c r="E32" s="5">
        <v>6.5246131518819431E-2</v>
      </c>
      <c r="F32" s="5">
        <v>0</v>
      </c>
    </row>
    <row r="33" spans="1:18">
      <c r="A33" s="2" t="s">
        <v>13</v>
      </c>
      <c r="B33" s="3" t="s">
        <v>72</v>
      </c>
      <c r="C33" s="3" t="s">
        <v>69</v>
      </c>
      <c r="D33" s="5">
        <v>6.9215879945207892E-2</v>
      </c>
      <c r="E33" s="5">
        <v>5.0831693334474209E-2</v>
      </c>
      <c r="F33" s="5">
        <v>8.2692506176069686E-2</v>
      </c>
    </row>
    <row r="35" spans="1:18" ht="26.25">
      <c r="L35" s="34" t="s">
        <v>84</v>
      </c>
      <c r="M35" s="34"/>
      <c r="N35" s="34"/>
      <c r="O35" s="34"/>
      <c r="P35" s="34"/>
      <c r="Q35" s="34"/>
      <c r="R35" s="34"/>
    </row>
  </sheetData>
  <mergeCells count="9">
    <mergeCell ref="J5:L5"/>
    <mergeCell ref="L35:R35"/>
    <mergeCell ref="J6:L6"/>
    <mergeCell ref="J7:L7"/>
    <mergeCell ref="N1:N2"/>
    <mergeCell ref="Q1:Q2"/>
    <mergeCell ref="M1:M2"/>
    <mergeCell ref="J3:L3"/>
    <mergeCell ref="J4:L4"/>
  </mergeCells>
  <conditionalFormatting sqref="D2:F9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6:F33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Omar Silva-Zapata</dc:creator>
  <cp:keywords/>
  <dc:description/>
  <cp:lastModifiedBy>Jaskaran Singh</cp:lastModifiedBy>
  <cp:revision/>
  <dcterms:created xsi:type="dcterms:W3CDTF">2023-03-08T19:50:17Z</dcterms:created>
  <dcterms:modified xsi:type="dcterms:W3CDTF">2023-03-09T14:23:36Z</dcterms:modified>
  <cp:category/>
  <cp:contentStatus/>
</cp:coreProperties>
</file>