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gritslab2/Desktop/robotarium-reg/GTernal/GTernal_design_files/Parts/"/>
    </mc:Choice>
  </mc:AlternateContent>
  <xr:revisionPtr revIDLastSave="0" documentId="13_ncr:1_{A0F2FDAF-ABAF-CD44-AC5D-1FFDD5229B98}" xr6:coauthVersionLast="47" xr6:coauthVersionMax="47" xr10:uidLastSave="{00000000-0000-0000-0000-000000000000}"/>
  <bookViews>
    <workbookView xWindow="2440" yWindow="500" windowWidth="18860" windowHeight="20520" xr2:uid="{00000000-000D-0000-FFFF-FFFF00000000}"/>
  </bookViews>
  <sheets>
    <sheet name="40_Rob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G35" i="1" s="1"/>
  <c r="C34" i="1"/>
  <c r="G34" i="1" s="1"/>
  <c r="C33" i="1"/>
  <c r="G33" i="1" s="1"/>
  <c r="G32" i="1"/>
  <c r="E32" i="1"/>
  <c r="C31" i="1"/>
  <c r="G31" i="1" s="1"/>
  <c r="C30" i="1"/>
  <c r="G30" i="1" s="1"/>
  <c r="E29" i="1"/>
  <c r="C29" i="1"/>
  <c r="G29" i="1" s="1"/>
  <c r="C28" i="1"/>
  <c r="E28" i="1" s="1"/>
  <c r="C27" i="1"/>
  <c r="G27" i="1" s="1"/>
  <c r="E26" i="1"/>
  <c r="C26" i="1"/>
  <c r="G26" i="1" s="1"/>
  <c r="C25" i="1"/>
  <c r="G25" i="1" s="1"/>
  <c r="C24" i="1"/>
  <c r="E24" i="1" s="1"/>
  <c r="C23" i="1"/>
  <c r="G23" i="1" s="1"/>
  <c r="E22" i="1"/>
  <c r="D22" i="1"/>
  <c r="E21" i="1"/>
  <c r="E20" i="1"/>
  <c r="E19" i="1"/>
  <c r="E18" i="1"/>
  <c r="C17" i="1"/>
  <c r="G17" i="1" s="1"/>
  <c r="C16" i="1"/>
  <c r="G16" i="1" s="1"/>
  <c r="C15" i="1"/>
  <c r="E15" i="1" s="1"/>
  <c r="G14" i="1"/>
  <c r="E14" i="1"/>
  <c r="C14" i="1"/>
  <c r="C13" i="1"/>
  <c r="G13" i="1" s="1"/>
  <c r="G12" i="1"/>
  <c r="C12" i="1"/>
  <c r="E12" i="1" s="1"/>
  <c r="C11" i="1"/>
  <c r="G11" i="1" s="1"/>
  <c r="G10" i="1"/>
  <c r="E10" i="1"/>
  <c r="C10" i="1"/>
  <c r="C9" i="1"/>
  <c r="G9" i="1" s="1"/>
  <c r="C8" i="1"/>
  <c r="G8" i="1" s="1"/>
  <c r="G7" i="1"/>
  <c r="E7" i="1"/>
  <c r="C7" i="1"/>
  <c r="C6" i="1"/>
  <c r="G6" i="1" s="1"/>
  <c r="C5" i="1"/>
  <c r="G5" i="1" s="1"/>
  <c r="G4" i="1"/>
  <c r="E4" i="1"/>
  <c r="G3" i="1"/>
  <c r="E3" i="1"/>
  <c r="C3" i="1"/>
  <c r="C2" i="1"/>
  <c r="G2" i="1" s="1"/>
  <c r="E30" i="1" l="1"/>
  <c r="E25" i="1"/>
  <c r="G15" i="1"/>
  <c r="E5" i="1"/>
  <c r="E16" i="1"/>
  <c r="G24" i="1"/>
  <c r="E11" i="1"/>
  <c r="E6" i="1"/>
  <c r="E17" i="1"/>
  <c r="E31" i="1"/>
  <c r="E2" i="1"/>
  <c r="E13" i="1"/>
  <c r="E8" i="1"/>
  <c r="E27" i="1"/>
  <c r="E33" i="1"/>
  <c r="E23" i="1"/>
  <c r="G28" i="1"/>
  <c r="E34" i="1"/>
  <c r="E9" i="1"/>
  <c r="D35" i="1"/>
  <c r="E40" i="1"/>
  <c r="E41" i="1" l="1"/>
  <c r="E43" i="1" s="1"/>
  <c r="E42" i="1"/>
</calcChain>
</file>

<file path=xl/sharedStrings.xml><?xml version="1.0" encoding="utf-8"?>
<sst xmlns="http://schemas.openxmlformats.org/spreadsheetml/2006/main" count="113" uniqueCount="98">
  <si>
    <t>Name</t>
  </si>
  <si>
    <t>Link:</t>
  </si>
  <si>
    <t>Quantity:</t>
  </si>
  <si>
    <t>Price</t>
  </si>
  <si>
    <t>Subtotal:</t>
  </si>
  <si>
    <t>Use/Notes:</t>
  </si>
  <si>
    <t>https://a.co/d/cnISycu</t>
  </si>
  <si>
    <t>M2.5x6mm Screw</t>
  </si>
  <si>
    <t>https://www.mcmaster.com/90116A110/</t>
  </si>
  <si>
    <t>4 Used per robot, pack of 100</t>
  </si>
  <si>
    <t>https://www.mcmaster.com/93625A103/</t>
  </si>
  <si>
    <t>4 Used per robot, pack of 25</t>
  </si>
  <si>
    <t>24"x24"x1/8" Acrylic sheet</t>
  </si>
  <si>
    <t>https://www.mcmaster.com/product/8560K194</t>
  </si>
  <si>
    <t>12"x12"x1/16" Acrylic sheet</t>
  </si>
  <si>
    <t>https://www.mcmaster.com/8560K171/</t>
  </si>
  <si>
    <t>https://www.mcmaster.com/92492A712-92492A658/</t>
  </si>
  <si>
    <t>M2.5 Nuts</t>
  </si>
  <si>
    <t>https://www.mcmaster.com/93800A350-93369A114/?s=m2.5+nylon+nut</t>
  </si>
  <si>
    <t>3.7v lipo Battery</t>
  </si>
  <si>
    <t>https://www.adafruit.com/product/328</t>
  </si>
  <si>
    <t>100:1 6v motor with encoder</t>
  </si>
  <si>
    <t>Motor mount</t>
  </si>
  <si>
    <t>Wheel</t>
  </si>
  <si>
    <t>Ball Caster</t>
  </si>
  <si>
    <t>Caster Springs</t>
  </si>
  <si>
    <t>https://www.mcmaster.com/90576A102/</t>
  </si>
  <si>
    <t>Qi Charger</t>
  </si>
  <si>
    <t>https://a.co/d/bVD1k2u</t>
  </si>
  <si>
    <t>Distance Sensors</t>
  </si>
  <si>
    <t>https://www.adafruit.com/product/5396</t>
  </si>
  <si>
    <t>7 Per robot</t>
  </si>
  <si>
    <t>Qwiic Cables Short</t>
  </si>
  <si>
    <t>https://www.sparkfun.com/products/17260</t>
  </si>
  <si>
    <t>Teensy 4.0</t>
  </si>
  <si>
    <t>Total:</t>
  </si>
  <si>
    <t>Number of Robots:</t>
  </si>
  <si>
    <t>Total with 9% Tax:</t>
  </si>
  <si>
    <t>https://www.mcmaster.com/92492A704-92492A104/</t>
  </si>
  <si>
    <t>PCB</t>
  </si>
  <si>
    <t>Raspberry Pi Camera V2</t>
  </si>
  <si>
    <t>https://a.co/d/fKN2s0y</t>
  </si>
  <si>
    <t>Brass Standoffs (M2.5x15mm)</t>
  </si>
  <si>
    <t>https://www.digikey.com/en/products/detail/assmann-wsw-components/V6622E/3511510</t>
  </si>
  <si>
    <t>Brass Standoffs (M2.5x10mm)</t>
  </si>
  <si>
    <t>https://www.digikey.com/en/products/detail/assmann-wsw-components/V6622C/3511505</t>
  </si>
  <si>
    <t>https://www.mcmaster.com/92005A128/</t>
  </si>
  <si>
    <t>M2.5x8mm Nylon Screws</t>
  </si>
  <si>
    <t>https://www.adafruit.com/product/4875</t>
  </si>
  <si>
    <t>JST 5-pin Connector</t>
  </si>
  <si>
    <t>Connector for PCB and RPi</t>
  </si>
  <si>
    <t>2 Per robot</t>
  </si>
  <si>
    <t>Per Robot</t>
  </si>
  <si>
    <t>Per Robot w/ Tax</t>
  </si>
  <si>
    <t>https://www.sparkfun.com/products/15446</t>
  </si>
  <si>
    <t>Raspberry Pi 4B (2GB)</t>
  </si>
  <si>
    <t>https://circuithub.com/projects/Payday02/GTernal/revisions/51452/parts</t>
  </si>
  <si>
    <t>Caster Screws (M3x20mm)</t>
  </si>
  <si>
    <t>Caster Lock Nuts (M3)</t>
  </si>
  <si>
    <t>Standoff Locknuts (M2.5)</t>
  </si>
  <si>
    <t>Nylon Standoffs (M2.5)</t>
  </si>
  <si>
    <t>Pack of 100</t>
  </si>
  <si>
    <t>NA</t>
  </si>
  <si>
    <t>https://www.adafruit.com/product/392</t>
  </si>
  <si>
    <t>Male Pin Header</t>
  </si>
  <si>
    <t>Pack of 10</t>
  </si>
  <si>
    <t>Vicon Marker Screws (4-40 1/2")</t>
  </si>
  <si>
    <t>Vicon Marker Screws (4-40 3/4")</t>
  </si>
  <si>
    <t>Vicon Marker Screws (4-40 1")</t>
  </si>
  <si>
    <t>Vicon Marker Screws (4-40 1-1/4")</t>
  </si>
  <si>
    <t>Pi Cam Screws (M2)</t>
  </si>
  <si>
    <t>https://www.mcmaster.com/93800A300/</t>
  </si>
  <si>
    <t>Pi Cam Nuts (M2)</t>
  </si>
  <si>
    <t>Body Panels. About 5 robots per pannel</t>
  </si>
  <si>
    <t>Pack of 100. Distance sensors and Raspberry Pi Mounting. 32 screws per robot.</t>
  </si>
  <si>
    <t>Pack of 100. 4 needed per robot.</t>
  </si>
  <si>
    <t>Pack of 100. 3 needed per robot</t>
  </si>
  <si>
    <t>7 needed per robot</t>
  </si>
  <si>
    <t>Only using 6 mm, 8 mm, and 20 mm. Pack comes with 15 of each and 4 of each are used per robot.</t>
  </si>
  <si>
    <t>Pack of 2. 2 needed per robot</t>
  </si>
  <si>
    <t>Pack of 2. 1 needed per robot</t>
  </si>
  <si>
    <t>4 needed per robot</t>
  </si>
  <si>
    <t>Parts Utilization Ratio</t>
  </si>
  <si>
    <t>https://www.amazon.com/dp/B087JCL881/ref=twister_B08CLNX58K?_encoding=UTF8&amp;th=1</t>
  </si>
  <si>
    <t>Vicon Marker Lock Nuts (4-40)</t>
  </si>
  <si>
    <t>Micro SD Card (32 GB)</t>
  </si>
  <si>
    <t>https://www.mcmaster.com/91772A110/</t>
  </si>
  <si>
    <t>https://www.mcmaster.com/91772A113/</t>
  </si>
  <si>
    <t>https://www.mcmaster.com/91772A115/</t>
  </si>
  <si>
    <t>https://www.mcmaster.com/91772A116/</t>
  </si>
  <si>
    <t>https://www.mcmaster.com/91831A005/</t>
  </si>
  <si>
    <t>https://www.digikey.com/en/products/detail/dfrobot/FIT0483/7087160?utm_adgroup=&amp;utm_source=google&amp;utm_medium=cpc&amp;utm_campaign=PMax%20Shopping_Product_Low%20ROAS%20Categories&amp;utm_term=&amp;utm_content=&amp;utm_id=go_cmp-20243063506_adg-_ad-__dev-c_ext-_prd-7087160_sig-Cj0KCQjwn7mwBhCiARIsAGoxjaKUgkg9ZnM6tX295P9iaGMPqMeJT4WfKI-WCpesY4oURRytprto0YEaAh6CEALw_wcB&amp;gad_source=1&amp;gclid=Cj0KCQjwn7mwBhCiARIsAGoxjaKUgkg9ZnM6tX295P9iaGMPqMeJT4WfKI-WCpesY4oURRytprto0YEaAh6CEALw_wcB</t>
  </si>
  <si>
    <t>https://www.digikey.com/en/products/detail/pololu-corporation/989/10449800</t>
  </si>
  <si>
    <t>https://www.digikey.com/en/products/detail/pololu-corporation/1087/10449804</t>
  </si>
  <si>
    <t>https://www.tamiyausa.com/shop/educational-construction/ball-caster-2pcs/</t>
  </si>
  <si>
    <t>https://www.mcmaster.com/9657K601/</t>
  </si>
  <si>
    <t>https://www.adafruit.com/product/4323</t>
  </si>
  <si>
    <t>Pack of 12. 3 needed per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</si>
</sst>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2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/>
    <xf numFmtId="0" fontId="1" fillId="0" borderId="2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1" fillId="0" borderId="3" xfId="0" applyFont="1" applyBorder="1"/>
    <xf numFmtId="0" fontId="1" fillId="0" borderId="0" xfId="0" applyFont="1" applyAlignment="1">
      <alignment horizontal="center" wrapText="1"/>
    </xf>
    <xf numFmtId="0" fontId="5" fillId="2" borderId="0" xfId="0" applyFont="1" applyFill="1"/>
    <xf numFmtId="0" fontId="4" fillId="0" borderId="0" xfId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wrapText="1"/>
    </xf>
    <xf numFmtId="8" fontId="6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pololu-corporation/989/10449800" TargetMode="External"/><Relationship Id="rId18" Type="http://schemas.openxmlformats.org/officeDocument/2006/relationships/hyperlink" Target="https://a.co/d/bVD1k2u" TargetMode="External"/><Relationship Id="rId26" Type="http://schemas.openxmlformats.org/officeDocument/2006/relationships/hyperlink" Target="https://www.adafruit.com/product/392" TargetMode="External"/><Relationship Id="rId3" Type="http://schemas.openxmlformats.org/officeDocument/2006/relationships/hyperlink" Target="https://www.mcmaster.com/90116A110/" TargetMode="External"/><Relationship Id="rId21" Type="http://schemas.openxmlformats.org/officeDocument/2006/relationships/hyperlink" Target="https://circuithub.com/projects/Payday02/GTernal/revisions/51452/parts" TargetMode="External"/><Relationship Id="rId7" Type="http://schemas.openxmlformats.org/officeDocument/2006/relationships/hyperlink" Target="https://www.mcmaster.com/92492A712-92492A658/" TargetMode="External"/><Relationship Id="rId12" Type="http://schemas.openxmlformats.org/officeDocument/2006/relationships/hyperlink" Target="https://www.digikey.com/en/products/detail/dfrobot/FIT0483/7087160?utm_adgroup=&amp;utm_source=google&amp;utm_medium=cpc&amp;utm_campaign=PMax%20Shopping_Product_Low%20ROAS%20Categories&amp;utm_term=&amp;utm_content=&amp;utm_id=go_cmp-20243063506_adg-_ad-__dev-c_ext-_prd-7087160_sig-Cj0KCQjwn7mwBhCiARIsAGoxjaKUgkg9ZnM6tX295P9iaGMPqMeJT4WfKI-WCpesY4oURRytprto0YEaAh6CEALw_wcB&amp;gad_source=1&amp;gclid=Cj0KCQjwn7mwBhCiARIsAGoxjaKUgkg9ZnM6tX295P9iaGMPqMeJT4WfKI-WCpesY4oURRytprto0YEaAh6CEALw_wcB" TargetMode="External"/><Relationship Id="rId17" Type="http://schemas.openxmlformats.org/officeDocument/2006/relationships/hyperlink" Target="https://www.mcmaster.com/90576A102/" TargetMode="External"/><Relationship Id="rId25" Type="http://schemas.openxmlformats.org/officeDocument/2006/relationships/hyperlink" Target="https://a.co/d/fKN2s0y" TargetMode="External"/><Relationship Id="rId33" Type="http://schemas.openxmlformats.org/officeDocument/2006/relationships/hyperlink" Target="https://www.mcmaster.com/91772A110/" TargetMode="External"/><Relationship Id="rId2" Type="http://schemas.openxmlformats.org/officeDocument/2006/relationships/hyperlink" Target="https://www.digikey.com/en/products/detail/assmann-wsw-components/V6622C/3511505" TargetMode="External"/><Relationship Id="rId16" Type="http://schemas.openxmlformats.org/officeDocument/2006/relationships/hyperlink" Target="https://www.mcmaster.com/9657K601/" TargetMode="External"/><Relationship Id="rId20" Type="http://schemas.openxmlformats.org/officeDocument/2006/relationships/hyperlink" Target="https://www.sparkfun.com/products/17260" TargetMode="External"/><Relationship Id="rId29" Type="http://schemas.openxmlformats.org/officeDocument/2006/relationships/hyperlink" Target="https://www.mcmaster.com/91772A113/" TargetMode="External"/><Relationship Id="rId1" Type="http://schemas.openxmlformats.org/officeDocument/2006/relationships/hyperlink" Target="https://a.co/d/cnISycu" TargetMode="External"/><Relationship Id="rId6" Type="http://schemas.openxmlformats.org/officeDocument/2006/relationships/hyperlink" Target="https://www.mcmaster.com/8560K171/" TargetMode="External"/><Relationship Id="rId11" Type="http://schemas.openxmlformats.org/officeDocument/2006/relationships/hyperlink" Target="https://www.adafruit.com/product/328" TargetMode="External"/><Relationship Id="rId24" Type="http://schemas.openxmlformats.org/officeDocument/2006/relationships/hyperlink" Target="https://www.adafruit.com/product/4323" TargetMode="External"/><Relationship Id="rId32" Type="http://schemas.openxmlformats.org/officeDocument/2006/relationships/hyperlink" Target="https://www.mcmaster.com/91831A005/" TargetMode="External"/><Relationship Id="rId5" Type="http://schemas.openxmlformats.org/officeDocument/2006/relationships/hyperlink" Target="https://www.mcmaster.com/product/8560K194" TargetMode="External"/><Relationship Id="rId15" Type="http://schemas.openxmlformats.org/officeDocument/2006/relationships/hyperlink" Target="https://www.tamiyausa.com/shop/educational-construction/ball-caster-2pcs/" TargetMode="External"/><Relationship Id="rId23" Type="http://schemas.openxmlformats.org/officeDocument/2006/relationships/hyperlink" Target="https://www.digikey.com/en/products/detail/assmann-wsw-components/V6622E/3511510" TargetMode="External"/><Relationship Id="rId28" Type="http://schemas.openxmlformats.org/officeDocument/2006/relationships/hyperlink" Target="https://www.mcmaster.com/92492A704-92492A104/" TargetMode="External"/><Relationship Id="rId10" Type="http://schemas.openxmlformats.org/officeDocument/2006/relationships/hyperlink" Target="https://www.sparkfun.com/products/15446" TargetMode="External"/><Relationship Id="rId19" Type="http://schemas.openxmlformats.org/officeDocument/2006/relationships/hyperlink" Target="https://www.adafruit.com/product/5396" TargetMode="External"/><Relationship Id="rId31" Type="http://schemas.openxmlformats.org/officeDocument/2006/relationships/hyperlink" Target="https://www.mcmaster.com/91772A116/" TargetMode="External"/><Relationship Id="rId4" Type="http://schemas.openxmlformats.org/officeDocument/2006/relationships/hyperlink" Target="https://www.mcmaster.com/93625A103/" TargetMode="External"/><Relationship Id="rId9" Type="http://schemas.openxmlformats.org/officeDocument/2006/relationships/hyperlink" Target="https://www.adafruit.com/product/4875" TargetMode="External"/><Relationship Id="rId14" Type="http://schemas.openxmlformats.org/officeDocument/2006/relationships/hyperlink" Target="https://www.digikey.com/en/products/detail/pololu-corporation/1087/10449804" TargetMode="External"/><Relationship Id="rId22" Type="http://schemas.openxmlformats.org/officeDocument/2006/relationships/hyperlink" Target="https://www.mcmaster.com/92005A128/" TargetMode="External"/><Relationship Id="rId27" Type="http://schemas.openxmlformats.org/officeDocument/2006/relationships/hyperlink" Target="https://www.amazon.com/dp/B087JCL881/ref=twister_B08CLNX58K?_encoding=UTF8&amp;th=1" TargetMode="External"/><Relationship Id="rId30" Type="http://schemas.openxmlformats.org/officeDocument/2006/relationships/hyperlink" Target="https://www.mcmaster.com/91772A115/" TargetMode="External"/><Relationship Id="rId8" Type="http://schemas.openxmlformats.org/officeDocument/2006/relationships/hyperlink" Target="https://www.mcmaster.com/93800A350-93369A114/?s=m2.5+nylon+n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tabSelected="1" zoomScale="134" workbookViewId="0"/>
  </sheetViews>
  <sheetFormatPr baseColWidth="10" defaultColWidth="12.6640625" defaultRowHeight="15.75" customHeight="1" x14ac:dyDescent="0.15"/>
  <cols>
    <col min="1" max="1" width="36.5" customWidth="1"/>
    <col min="2" max="2" width="16.83203125" customWidth="1"/>
    <col min="4" max="4" width="14.5" customWidth="1"/>
    <col min="6" max="6" width="63" customWidth="1"/>
    <col min="7" max="7" width="16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82</v>
      </c>
      <c r="J1" s="2"/>
    </row>
    <row r="2" spans="1:10" ht="15.75" customHeight="1" x14ac:dyDescent="0.15">
      <c r="A2" s="3" t="s">
        <v>60</v>
      </c>
      <c r="B2" s="4" t="s">
        <v>6</v>
      </c>
      <c r="C2" s="1">
        <f>CEILING(C41*4/15,1)</f>
        <v>11</v>
      </c>
      <c r="D2" s="5">
        <v>14.99</v>
      </c>
      <c r="E2" s="5">
        <f t="shared" ref="E2:E33" si="0">C2*D2</f>
        <v>164.89000000000001</v>
      </c>
      <c r="F2" s="6" t="s">
        <v>78</v>
      </c>
      <c r="G2" s="1">
        <f>4/(C2*15)*C41</f>
        <v>0.96969696969696972</v>
      </c>
      <c r="J2" s="2"/>
    </row>
    <row r="3" spans="1:10" ht="15.75" customHeight="1" x14ac:dyDescent="0.15">
      <c r="A3" s="3" t="s">
        <v>27</v>
      </c>
      <c r="B3" s="4" t="s">
        <v>28</v>
      </c>
      <c r="C3" s="1">
        <f>CEILING(C41*1,1)</f>
        <v>40</v>
      </c>
      <c r="D3" s="5">
        <v>9.99</v>
      </c>
      <c r="E3" s="5">
        <f>C3*D3</f>
        <v>399.6</v>
      </c>
      <c r="G3" s="1">
        <f>1/C3*C41</f>
        <v>1</v>
      </c>
      <c r="J3" s="2"/>
    </row>
    <row r="4" spans="1:10" ht="15.75" customHeight="1" x14ac:dyDescent="0.15">
      <c r="A4" s="3" t="s">
        <v>85</v>
      </c>
      <c r="B4" s="14" t="s">
        <v>83</v>
      </c>
      <c r="C4" s="1">
        <v>20</v>
      </c>
      <c r="D4" s="5">
        <v>15.89</v>
      </c>
      <c r="E4" s="5">
        <f>C4*D4</f>
        <v>317.8</v>
      </c>
      <c r="F4" s="16" t="s">
        <v>80</v>
      </c>
      <c r="G4" s="1">
        <f>1/(C4*2)*C41</f>
        <v>1</v>
      </c>
      <c r="J4" s="2"/>
    </row>
    <row r="5" spans="1:10" ht="15.75" customHeight="1" x14ac:dyDescent="0.15">
      <c r="A5" s="13" t="s">
        <v>40</v>
      </c>
      <c r="B5" s="14" t="s">
        <v>41</v>
      </c>
      <c r="C5" s="16">
        <f>CEILING(C41*1/1,1)</f>
        <v>40</v>
      </c>
      <c r="D5" s="18">
        <v>19.989999999999998</v>
      </c>
      <c r="E5" s="18">
        <f>C5*D5</f>
        <v>799.59999999999991</v>
      </c>
      <c r="F5" s="16"/>
      <c r="G5" s="16">
        <f>1/C5*C41</f>
        <v>1</v>
      </c>
      <c r="J5" s="2"/>
    </row>
    <row r="6" spans="1:10" ht="15.75" customHeight="1" x14ac:dyDescent="0.15">
      <c r="A6" s="13" t="s">
        <v>42</v>
      </c>
      <c r="B6" s="14" t="s">
        <v>43</v>
      </c>
      <c r="C6" s="1">
        <f>CEILING(C41*4/1,1)</f>
        <v>160</v>
      </c>
      <c r="D6" s="5">
        <v>0.21410000000000001</v>
      </c>
      <c r="E6" s="5">
        <f>C6*D6</f>
        <v>34.256</v>
      </c>
      <c r="F6" s="6" t="s">
        <v>81</v>
      </c>
      <c r="G6" s="1">
        <f>4/C6*C41</f>
        <v>1</v>
      </c>
      <c r="J6" s="2"/>
    </row>
    <row r="7" spans="1:10" ht="15.75" customHeight="1" x14ac:dyDescent="0.15">
      <c r="A7" s="13" t="s">
        <v>44</v>
      </c>
      <c r="B7" s="14" t="s">
        <v>45</v>
      </c>
      <c r="C7" s="1">
        <f>CEILING(C41*4/1,1)</f>
        <v>160</v>
      </c>
      <c r="D7" s="5">
        <v>0.18790000000000001</v>
      </c>
      <c r="E7" s="5">
        <f t="shared" si="0"/>
        <v>30.064</v>
      </c>
      <c r="F7" s="1" t="s">
        <v>81</v>
      </c>
      <c r="G7" s="1">
        <f>4/C7*C41</f>
        <v>1</v>
      </c>
      <c r="J7" s="2"/>
    </row>
    <row r="8" spans="1:10" ht="15.75" customHeight="1" x14ac:dyDescent="0.15">
      <c r="A8" s="3" t="s">
        <v>7</v>
      </c>
      <c r="B8" s="4" t="s">
        <v>8</v>
      </c>
      <c r="C8" s="1">
        <f>CEILING(C41*4/100,1)</f>
        <v>2</v>
      </c>
      <c r="D8" s="5">
        <v>11.1</v>
      </c>
      <c r="E8" s="5">
        <f t="shared" si="0"/>
        <v>22.2</v>
      </c>
      <c r="F8" s="1" t="s">
        <v>9</v>
      </c>
      <c r="G8" s="1">
        <f>4/(C8*100)*C41</f>
        <v>0.8</v>
      </c>
      <c r="J8" s="2"/>
    </row>
    <row r="9" spans="1:10" ht="15.75" customHeight="1" x14ac:dyDescent="0.15">
      <c r="A9" s="13" t="s">
        <v>59</v>
      </c>
      <c r="B9" s="4" t="s">
        <v>10</v>
      </c>
      <c r="C9" s="1">
        <f>CEILING(C41*4/25,1)</f>
        <v>7</v>
      </c>
      <c r="D9" s="5">
        <v>7</v>
      </c>
      <c r="E9" s="5">
        <f t="shared" si="0"/>
        <v>49</v>
      </c>
      <c r="F9" s="1" t="s">
        <v>11</v>
      </c>
      <c r="G9" s="1">
        <f>4/(C9*25)*C41</f>
        <v>0.91428571428571426</v>
      </c>
      <c r="J9" s="2"/>
    </row>
    <row r="10" spans="1:10" ht="15.75" customHeight="1" x14ac:dyDescent="0.15">
      <c r="A10" s="3" t="s">
        <v>12</v>
      </c>
      <c r="B10" s="4" t="s">
        <v>13</v>
      </c>
      <c r="C10" s="1">
        <f>CEILING(C41*0.2/1,1)</f>
        <v>8</v>
      </c>
      <c r="D10" s="5">
        <v>25.38</v>
      </c>
      <c r="E10" s="5">
        <f t="shared" si="0"/>
        <v>203.04</v>
      </c>
      <c r="F10" s="1" t="s">
        <v>73</v>
      </c>
      <c r="G10" s="1">
        <f>0.2/C10*C41</f>
        <v>1</v>
      </c>
      <c r="J10" s="2"/>
    </row>
    <row r="11" spans="1:10" ht="15.75" customHeight="1" x14ac:dyDescent="0.15">
      <c r="A11" s="3" t="s">
        <v>14</v>
      </c>
      <c r="B11" s="4" t="s">
        <v>15</v>
      </c>
      <c r="C11" s="1">
        <f>CEILING(C41*0.2/1,1)</f>
        <v>8</v>
      </c>
      <c r="D11" s="5">
        <v>16.88</v>
      </c>
      <c r="E11" s="5">
        <f t="shared" si="0"/>
        <v>135.04</v>
      </c>
      <c r="F11" s="6" t="s">
        <v>73</v>
      </c>
      <c r="G11" s="1">
        <f>0.2/C11*C41</f>
        <v>1</v>
      </c>
      <c r="J11" s="2"/>
    </row>
    <row r="12" spans="1:10" ht="15.75" customHeight="1" x14ac:dyDescent="0.15">
      <c r="A12" s="13" t="s">
        <v>47</v>
      </c>
      <c r="B12" s="4" t="s">
        <v>16</v>
      </c>
      <c r="C12" s="1">
        <f>CEILING(C41*32/100,1)</f>
        <v>13</v>
      </c>
      <c r="D12" s="5">
        <v>9.09</v>
      </c>
      <c r="E12" s="5">
        <f t="shared" si="0"/>
        <v>118.17</v>
      </c>
      <c r="F12" s="6" t="s">
        <v>74</v>
      </c>
      <c r="G12" s="1">
        <f>32/(C12*100)*C41</f>
        <v>0.98461538461538467</v>
      </c>
      <c r="J12" s="2"/>
    </row>
    <row r="13" spans="1:10" ht="15.75" customHeight="1" x14ac:dyDescent="0.15">
      <c r="A13" s="3" t="s">
        <v>17</v>
      </c>
      <c r="B13" s="4" t="s">
        <v>18</v>
      </c>
      <c r="C13" s="1">
        <f>CEILING(C41*32/100,1)</f>
        <v>13</v>
      </c>
      <c r="D13" s="5">
        <v>17.84</v>
      </c>
      <c r="E13" s="5">
        <f t="shared" si="0"/>
        <v>231.92</v>
      </c>
      <c r="F13" s="6" t="s">
        <v>74</v>
      </c>
      <c r="G13" s="1">
        <f>32/(C13*100)*C41</f>
        <v>0.98461538461538467</v>
      </c>
      <c r="J13" s="2"/>
    </row>
    <row r="14" spans="1:10" ht="15.75" customHeight="1" x14ac:dyDescent="0.15">
      <c r="A14" s="13" t="s">
        <v>57</v>
      </c>
      <c r="B14" s="14" t="s">
        <v>46</v>
      </c>
      <c r="C14" s="1">
        <f>CEILING(C41*3/100,1)</f>
        <v>2</v>
      </c>
      <c r="D14" s="5">
        <v>5.14</v>
      </c>
      <c r="E14" s="5">
        <f t="shared" si="0"/>
        <v>10.28</v>
      </c>
      <c r="F14" s="1" t="s">
        <v>76</v>
      </c>
      <c r="G14" s="1">
        <f>3/(C14*100)*C41</f>
        <v>0.6</v>
      </c>
      <c r="J14" s="2"/>
    </row>
    <row r="15" spans="1:10" ht="15.75" customHeight="1" x14ac:dyDescent="0.15">
      <c r="A15" s="13" t="s">
        <v>58</v>
      </c>
      <c r="B15" s="4" t="s">
        <v>26</v>
      </c>
      <c r="C15" s="1">
        <f>CEILING(C41*3/100,1)</f>
        <v>2</v>
      </c>
      <c r="D15" s="5">
        <v>4.6500000000000004</v>
      </c>
      <c r="E15" s="5">
        <f>C15*D15</f>
        <v>9.3000000000000007</v>
      </c>
      <c r="F15" s="1" t="s">
        <v>76</v>
      </c>
      <c r="G15" s="1">
        <f>3/(C15*100)*C41</f>
        <v>0.6</v>
      </c>
      <c r="J15" s="2"/>
    </row>
    <row r="16" spans="1:10" ht="15.75" customHeight="1" x14ac:dyDescent="0.15">
      <c r="A16" s="13" t="s">
        <v>70</v>
      </c>
      <c r="B16" s="14" t="s">
        <v>38</v>
      </c>
      <c r="C16" s="1">
        <f>CEILING(C41*4/100,1)</f>
        <v>2</v>
      </c>
      <c r="D16" s="5">
        <v>13.77</v>
      </c>
      <c r="E16" s="5">
        <f>C16*D16</f>
        <v>27.54</v>
      </c>
      <c r="F16" s="1" t="s">
        <v>75</v>
      </c>
      <c r="G16" s="1">
        <f>4/(C16*100)*C41</f>
        <v>0.8</v>
      </c>
      <c r="J16" s="2"/>
    </row>
    <row r="17" spans="1:10" ht="15.75" customHeight="1" x14ac:dyDescent="0.15">
      <c r="A17" s="13" t="s">
        <v>72</v>
      </c>
      <c r="B17" s="4" t="s">
        <v>71</v>
      </c>
      <c r="C17" s="1">
        <f>CEILING(C41*4/100,1)</f>
        <v>2</v>
      </c>
      <c r="D17" s="5">
        <v>20.13</v>
      </c>
      <c r="E17" s="5">
        <f>C17*D17</f>
        <v>40.26</v>
      </c>
      <c r="F17" s="1" t="s">
        <v>75</v>
      </c>
      <c r="G17" s="1">
        <f>4/(C17*100)*C41</f>
        <v>0.8</v>
      </c>
      <c r="J17" s="2"/>
    </row>
    <row r="18" spans="1:10" ht="15.75" customHeight="1" x14ac:dyDescent="0.15">
      <c r="A18" s="13" t="s">
        <v>66</v>
      </c>
      <c r="B18" s="14" t="s">
        <v>86</v>
      </c>
      <c r="C18" s="1">
        <v>100</v>
      </c>
      <c r="D18" s="5">
        <v>6.41</v>
      </c>
      <c r="E18" s="5">
        <f>D18</f>
        <v>6.41</v>
      </c>
      <c r="F18" s="1" t="s">
        <v>61</v>
      </c>
      <c r="G18" s="19" t="s">
        <v>62</v>
      </c>
      <c r="J18" s="2"/>
    </row>
    <row r="19" spans="1:10" ht="15.75" customHeight="1" x14ac:dyDescent="0.15">
      <c r="A19" s="13" t="s">
        <v>67</v>
      </c>
      <c r="B19" s="14" t="s">
        <v>87</v>
      </c>
      <c r="C19" s="1">
        <v>100</v>
      </c>
      <c r="D19" s="5">
        <v>7.12</v>
      </c>
      <c r="E19" s="5">
        <f>D19</f>
        <v>7.12</v>
      </c>
      <c r="F19" s="1" t="s">
        <v>61</v>
      </c>
      <c r="G19" s="19" t="s">
        <v>62</v>
      </c>
      <c r="J19" s="2"/>
    </row>
    <row r="20" spans="1:10" ht="15.75" customHeight="1" x14ac:dyDescent="0.15">
      <c r="A20" s="13" t="s">
        <v>68</v>
      </c>
      <c r="B20" s="14" t="s">
        <v>88</v>
      </c>
      <c r="C20" s="1">
        <v>100</v>
      </c>
      <c r="D20" s="5">
        <v>7.62</v>
      </c>
      <c r="E20" s="5">
        <f>D20</f>
        <v>7.62</v>
      </c>
      <c r="F20" s="1" t="s">
        <v>61</v>
      </c>
      <c r="G20" s="19" t="s">
        <v>62</v>
      </c>
      <c r="J20" s="2"/>
    </row>
    <row r="21" spans="1:10" ht="15.75" customHeight="1" x14ac:dyDescent="0.15">
      <c r="A21" s="13" t="s">
        <v>69</v>
      </c>
      <c r="B21" s="14" t="s">
        <v>89</v>
      </c>
      <c r="C21" s="1">
        <v>100</v>
      </c>
      <c r="D21" s="5">
        <v>9.4600000000000009</v>
      </c>
      <c r="E21" s="5">
        <f>D21</f>
        <v>9.4600000000000009</v>
      </c>
      <c r="F21" s="1" t="s">
        <v>61</v>
      </c>
      <c r="G21" s="19" t="s">
        <v>62</v>
      </c>
      <c r="J21" s="2"/>
    </row>
    <row r="22" spans="1:10" ht="15.75" customHeight="1" x14ac:dyDescent="0.15">
      <c r="A22" s="3" t="s">
        <v>84</v>
      </c>
      <c r="B22" s="14" t="s">
        <v>90</v>
      </c>
      <c r="C22" s="1">
        <v>4</v>
      </c>
      <c r="D22" s="5">
        <f>5.26</f>
        <v>5.26</v>
      </c>
      <c r="E22" s="5">
        <f>D22*C22</f>
        <v>21.04</v>
      </c>
      <c r="F22" s="1" t="s">
        <v>61</v>
      </c>
      <c r="G22" s="19" t="s">
        <v>62</v>
      </c>
      <c r="J22" s="2"/>
    </row>
    <row r="23" spans="1:10" ht="15.75" customHeight="1" x14ac:dyDescent="0.15">
      <c r="A23" s="13" t="s">
        <v>55</v>
      </c>
      <c r="B23" s="14" t="s">
        <v>54</v>
      </c>
      <c r="C23" s="1">
        <f>CEILING(C41*1/1,1)</f>
        <v>40</v>
      </c>
      <c r="D23">
        <v>45</v>
      </c>
      <c r="E23">
        <f t="shared" si="0"/>
        <v>1800</v>
      </c>
      <c r="G23">
        <f>1/C23*C41</f>
        <v>1</v>
      </c>
      <c r="J23" s="2"/>
    </row>
    <row r="24" spans="1:10" ht="15.75" customHeight="1" x14ac:dyDescent="0.15">
      <c r="A24" s="13" t="s">
        <v>49</v>
      </c>
      <c r="B24" s="14" t="s">
        <v>48</v>
      </c>
      <c r="C24" s="1">
        <f>CEILING(C41*1/1,1)</f>
        <v>40</v>
      </c>
      <c r="D24" s="5">
        <v>0.95</v>
      </c>
      <c r="E24" s="5">
        <f>C24*D24</f>
        <v>38</v>
      </c>
      <c r="F24" s="6" t="s">
        <v>50</v>
      </c>
      <c r="G24" s="1">
        <f>1/C24*C41</f>
        <v>1</v>
      </c>
      <c r="J24" s="2"/>
    </row>
    <row r="25" spans="1:10" ht="15.75" customHeight="1" x14ac:dyDescent="0.15">
      <c r="A25" s="3" t="s">
        <v>19</v>
      </c>
      <c r="B25" s="4" t="s">
        <v>20</v>
      </c>
      <c r="C25" s="1">
        <f>CEILING(C41*1/1,1)</f>
        <v>40</v>
      </c>
      <c r="D25" s="5">
        <v>14.95</v>
      </c>
      <c r="E25" s="5">
        <f t="shared" si="0"/>
        <v>598</v>
      </c>
      <c r="G25" s="1">
        <f>1/C25*C41</f>
        <v>1</v>
      </c>
      <c r="J25" s="2"/>
    </row>
    <row r="26" spans="1:10" ht="15.75" customHeight="1" x14ac:dyDescent="0.15">
      <c r="A26" s="3" t="s">
        <v>29</v>
      </c>
      <c r="B26" s="4" t="s">
        <v>30</v>
      </c>
      <c r="C26" s="1">
        <f>CEILING(C41*7/1,1)</f>
        <v>280</v>
      </c>
      <c r="D26" s="5">
        <v>11.96</v>
      </c>
      <c r="E26" s="5">
        <f>C26*D26</f>
        <v>3348.8</v>
      </c>
      <c r="F26" s="1" t="s">
        <v>31</v>
      </c>
      <c r="G26" s="1">
        <f>7/C26*C41</f>
        <v>1</v>
      </c>
      <c r="J26" s="2"/>
    </row>
    <row r="27" spans="1:10" ht="15.75" customHeight="1" x14ac:dyDescent="0.15">
      <c r="A27" s="13" t="s">
        <v>64</v>
      </c>
      <c r="B27" s="14" t="s">
        <v>63</v>
      </c>
      <c r="C27" s="1">
        <f>CEILING(C41*1/10,1)</f>
        <v>4</v>
      </c>
      <c r="D27" s="5">
        <v>4.46</v>
      </c>
      <c r="E27" s="5">
        <f>C27*D27</f>
        <v>17.84</v>
      </c>
      <c r="F27" s="1" t="s">
        <v>65</v>
      </c>
      <c r="G27" s="1">
        <f>1/(C27*10)*C41</f>
        <v>1</v>
      </c>
      <c r="J27" s="2"/>
    </row>
    <row r="28" spans="1:10" ht="15.75" customHeight="1" x14ac:dyDescent="0.15">
      <c r="A28" s="3" t="s">
        <v>21</v>
      </c>
      <c r="B28" s="14" t="s">
        <v>91</v>
      </c>
      <c r="C28" s="1">
        <f>CEILING(C41*2/1,1)</f>
        <v>80</v>
      </c>
      <c r="D28" s="5">
        <v>11.5</v>
      </c>
      <c r="E28" s="5">
        <f t="shared" si="0"/>
        <v>920</v>
      </c>
      <c r="F28" s="16" t="s">
        <v>51</v>
      </c>
      <c r="G28" s="1">
        <f>2/(C28)*C41</f>
        <v>1</v>
      </c>
      <c r="J28" s="2"/>
    </row>
    <row r="29" spans="1:10" ht="15.75" customHeight="1" x14ac:dyDescent="0.15">
      <c r="A29" s="3" t="s">
        <v>22</v>
      </c>
      <c r="B29" s="14" t="s">
        <v>92</v>
      </c>
      <c r="C29" s="1">
        <f>CEILING(C41*2/2,1)</f>
        <v>40</v>
      </c>
      <c r="D29" s="5">
        <v>2.95</v>
      </c>
      <c r="E29" s="5">
        <f t="shared" si="0"/>
        <v>118</v>
      </c>
      <c r="F29" s="16" t="s">
        <v>79</v>
      </c>
      <c r="G29" s="1">
        <f>1/C29*C41</f>
        <v>1</v>
      </c>
      <c r="J29" s="2"/>
    </row>
    <row r="30" spans="1:10" ht="15.75" customHeight="1" x14ac:dyDescent="0.15">
      <c r="A30" s="3" t="s">
        <v>23</v>
      </c>
      <c r="B30" s="14" t="s">
        <v>93</v>
      </c>
      <c r="C30" s="1">
        <f>CEILING(C41*2/2,1)</f>
        <v>40</v>
      </c>
      <c r="D30" s="5">
        <v>3.95</v>
      </c>
      <c r="E30" s="5">
        <f t="shared" si="0"/>
        <v>158</v>
      </c>
      <c r="F30" s="1" t="s">
        <v>79</v>
      </c>
      <c r="G30" s="1">
        <f>1/C30*C41</f>
        <v>1</v>
      </c>
      <c r="J30" s="2"/>
    </row>
    <row r="31" spans="1:10" ht="15.75" customHeight="1" x14ac:dyDescent="0.15">
      <c r="A31" s="3" t="s">
        <v>24</v>
      </c>
      <c r="B31" s="14" t="s">
        <v>94</v>
      </c>
      <c r="C31" s="1">
        <f>CEILING(C41*1/2,1)</f>
        <v>20</v>
      </c>
      <c r="D31" s="7">
        <v>7</v>
      </c>
      <c r="E31" s="5">
        <f t="shared" si="0"/>
        <v>140</v>
      </c>
      <c r="F31" s="1" t="s">
        <v>80</v>
      </c>
      <c r="G31" s="1">
        <f>0.5/C31*C41</f>
        <v>1</v>
      </c>
      <c r="J31" s="2"/>
    </row>
    <row r="32" spans="1:10" ht="15.75" customHeight="1" x14ac:dyDescent="0.15">
      <c r="A32" s="3" t="s">
        <v>25</v>
      </c>
      <c r="B32" s="14" t="s">
        <v>95</v>
      </c>
      <c r="C32" s="1">
        <v>10</v>
      </c>
      <c r="D32" s="5">
        <v>6.93</v>
      </c>
      <c r="E32" s="5">
        <f t="shared" si="0"/>
        <v>69.3</v>
      </c>
      <c r="F32" s="1" t="s">
        <v>97</v>
      </c>
      <c r="G32" s="1">
        <f>3/(C32*12)*C41</f>
        <v>1</v>
      </c>
      <c r="J32" s="2"/>
    </row>
    <row r="33" spans="1:10" ht="15.75" customHeight="1" x14ac:dyDescent="0.15">
      <c r="A33" s="3" t="s">
        <v>32</v>
      </c>
      <c r="B33" s="4" t="s">
        <v>33</v>
      </c>
      <c r="C33" s="1">
        <f>CEILING(C41*7/1,1)</f>
        <v>280</v>
      </c>
      <c r="D33" s="5">
        <v>0.95</v>
      </c>
      <c r="E33" s="5">
        <f t="shared" si="0"/>
        <v>266</v>
      </c>
      <c r="F33" s="1" t="s">
        <v>77</v>
      </c>
      <c r="G33" s="1">
        <f>7/(C33)*C41</f>
        <v>1</v>
      </c>
      <c r="J33" s="2"/>
    </row>
    <row r="34" spans="1:10" ht="15.75" customHeight="1" x14ac:dyDescent="0.15">
      <c r="A34" s="3" t="s">
        <v>34</v>
      </c>
      <c r="B34" s="14" t="s">
        <v>96</v>
      </c>
      <c r="C34" s="1">
        <f>CEILING(C41*1/1,1)</f>
        <v>40</v>
      </c>
      <c r="D34" s="5">
        <v>23.8</v>
      </c>
      <c r="E34" s="5">
        <f>C34*D34</f>
        <v>952</v>
      </c>
      <c r="F34" s="6"/>
      <c r="G34" s="1">
        <f>1/C34*C41</f>
        <v>1</v>
      </c>
      <c r="J34" s="2"/>
    </row>
    <row r="35" spans="1:10" ht="15.75" customHeight="1" x14ac:dyDescent="0.15">
      <c r="A35" s="13" t="s">
        <v>39</v>
      </c>
      <c r="B35" s="14" t="s">
        <v>56</v>
      </c>
      <c r="C35" s="1">
        <f>CEILING(C41*1/1,1)</f>
        <v>40</v>
      </c>
      <c r="D35" s="5">
        <f>E35/C35</f>
        <v>123.86500000000001</v>
      </c>
      <c r="E35" s="5">
        <v>4954.6000000000004</v>
      </c>
      <c r="F35" s="6"/>
      <c r="G35" s="1">
        <f>1/C35*C41</f>
        <v>1</v>
      </c>
      <c r="J35" s="2"/>
    </row>
    <row r="36" spans="1:10" ht="15.75" customHeight="1" x14ac:dyDescent="0.15">
      <c r="J36" s="2"/>
    </row>
    <row r="37" spans="1:10" ht="15.75" customHeight="1" x14ac:dyDescent="0.15">
      <c r="J37" s="2"/>
    </row>
    <row r="38" spans="1:10" ht="15.75" customHeight="1" x14ac:dyDescent="0.15">
      <c r="J38" s="2"/>
    </row>
    <row r="39" spans="1:10" ht="15.75" customHeight="1" x14ac:dyDescent="0.15">
      <c r="J39" s="2"/>
    </row>
    <row r="40" spans="1:10" ht="16" x14ac:dyDescent="0.2">
      <c r="A40" s="8"/>
      <c r="B40" s="8"/>
      <c r="C40" s="8"/>
      <c r="D40" s="9" t="s">
        <v>35</v>
      </c>
      <c r="E40" s="10">
        <f>SUM(E2:E38)</f>
        <v>16025.15</v>
      </c>
      <c r="F40" s="8"/>
      <c r="G40" s="8"/>
      <c r="H40" s="8"/>
      <c r="I40" s="8"/>
      <c r="J40" s="11"/>
    </row>
    <row r="41" spans="1:10" ht="15.75" customHeight="1" x14ac:dyDescent="0.15">
      <c r="B41" s="1" t="s">
        <v>36</v>
      </c>
      <c r="C41" s="1">
        <v>40</v>
      </c>
      <c r="D41" s="1" t="s">
        <v>37</v>
      </c>
      <c r="E41" s="5">
        <f>E40+0.09*E40</f>
        <v>17467.413499999999</v>
      </c>
    </row>
    <row r="42" spans="1:10" ht="15.75" customHeight="1" x14ac:dyDescent="0.15">
      <c r="D42" s="17" t="s">
        <v>52</v>
      </c>
      <c r="E42" s="5">
        <f>E40/C41</f>
        <v>400.62874999999997</v>
      </c>
    </row>
    <row r="43" spans="1:10" ht="15.75" customHeight="1" x14ac:dyDescent="0.15">
      <c r="D43" s="17" t="s">
        <v>53</v>
      </c>
      <c r="E43" s="5">
        <f>E41/C41</f>
        <v>436.68533749999995</v>
      </c>
    </row>
    <row r="44" spans="1:10" ht="15.75" customHeight="1" x14ac:dyDescent="0.15">
      <c r="A44" s="16"/>
      <c r="D44" s="12"/>
    </row>
    <row r="46" spans="1:10" ht="15.75" customHeight="1" x14ac:dyDescent="0.15">
      <c r="D46" s="5"/>
      <c r="E46" s="5"/>
    </row>
    <row r="47" spans="1:10" ht="15.75" customHeight="1" x14ac:dyDescent="0.15">
      <c r="D47" s="5"/>
      <c r="E47" s="5"/>
    </row>
  </sheetData>
  <hyperlinks>
    <hyperlink ref="B2" r:id="rId1" xr:uid="{0205E59A-B83A-5749-AF9B-9F50AE161302}"/>
    <hyperlink ref="B7" r:id="rId2" xr:uid="{2F35C368-CD91-EA46-9590-83DEF26D7B01}"/>
    <hyperlink ref="B8" r:id="rId3" xr:uid="{3C655DF5-66E6-4C44-9369-1BED3D5B1965}"/>
    <hyperlink ref="B9" r:id="rId4" xr:uid="{521F8488-7020-5D41-BEF3-90DBA7C3B5AE}"/>
    <hyperlink ref="B10" r:id="rId5" xr:uid="{54645C11-01F6-574D-8A0A-43BAB3A3D9EC}"/>
    <hyperlink ref="B11" r:id="rId6" xr:uid="{E44A456E-263B-EE4B-9103-ADA48F1BE307}"/>
    <hyperlink ref="B12" r:id="rId7" xr:uid="{22827E57-033A-2B48-B68E-ADCAC996BBAC}"/>
    <hyperlink ref="B13" r:id="rId8" xr:uid="{ED60768E-2387-E64E-BBE4-6ACE05AB67A2}"/>
    <hyperlink ref="B24" r:id="rId9" xr:uid="{DE9D4EDE-0C12-064C-BB6E-9911CDC2694A}"/>
    <hyperlink ref="B23" r:id="rId10" xr:uid="{BA5CA95A-245E-3142-8545-1DEAD8E10CEA}"/>
    <hyperlink ref="B25" r:id="rId11" xr:uid="{707A8B4F-A1D4-5541-9AE0-718A6F5D5ADA}"/>
    <hyperlink ref="B28" r:id="rId12" display="https://www.digikey.com/en/products/detail/dfrobot/FIT0483/7087160?utm_adgroup=&amp;utm_source=google&amp;utm_medium=cpc&amp;utm_campaign=PMax%20Shopping_Product_Low%20ROAS%20Categories&amp;utm_term=&amp;utm_content=&amp;utm_id=go_cmp-20243063506_adg-_ad-__dev-c_ext-_prd-7087160_sig-Cj0KCQjwn7mwBhCiARIsAGoxjaKUgkg9ZnM6tX295P9iaGMPqMeJT4WfKI-WCpesY4oURRytprto0YEaAh6CEALw_wcB&amp;gad_source=1&amp;gclid=Cj0KCQjwn7mwBhCiARIsAGoxjaKUgkg9ZnM6tX295P9iaGMPqMeJT4WfKI-WCpesY4oURRytprto0YEaAh6CEALw_wcB" xr:uid="{7068C939-82A6-1F42-A03B-EA1F05826816}"/>
    <hyperlink ref="B29" r:id="rId13" xr:uid="{4BCE799B-7441-6648-BBBF-47C38876A6BB}"/>
    <hyperlink ref="B30" r:id="rId14" xr:uid="{82BF33C1-8047-7C4A-BC64-AB0FA6FAF883}"/>
    <hyperlink ref="B31" r:id="rId15" xr:uid="{371D34F7-A030-DD43-9D04-13D7EB698BDC}"/>
    <hyperlink ref="B32" r:id="rId16" xr:uid="{FC1EECC8-83F9-4241-AEF8-6447AADD30CF}"/>
    <hyperlink ref="B15" r:id="rId17" xr:uid="{59891A69-D329-AB43-8B71-432B2C13E55C}"/>
    <hyperlink ref="B3" r:id="rId18" xr:uid="{843BBC3D-2369-114F-B8FA-3F5495DCDDF2}"/>
    <hyperlink ref="B26" r:id="rId19" xr:uid="{CE8B051C-83A6-394A-9E22-2D8433098AAE}"/>
    <hyperlink ref="B33" r:id="rId20" xr:uid="{494597A7-6615-EA4D-82FC-B8992EEB9329}"/>
    <hyperlink ref="B35" r:id="rId21" xr:uid="{F05446F1-294F-F74D-865B-96E0426260CE}"/>
    <hyperlink ref="B14" r:id="rId22" xr:uid="{AC0D910C-F79A-DD42-828F-F2C5FF43AE3D}"/>
    <hyperlink ref="B6" r:id="rId23" xr:uid="{0B488902-D786-7047-A1D3-67BDC7450F9A}"/>
    <hyperlink ref="B34" r:id="rId24" xr:uid="{50ACB7A7-3412-A241-871A-5C6A0BEE5563}"/>
    <hyperlink ref="B5" r:id="rId25" xr:uid="{5412D120-1C8A-D842-A10B-A9F40CF5C11E}"/>
    <hyperlink ref="B27" r:id="rId26" xr:uid="{EFED3910-2A42-2C42-8A5E-B53C3798E32D}"/>
    <hyperlink ref="B4" r:id="rId27" xr:uid="{F7A260B6-6334-EC4F-BE4B-DCEFF0CC312B}"/>
    <hyperlink ref="B16" r:id="rId28" xr:uid="{2630F03C-A8A2-0E43-BCB1-97A4CECC274A}"/>
    <hyperlink ref="B19" r:id="rId29" xr:uid="{00E49048-7FB2-564F-8A5D-92C5DBD9A253}"/>
    <hyperlink ref="B20" r:id="rId30" xr:uid="{DD72A9B0-81E4-D242-A7FF-67D7DF49702E}"/>
    <hyperlink ref="B21" r:id="rId31" xr:uid="{B539C8F2-A58A-484F-9A2A-20A3C9BAB70E}"/>
    <hyperlink ref="B22" r:id="rId32" xr:uid="{2D1A6937-8D4B-A04C-8CB2-E17FB32CA68C}"/>
    <hyperlink ref="B18" r:id="rId33" xr:uid="{28B3B0E6-87D2-1E49-BDE5-AD3B7B70DE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40_Robots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Soobum</cp:lastModifiedBy>
  <dcterms:modified xsi:type="dcterms:W3CDTF">2024-04-28T18:07:44Z</dcterms:modified>
</cp:coreProperties>
</file>