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1"/>
  </bookViews>
  <sheets>
    <sheet name="gpm" sheetId="1" state="visible" r:id="rId1"/>
    <sheet name="lps" sheetId="2" state="visible" r:id="rId2"/>
    <sheet name="Fittings" sheetId="3" state="visible" r:id="rId3"/>
    <sheet name="Pipe Roughness" sheetId="4" state="visible" r:id="rId4"/>
  </sheets>
  <definedNames>
    <definedName name="_xlnm.Print_Area" localSheetId="0" hidden="0">gpm!$A$1:$N$37</definedName>
    <definedName name="_xlnm.Print_Area" localSheetId="1" hidden="0">lps!$A$1:$M$37</definedName>
    <definedName name="smooth_cm" hidden="0">'Pipe Roughness'!$C$4</definedName>
    <definedName name="smooth_in" hidden="0">'Pipe Roughness'!$B$4</definedName>
    <definedName name="steel_cm" hidden="0">'Pipe Roughness'!$C$5</definedName>
    <definedName name="steel_in" hidden="0">'Pipe Roughness'!$B$5</definedName>
  </definedNames>
  <calcPr refMode="A1" iterate="0" iterateCount="100" iterateDelta="0.001"/>
</workbook>
</file>

<file path=xl/sharedStrings.xml><?xml version="1.0" encoding="utf-8"?>
<sst xmlns="http://schemas.openxmlformats.org/spreadsheetml/2006/main" count="139" uniqueCount="139">
  <si>
    <t xml:space="preserve">( Kf, eg. Entrance +  90's)</t>
  </si>
  <si>
    <t xml:space="preserve">Runner Pitch Diameter (in)</t>
  </si>
  <si>
    <t xml:space="preserve">50 F Properties</t>
  </si>
  <si>
    <t>Units</t>
  </si>
  <si>
    <t xml:space="preserve">pipe roughness (in)</t>
  </si>
  <si>
    <t xml:space="preserve"># of spoons</t>
  </si>
  <si>
    <t xml:space="preserve">ss blue</t>
  </si>
  <si>
    <t>orange</t>
  </si>
  <si>
    <t>viscosity</t>
  </si>
  <si>
    <t>lbm/ft-sec</t>
  </si>
  <si>
    <t xml:space="preserve">pipe dia (in)</t>
  </si>
  <si>
    <t>density</t>
  </si>
  <si>
    <t>lbm/ft^3</t>
  </si>
  <si>
    <t xml:space="preserve">pipe length (ft)</t>
  </si>
  <si>
    <t>m</t>
  </si>
  <si>
    <t>g</t>
  </si>
  <si>
    <t>ft/sec^2</t>
  </si>
  <si>
    <t xml:space="preserve">static or total head (ft)</t>
  </si>
  <si>
    <t>gpm</t>
  </si>
  <si>
    <t>gpm/ft^3/sec</t>
  </si>
  <si>
    <t xml:space="preserve">number of nozzles</t>
  </si>
  <si>
    <t>lps</t>
  </si>
  <si>
    <t>lps/ft^3/sec</t>
  </si>
  <si>
    <t xml:space="preserve">turbine efficiency</t>
  </si>
  <si>
    <t>meter</t>
  </si>
  <si>
    <t>m/ft</t>
  </si>
  <si>
    <t xml:space="preserve">generator efficiency'</t>
  </si>
  <si>
    <t>mm</t>
  </si>
  <si>
    <t>mm/in</t>
  </si>
  <si>
    <t xml:space="preserve">runner pitch diameter (in)</t>
  </si>
  <si>
    <t xml:space="preserve">Runner %Vjet</t>
  </si>
  <si>
    <t xml:space="preserve">pipe dia (ft)</t>
  </si>
  <si>
    <t xml:space="preserve">area (ft^2)</t>
  </si>
  <si>
    <t>eps/dia</t>
  </si>
  <si>
    <t xml:space="preserve">gpm step</t>
  </si>
  <si>
    <t>gpm/cfs</t>
  </si>
  <si>
    <t xml:space="preserve">v (ft/sec)</t>
  </si>
  <si>
    <t xml:space="preserve">q ( ft )</t>
  </si>
  <si>
    <t>Re</t>
  </si>
  <si>
    <t>f</t>
  </si>
  <si>
    <t xml:space="preserve">dp ( ft )</t>
  </si>
  <si>
    <t xml:space="preserve">Eff. Head</t>
  </si>
  <si>
    <t xml:space="preserve">Power (hp)</t>
  </si>
  <si>
    <t xml:space="preserve">Power (W)</t>
  </si>
  <si>
    <t xml:space="preserve">Vjet (ft/sec)</t>
  </si>
  <si>
    <t>RPM</t>
  </si>
  <si>
    <t xml:space="preserve">D-nozzle (in)</t>
  </si>
  <si>
    <t xml:space="preserve">~ Nozzle #</t>
  </si>
  <si>
    <t>D-nozzle(mm)</t>
  </si>
  <si>
    <t>cfs</t>
  </si>
  <si>
    <t>psi</t>
  </si>
  <si>
    <t xml:space="preserve">( Kf, eg. Entrance + 2 45's)</t>
  </si>
  <si>
    <t xml:space="preserve">Runner Pitch Diameter (mm)</t>
  </si>
  <si>
    <t xml:space="preserve">10 C Properties</t>
  </si>
  <si>
    <t xml:space="preserve">pipe roughness (mm)</t>
  </si>
  <si>
    <t>blue</t>
  </si>
  <si>
    <t>kg/m-sec</t>
  </si>
  <si>
    <t xml:space="preserve">pipe dia (cm)</t>
  </si>
  <si>
    <t>kg/m^3</t>
  </si>
  <si>
    <t xml:space="preserve">pipe length (m)</t>
  </si>
  <si>
    <t xml:space="preserve">g, gc</t>
  </si>
  <si>
    <t>m/sec^2</t>
  </si>
  <si>
    <t xml:space="preserve">static or total head (m)</t>
  </si>
  <si>
    <t>lps/m^3/sec</t>
  </si>
  <si>
    <t xml:space="preserve">Welded Stainless Bluespoon Runners</t>
  </si>
  <si>
    <t>spoons</t>
  </si>
  <si>
    <t xml:space="preserve">Hub OD</t>
  </si>
  <si>
    <t>PCD</t>
  </si>
  <si>
    <t xml:space="preserve">runner pitch diameter (mm)</t>
  </si>
  <si>
    <t xml:space="preserve">pipe dia (m)</t>
  </si>
  <si>
    <t xml:space="preserve">area (m^2)</t>
  </si>
  <si>
    <t xml:space="preserve">lps step</t>
  </si>
  <si>
    <t xml:space="preserve">v (m/sec)</t>
  </si>
  <si>
    <t xml:space="preserve">q ( m )</t>
  </si>
  <si>
    <t xml:space="preserve">dp ( m )</t>
  </si>
  <si>
    <t xml:space="preserve">Shaft (W)</t>
  </si>
  <si>
    <t xml:space="preserve">Electric (W)</t>
  </si>
  <si>
    <t xml:space="preserve">Vjet (m/sec)</t>
  </si>
  <si>
    <t xml:space="preserve">D-nozzle (mm)</t>
  </si>
  <si>
    <t xml:space="preserve">Pipe Fittings Loss Factors               </t>
  </si>
  <si>
    <t xml:space="preserve">Fitting Type</t>
  </si>
  <si>
    <t xml:space="preserve">Velocity Heads Lost</t>
  </si>
  <si>
    <t xml:space="preserve">Head Loss = q K</t>
  </si>
  <si>
    <t>K</t>
  </si>
  <si>
    <t xml:space="preserve"># of fittings</t>
  </si>
  <si>
    <t xml:space="preserve">K totals</t>
  </si>
  <si>
    <t xml:space="preserve">Sudden contraction A2/A1 = very small</t>
  </si>
  <si>
    <t xml:space="preserve">Sudden contraction A2/A1 = .2</t>
  </si>
  <si>
    <t>0.45(1-beta)</t>
  </si>
  <si>
    <t xml:space="preserve">beta = Asmll/Abig</t>
  </si>
  <si>
    <t xml:space="preserve">Sudden contraction A2/A1 = .4</t>
  </si>
  <si>
    <t xml:space="preserve">Sudden contraction A2/A1 = .6</t>
  </si>
  <si>
    <t xml:space="preserve">Sudden contraction A2/A1 = .8</t>
  </si>
  <si>
    <t xml:space="preserve">Re-entrant inlet ( =====|=  &lt;-flow )</t>
  </si>
  <si>
    <t xml:space="preserve">Rounded entrance R&gt; 0.15D</t>
  </si>
  <si>
    <t>0.04-0.05</t>
  </si>
  <si>
    <t xml:space="preserve">Sudden expansion. Beta=Asmall/Abig</t>
  </si>
  <si>
    <t xml:space="preserve">(1/beta -1)^2</t>
  </si>
  <si>
    <t xml:space="preserve">45 deg ell standard</t>
  </si>
  <si>
    <t xml:space="preserve">45 deg ell long radius</t>
  </si>
  <si>
    <t xml:space="preserve">90 deg ell standard</t>
  </si>
  <si>
    <t xml:space="preserve">90 deg ell long radius</t>
  </si>
  <si>
    <t xml:space="preserve">90 deg square or miter</t>
  </si>
  <si>
    <t xml:space="preserve">180 deg U close return</t>
  </si>
  <si>
    <t xml:space="preserve">Tee, standard branch blocked</t>
  </si>
  <si>
    <t xml:space="preserve">Tee, as ell, entering run</t>
  </si>
  <si>
    <t xml:space="preserve">Tee, as ell, enterning branch</t>
  </si>
  <si>
    <t xml:space="preserve">Tee, branch flow</t>
  </si>
  <si>
    <t>Coupling</t>
  </si>
  <si>
    <t>Union</t>
  </si>
  <si>
    <t xml:space="preserve">Gate valve, open</t>
  </si>
  <si>
    <t xml:space="preserve">Diaphragm valve, open</t>
  </si>
  <si>
    <t xml:space="preserve">Globe valve, open</t>
  </si>
  <si>
    <t xml:space="preserve">Plug disk, open</t>
  </si>
  <si>
    <t xml:space="preserve">Angle valve, open</t>
  </si>
  <si>
    <t xml:space="preserve">Y or blowoff valve, open</t>
  </si>
  <si>
    <t xml:space="preserve">Plug cock, 5 deg (imperfectly open)</t>
  </si>
  <si>
    <t xml:space="preserve">Butterfly valve, 5 deg</t>
  </si>
  <si>
    <t xml:space="preserve">Check valve, swing</t>
  </si>
  <si>
    <t xml:space="preserve">Check valve, disk</t>
  </si>
  <si>
    <t xml:space="preserve">Check valve, ball</t>
  </si>
  <si>
    <t xml:space="preserve">Pipe Flow Roughness Factor</t>
  </si>
  <si>
    <t>Material</t>
  </si>
  <si>
    <t>inches</t>
  </si>
  <si>
    <t>cm</t>
  </si>
  <si>
    <t xml:space="preserve">Drawn tubing (PVC, HTPE (poly), brass, etc.)</t>
  </si>
  <si>
    <t xml:space="preserve">Commercial steel or wrought iron</t>
  </si>
  <si>
    <t xml:space="preserve">Asphalted cast iron</t>
  </si>
  <si>
    <t xml:space="preserve">Galvanized iron</t>
  </si>
  <si>
    <t xml:space="preserve">Cast iron</t>
  </si>
  <si>
    <t xml:space="preserve">Wood stave</t>
  </si>
  <si>
    <t>0.0072-0.036</t>
  </si>
  <si>
    <t>0.018-0.09</t>
  </si>
  <si>
    <t>Concrete</t>
  </si>
  <si>
    <t>0.012-0.12</t>
  </si>
  <si>
    <t>0.03-0.3</t>
  </si>
  <si>
    <t xml:space="preserve">Riveted steel</t>
  </si>
  <si>
    <t>.036-.36</t>
  </si>
  <si>
    <t>0.09-0.9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</si>
</sst>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8">
    <numFmt numFmtId="160" formatCode="0.0"/>
    <numFmt numFmtId="161" formatCode="0.000%"/>
    <numFmt numFmtId="162" formatCode="0.0%"/>
    <numFmt numFmtId="163" formatCode="0.000"/>
    <numFmt numFmtId="164" formatCode="0.000E+00"/>
    <numFmt numFmtId="165" formatCode="0.0000"/>
    <numFmt numFmtId="166" formatCode="0.0000%"/>
    <numFmt numFmtId="167" formatCode="0.00000"/>
  </numFmts>
  <fonts count="11">
    <font>
      <name val="Arial"/>
      <color theme="1"/>
      <sz val="10.000000"/>
    </font>
    <font>
      <name val="Arial"/>
      <sz val="10.000000"/>
    </font>
    <font>
      <name val="Calibri"/>
      <color rgb="FF006411"/>
      <sz val="12.000000"/>
    </font>
    <font>
      <name val="Arial"/>
      <b/>
      <sz val="10.000000"/>
    </font>
    <font>
      <name val="New Century Schlbk"/>
      <sz val="14.000000"/>
    </font>
    <font>
      <name val="Arial"/>
      <sz val="14.000000"/>
    </font>
    <font>
      <name val="New Century Schlbk"/>
      <b/>
      <sz val="18.000000"/>
    </font>
    <font>
      <name val="New Century Schlbk"/>
      <b/>
      <sz val="14.000000"/>
    </font>
    <font>
      <name val="New Century Schlbk"/>
      <b/>
      <sz val="12.000000"/>
    </font>
    <font>
      <name val="Arial"/>
      <b/>
      <sz val="14.000000"/>
    </font>
    <font>
      <name val="New Century Schlbk"/>
      <sz val="12.000000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6" tint="0"/>
        <bgColor theme="6" tint="0"/>
      </patternFill>
    </fill>
  </fills>
  <borders count="25">
    <border>
      <left/>
      <right/>
      <top/>
      <bottom/>
      <diagonal/>
    </border>
    <border>
      <left style="thin">
        <color indexed="65"/>
      </left>
      <right style="thin">
        <color indexed="65"/>
      </right>
      <top style="thin">
        <color indexed="65"/>
      </top>
      <bottom style="thin">
        <color indexed="65"/>
      </bottom>
      <diagonal/>
    </border>
    <border>
      <left style="medium">
        <color indexed="65"/>
      </left>
      <right style="thin">
        <color indexed="65"/>
      </right>
      <top style="medium">
        <color indexed="65"/>
      </top>
      <bottom style="medium">
        <color indexed="65"/>
      </bottom>
      <diagonal/>
    </border>
    <border>
      <left style="thin">
        <color indexed="65"/>
      </left>
      <right style="medium">
        <color indexed="65"/>
      </right>
      <top style="medium">
        <color indexed="65"/>
      </top>
      <bottom style="medium">
        <color indexed="65"/>
      </bottom>
      <diagonal/>
    </border>
    <border>
      <left style="medium">
        <color indexed="65"/>
      </left>
      <right style="medium">
        <color indexed="65"/>
      </right>
      <top style="medium">
        <color indexed="65"/>
      </top>
      <bottom style="medium">
        <color indexed="65"/>
      </bottom>
      <diagonal/>
    </border>
    <border>
      <left style="medium">
        <color indexed="65"/>
      </left>
      <right style="thin">
        <color indexed="65"/>
      </right>
      <top/>
      <bottom style="thin">
        <color indexed="65"/>
      </bottom>
      <diagonal/>
    </border>
    <border>
      <left style="thin">
        <color indexed="65"/>
      </left>
      <right style="medium">
        <color indexed="65"/>
      </right>
      <top/>
      <bottom style="thin">
        <color indexed="65"/>
      </bottom>
      <diagonal/>
    </border>
    <border>
      <left style="medium">
        <color indexed="65"/>
      </left>
      <right style="medium">
        <color indexed="65"/>
      </right>
      <top/>
      <bottom/>
      <diagonal/>
    </border>
    <border>
      <left style="medium">
        <color indexed="65"/>
      </left>
      <right style="thin">
        <color indexed="65"/>
      </right>
      <top style="thin">
        <color indexed="65"/>
      </top>
      <bottom style="thin">
        <color indexed="65"/>
      </bottom>
      <diagonal/>
    </border>
    <border>
      <left style="thin">
        <color indexed="65"/>
      </left>
      <right style="medium">
        <color indexed="65"/>
      </right>
      <top style="thin">
        <color indexed="65"/>
      </top>
      <bottom style="thin">
        <color indexed="65"/>
      </bottom>
      <diagonal/>
    </border>
    <border>
      <left style="medium">
        <color indexed="65"/>
      </left>
      <right style="thin">
        <color indexed="65"/>
      </right>
      <top style="thin">
        <color indexed="65"/>
      </top>
      <bottom style="medium">
        <color indexed="65"/>
      </bottom>
      <diagonal/>
    </border>
    <border>
      <left style="thin">
        <color indexed="65"/>
      </left>
      <right style="medium">
        <color indexed="65"/>
      </right>
      <top style="thin">
        <color indexed="65"/>
      </top>
      <bottom style="medium">
        <color indexed="65"/>
      </bottom>
      <diagonal/>
    </border>
    <border>
      <left style="medium">
        <color indexed="65"/>
      </left>
      <right style="medium">
        <color indexed="65"/>
      </right>
      <top/>
      <bottom style="medium">
        <color indexed="65"/>
      </bottom>
      <diagonal/>
    </border>
    <border>
      <left style="medium">
        <color indexed="65"/>
      </left>
      <right/>
      <top style="medium">
        <color indexed="65"/>
      </top>
      <bottom style="medium">
        <color indexed="65"/>
      </bottom>
      <diagonal/>
    </border>
    <border>
      <left/>
      <right style="medium">
        <color indexed="65"/>
      </right>
      <top style="medium">
        <color indexed="65"/>
      </top>
      <bottom style="medium">
        <color indexed="65"/>
      </bottom>
      <diagonal/>
    </border>
    <border>
      <left style="medium">
        <color indexed="65"/>
      </left>
      <right/>
      <top style="medium">
        <color indexed="65"/>
      </top>
      <bottom/>
      <diagonal/>
    </border>
    <border>
      <left/>
      <right style="medium">
        <color indexed="65"/>
      </right>
      <top style="medium">
        <color indexed="65"/>
      </top>
      <bottom/>
      <diagonal/>
    </border>
    <border>
      <left style="medium">
        <color indexed="65"/>
      </left>
      <right/>
      <top/>
      <bottom style="medium">
        <color indexed="65"/>
      </bottom>
      <diagonal/>
    </border>
    <border>
      <left/>
      <right style="medium">
        <color indexed="65"/>
      </right>
      <top/>
      <bottom style="medium">
        <color indexed="65"/>
      </bottom>
      <diagonal/>
    </border>
    <border>
      <left style="medium">
        <color indexed="65"/>
      </left>
      <right/>
      <top/>
      <bottom style="thin">
        <color indexed="65"/>
      </bottom>
      <diagonal/>
    </border>
    <border>
      <left/>
      <right/>
      <top/>
      <bottom style="thin">
        <color indexed="65"/>
      </bottom>
      <diagonal/>
    </border>
    <border>
      <left/>
      <right/>
      <top style="medium">
        <color indexed="65"/>
      </top>
      <bottom/>
      <diagonal/>
    </border>
    <border>
      <left/>
      <right/>
      <top style="medium">
        <color indexed="65"/>
      </top>
      <bottom style="medium">
        <color indexed="65"/>
      </bottom>
      <diagonal/>
    </border>
    <border>
      <left style="thin">
        <color indexed="65"/>
      </left>
      <right style="thin">
        <color indexed="65"/>
      </right>
      <top/>
      <bottom style="thin">
        <color indexed="65"/>
      </bottom>
      <diagonal/>
    </border>
    <border>
      <left style="thin">
        <color indexed="65"/>
      </left>
      <right style="thin">
        <color indexed="65"/>
      </right>
      <top style="thin">
        <color indexed="65"/>
      </top>
      <bottom style="medium">
        <color indexed="65"/>
      </bottom>
      <diagonal/>
    </border>
  </borders>
  <cellStyleXfs count="7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0" fillId="0" borderId="0" numFmtId="9" applyNumberFormat="1" applyFont="1" applyFill="1" applyBorder="0" applyProtection="0"/>
    <xf fontId="2" fillId="2" borderId="0" numFmtId="0" applyNumberFormat="1" applyFont="1" applyFill="1" applyBorder="0" applyProtection="0"/>
  </cellStyleXfs>
  <cellXfs count="91">
    <xf fontId="0" fillId="0" borderId="0" numFmtId="0" xfId="0" applyProtection="0">
      <protection hidden="0" locked="1"/>
    </xf>
    <xf fontId="0" fillId="3" borderId="1" numFmtId="0" xfId="0" applyFill="1" applyBorder="1" applyProtection="0">
      <protection hidden="0" locked="1"/>
    </xf>
    <xf fontId="0" fillId="0" borderId="0" numFmtId="0" xfId="0" applyProtection="0">
      <protection hidden="0" locked="1"/>
    </xf>
    <xf fontId="3" fillId="0" borderId="0" numFmtId="0" xfId="0" applyFont="1" applyProtection="0">
      <protection hidden="0" locked="1"/>
    </xf>
    <xf fontId="0" fillId="0" borderId="2" numFmtId="0" xfId="0" applyBorder="1" applyProtection="0">
      <protection hidden="0" locked="1"/>
    </xf>
    <xf fontId="0" fillId="0" borderId="3" numFmtId="0" xfId="0" applyBorder="1" applyProtection="0">
      <protection hidden="0" locked="1"/>
    </xf>
    <xf fontId="0" fillId="0" borderId="4" numFmtId="0" xfId="0" applyBorder="1" applyAlignment="1" applyProtection="0">
      <alignment horizontal="center"/>
      <protection hidden="0" locked="1"/>
    </xf>
    <xf fontId="0" fillId="0" borderId="0" numFmtId="0" xfId="0" applyAlignment="1" applyProtection="0">
      <alignment horizontal="center"/>
      <protection hidden="0" locked="1"/>
    </xf>
    <xf fontId="0" fillId="0" borderId="1" numFmtId="0" xfId="0" applyBorder="1" applyProtection="0">
      <protection hidden="0" locked="1"/>
    </xf>
    <xf fontId="0" fillId="0" borderId="1" numFmtId="0" xfId="0" applyBorder="1" applyAlignment="1" applyProtection="0">
      <alignment horizontal="center"/>
      <protection hidden="0" locked="1"/>
    </xf>
    <xf fontId="0" fillId="0" borderId="5" numFmtId="0" xfId="0" applyBorder="1" applyProtection="0">
      <protection hidden="0" locked="1"/>
    </xf>
    <xf fontId="0" fillId="4" borderId="6" numFmtId="11" xfId="0" applyNumberFormat="1" applyFill="1" applyBorder="1" applyProtection="0">
      <protection hidden="0" locked="1"/>
    </xf>
    <xf fontId="0" fillId="0" borderId="7" numFmtId="0" xfId="0" applyBorder="1" applyProtection="0">
      <protection hidden="0" locked="1"/>
    </xf>
    <xf fontId="0" fillId="3" borderId="1" numFmtId="2" xfId="0" applyNumberFormat="1" applyFill="1" applyBorder="1" applyProtection="0">
      <protection hidden="0" locked="1"/>
    </xf>
    <xf fontId="0" fillId="0" borderId="0" numFmtId="2" xfId="0" applyNumberFormat="1" applyProtection="0">
      <protection hidden="0" locked="1"/>
    </xf>
    <xf fontId="0" fillId="3" borderId="1" numFmtId="0" xfId="0" applyFill="1" applyBorder="1" applyAlignment="1" applyProtection="0">
      <alignment horizontal="center"/>
      <protection hidden="0" locked="1"/>
    </xf>
    <xf fontId="0" fillId="4" borderId="1" numFmtId="2" xfId="0" applyNumberFormat="1" applyFill="1" applyBorder="1" applyProtection="0">
      <protection hidden="0" locked="1"/>
    </xf>
    <xf fontId="0" fillId="0" borderId="8" numFmtId="0" xfId="0" applyBorder="1" applyProtection="0">
      <protection hidden="0" locked="1"/>
    </xf>
    <xf fontId="0" fillId="4" borderId="9" numFmtId="0" xfId="0" applyFill="1" applyBorder="1" applyProtection="0">
      <protection hidden="0" locked="1"/>
    </xf>
    <xf fontId="0" fillId="3" borderId="1" numFmtId="160" xfId="0" applyNumberFormat="1" applyFill="1" applyBorder="1" applyProtection="0">
      <protection hidden="0" locked="1"/>
    </xf>
    <xf fontId="0" fillId="0" borderId="0" numFmtId="160" xfId="0" applyNumberFormat="1" applyProtection="0">
      <protection hidden="0" locked="1"/>
    </xf>
    <xf fontId="0" fillId="4" borderId="9" numFmtId="160" xfId="0" applyNumberFormat="1" applyFill="1" applyBorder="1" applyProtection="0">
      <protection hidden="0" locked="1"/>
    </xf>
    <xf fontId="0" fillId="4" borderId="9" numFmtId="2" xfId="0" applyNumberFormat="1" applyFill="1" applyBorder="1" applyProtection="0">
      <protection hidden="0" locked="1"/>
    </xf>
    <xf fontId="0" fillId="3" borderId="1" numFmtId="9" xfId="0" applyNumberFormat="1" applyFill="1" applyBorder="1" applyProtection="0">
      <protection hidden="0" locked="1"/>
    </xf>
    <xf fontId="0" fillId="0" borderId="0" numFmtId="9" xfId="0" applyNumberFormat="1" applyProtection="0">
      <protection hidden="0" locked="1"/>
    </xf>
    <xf fontId="0" fillId="0" borderId="0" numFmtId="161" xfId="0" applyNumberFormat="1" applyProtection="0">
      <protection hidden="0" locked="1"/>
    </xf>
    <xf fontId="0" fillId="0" borderId="10" numFmtId="0" xfId="0" applyBorder="1" applyProtection="0">
      <protection hidden="0" locked="1"/>
    </xf>
    <xf fontId="0" fillId="4" borderId="11" numFmtId="0" xfId="0" applyFill="1" applyBorder="1" applyProtection="0">
      <protection hidden="0" locked="1"/>
    </xf>
    <xf fontId="0" fillId="0" borderId="12" numFmtId="0" xfId="0" applyBorder="1" applyProtection="0">
      <protection hidden="0" locked="1"/>
    </xf>
    <xf fontId="0" fillId="0" borderId="0" numFmtId="1" xfId="0" applyNumberFormat="1" applyProtection="0">
      <protection hidden="0" locked="1"/>
    </xf>
    <xf fontId="0" fillId="3" borderId="1" numFmtId="162" xfId="0" applyNumberFormat="1" applyFill="1" applyBorder="1" applyProtection="0">
      <protection hidden="0" locked="1"/>
    </xf>
    <xf fontId="0" fillId="0" borderId="0" numFmtId="162" xfId="0" applyNumberFormat="1" applyProtection="0">
      <protection hidden="0" locked="1"/>
    </xf>
    <xf fontId="0" fillId="4" borderId="1" numFmtId="163" xfId="0" applyNumberFormat="1" applyFill="1" applyBorder="1" applyProtection="0">
      <protection hidden="0" locked="1"/>
    </xf>
    <xf fontId="0" fillId="0" borderId="0" numFmtId="163" xfId="0" applyNumberFormat="1" applyProtection="0">
      <protection hidden="0" locked="1"/>
    </xf>
    <xf fontId="0" fillId="4" borderId="1" numFmtId="164" xfId="0" applyNumberFormat="1" applyFill="1" applyBorder="1" applyProtection="0">
      <protection hidden="0" locked="1"/>
    </xf>
    <xf fontId="0" fillId="0" borderId="0" numFmtId="164" xfId="0" applyNumberFormat="1" applyProtection="0">
      <protection hidden="0" locked="1"/>
    </xf>
    <xf fontId="3" fillId="0" borderId="1" numFmtId="0" xfId="0" applyFont="1" applyBorder="1" applyAlignment="1" applyProtection="0">
      <alignment horizontal="center"/>
      <protection hidden="0" locked="1"/>
    </xf>
    <xf fontId="0" fillId="4" borderId="1" numFmtId="160" xfId="0" applyNumberFormat="1" applyFill="1" applyBorder="1" applyProtection="0">
      <protection hidden="0" locked="1"/>
    </xf>
    <xf fontId="0" fillId="4" borderId="1" numFmtId="165" xfId="0" applyNumberFormat="1" applyFill="1" applyBorder="1" applyProtection="0">
      <protection hidden="0" locked="1"/>
    </xf>
    <xf fontId="0" fillId="4" borderId="1" numFmtId="11" xfId="0" applyNumberFormat="1" applyFill="1" applyBorder="1" applyProtection="0">
      <protection hidden="0" locked="1"/>
    </xf>
    <xf fontId="0" fillId="4" borderId="1" numFmtId="1" xfId="0" applyNumberFormat="1" applyFill="1" applyBorder="1" applyProtection="0">
      <protection hidden="0" locked="1"/>
    </xf>
    <xf fontId="0" fillId="0" borderId="0" numFmtId="162" xfId="5" applyNumberFormat="1" applyProtection="1">
      <protection hidden="0" locked="1"/>
    </xf>
    <xf fontId="2" fillId="4" borderId="1" numFmtId="160" xfId="6" applyNumberFormat="1" applyFont="1" applyFill="1" applyBorder="1" applyProtection="1">
      <protection hidden="0" locked="1"/>
    </xf>
    <xf fontId="2" fillId="4" borderId="1" numFmtId="2" xfId="6" applyNumberFormat="1" applyFont="1" applyFill="1" applyBorder="1" applyProtection="1">
      <protection hidden="0" locked="1"/>
    </xf>
    <xf fontId="2" fillId="4" borderId="1" numFmtId="11" xfId="6" applyNumberFormat="1" applyFont="1" applyFill="1" applyBorder="1" applyProtection="1">
      <protection hidden="0" locked="1"/>
    </xf>
    <xf fontId="2" fillId="4" borderId="1" numFmtId="165" xfId="6" applyNumberFormat="1" applyFont="1" applyFill="1" applyBorder="1" applyProtection="1">
      <protection hidden="0" locked="1"/>
    </xf>
    <xf fontId="2" fillId="4" borderId="1" numFmtId="1" xfId="6" applyNumberFormat="1" applyFont="1" applyFill="1" applyBorder="1" applyProtection="1">
      <protection hidden="0" locked="1"/>
    </xf>
    <xf fontId="2" fillId="4" borderId="1" numFmtId="163" xfId="6" applyNumberFormat="1" applyFont="1" applyFill="1" applyBorder="1" applyProtection="1">
      <protection hidden="0" locked="1"/>
    </xf>
    <xf fontId="3" fillId="0" borderId="2" numFmtId="0" xfId="0" applyFont="1" applyBorder="1" applyProtection="0">
      <protection hidden="0" locked="1"/>
    </xf>
    <xf fontId="0" fillId="3" borderId="1" numFmtId="164" xfId="0" applyNumberFormat="1" applyFill="1" applyBorder="1" applyProtection="0">
      <protection hidden="0" locked="1"/>
    </xf>
    <xf fontId="0" fillId="0" borderId="0" numFmtId="166" xfId="0" applyNumberFormat="1" applyProtection="0">
      <protection hidden="0" locked="1"/>
    </xf>
    <xf fontId="0" fillId="0" borderId="0" numFmtId="9" xfId="5" applyNumberFormat="1" applyProtection="1">
      <protection hidden="0" locked="1"/>
    </xf>
    <xf fontId="0" fillId="5" borderId="1" numFmtId="160" xfId="0" applyNumberFormat="1" applyFill="1" applyBorder="1" applyProtection="0">
      <protection hidden="0" locked="1"/>
    </xf>
    <xf fontId="0" fillId="5" borderId="1" numFmtId="2" xfId="0" applyNumberFormat="1" applyFill="1" applyBorder="1" applyProtection="0">
      <protection hidden="0" locked="1"/>
    </xf>
    <xf fontId="0" fillId="5" borderId="1" numFmtId="11" xfId="0" applyNumberFormat="1" applyFill="1" applyBorder="1" applyProtection="0">
      <protection hidden="0" locked="1"/>
    </xf>
    <xf fontId="0" fillId="5" borderId="1" numFmtId="165" xfId="0" applyNumberFormat="1" applyFill="1" applyBorder="1" applyProtection="0">
      <protection hidden="0" locked="1"/>
    </xf>
    <xf fontId="0" fillId="5" borderId="1" numFmtId="1" xfId="0" applyNumberFormat="1" applyFill="1" applyBorder="1" applyProtection="0">
      <protection hidden="0" locked="1"/>
    </xf>
    <xf fontId="0" fillId="5" borderId="0" numFmtId="9" xfId="5" applyNumberFormat="1" applyFill="1" applyProtection="1">
      <protection hidden="0" locked="1"/>
    </xf>
    <xf fontId="4" fillId="0" borderId="0" numFmtId="0" xfId="0" applyFont="1" applyProtection="0">
      <protection hidden="0" locked="1"/>
    </xf>
    <xf fontId="5" fillId="0" borderId="0" numFmtId="0" xfId="0" applyFont="1" applyProtection="0">
      <protection hidden="0" locked="1"/>
    </xf>
    <xf fontId="4" fillId="0" borderId="13" numFmtId="0" xfId="0" applyFont="1" applyBorder="1" applyProtection="0">
      <protection hidden="0" locked="1"/>
    </xf>
    <xf fontId="6" fillId="0" borderId="14" numFmtId="0" xfId="0" applyFont="1" applyBorder="1" applyAlignment="1" applyProtection="0">
      <alignment horizontal="right"/>
      <protection hidden="0" locked="1"/>
    </xf>
    <xf fontId="7" fillId="0" borderId="15" numFmtId="0" xfId="0" applyFont="1" applyBorder="1" applyAlignment="1" applyProtection="0">
      <alignment horizontal="left"/>
      <protection hidden="0" locked="1"/>
    </xf>
    <xf fontId="8" fillId="0" borderId="16" numFmtId="0" xfId="0" applyFont="1" applyBorder="1" applyAlignment="1" applyProtection="0">
      <alignment horizontal="center"/>
      <protection hidden="0" locked="1"/>
    </xf>
    <xf fontId="7" fillId="0" borderId="17" numFmtId="0" xfId="0" applyFont="1" applyBorder="1" applyAlignment="1" applyProtection="0">
      <alignment horizontal="center"/>
      <protection hidden="0" locked="1"/>
    </xf>
    <xf fontId="7" fillId="0" borderId="18" numFmtId="0" xfId="0" applyFont="1" applyBorder="1" applyAlignment="1" applyProtection="0">
      <alignment horizontal="center"/>
      <protection hidden="0" locked="1"/>
    </xf>
    <xf fontId="9" fillId="0" borderId="0" numFmtId="0" xfId="0" applyFont="1" applyAlignment="1" applyProtection="0">
      <alignment horizontal="center"/>
      <protection hidden="0" locked="1"/>
    </xf>
    <xf fontId="4" fillId="0" borderId="5" numFmtId="0" xfId="0" applyFont="1" applyBorder="1" applyAlignment="1" applyProtection="0">
      <alignment horizontal="left"/>
      <protection hidden="0" locked="1"/>
    </xf>
    <xf fontId="4" fillId="0" borderId="6" numFmtId="0" xfId="0" applyFont="1" applyBorder="1" applyAlignment="1" applyProtection="0">
      <alignment horizontal="center"/>
      <protection hidden="0" locked="1"/>
    </xf>
    <xf fontId="4" fillId="0" borderId="8" numFmtId="0" xfId="0" applyFont="1" applyBorder="1" applyAlignment="1" applyProtection="0">
      <alignment horizontal="left"/>
      <protection hidden="0" locked="1"/>
    </xf>
    <xf fontId="4" fillId="0" borderId="9" numFmtId="0" xfId="0" applyFont="1" applyBorder="1" applyAlignment="1" applyProtection="0">
      <alignment horizontal="center"/>
      <protection hidden="0" locked="1"/>
    </xf>
    <xf fontId="4" fillId="0" borderId="8" numFmtId="0" xfId="0" applyFont="1" applyBorder="1" applyProtection="0">
      <protection hidden="0" locked="1"/>
    </xf>
    <xf fontId="4" fillId="0" borderId="9" numFmtId="0" xfId="0" applyFont="1" applyBorder="1" applyProtection="0">
      <protection hidden="0" locked="1"/>
    </xf>
    <xf fontId="4" fillId="0" borderId="10" numFmtId="0" xfId="0" applyFont="1" applyBorder="1" applyProtection="0">
      <protection hidden="0" locked="1"/>
    </xf>
    <xf fontId="4" fillId="0" borderId="11" numFmtId="0" xfId="0" applyFont="1" applyBorder="1" applyProtection="0">
      <protection hidden="0" locked="1"/>
    </xf>
    <xf fontId="5" fillId="0" borderId="19" numFmtId="0" xfId="0" applyFont="1" applyBorder="1" applyProtection="0">
      <protection hidden="0" locked="1"/>
    </xf>
    <xf fontId="5" fillId="0" borderId="20" numFmtId="0" xfId="0" applyFont="1" applyBorder="1" applyProtection="0">
      <protection hidden="0" locked="1"/>
    </xf>
    <xf fontId="10" fillId="0" borderId="0" numFmtId="0" xfId="0" applyFont="1" applyProtection="0">
      <protection hidden="0" locked="1"/>
    </xf>
    <xf fontId="4" fillId="0" borderId="15" numFmtId="0" xfId="0" applyFont="1" applyBorder="1" applyProtection="0">
      <protection hidden="0" locked="1"/>
    </xf>
    <xf fontId="6" fillId="0" borderId="21" numFmtId="0" xfId="0" applyFont="1" applyBorder="1" applyAlignment="1" applyProtection="0">
      <alignment horizontal="right"/>
      <protection hidden="0" locked="1"/>
    </xf>
    <xf fontId="4" fillId="0" borderId="16" numFmtId="0" xfId="0" applyFont="1" applyBorder="1" applyProtection="0">
      <protection hidden="0" locked="1"/>
    </xf>
    <xf fontId="7" fillId="0" borderId="13" numFmtId="0" xfId="0" applyFont="1" applyBorder="1" applyAlignment="1" applyProtection="0">
      <alignment horizontal="center"/>
      <protection hidden="0" locked="1"/>
    </xf>
    <xf fontId="7" fillId="0" borderId="22" numFmtId="0" xfId="0" applyFont="1" applyBorder="1" applyAlignment="1" applyProtection="0">
      <alignment horizontal="center"/>
      <protection hidden="0" locked="1"/>
    </xf>
    <xf fontId="7" fillId="0" borderId="14" numFmtId="0" xfId="0" applyFont="1" applyBorder="1" applyAlignment="1" applyProtection="0">
      <alignment horizontal="center"/>
      <protection hidden="0" locked="1"/>
    </xf>
    <xf fontId="4" fillId="0" borderId="5" numFmtId="0" xfId="0" applyFont="1" applyBorder="1" applyProtection="0">
      <protection hidden="0" locked="1"/>
    </xf>
    <xf fontId="4" fillId="0" borderId="23" numFmtId="167" xfId="0" applyNumberFormat="1" applyFont="1" applyBorder="1" applyProtection="0">
      <protection hidden="0" locked="1"/>
    </xf>
    <xf fontId="4" fillId="0" borderId="6" numFmtId="167" xfId="0" applyNumberFormat="1" applyFont="1" applyBorder="1" applyProtection="0">
      <protection hidden="0" locked="1"/>
    </xf>
    <xf fontId="4" fillId="0" borderId="1" numFmtId="0" xfId="0" applyFont="1" applyBorder="1" applyProtection="0">
      <protection hidden="0" locked="1"/>
    </xf>
    <xf fontId="4" fillId="0" borderId="9" numFmtId="165" xfId="0" applyNumberFormat="1" applyFont="1" applyBorder="1" applyProtection="0">
      <protection hidden="0" locked="1"/>
    </xf>
    <xf fontId="4" fillId="0" borderId="9" numFmtId="163" xfId="0" applyNumberFormat="1" applyFont="1" applyBorder="1" applyProtection="0">
      <protection hidden="0" locked="1"/>
    </xf>
    <xf fontId="4" fillId="0" borderId="24" numFmtId="0" xfId="0" applyFont="1" applyBorder="1" applyProtection="0">
      <protection hidden="0" locked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_BuiltIn_Good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11" workbookViewId="0">
      <selection activeCell="T21" activeCellId="0" sqref="T21"/>
    </sheetView>
  </sheetViews>
  <sheetFormatPr defaultColWidth="8.8125" defaultRowHeight="12.75"/>
  <cols>
    <col customWidth="1" min="1" max="2" style="0" width="10.65"/>
    <col customWidth="1" min="3" max="4" style="0" width="9.6500000000000004"/>
    <col customWidth="1" min="5" max="5" style="0" width="10.65"/>
    <col customWidth="1" min="6" max="6" style="0" width="8.6500000000000004"/>
    <col customWidth="1" min="7" max="8" style="0" width="9.6500000000000004"/>
    <col customWidth="1" min="9" max="9" style="0" width="10.65"/>
    <col customWidth="1" min="10" max="10" style="0" width="11.81"/>
    <col customWidth="1" min="11" max="11" style="0" width="10.65"/>
    <col customWidth="1" min="12" max="12" style="0" width="9.6500000000000004"/>
    <col customWidth="1" min="13" max="16" style="0" width="11.65"/>
  </cols>
  <sheetData>
    <row r="1" ht="14">
      <c r="A1" s="1">
        <f>Fittings!D35</f>
        <v>1.54</v>
      </c>
      <c r="B1" s="2"/>
      <c r="C1" t="s">
        <v>0</v>
      </c>
      <c r="G1" s="3" t="s">
        <v>1</v>
      </c>
      <c r="L1" s="4" t="s">
        <v>2</v>
      </c>
      <c r="M1" s="5"/>
      <c r="N1" s="6" t="s">
        <v>3</v>
      </c>
      <c r="O1" s="7"/>
    </row>
    <row r="2" ht="13">
      <c r="A2" s="1">
        <f>smooth_in</f>
        <v>6.0000000000000002e-05</v>
      </c>
      <c r="B2" s="2"/>
      <c r="C2" t="s">
        <v>4</v>
      </c>
      <c r="G2" s="8" t="s">
        <v>5</v>
      </c>
      <c r="H2" s="9" t="s">
        <v>6</v>
      </c>
      <c r="I2" s="9" t="s">
        <v>7</v>
      </c>
      <c r="L2" s="10" t="s">
        <v>8</v>
      </c>
      <c r="M2" s="11">
        <v>0.0008855</v>
      </c>
      <c r="N2" s="12" t="s">
        <v>9</v>
      </c>
      <c r="O2" s="2"/>
    </row>
    <row r="3" ht="13">
      <c r="A3" s="13">
        <v>4</v>
      </c>
      <c r="B3" s="14"/>
      <c r="C3" t="s">
        <v>10</v>
      </c>
      <c r="G3" s="15">
        <v>20</v>
      </c>
      <c r="H3" s="16">
        <f>0.1222*G3+1.1766</f>
        <v>3.6206</v>
      </c>
      <c r="I3" s="16">
        <f>G3*0.242+2</f>
        <v>6.8399999999999999</v>
      </c>
      <c r="J3" s="14">
        <v>1</v>
      </c>
      <c r="L3" s="17" t="s">
        <v>11</v>
      </c>
      <c r="M3" s="18">
        <v>62.388399999999997</v>
      </c>
      <c r="N3" s="12" t="s">
        <v>12</v>
      </c>
      <c r="O3" s="2"/>
    </row>
    <row r="4" ht="13">
      <c r="A4" s="1">
        <v>735</v>
      </c>
      <c r="B4" s="2"/>
      <c r="C4" t="s">
        <v>13</v>
      </c>
      <c r="E4">
        <f>A4*0.3048</f>
        <v>224.02799999999999</v>
      </c>
      <c r="F4" t="s">
        <v>14</v>
      </c>
      <c r="L4" s="17" t="s">
        <v>15</v>
      </c>
      <c r="M4" s="18">
        <v>32.200000000000003</v>
      </c>
      <c r="N4" s="12" t="s">
        <v>16</v>
      </c>
      <c r="O4" s="2"/>
    </row>
    <row r="5" ht="13">
      <c r="A5" s="19">
        <v>18</v>
      </c>
      <c r="B5" s="20"/>
      <c r="C5" t="s">
        <v>17</v>
      </c>
      <c r="L5" s="17" t="s">
        <v>18</v>
      </c>
      <c r="M5" s="21">
        <f>62.4/8.34*60</f>
        <v>448.92086330935302</v>
      </c>
      <c r="N5" s="12" t="s">
        <v>19</v>
      </c>
      <c r="O5" s="2"/>
    </row>
    <row r="6" ht="13">
      <c r="A6" s="1">
        <v>4</v>
      </c>
      <c r="B6" s="2"/>
      <c r="C6" t="s">
        <v>20</v>
      </c>
      <c r="L6" s="17" t="s">
        <v>21</v>
      </c>
      <c r="M6" s="22">
        <f>3.048^3</f>
        <v>28.316846592000001</v>
      </c>
      <c r="N6" s="12" t="s">
        <v>22</v>
      </c>
      <c r="O6" s="2"/>
    </row>
    <row r="7" ht="13">
      <c r="A7" s="23">
        <v>0.81999999999999995</v>
      </c>
      <c r="B7" s="24"/>
      <c r="C7" t="s">
        <v>23</v>
      </c>
      <c r="L7" s="17" t="s">
        <v>24</v>
      </c>
      <c r="M7" s="18">
        <v>0.30480000000000002</v>
      </c>
      <c r="N7" s="12" t="s">
        <v>25</v>
      </c>
      <c r="O7" s="2"/>
    </row>
    <row r="8" ht="14">
      <c r="A8" s="23">
        <v>0.84999999999999998</v>
      </c>
      <c r="B8" s="24"/>
      <c r="C8" t="s">
        <v>26</v>
      </c>
      <c r="E8" s="25">
        <f>A7*A8</f>
        <v>0.69699999999999995</v>
      </c>
      <c r="L8" s="26" t="s">
        <v>27</v>
      </c>
      <c r="M8" s="27">
        <v>25.399999999999999</v>
      </c>
      <c r="N8" s="28" t="s">
        <v>28</v>
      </c>
      <c r="O8" s="2"/>
    </row>
    <row r="9" ht="13">
      <c r="A9" s="13">
        <v>3.6200000000000001</v>
      </c>
      <c r="B9" s="14"/>
      <c r="C9" t="s">
        <v>29</v>
      </c>
      <c r="E9" s="29">
        <f>25.4*A9</f>
        <v>91.947999999999993</v>
      </c>
      <c r="F9" t="s">
        <v>27</v>
      </c>
    </row>
    <row r="10" ht="13">
      <c r="A10" s="30">
        <v>0.48999999999999999</v>
      </c>
      <c r="B10" s="31"/>
      <c r="C10" t="s">
        <v>30</v>
      </c>
    </row>
    <row r="11" ht="13">
      <c r="A11" s="14"/>
      <c r="B11" s="14"/>
    </row>
    <row r="12" ht="13">
      <c r="A12" s="32">
        <f>A3/12</f>
        <v>0.33333333333333298</v>
      </c>
      <c r="B12" s="33"/>
      <c r="C12" t="s">
        <v>31</v>
      </c>
    </row>
    <row r="13" ht="13">
      <c r="A13" s="32">
        <f>PI()*A12^2/4</f>
        <v>0.087266462599716502</v>
      </c>
      <c r="B13" s="33"/>
      <c r="C13" t="s">
        <v>32</v>
      </c>
    </row>
    <row r="14" ht="13">
      <c r="A14" s="34">
        <f>A2/A3</f>
        <v>1.5e-05</v>
      </c>
      <c r="B14" s="35"/>
      <c r="C14" t="s">
        <v>33</v>
      </c>
    </row>
    <row r="15" ht="13">
      <c r="A15" s="35"/>
      <c r="B15" s="35"/>
    </row>
    <row r="16" ht="13">
      <c r="A16" s="19">
        <v>5</v>
      </c>
      <c r="B16" s="20"/>
      <c r="C16" t="s">
        <v>34</v>
      </c>
      <c r="D16">
        <f>7.48*60</f>
        <v>448.80000000000001</v>
      </c>
      <c r="E16" t="s">
        <v>35</v>
      </c>
    </row>
    <row r="18" s="7" customFormat="1" ht="13">
      <c r="A18" s="36" t="s">
        <v>18</v>
      </c>
      <c r="B18" s="36" t="s">
        <v>21</v>
      </c>
      <c r="C18" s="36" t="s">
        <v>36</v>
      </c>
      <c r="D18" s="36" t="s">
        <v>37</v>
      </c>
      <c r="E18" s="36" t="s">
        <v>38</v>
      </c>
      <c r="F18" s="36" t="s">
        <v>39</v>
      </c>
      <c r="G18" s="36" t="s">
        <v>40</v>
      </c>
      <c r="H18" s="36" t="s">
        <v>41</v>
      </c>
      <c r="I18" s="36" t="s">
        <v>42</v>
      </c>
      <c r="J18" s="36" t="s">
        <v>43</v>
      </c>
      <c r="K18" s="36" t="s">
        <v>44</v>
      </c>
      <c r="L18" s="36" t="s">
        <v>45</v>
      </c>
      <c r="M18" s="36" t="s">
        <v>46</v>
      </c>
      <c r="N18" s="36" t="s">
        <v>47</v>
      </c>
      <c r="O18" s="36" t="s">
        <v>48</v>
      </c>
      <c r="P18" s="36" t="s">
        <v>49</v>
      </c>
      <c r="Q18" s="36" t="s">
        <v>50</v>
      </c>
    </row>
    <row r="19" ht="13">
      <c r="A19" s="19">
        <v>30</v>
      </c>
      <c r="B19" s="37">
        <f t="shared" ref="B19:B34" si="0">A19*0.075768</f>
        <v>2.2730399999999999</v>
      </c>
      <c r="C19" s="16">
        <f t="shared" ref="C19:C34" si="1">A19/(60*7.48*$A$13)</f>
        <v>0.76598635712676899</v>
      </c>
      <c r="D19" s="38">
        <f t="shared" ref="D19:D34" si="2">0.5*C19^2/$M$4</f>
        <v>0.0091107934674586697</v>
      </c>
      <c r="E19" s="39">
        <f t="shared" ref="E19:E34" si="3">$M$3*C19*$A$12/$M$2</f>
        <v>17989.3330483598</v>
      </c>
      <c r="F19" s="38">
        <f t="shared" ref="F19:F34" si="4">Moody_fff(E19,$A$14)</f>
        <v>0</v>
      </c>
      <c r="G19" s="16">
        <f t="shared" ref="G19:G34" si="5">(4*F19*$A$4/$A$12+$A$1)*D19</f>
        <v>0.014030621939886301</v>
      </c>
      <c r="H19" s="16">
        <f t="shared" ref="H19:H34" si="6">$A$5-G19</f>
        <v>17.985969378060101</v>
      </c>
      <c r="I19" s="37">
        <f t="shared" ref="I19:I34" si="7">H19*A19/60*8.34/550*$A$7</f>
        <v>0.111820406711525</v>
      </c>
      <c r="J19" s="40">
        <f t="shared" ref="J19:J34" si="8">I19*$A$8*747.5</f>
        <v>71.047890914335198</v>
      </c>
      <c r="K19" s="37">
        <f t="shared" ref="K19:K34" si="9">SQRT(2*$M$4*H19)</f>
        <v>34.033754244089401</v>
      </c>
      <c r="L19" s="40">
        <f t="shared" ref="L19:L34" si="10">$A$10*60*K19/(PI()*$A$9/12)</f>
        <v>1055.79595004881</v>
      </c>
      <c r="M19" s="32">
        <f t="shared" ref="M19:M34" si="11">12*SQRT((A19/($A$6*$M$5)/K19)*4/PI())</f>
        <v>0.30000404684500698</v>
      </c>
      <c r="N19" s="37">
        <f t="shared" ref="N19:N34" si="12">M19*64</f>
        <v>19.2002589980805</v>
      </c>
      <c r="O19" s="37">
        <f t="shared" ref="O19:O34" si="13">M19*25.4</f>
        <v>7.6201027898631803</v>
      </c>
      <c r="P19" s="16">
        <f t="shared" ref="P19:P34" si="14">A19/448.8</f>
        <v>0.066844919786096302</v>
      </c>
      <c r="Q19" s="16">
        <f t="shared" ref="Q19:Q34" si="15">0.4333*H19</f>
        <v>7.7933205315134497</v>
      </c>
      <c r="R19" s="41">
        <f t="shared" ref="R19:R34" si="16">H19/$A$5</f>
        <v>0.99922052100334002</v>
      </c>
    </row>
    <row r="20" ht="13">
      <c r="A20" s="37">
        <f t="shared" ref="A20:A34" si="17">A19+$A$16</f>
        <v>35</v>
      </c>
      <c r="B20" s="37">
        <f t="shared" si="0"/>
        <v>2.6518799999999998</v>
      </c>
      <c r="C20" s="16">
        <f t="shared" si="1"/>
        <v>0.89365074998123095</v>
      </c>
      <c r="D20" s="16">
        <f t="shared" si="2"/>
        <v>0.0124008022195965</v>
      </c>
      <c r="E20" s="39">
        <f t="shared" si="3"/>
        <v>20987.555223086401</v>
      </c>
      <c r="F20" s="38">
        <f t="shared" si="4"/>
        <v>0</v>
      </c>
      <c r="G20" s="16">
        <f t="shared" si="5"/>
        <v>0.0190972354181786</v>
      </c>
      <c r="H20" s="16">
        <f t="shared" si="6"/>
        <v>17.980902764581799</v>
      </c>
      <c r="I20" s="37">
        <f t="shared" si="7"/>
        <v>0.130420391634084</v>
      </c>
      <c r="J20" s="40">
        <f t="shared" si="8"/>
        <v>82.865856334506205</v>
      </c>
      <c r="K20" s="37">
        <f t="shared" si="9"/>
        <v>34.028960284426397</v>
      </c>
      <c r="L20" s="40">
        <f t="shared" si="10"/>
        <v>1055.64723171581</v>
      </c>
      <c r="M20" s="32">
        <f t="shared" si="11"/>
        <v>0.32406423049368199</v>
      </c>
      <c r="N20" s="37">
        <f t="shared" si="12"/>
        <v>20.740110751595601</v>
      </c>
      <c r="O20" s="37">
        <f t="shared" si="13"/>
        <v>8.23123145453952</v>
      </c>
      <c r="P20" s="16">
        <f t="shared" si="14"/>
        <v>0.077985739750445607</v>
      </c>
      <c r="Q20" s="16">
        <f t="shared" si="15"/>
        <v>7.7911251678933002</v>
      </c>
      <c r="R20" s="41">
        <f t="shared" si="16"/>
        <v>0.99893904247676801</v>
      </c>
    </row>
    <row r="21" ht="13">
      <c r="A21" s="37">
        <f t="shared" si="17"/>
        <v>40</v>
      </c>
      <c r="B21" s="37">
        <f t="shared" si="0"/>
        <v>3.0307200000000001</v>
      </c>
      <c r="C21" s="16">
        <f t="shared" si="1"/>
        <v>1.0213151428356899</v>
      </c>
      <c r="D21" s="16">
        <f t="shared" si="2"/>
        <v>0.016196966164371</v>
      </c>
      <c r="E21" s="39">
        <f t="shared" si="3"/>
        <v>23985.777397812999</v>
      </c>
      <c r="F21" s="38">
        <f t="shared" si="4"/>
        <v>0</v>
      </c>
      <c r="G21" s="16">
        <f t="shared" si="5"/>
        <v>0.024943327893131299</v>
      </c>
      <c r="H21" s="16">
        <f t="shared" si="6"/>
        <v>17.975056672106899</v>
      </c>
      <c r="I21" s="37">
        <f t="shared" si="7"/>
        <v>0.14900341523539901</v>
      </c>
      <c r="J21" s="40">
        <f t="shared" si="8"/>
        <v>94.673044955191898</v>
      </c>
      <c r="K21" s="37">
        <f t="shared" si="9"/>
        <v>34.023427953157302</v>
      </c>
      <c r="L21" s="40">
        <f t="shared" si="10"/>
        <v>1055.4756076009201</v>
      </c>
      <c r="M21" s="32">
        <f t="shared" si="11"/>
        <v>0.34646739978998098</v>
      </c>
      <c r="N21" s="37">
        <f t="shared" si="12"/>
        <v>22.1739135865588</v>
      </c>
      <c r="O21" s="37">
        <f t="shared" si="13"/>
        <v>8.8002719546655008</v>
      </c>
      <c r="P21" s="16">
        <f t="shared" si="14"/>
        <v>0.089126559714794995</v>
      </c>
      <c r="Q21" s="16">
        <f t="shared" si="15"/>
        <v>7.7885920560239104</v>
      </c>
      <c r="R21" s="41">
        <f t="shared" si="16"/>
        <v>0.99861425956149297</v>
      </c>
    </row>
    <row r="22" ht="13">
      <c r="A22" s="37">
        <f t="shared" si="17"/>
        <v>45</v>
      </c>
      <c r="B22" s="37">
        <f t="shared" si="0"/>
        <v>3.4095599999999999</v>
      </c>
      <c r="C22" s="16">
        <f t="shared" si="1"/>
        <v>1.14897953569015</v>
      </c>
      <c r="D22" s="16">
        <f t="shared" si="2"/>
        <v>0.020499285301782001</v>
      </c>
      <c r="E22" s="39">
        <f t="shared" si="3"/>
        <v>26983.9995725396</v>
      </c>
      <c r="F22" s="38">
        <f t="shared" si="4"/>
        <v>0</v>
      </c>
      <c r="G22" s="16">
        <f t="shared" si="5"/>
        <v>0.031568899364744302</v>
      </c>
      <c r="H22" s="16">
        <f t="shared" si="6"/>
        <v>17.9684311006353</v>
      </c>
      <c r="I22" s="37">
        <f t="shared" si="7"/>
        <v>0.16756705446957901</v>
      </c>
      <c r="J22" s="40">
        <f t="shared" si="8"/>
        <v>106.467917233609</v>
      </c>
      <c r="K22" s="37">
        <f t="shared" si="9"/>
        <v>34.017156890029902</v>
      </c>
      <c r="L22" s="40">
        <f t="shared" si="10"/>
        <v>1055.2810665284101</v>
      </c>
      <c r="M22" s="32">
        <f t="shared" si="11"/>
        <v>0.36751804307128599</v>
      </c>
      <c r="N22" s="37">
        <f t="shared" si="12"/>
        <v>23.5211547565623</v>
      </c>
      <c r="O22" s="37">
        <f t="shared" si="13"/>
        <v>9.3349582940106703</v>
      </c>
      <c r="P22" s="16">
        <f t="shared" si="14"/>
        <v>0.10026737967914399</v>
      </c>
      <c r="Q22" s="16">
        <f t="shared" si="15"/>
        <v>7.7857211959052597</v>
      </c>
      <c r="R22" s="41">
        <f t="shared" si="16"/>
        <v>0.998246172257514</v>
      </c>
    </row>
    <row r="23" ht="16.5">
      <c r="A23" s="42">
        <f t="shared" si="17"/>
        <v>50</v>
      </c>
      <c r="B23" s="42">
        <f t="shared" si="0"/>
        <v>3.7884000000000002</v>
      </c>
      <c r="C23" s="43">
        <f t="shared" si="1"/>
        <v>1.2766439285446201</v>
      </c>
      <c r="D23" s="43">
        <f t="shared" si="2"/>
        <v>0.025307759631829602</v>
      </c>
      <c r="E23" s="44">
        <f t="shared" si="3"/>
        <v>29982.2217472663</v>
      </c>
      <c r="F23" s="45">
        <f t="shared" si="4"/>
        <v>0</v>
      </c>
      <c r="G23" s="43">
        <f t="shared" si="5"/>
        <v>0.0389739498330176</v>
      </c>
      <c r="H23" s="43">
        <f t="shared" si="6"/>
        <v>17.961026050167</v>
      </c>
      <c r="I23" s="42">
        <f t="shared" si="7"/>
        <v>0.18610888629073</v>
      </c>
      <c r="J23" s="46">
        <f t="shared" si="8"/>
        <v>118.248933626973</v>
      </c>
      <c r="K23" s="42">
        <f t="shared" si="9"/>
        <v>34.010146686404497</v>
      </c>
      <c r="L23" s="46">
        <f t="shared" si="10"/>
        <v>1055.06359582143</v>
      </c>
      <c r="M23" s="47">
        <f t="shared" si="11"/>
        <v>0.38743795580511298</v>
      </c>
      <c r="N23" s="42">
        <f t="shared" si="12"/>
        <v>24.796029171527199</v>
      </c>
      <c r="O23" s="42">
        <f t="shared" si="13"/>
        <v>9.8409240774498699</v>
      </c>
      <c r="P23" s="43">
        <f t="shared" si="14"/>
        <v>0.11140819964349399</v>
      </c>
      <c r="Q23" s="43">
        <f t="shared" si="15"/>
        <v>7.78251258753735</v>
      </c>
      <c r="R23" s="41">
        <f t="shared" si="16"/>
        <v>0.99783478056483199</v>
      </c>
    </row>
    <row r="24" ht="13">
      <c r="A24" s="37">
        <f t="shared" si="17"/>
        <v>55</v>
      </c>
      <c r="B24" s="37">
        <f t="shared" si="0"/>
        <v>4.1672399999999996</v>
      </c>
      <c r="C24" s="16">
        <f t="shared" si="1"/>
        <v>1.4043083213990799</v>
      </c>
      <c r="D24" s="16">
        <f t="shared" si="2"/>
        <v>0.030622389154513902</v>
      </c>
      <c r="E24" s="39">
        <f t="shared" si="3"/>
        <v>32980.443921992897</v>
      </c>
      <c r="F24" s="38">
        <f t="shared" si="4"/>
        <v>0</v>
      </c>
      <c r="G24" s="16">
        <f t="shared" si="5"/>
        <v>0.047158479297951299</v>
      </c>
      <c r="H24" s="16">
        <f t="shared" si="6"/>
        <v>17.952841520701998</v>
      </c>
      <c r="I24" s="37">
        <f t="shared" si="7"/>
        <v>0.20462648765296201</v>
      </c>
      <c r="J24" s="40">
        <f t="shared" si="8"/>
        <v>130.01455459250101</v>
      </c>
      <c r="K24" s="37">
        <f t="shared" si="9"/>
        <v>34.0023968851199</v>
      </c>
      <c r="L24" s="40">
        <f t="shared" si="10"/>
        <v>1054.82318129791</v>
      </c>
      <c r="M24" s="32">
        <f t="shared" si="11"/>
        <v>0.40639466083628401</v>
      </c>
      <c r="N24" s="37">
        <f t="shared" si="12"/>
        <v>26.009258293522102</v>
      </c>
      <c r="O24" s="37">
        <f t="shared" si="13"/>
        <v>10.3224243852416</v>
      </c>
      <c r="P24" s="16">
        <f t="shared" si="14"/>
        <v>0.12254901960784299</v>
      </c>
      <c r="Q24" s="16">
        <f t="shared" si="15"/>
        <v>7.7789662309201999</v>
      </c>
      <c r="R24" s="41">
        <f t="shared" si="16"/>
        <v>0.99738008448344695</v>
      </c>
    </row>
    <row r="25" ht="13">
      <c r="A25" s="37">
        <f t="shared" si="17"/>
        <v>60</v>
      </c>
      <c r="B25" s="37">
        <f t="shared" si="0"/>
        <v>4.5460799999999999</v>
      </c>
      <c r="C25" s="16">
        <f t="shared" si="1"/>
        <v>1.53197271425354</v>
      </c>
      <c r="D25" s="16">
        <f t="shared" si="2"/>
        <v>0.0364431738698347</v>
      </c>
      <c r="E25" s="39">
        <f t="shared" si="3"/>
        <v>35978.666096719498</v>
      </c>
      <c r="F25" s="38">
        <f t="shared" si="4"/>
        <v>0</v>
      </c>
      <c r="G25" s="16">
        <f t="shared" si="5"/>
        <v>0.056122487759545397</v>
      </c>
      <c r="H25" s="16">
        <f t="shared" si="6"/>
        <v>17.943877512240501</v>
      </c>
      <c r="I25" s="37">
        <f t="shared" si="7"/>
        <v>0.22311743551038199</v>
      </c>
      <c r="J25" s="40">
        <f t="shared" si="8"/>
        <v>141.763240587409</v>
      </c>
      <c r="K25" s="37">
        <f t="shared" si="9"/>
        <v>33.9939069803441</v>
      </c>
      <c r="L25" s="40">
        <f t="shared" si="10"/>
        <v>1054.55980726594</v>
      </c>
      <c r="M25" s="32">
        <f t="shared" si="11"/>
        <v>0.424518381054169</v>
      </c>
      <c r="N25" s="37">
        <f t="shared" si="12"/>
        <v>27.169176387466798</v>
      </c>
      <c r="O25" s="37">
        <f t="shared" si="13"/>
        <v>10.782766878775901</v>
      </c>
      <c r="P25" s="16">
        <f t="shared" si="14"/>
        <v>0.13368983957219299</v>
      </c>
      <c r="Q25" s="16">
        <f t="shared" si="15"/>
        <v>7.7750821260537899</v>
      </c>
      <c r="R25" s="41">
        <f t="shared" si="16"/>
        <v>0.99688208401335898</v>
      </c>
    </row>
    <row r="26" ht="13">
      <c r="A26" s="37">
        <f t="shared" si="17"/>
        <v>65</v>
      </c>
      <c r="B26" s="37">
        <f t="shared" si="0"/>
        <v>4.9249200000000002</v>
      </c>
      <c r="C26" s="16">
        <f t="shared" si="1"/>
        <v>1.6596371071080001</v>
      </c>
      <c r="D26" s="16">
        <f t="shared" si="2"/>
        <v>0.0427701137777921</v>
      </c>
      <c r="E26" s="39">
        <f t="shared" si="3"/>
        <v>38976.888271446202</v>
      </c>
      <c r="F26" s="38">
        <f t="shared" si="4"/>
        <v>0</v>
      </c>
      <c r="G26" s="16">
        <f t="shared" si="5"/>
        <v>0.065865975217799799</v>
      </c>
      <c r="H26" s="16">
        <f t="shared" si="6"/>
        <v>17.9341340247822</v>
      </c>
      <c r="I26" s="37">
        <f t="shared" si="7"/>
        <v>0.24157930681709799</v>
      </c>
      <c r="J26" s="40">
        <f t="shared" si="8"/>
        <v>153.493452068914</v>
      </c>
      <c r="K26" s="37">
        <f t="shared" si="9"/>
        <v>33.9846764174087</v>
      </c>
      <c r="L26" s="40">
        <f t="shared" si="10"/>
        <v>1054.2734565185599</v>
      </c>
      <c r="M26" s="32">
        <f t="shared" si="11"/>
        <v>0.44191274163412902</v>
      </c>
      <c r="N26" s="37">
        <f t="shared" si="12"/>
        <v>28.2824154645843</v>
      </c>
      <c r="O26" s="37">
        <f t="shared" si="13"/>
        <v>11.2245836375069</v>
      </c>
      <c r="P26" s="16">
        <f t="shared" si="14"/>
        <v>0.14483065953654201</v>
      </c>
      <c r="Q26" s="16">
        <f t="shared" si="15"/>
        <v>7.7708602729381298</v>
      </c>
      <c r="R26" s="41">
        <f t="shared" si="16"/>
        <v>0.99634077915456698</v>
      </c>
    </row>
    <row r="27" s="2" customFormat="1" ht="13">
      <c r="A27" s="37">
        <f t="shared" si="17"/>
        <v>70</v>
      </c>
      <c r="B27" s="37">
        <f t="shared" si="0"/>
        <v>5.3037599999999996</v>
      </c>
      <c r="C27" s="16">
        <f t="shared" si="1"/>
        <v>1.7873014999624599</v>
      </c>
      <c r="D27" s="16">
        <f t="shared" si="2"/>
        <v>0.049603208878386103</v>
      </c>
      <c r="E27" s="39">
        <f t="shared" si="3"/>
        <v>41975.110446172803</v>
      </c>
      <c r="F27" s="38">
        <f t="shared" si="4"/>
        <v>0</v>
      </c>
      <c r="G27" s="16">
        <f t="shared" si="5"/>
        <v>0.076388941672714594</v>
      </c>
      <c r="H27" s="16">
        <f t="shared" si="6"/>
        <v>17.9236110583273</v>
      </c>
      <c r="I27" s="37">
        <f t="shared" si="7"/>
        <v>0.26000967852721801</v>
      </c>
      <c r="J27" s="40">
        <f t="shared" si="8"/>
        <v>165.203649494231</v>
      </c>
      <c r="K27" s="37">
        <f t="shared" si="9"/>
        <v>33.974704592627099</v>
      </c>
      <c r="L27" s="40">
        <f t="shared" si="10"/>
        <v>1053.9641103281999</v>
      </c>
      <c r="M27" s="32">
        <f t="shared" si="11"/>
        <v>0.45866182035354602</v>
      </c>
      <c r="N27" s="37">
        <f t="shared" si="12"/>
        <v>29.354356502626999</v>
      </c>
      <c r="O27" s="37">
        <f t="shared" si="13"/>
        <v>11.6500102369801</v>
      </c>
      <c r="P27" s="16">
        <f t="shared" si="14"/>
        <v>0.15597147950089099</v>
      </c>
      <c r="Q27" s="16">
        <f t="shared" si="15"/>
        <v>7.7663006715732097</v>
      </c>
      <c r="R27" s="41">
        <f t="shared" si="16"/>
        <v>0.99575616990707105</v>
      </c>
    </row>
    <row r="28" ht="13">
      <c r="A28" s="37">
        <f t="shared" si="17"/>
        <v>75</v>
      </c>
      <c r="B28" s="37">
        <f t="shared" si="0"/>
        <v>5.6825999999999999</v>
      </c>
      <c r="C28" s="16">
        <f t="shared" si="1"/>
        <v>1.91496589281692</v>
      </c>
      <c r="D28" s="16">
        <f t="shared" si="2"/>
        <v>0.056942459171616701</v>
      </c>
      <c r="E28" s="39">
        <f t="shared" si="3"/>
        <v>44973.332620899397</v>
      </c>
      <c r="F28" s="38">
        <f t="shared" si="4"/>
        <v>0</v>
      </c>
      <c r="G28" s="16">
        <f t="shared" si="5"/>
        <v>0.087691387124289602</v>
      </c>
      <c r="H28" s="16">
        <f t="shared" si="6"/>
        <v>17.912308612875702</v>
      </c>
      <c r="I28" s="37">
        <f t="shared" si="7"/>
        <v>0.27840612759485101</v>
      </c>
      <c r="J28" s="40">
        <f t="shared" si="8"/>
        <v>176.89229332057801</v>
      </c>
      <c r="K28" s="37">
        <f t="shared" si="9"/>
        <v>33.963990853096099</v>
      </c>
      <c r="L28" s="40">
        <f t="shared" si="10"/>
        <v>1053.6317484404799</v>
      </c>
      <c r="M28" s="32">
        <f t="shared" si="11"/>
        <v>0.47483496264012798</v>
      </c>
      <c r="N28" s="37">
        <f t="shared" si="12"/>
        <v>30.389437608968201</v>
      </c>
      <c r="O28" s="37">
        <f t="shared" si="13"/>
        <v>12.060808051059301</v>
      </c>
      <c r="P28" s="16">
        <f t="shared" si="14"/>
        <v>0.167112299465241</v>
      </c>
      <c r="Q28" s="16">
        <f t="shared" si="15"/>
        <v>7.7614033219590501</v>
      </c>
      <c r="R28" s="41">
        <f t="shared" si="16"/>
        <v>0.99512825627087298</v>
      </c>
    </row>
    <row r="29" ht="13">
      <c r="A29" s="37">
        <f t="shared" si="17"/>
        <v>80</v>
      </c>
      <c r="B29" s="37">
        <f t="shared" si="0"/>
        <v>6.0614400000000002</v>
      </c>
      <c r="C29" s="16">
        <f t="shared" si="1"/>
        <v>2.0426302856713798</v>
      </c>
      <c r="D29" s="16">
        <f t="shared" si="2"/>
        <v>0.064787864657483804</v>
      </c>
      <c r="E29" s="39">
        <f t="shared" si="3"/>
        <v>47971.554795625998</v>
      </c>
      <c r="F29" s="38">
        <f t="shared" si="4"/>
        <v>0</v>
      </c>
      <c r="G29" s="16">
        <f t="shared" si="5"/>
        <v>0.0997733115725251</v>
      </c>
      <c r="H29" s="16">
        <f t="shared" si="6"/>
        <v>17.900226688427502</v>
      </c>
      <c r="I29" s="37">
        <f t="shared" si="7"/>
        <v>0.29676623097410398</v>
      </c>
      <c r="J29" s="40">
        <f t="shared" si="8"/>
        <v>188.55784400517101</v>
      </c>
      <c r="K29" s="37">
        <f t="shared" si="9"/>
        <v>33.952534496481</v>
      </c>
      <c r="L29" s="40">
        <f t="shared" si="10"/>
        <v>1053.27634906756</v>
      </c>
      <c r="M29" s="32">
        <f t="shared" si="11"/>
        <v>0.49049017099588599</v>
      </c>
      <c r="N29" s="37">
        <f t="shared" si="12"/>
        <v>31.3913709437367</v>
      </c>
      <c r="O29" s="37">
        <f t="shared" si="13"/>
        <v>12.4584503432955</v>
      </c>
      <c r="P29" s="16">
        <f t="shared" si="14"/>
        <v>0.17825311942958999</v>
      </c>
      <c r="Q29" s="16">
        <f t="shared" si="15"/>
        <v>7.75616822409562</v>
      </c>
      <c r="R29" s="41">
        <f t="shared" si="16"/>
        <v>0.99445703824597098</v>
      </c>
    </row>
    <row r="30" ht="13">
      <c r="A30" s="37">
        <f t="shared" si="17"/>
        <v>85</v>
      </c>
      <c r="B30" s="37">
        <f t="shared" si="0"/>
        <v>6.4402799999999996</v>
      </c>
      <c r="C30" s="16">
        <f t="shared" si="1"/>
        <v>2.1702946785258499</v>
      </c>
      <c r="D30" s="16">
        <f t="shared" si="2"/>
        <v>0.073139425335987607</v>
      </c>
      <c r="E30" s="39">
        <f t="shared" si="3"/>
        <v>50969.776970352701</v>
      </c>
      <c r="F30" s="38">
        <f t="shared" si="4"/>
        <v>0</v>
      </c>
      <c r="G30" s="16">
        <f t="shared" si="5"/>
        <v>0.11263471501742101</v>
      </c>
      <c r="H30" s="16">
        <f t="shared" si="6"/>
        <v>17.8873652849826</v>
      </c>
      <c r="I30" s="37">
        <f t="shared" si="7"/>
        <v>0.31508756561908502</v>
      </c>
      <c r="J30" s="40">
        <f t="shared" si="8"/>
        <v>200.198762005226</v>
      </c>
      <c r="K30" s="37">
        <f t="shared" si="9"/>
        <v>33.940334770783799</v>
      </c>
      <c r="L30" s="40">
        <f t="shared" si="10"/>
        <v>1052.8978888809299</v>
      </c>
      <c r="M30" s="32">
        <f t="shared" si="11"/>
        <v>0.50567655311051296</v>
      </c>
      <c r="N30" s="37">
        <f t="shared" si="12"/>
        <v>32.363299399072801</v>
      </c>
      <c r="O30" s="37">
        <f t="shared" si="13"/>
        <v>12.844184449007001</v>
      </c>
      <c r="P30" s="16">
        <f t="shared" si="14"/>
        <v>0.189393939393939</v>
      </c>
      <c r="Q30" s="16">
        <f t="shared" si="15"/>
        <v>7.7505953779829504</v>
      </c>
      <c r="R30" s="41">
        <f t="shared" si="16"/>
        <v>0.99374251583236595</v>
      </c>
    </row>
    <row r="31" ht="13">
      <c r="A31" s="37">
        <f t="shared" si="17"/>
        <v>90</v>
      </c>
      <c r="B31" s="37">
        <f t="shared" si="0"/>
        <v>6.8191199999999998</v>
      </c>
      <c r="C31" s="16">
        <f t="shared" si="1"/>
        <v>2.2979590713803102</v>
      </c>
      <c r="D31" s="16">
        <f t="shared" si="2"/>
        <v>0.081997141207128005</v>
      </c>
      <c r="E31" s="39">
        <f t="shared" si="3"/>
        <v>53967.999145079302</v>
      </c>
      <c r="F31" s="38">
        <f t="shared" si="4"/>
        <v>0</v>
      </c>
      <c r="G31" s="16">
        <f t="shared" si="5"/>
        <v>0.12627559745897701</v>
      </c>
      <c r="H31" s="16">
        <f t="shared" si="6"/>
        <v>17.873724402541001</v>
      </c>
      <c r="I31" s="37">
        <f t="shared" si="7"/>
        <v>0.33336770848390201</v>
      </c>
      <c r="J31" s="40">
        <f t="shared" si="8"/>
        <v>211.81350777795899</v>
      </c>
      <c r="K31" s="37">
        <f t="shared" si="9"/>
        <v>33.927390874095302</v>
      </c>
      <c r="L31" s="40">
        <f t="shared" si="10"/>
        <v>1052.4963430037501</v>
      </c>
      <c r="M31" s="32">
        <f t="shared" si="11"/>
        <v>0.52043612976221998</v>
      </c>
      <c r="N31" s="37">
        <f t="shared" si="12"/>
        <v>33.3079123047821</v>
      </c>
      <c r="O31" s="37">
        <f t="shared" si="13"/>
        <v>13.219077695960401</v>
      </c>
      <c r="P31" s="16">
        <f t="shared" si="14"/>
        <v>0.20053475935828899</v>
      </c>
      <c r="Q31" s="16">
        <f t="shared" si="15"/>
        <v>7.7446847836210297</v>
      </c>
      <c r="R31" s="41">
        <f t="shared" si="16"/>
        <v>0.99298468903005699</v>
      </c>
    </row>
    <row r="32" ht="13">
      <c r="A32" s="37">
        <f t="shared" si="17"/>
        <v>95</v>
      </c>
      <c r="B32" s="37">
        <f t="shared" si="0"/>
        <v>7.1979600000000001</v>
      </c>
      <c r="C32" s="16">
        <f t="shared" si="1"/>
        <v>2.42562346423477</v>
      </c>
      <c r="D32" s="16">
        <f t="shared" si="2"/>
        <v>0.091361012270904998</v>
      </c>
      <c r="E32" s="39">
        <f t="shared" si="3"/>
        <v>56966.221319805903</v>
      </c>
      <c r="F32" s="38">
        <f t="shared" si="4"/>
        <v>0</v>
      </c>
      <c r="G32" s="16">
        <f t="shared" si="5"/>
        <v>0.140695958897194</v>
      </c>
      <c r="H32" s="16">
        <f t="shared" si="6"/>
        <v>17.859304041102799</v>
      </c>
      <c r="I32" s="37">
        <f t="shared" si="7"/>
        <v>0.35160423652266398</v>
      </c>
      <c r="J32" s="40">
        <f t="shared" si="8"/>
        <v>223.40054178058799</v>
      </c>
      <c r="K32" s="37">
        <f t="shared" si="9"/>
        <v>33.913701954328403</v>
      </c>
      <c r="L32" s="40">
        <f t="shared" si="10"/>
        <v>1052.0716850025599</v>
      </c>
      <c r="M32" s="32">
        <f t="shared" si="11"/>
        <v>0.53480519599257303</v>
      </c>
      <c r="N32" s="37">
        <f t="shared" si="12"/>
        <v>34.227532543524703</v>
      </c>
      <c r="O32" s="37">
        <f t="shared" si="13"/>
        <v>13.5840519782114</v>
      </c>
      <c r="P32" s="16">
        <f t="shared" si="14"/>
        <v>0.211675579322638</v>
      </c>
      <c r="Q32" s="16">
        <f t="shared" si="15"/>
        <v>7.7384364410098501</v>
      </c>
      <c r="R32" s="41">
        <f t="shared" si="16"/>
        <v>0.99218355783904499</v>
      </c>
    </row>
    <row r="33" ht="13">
      <c r="A33" s="37">
        <f t="shared" si="17"/>
        <v>100</v>
      </c>
      <c r="B33" s="37">
        <f t="shared" si="0"/>
        <v>7.5768000000000004</v>
      </c>
      <c r="C33" s="16">
        <f t="shared" si="1"/>
        <v>2.5532878570892299</v>
      </c>
      <c r="D33" s="16">
        <f t="shared" si="2"/>
        <v>0.101231038527318</v>
      </c>
      <c r="E33" s="39">
        <f t="shared" si="3"/>
        <v>59964.443494532497</v>
      </c>
      <c r="F33" s="38">
        <f t="shared" si="4"/>
        <v>0</v>
      </c>
      <c r="G33" s="16">
        <f t="shared" si="5"/>
        <v>0.15589579933207001</v>
      </c>
      <c r="H33" s="16">
        <f t="shared" si="6"/>
        <v>17.8441042006679</v>
      </c>
      <c r="I33" s="37">
        <f t="shared" si="7"/>
        <v>0.36979472668947799</v>
      </c>
      <c r="J33" s="40">
        <f t="shared" si="8"/>
        <v>234.958324470327</v>
      </c>
      <c r="K33" s="37">
        <f t="shared" si="9"/>
        <v>33.899267108936399</v>
      </c>
      <c r="L33" s="40">
        <f t="shared" si="10"/>
        <v>1051.6238868785199</v>
      </c>
      <c r="M33" s="32">
        <f t="shared" si="11"/>
        <v>0.54881536350924798</v>
      </c>
      <c r="N33" s="37">
        <f t="shared" si="12"/>
        <v>35.124183264591899</v>
      </c>
      <c r="O33" s="37">
        <f t="shared" si="13"/>
        <v>13.939910233134899</v>
      </c>
      <c r="P33" s="16">
        <f t="shared" si="14"/>
        <v>0.22281639928698799</v>
      </c>
      <c r="Q33" s="16">
        <f t="shared" si="15"/>
        <v>7.7318503501494096</v>
      </c>
      <c r="R33" s="41">
        <f t="shared" si="16"/>
        <v>0.99133912225932896</v>
      </c>
    </row>
    <row r="34" ht="13">
      <c r="A34" s="37">
        <f t="shared" si="17"/>
        <v>105</v>
      </c>
      <c r="B34" s="37">
        <f t="shared" si="0"/>
        <v>7.9556399999999998</v>
      </c>
      <c r="C34" s="16">
        <f t="shared" si="1"/>
        <v>2.6809522499436902</v>
      </c>
      <c r="D34" s="16">
        <f t="shared" si="2"/>
        <v>0.11160721997636899</v>
      </c>
      <c r="E34" s="39">
        <f t="shared" si="3"/>
        <v>62962.665669259201</v>
      </c>
      <c r="F34" s="38">
        <f t="shared" si="4"/>
        <v>0</v>
      </c>
      <c r="G34" s="16">
        <f t="shared" si="5"/>
        <v>0.171875118763608</v>
      </c>
      <c r="H34" s="16">
        <f t="shared" si="6"/>
        <v>17.828124881236398</v>
      </c>
      <c r="I34" s="37">
        <f t="shared" si="7"/>
        <v>0.387936755938453</v>
      </c>
      <c r="J34" s="40">
        <f t="shared" si="8"/>
        <v>246.48531630439399</v>
      </c>
      <c r="K34" s="37">
        <f t="shared" si="9"/>
        <v>33.884085384611197</v>
      </c>
      <c r="L34" s="40">
        <f t="shared" si="10"/>
        <v>1051.1529190581</v>
      </c>
      <c r="M34" s="32">
        <f t="shared" si="11"/>
        <v>0.56249437108753098</v>
      </c>
      <c r="N34" s="37">
        <f t="shared" si="12"/>
        <v>35.999639749601997</v>
      </c>
      <c r="O34" s="37">
        <f t="shared" si="13"/>
        <v>14.287357025623299</v>
      </c>
      <c r="P34" s="16">
        <f t="shared" si="14"/>
        <v>0.233957219251337</v>
      </c>
      <c r="Q34" s="16">
        <f t="shared" si="15"/>
        <v>7.7249265110397296</v>
      </c>
      <c r="R34" s="41">
        <f t="shared" si="16"/>
        <v>0.99045138229091101</v>
      </c>
    </row>
  </sheetData>
  <printOptions headings="0" gridLines="0"/>
  <pageMargins left="0.74791666666666701" right="0.74791666666666701" top="0.98402777777777795" bottom="0.98402777777777795" header="0.51181102362204689" footer="0.5"/>
  <pageSetup paperSize="1" scale="88" firstPageNumber="4294967295" fitToWidth="1" fitToHeight="1" pageOrder="downThenOver" orientation="landscape" usePrinterDefaults="1" blackAndWhite="0" draft="0" cellComments="none" useFirstPageNumber="0" errors="displayed" horizontalDpi="300" verticalDpi="300" copies="1"/>
  <headerFooter>
    <oddFooter>&amp;C(c) Joseph Hartvigsen 2004
h-hydro.com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25" workbookViewId="0">
      <selection activeCell="A21" activeCellId="0" sqref="A21"/>
    </sheetView>
  </sheetViews>
  <sheetFormatPr defaultColWidth="8.8125" defaultRowHeight="12.75"/>
  <cols>
    <col customWidth="1" min="1" max="2" style="0" width="10.65"/>
    <col customWidth="1" min="3" max="3" style="0" width="8.6500000000000004"/>
    <col customWidth="1" min="4" max="10" style="0" width="10.65"/>
    <col customWidth="1" min="12" max="12" style="0" width="12.65"/>
    <col customWidth="1" min="13" max="13" style="0" width="11.65"/>
  </cols>
  <sheetData>
    <row r="1" ht="14">
      <c r="A1" s="1">
        <f>Fittings!D35</f>
        <v>1.54</v>
      </c>
      <c r="B1" t="s">
        <v>51</v>
      </c>
      <c r="F1" s="3" t="s">
        <v>52</v>
      </c>
      <c r="K1" s="48" t="s">
        <v>53</v>
      </c>
      <c r="L1" s="5"/>
      <c r="M1" s="6" t="s">
        <v>3</v>
      </c>
    </row>
    <row r="2" ht="13">
      <c r="A2" s="49">
        <f>smooth_in</f>
        <v>6.0000000000000002e-05</v>
      </c>
      <c r="B2" t="s">
        <v>54</v>
      </c>
      <c r="F2" s="8" t="s">
        <v>5</v>
      </c>
      <c r="G2" s="9" t="s">
        <v>55</v>
      </c>
      <c r="H2" s="9" t="s">
        <v>7</v>
      </c>
      <c r="K2" s="10" t="s">
        <v>8</v>
      </c>
      <c r="L2" s="11">
        <v>0.0013179999999999999</v>
      </c>
      <c r="M2" s="12" t="s">
        <v>56</v>
      </c>
    </row>
    <row r="3" ht="13">
      <c r="A3" s="19">
        <v>10</v>
      </c>
      <c r="B3" t="s">
        <v>57</v>
      </c>
      <c r="F3" s="15">
        <v>20</v>
      </c>
      <c r="G3" s="37">
        <f>25.4*(0.112*F3+1)</f>
        <v>82.296000000000006</v>
      </c>
      <c r="H3" s="37">
        <f>25.4*(F3*0.242+2)</f>
        <v>173.73599999999999</v>
      </c>
      <c r="I3">
        <v>2.02</v>
      </c>
      <c r="K3" s="17" t="s">
        <v>11</v>
      </c>
      <c r="L3" s="21">
        <v>999.3664</v>
      </c>
      <c r="M3" s="12" t="s">
        <v>58</v>
      </c>
    </row>
    <row r="4" ht="13">
      <c r="A4" s="1">
        <v>224</v>
      </c>
      <c r="B4" t="s">
        <v>59</v>
      </c>
      <c r="K4" s="17" t="s">
        <v>60</v>
      </c>
      <c r="L4" s="18">
        <v>9.8100000000000005</v>
      </c>
      <c r="M4" s="12" t="s">
        <v>61</v>
      </c>
    </row>
    <row r="5" ht="13">
      <c r="A5" s="19">
        <v>13</v>
      </c>
      <c r="B5" t="s">
        <v>62</v>
      </c>
      <c r="K5" s="17" t="s">
        <v>18</v>
      </c>
      <c r="L5" s="21">
        <f>62.4/8.34*60</f>
        <v>448.92086330935302</v>
      </c>
      <c r="M5" s="12"/>
    </row>
    <row r="6" ht="13">
      <c r="A6" s="1">
        <v>4</v>
      </c>
      <c r="B6" t="s">
        <v>20</v>
      </c>
      <c r="K6" s="17" t="s">
        <v>21</v>
      </c>
      <c r="L6" s="22">
        <v>1000</v>
      </c>
      <c r="M6" s="12" t="s">
        <v>63</v>
      </c>
    </row>
    <row r="7" ht="13">
      <c r="A7" s="23">
        <v>0.81999999999999995</v>
      </c>
      <c r="B7" t="s">
        <v>23</v>
      </c>
      <c r="G7" t="s">
        <v>64</v>
      </c>
      <c r="K7" s="17" t="s">
        <v>24</v>
      </c>
      <c r="L7" s="18">
        <v>0.30480000000000002</v>
      </c>
      <c r="M7" s="12" t="s">
        <v>25</v>
      </c>
    </row>
    <row r="8" ht="14">
      <c r="A8" s="23">
        <v>0.75</v>
      </c>
      <c r="B8" t="s">
        <v>26</v>
      </c>
      <c r="D8" s="50">
        <f>A7*A8</f>
        <v>0.61499999999999999</v>
      </c>
      <c r="F8" s="7" t="s">
        <v>65</v>
      </c>
      <c r="G8" s="7" t="s">
        <v>66</v>
      </c>
      <c r="H8" s="7" t="s">
        <v>67</v>
      </c>
      <c r="I8" s="7" t="s">
        <v>27</v>
      </c>
      <c r="K8" s="26" t="s">
        <v>27</v>
      </c>
      <c r="L8" s="27">
        <v>25.399999999999999</v>
      </c>
      <c r="M8" s="28" t="s">
        <v>28</v>
      </c>
    </row>
    <row r="9" ht="13">
      <c r="A9" s="19">
        <f>G3*I3</f>
        <v>166.23792</v>
      </c>
      <c r="B9" t="s">
        <v>68</v>
      </c>
      <c r="E9" s="50"/>
      <c r="F9">
        <v>20</v>
      </c>
      <c r="G9">
        <v>2.444</v>
      </c>
      <c r="H9" s="14">
        <v>3.6200000000000001</v>
      </c>
      <c r="I9" s="29">
        <v>91.947999999999993</v>
      </c>
    </row>
    <row r="10" ht="13">
      <c r="A10" s="30">
        <v>0.48499999999999999</v>
      </c>
      <c r="B10" t="s">
        <v>30</v>
      </c>
      <c r="F10">
        <v>22</v>
      </c>
      <c r="G10">
        <v>2.6880000000000002</v>
      </c>
      <c r="H10" s="14">
        <v>3.8639999999999999</v>
      </c>
      <c r="I10" s="29">
        <v>98.145600000000002</v>
      </c>
    </row>
    <row r="11" ht="13">
      <c r="F11">
        <v>24</v>
      </c>
      <c r="G11">
        <v>2.9319999999999999</v>
      </c>
      <c r="H11" s="14">
        <v>4.1079999999999997</v>
      </c>
      <c r="I11" s="29">
        <v>104.3432</v>
      </c>
    </row>
    <row r="12" ht="13">
      <c r="A12" s="16">
        <f>A3/100</f>
        <v>0.10000000000000001</v>
      </c>
      <c r="B12" t="s">
        <v>69</v>
      </c>
      <c r="F12">
        <v>25</v>
      </c>
      <c r="G12">
        <v>3.0550000000000002</v>
      </c>
      <c r="H12" s="14">
        <v>4.2309999999999999</v>
      </c>
      <c r="I12" s="29">
        <v>107.4674</v>
      </c>
    </row>
    <row r="13" ht="13">
      <c r="A13" s="32">
        <f>PI()*A12^2/4</f>
        <v>0.00785398163397448</v>
      </c>
      <c r="B13" t="s">
        <v>70</v>
      </c>
      <c r="F13">
        <v>26</v>
      </c>
      <c r="G13">
        <v>3.177</v>
      </c>
      <c r="H13" s="14">
        <v>4.3529999999999998</v>
      </c>
      <c r="I13" s="29">
        <v>110.56619999999999</v>
      </c>
    </row>
    <row r="14" ht="13">
      <c r="A14" s="34">
        <f>A2/(10*A3)</f>
        <v>5.9999999999999997e-07</v>
      </c>
      <c r="B14" t="s">
        <v>33</v>
      </c>
      <c r="F14">
        <v>27</v>
      </c>
      <c r="G14">
        <v>3.2989999999999999</v>
      </c>
      <c r="H14" s="14">
        <v>4.4749999999999996</v>
      </c>
      <c r="I14" s="29">
        <v>113.66500000000001</v>
      </c>
    </row>
    <row r="15" ht="13">
      <c r="A15" s="35"/>
      <c r="F15">
        <v>28</v>
      </c>
      <c r="G15">
        <v>3.4209999999999998</v>
      </c>
      <c r="H15" s="14">
        <v>4.5970000000000004</v>
      </c>
      <c r="I15" s="29">
        <v>116.7638</v>
      </c>
      <c r="L15" s="20">
        <f>L19/I3</f>
        <v>2.2101600941831099</v>
      </c>
    </row>
    <row r="16" ht="13">
      <c r="A16" s="19">
        <v>1</v>
      </c>
      <c r="B16" t="s">
        <v>71</v>
      </c>
    </row>
    <row r="18" ht="13">
      <c r="A18" s="36" t="s">
        <v>21</v>
      </c>
      <c r="B18" s="36" t="s">
        <v>72</v>
      </c>
      <c r="C18" s="9" t="s">
        <v>73</v>
      </c>
      <c r="D18" s="9" t="s">
        <v>38</v>
      </c>
      <c r="E18" s="9" t="s">
        <v>39</v>
      </c>
      <c r="F18" s="9" t="s">
        <v>74</v>
      </c>
      <c r="G18" s="36" t="s">
        <v>41</v>
      </c>
      <c r="H18" s="36" t="s">
        <v>75</v>
      </c>
      <c r="I18" s="36" t="s">
        <v>76</v>
      </c>
      <c r="J18" s="9" t="s">
        <v>77</v>
      </c>
      <c r="K18" s="36" t="s">
        <v>45</v>
      </c>
      <c r="L18" s="36" t="s">
        <v>78</v>
      </c>
      <c r="M18" s="36" t="s">
        <v>47</v>
      </c>
    </row>
    <row r="19" ht="13">
      <c r="A19" s="19">
        <v>1</v>
      </c>
      <c r="B19" s="16">
        <f t="shared" ref="B19:B37" si="18">A19/$L$6/$A$13</f>
        <v>0.12732395447351599</v>
      </c>
      <c r="C19" s="16">
        <f t="shared" ref="C19:C37" si="19">0.5*B19^2/$L$4</f>
        <v>0.00082626857200683199</v>
      </c>
      <c r="D19" s="39">
        <f t="shared" ref="D19:D37" si="20">$L$3*B19*$A$12/$L$2</f>
        <v>9654.2702591776797</v>
      </c>
      <c r="E19" s="38">
        <f t="shared" ref="E19:E37" si="21">Moody_fff(D19,$A$14)</f>
        <v>0</v>
      </c>
      <c r="F19" s="16">
        <f t="shared" ref="F19:F37" si="22">(4*E19*$A$4/$A$12+$A$1)*C19</f>
        <v>0.0012724536008905201</v>
      </c>
      <c r="G19" s="37">
        <f t="shared" ref="G19:G37" si="23">$A$5-F19</f>
        <v>12.998727546399101</v>
      </c>
      <c r="H19" s="40">
        <f t="shared" ref="H19:H37" si="24">G19*A19*$L$3/$L$6*$A$7*$L$4</f>
        <v>104.498112147632</v>
      </c>
      <c r="I19" s="40">
        <f t="shared" ref="I19:I37" si="25">H19*$A$8</f>
        <v>78.373584110723797</v>
      </c>
      <c r="J19" s="37">
        <f t="shared" ref="J19:J37" si="26">SQRT(2*$L$4*G19)</f>
        <v>15.9698163565005</v>
      </c>
      <c r="K19" s="40">
        <f t="shared" ref="K19:K37" si="27">$A$10*60*J19*1000/(PI()*$A$9)</f>
        <v>889.84208548975403</v>
      </c>
      <c r="L19" s="37">
        <f t="shared" ref="L19:L37" si="28">1000*SQRT((A19/($A$6*$L$6)/J19)*4/PI())</f>
        <v>4.4645233902498704</v>
      </c>
      <c r="M19" s="40">
        <f t="shared" ref="M19:M37" si="29">L19/$L$8*64</f>
        <v>11.2491927943304</v>
      </c>
      <c r="N19" s="51">
        <f>G19/$A$5+A62</f>
        <v>0.99990211895377801</v>
      </c>
    </row>
    <row r="20" ht="13">
      <c r="A20" s="37">
        <f t="shared" ref="A20:A37" si="30">A19+$A$16</f>
        <v>2</v>
      </c>
      <c r="B20" s="16">
        <f t="shared" si="18"/>
        <v>0.25464790894703299</v>
      </c>
      <c r="C20" s="16">
        <f t="shared" si="19"/>
        <v>0.0033050742880273301</v>
      </c>
      <c r="D20" s="39">
        <f t="shared" si="20"/>
        <v>19308.540518355399</v>
      </c>
      <c r="E20" s="38">
        <f t="shared" si="21"/>
        <v>0</v>
      </c>
      <c r="F20" s="16">
        <f t="shared" si="22"/>
        <v>0.0050898144035620898</v>
      </c>
      <c r="G20" s="37">
        <f t="shared" si="23"/>
        <v>12.9949101855964</v>
      </c>
      <c r="H20" s="40">
        <f t="shared" si="24"/>
        <v>208.93484798041399</v>
      </c>
      <c r="I20" s="40">
        <f t="shared" si="25"/>
        <v>156.701135985311</v>
      </c>
      <c r="J20" s="37">
        <f t="shared" si="26"/>
        <v>15.967471241289299</v>
      </c>
      <c r="K20" s="40">
        <f t="shared" si="27"/>
        <v>889.711415094828</v>
      </c>
      <c r="L20" s="37">
        <f t="shared" si="28"/>
        <v>6.3142531587392696</v>
      </c>
      <c r="M20" s="40">
        <f t="shared" si="29"/>
        <v>15.9099292188706</v>
      </c>
      <c r="N20" s="51">
        <f t="shared" ref="N20:N37" si="31">G20/$A$5</f>
        <v>0.99960847581511103</v>
      </c>
    </row>
    <row r="21" ht="13">
      <c r="A21" s="52">
        <f t="shared" si="30"/>
        <v>3</v>
      </c>
      <c r="B21" s="53">
        <f t="shared" si="18"/>
        <v>0.38197186342054901</v>
      </c>
      <c r="C21" s="53">
        <f t="shared" si="19"/>
        <v>0.00743641714806149</v>
      </c>
      <c r="D21" s="54">
        <f t="shared" si="20"/>
        <v>28962.810777532999</v>
      </c>
      <c r="E21" s="55">
        <f t="shared" si="21"/>
        <v>0</v>
      </c>
      <c r="F21" s="53">
        <f t="shared" si="22"/>
        <v>0.011452082408014701</v>
      </c>
      <c r="G21" s="52">
        <f t="shared" si="23"/>
        <v>12.988547917591999</v>
      </c>
      <c r="H21" s="56">
        <f t="shared" si="24"/>
        <v>313.24883118349697</v>
      </c>
      <c r="I21" s="56">
        <f t="shared" si="25"/>
        <v>234.936623387623</v>
      </c>
      <c r="J21" s="52">
        <f t="shared" si="26"/>
        <v>15.963561950365399</v>
      </c>
      <c r="K21" s="56">
        <f t="shared" si="27"/>
        <v>889.49358844542496</v>
      </c>
      <c r="L21" s="52">
        <f t="shared" si="28"/>
        <v>7.7342960185691298</v>
      </c>
      <c r="M21" s="56">
        <f t="shared" si="29"/>
        <v>19.4879899680482</v>
      </c>
      <c r="N21" s="57">
        <f t="shared" si="31"/>
        <v>0.99911907058399896</v>
      </c>
    </row>
    <row r="22" ht="13">
      <c r="A22" s="37">
        <f t="shared" si="30"/>
        <v>4</v>
      </c>
      <c r="B22" s="16">
        <f t="shared" si="18"/>
        <v>0.50929581789406497</v>
      </c>
      <c r="C22" s="16">
        <f t="shared" si="19"/>
        <v>0.0132202971521093</v>
      </c>
      <c r="D22" s="39">
        <f t="shared" si="20"/>
        <v>38617.081036710697</v>
      </c>
      <c r="E22" s="38">
        <f t="shared" si="21"/>
        <v>0</v>
      </c>
      <c r="F22" s="16">
        <f t="shared" si="22"/>
        <v>0.0203592576142483</v>
      </c>
      <c r="G22" s="37">
        <f t="shared" si="23"/>
        <v>12.979640742385801</v>
      </c>
      <c r="H22" s="40">
        <f t="shared" si="24"/>
        <v>417.37868544203201</v>
      </c>
      <c r="I22" s="40">
        <f t="shared" si="25"/>
        <v>313.03401408152399</v>
      </c>
      <c r="J22" s="37">
        <f t="shared" si="26"/>
        <v>15.9580873341892</v>
      </c>
      <c r="K22" s="40">
        <f t="shared" si="27"/>
        <v>889.18854148891705</v>
      </c>
      <c r="L22" s="37">
        <f t="shared" si="28"/>
        <v>8.9323275543830292</v>
      </c>
      <c r="M22" s="40">
        <f t="shared" si="29"/>
        <v>22.506652105532002</v>
      </c>
      <c r="N22" s="51">
        <f t="shared" si="31"/>
        <v>0.99843390326044201</v>
      </c>
    </row>
    <row r="23" ht="13">
      <c r="A23" s="37">
        <f t="shared" si="30"/>
        <v>5</v>
      </c>
      <c r="B23" s="16">
        <f t="shared" si="18"/>
        <v>0.63661977236758105</v>
      </c>
      <c r="C23" s="16">
        <f t="shared" si="19"/>
        <v>0.020656714300170801</v>
      </c>
      <c r="D23" s="39">
        <f t="shared" si="20"/>
        <v>48271.351295888402</v>
      </c>
      <c r="E23" s="38">
        <f t="shared" si="21"/>
        <v>0</v>
      </c>
      <c r="F23" s="16">
        <f t="shared" si="22"/>
        <v>0.031811340022262997</v>
      </c>
      <c r="G23" s="37">
        <f t="shared" si="23"/>
        <v>12.968188659977701</v>
      </c>
      <c r="H23" s="40">
        <f t="shared" si="24"/>
        <v>521.26303444116797</v>
      </c>
      <c r="I23" s="40">
        <f t="shared" si="25"/>
        <v>390.94727583087598</v>
      </c>
      <c r="J23" s="37">
        <f t="shared" si="26"/>
        <v>15.9510457810378</v>
      </c>
      <c r="K23" s="40">
        <f t="shared" si="27"/>
        <v>888.79618441971604</v>
      </c>
      <c r="L23" s="37">
        <f t="shared" si="28"/>
        <v>9.9888498523543205</v>
      </c>
      <c r="M23" s="40">
        <f t="shared" si="29"/>
        <v>25.168755533491201</v>
      </c>
      <c r="N23" s="51">
        <f t="shared" si="31"/>
        <v>0.99755297384444097</v>
      </c>
    </row>
    <row r="24" ht="13">
      <c r="A24" s="37">
        <f t="shared" si="30"/>
        <v>6</v>
      </c>
      <c r="B24" s="16">
        <f t="shared" si="18"/>
        <v>0.76394372684109801</v>
      </c>
      <c r="C24" s="16">
        <f t="shared" si="19"/>
        <v>0.029745668592246002</v>
      </c>
      <c r="D24" s="39">
        <f t="shared" si="20"/>
        <v>57925.6215550661</v>
      </c>
      <c r="E24" s="38">
        <f t="shared" si="21"/>
        <v>0</v>
      </c>
      <c r="F24" s="16">
        <f t="shared" si="22"/>
        <v>0.045808329632058803</v>
      </c>
      <c r="G24" s="37">
        <f t="shared" si="23"/>
        <v>12.9541916703679</v>
      </c>
      <c r="H24" s="40">
        <f t="shared" si="24"/>
        <v>624.84050186605702</v>
      </c>
      <c r="I24" s="40">
        <f t="shared" si="25"/>
        <v>468.63037639954302</v>
      </c>
      <c r="J24" s="37">
        <f t="shared" si="26"/>
        <v>15.942435214628301</v>
      </c>
      <c r="K24" s="40">
        <f t="shared" si="27"/>
        <v>888.31640154682304</v>
      </c>
      <c r="L24" s="37">
        <f t="shared" si="28"/>
        <v>10.9451913470973</v>
      </c>
      <c r="M24" s="40">
        <f t="shared" si="29"/>
        <v>27.578434890323901</v>
      </c>
      <c r="N24" s="51">
        <f t="shared" si="31"/>
        <v>0.99647628233599495</v>
      </c>
    </row>
    <row r="25" ht="13">
      <c r="A25" s="37">
        <f t="shared" si="30"/>
        <v>7</v>
      </c>
      <c r="B25" s="16">
        <f t="shared" si="18"/>
        <v>0.89126768131461398</v>
      </c>
      <c r="C25" s="16">
        <f t="shared" si="19"/>
        <v>0.040487160028334801</v>
      </c>
      <c r="D25" s="39">
        <f t="shared" si="20"/>
        <v>67579.891814243805</v>
      </c>
      <c r="E25" s="38">
        <f t="shared" si="21"/>
        <v>0</v>
      </c>
      <c r="F25" s="16">
        <f t="shared" si="22"/>
        <v>0.062350226443635498</v>
      </c>
      <c r="G25" s="37">
        <f t="shared" si="23"/>
        <v>12.9376497735564</v>
      </c>
      <c r="H25" s="40">
        <f t="shared" si="24"/>
        <v>728.04971140184796</v>
      </c>
      <c r="I25" s="40">
        <f t="shared" si="25"/>
        <v>546.03728355138605</v>
      </c>
      <c r="J25" s="37">
        <f t="shared" si="26"/>
        <v>15.932253091047</v>
      </c>
      <c r="K25" s="40">
        <f t="shared" si="27"/>
        <v>887.74905112274598</v>
      </c>
      <c r="L25" s="37">
        <f t="shared" si="28"/>
        <v>11.8259349364413</v>
      </c>
      <c r="M25" s="40">
        <f t="shared" si="29"/>
        <v>29.797631335915199</v>
      </c>
      <c r="N25" s="51">
        <f t="shared" si="31"/>
        <v>0.99520382873510504</v>
      </c>
    </row>
    <row r="26" ht="13">
      <c r="A26" s="37">
        <f t="shared" si="30"/>
        <v>8</v>
      </c>
      <c r="B26" s="16">
        <f t="shared" si="18"/>
        <v>1.0185916357881299</v>
      </c>
      <c r="C26" s="16">
        <f t="shared" si="19"/>
        <v>0.052881188608437303</v>
      </c>
      <c r="D26" s="39">
        <f t="shared" si="20"/>
        <v>77234.162073421496</v>
      </c>
      <c r="E26" s="38">
        <f t="shared" si="21"/>
        <v>0</v>
      </c>
      <c r="F26" s="16">
        <f t="shared" si="22"/>
        <v>0.081437030456993395</v>
      </c>
      <c r="G26" s="37">
        <f t="shared" si="23"/>
        <v>12.918562969543</v>
      </c>
      <c r="H26" s="40">
        <f t="shared" si="24"/>
        <v>830.82928673369304</v>
      </c>
      <c r="I26" s="40">
        <f t="shared" si="25"/>
        <v>623.12196505026998</v>
      </c>
      <c r="J26" s="37">
        <f t="shared" si="26"/>
        <v>15.9204963949757</v>
      </c>
      <c r="K26" s="40">
        <f t="shared" si="27"/>
        <v>887.09396513321406</v>
      </c>
      <c r="L26" s="37">
        <f t="shared" si="28"/>
        <v>12.647123362587701</v>
      </c>
      <c r="M26" s="40">
        <f t="shared" si="29"/>
        <v>31.866767527780102</v>
      </c>
      <c r="N26" s="51">
        <f t="shared" si="31"/>
        <v>0.99373561304177005</v>
      </c>
    </row>
    <row r="27" ht="13">
      <c r="A27" s="37">
        <f t="shared" si="30"/>
        <v>9</v>
      </c>
      <c r="B27" s="16">
        <f t="shared" si="18"/>
        <v>1.14591559026165</v>
      </c>
      <c r="C27" s="16">
        <f t="shared" si="19"/>
        <v>0.066927754332553394</v>
      </c>
      <c r="D27" s="39">
        <f t="shared" si="20"/>
        <v>86888.432332599099</v>
      </c>
      <c r="E27" s="38">
        <f t="shared" si="21"/>
        <v>0</v>
      </c>
      <c r="F27" s="16">
        <f t="shared" si="22"/>
        <v>0.10306874167213199</v>
      </c>
      <c r="G27" s="37">
        <f t="shared" si="23"/>
        <v>12.8969312583279</v>
      </c>
      <c r="H27" s="40">
        <f t="shared" si="24"/>
        <v>933.11785154674203</v>
      </c>
      <c r="I27" s="40">
        <f t="shared" si="25"/>
        <v>699.83838866005601</v>
      </c>
      <c r="J27" s="37">
        <f t="shared" si="26"/>
        <v>15.907161635200399</v>
      </c>
      <c r="K27" s="40">
        <f t="shared" si="27"/>
        <v>886.35094904692903</v>
      </c>
      <c r="L27" s="37">
        <f t="shared" si="28"/>
        <v>13.4199213741609</v>
      </c>
      <c r="M27" s="40">
        <f t="shared" si="29"/>
        <v>33.813975115995902</v>
      </c>
      <c r="N27" s="51">
        <f t="shared" si="31"/>
        <v>0.99207163525598996</v>
      </c>
    </row>
    <row r="28" ht="13">
      <c r="A28" s="37">
        <f t="shared" si="30"/>
        <v>10</v>
      </c>
      <c r="B28" s="16">
        <f t="shared" si="18"/>
        <v>1.2732395447351601</v>
      </c>
      <c r="C28" s="16">
        <f t="shared" si="19"/>
        <v>0.082626857200683204</v>
      </c>
      <c r="D28" s="39">
        <f t="shared" si="20"/>
        <v>96542.702591776804</v>
      </c>
      <c r="E28" s="38">
        <f t="shared" si="21"/>
        <v>0</v>
      </c>
      <c r="F28" s="16">
        <f t="shared" si="22"/>
        <v>0.12724536008905199</v>
      </c>
      <c r="G28" s="37">
        <f t="shared" si="23"/>
        <v>12.8727546399109</v>
      </c>
      <c r="H28" s="40">
        <f t="shared" si="24"/>
        <v>1034.85402952614</v>
      </c>
      <c r="I28" s="40">
        <f t="shared" si="25"/>
        <v>776.14052214460798</v>
      </c>
      <c r="J28" s="37">
        <f t="shared" si="26"/>
        <v>15.892244839387899</v>
      </c>
      <c r="K28" s="40">
        <f t="shared" si="27"/>
        <v>885.51978152450295</v>
      </c>
      <c r="L28" s="37">
        <f t="shared" si="28"/>
        <v>14.1524764218162</v>
      </c>
      <c r="M28" s="40">
        <f t="shared" si="29"/>
        <v>35.659783110088</v>
      </c>
      <c r="N28" s="51">
        <f t="shared" si="31"/>
        <v>0.99021189537776499</v>
      </c>
    </row>
    <row r="29" ht="13">
      <c r="A29" s="37">
        <f t="shared" si="30"/>
        <v>11</v>
      </c>
      <c r="B29" s="16">
        <f t="shared" si="18"/>
        <v>1.40056349920868</v>
      </c>
      <c r="C29" s="16">
        <f t="shared" si="19"/>
        <v>0.099978497212826603</v>
      </c>
      <c r="D29" s="39">
        <f t="shared" si="20"/>
        <v>106196.972850955</v>
      </c>
      <c r="E29" s="38">
        <f t="shared" si="21"/>
        <v>0</v>
      </c>
      <c r="F29" s="16">
        <f t="shared" si="22"/>
        <v>0.15396688570775299</v>
      </c>
      <c r="G29" s="37">
        <f t="shared" si="23"/>
        <v>12.846033114292201</v>
      </c>
      <c r="H29" s="40">
        <f t="shared" si="24"/>
        <v>1135.97644435705</v>
      </c>
      <c r="I29" s="40">
        <f t="shared" si="25"/>
        <v>851.98233326778904</v>
      </c>
      <c r="J29" s="37">
        <f t="shared" si="26"/>
        <v>15.8757415481109</v>
      </c>
      <c r="K29" s="40">
        <f t="shared" si="27"/>
        <v>884.60021408555394</v>
      </c>
      <c r="L29" s="37">
        <f t="shared" si="28"/>
        <v>14.8509554801375</v>
      </c>
      <c r="M29" s="40">
        <f t="shared" si="29"/>
        <v>37.419730343653399</v>
      </c>
      <c r="N29" s="51">
        <f t="shared" si="31"/>
        <v>0.98815639340709605</v>
      </c>
    </row>
    <row r="30" ht="13">
      <c r="A30" s="37">
        <f t="shared" si="30"/>
        <v>12</v>
      </c>
      <c r="B30" s="16">
        <f t="shared" si="18"/>
        <v>1.5278874536822</v>
      </c>
      <c r="C30" s="16">
        <f t="shared" si="19"/>
        <v>0.11898267436898401</v>
      </c>
      <c r="D30" s="39">
        <f t="shared" si="20"/>
        <v>115851.243110132</v>
      </c>
      <c r="E30" s="38">
        <f t="shared" si="21"/>
        <v>0</v>
      </c>
      <c r="F30" s="16">
        <f t="shared" si="22"/>
        <v>0.18323331852823499</v>
      </c>
      <c r="G30" s="37">
        <f t="shared" si="23"/>
        <v>12.816766681471799</v>
      </c>
      <c r="H30" s="40">
        <f t="shared" si="24"/>
        <v>1236.42371972461</v>
      </c>
      <c r="I30" s="40">
        <f t="shared" si="25"/>
        <v>927.31778979346097</v>
      </c>
      <c r="J30" s="37">
        <f t="shared" si="26"/>
        <v>15.857646808101</v>
      </c>
      <c r="K30" s="40">
        <f t="shared" si="27"/>
        <v>883.59197073276096</v>
      </c>
      <c r="L30" s="37">
        <f t="shared" si="28"/>
        <v>15.5201643651782</v>
      </c>
      <c r="M30" s="40">
        <f t="shared" si="29"/>
        <v>39.105925959504198</v>
      </c>
      <c r="N30" s="51">
        <f t="shared" si="31"/>
        <v>0.985905129343982</v>
      </c>
    </row>
    <row r="31" ht="13">
      <c r="A31" s="37">
        <f t="shared" si="30"/>
        <v>13</v>
      </c>
      <c r="B31" s="16">
        <f t="shared" si="18"/>
        <v>1.6552114081557101</v>
      </c>
      <c r="C31" s="16">
        <f t="shared" si="19"/>
        <v>0.13963938866915501</v>
      </c>
      <c r="D31" s="39">
        <f t="shared" si="20"/>
        <v>125505.51336931001</v>
      </c>
      <c r="E31" s="38">
        <f t="shared" si="21"/>
        <v>0</v>
      </c>
      <c r="F31" s="16">
        <f t="shared" si="22"/>
        <v>0.21504465855049801</v>
      </c>
      <c r="G31" s="37">
        <f t="shared" si="23"/>
        <v>12.7849553414495</v>
      </c>
      <c r="H31" s="40">
        <f t="shared" si="24"/>
        <v>1336.1344793139799</v>
      </c>
      <c r="I31" s="40">
        <f t="shared" si="25"/>
        <v>1002.10085948549</v>
      </c>
      <c r="J31" s="37">
        <f t="shared" si="26"/>
        <v>15.8379551647061</v>
      </c>
      <c r="K31" s="40">
        <f t="shared" si="27"/>
        <v>882.49474753155903</v>
      </c>
      <c r="L31" s="37">
        <f t="shared" si="28"/>
        <v>16.163938344527899</v>
      </c>
      <c r="M31" s="40">
        <f t="shared" si="29"/>
        <v>40.728033624007402</v>
      </c>
      <c r="N31" s="51">
        <f t="shared" si="31"/>
        <v>0.98345810318842297</v>
      </c>
    </row>
    <row r="32" ht="13">
      <c r="A32" s="37">
        <f t="shared" si="30"/>
        <v>14</v>
      </c>
      <c r="B32" s="16">
        <f t="shared" si="18"/>
        <v>1.78253536262923</v>
      </c>
      <c r="C32" s="16">
        <f t="shared" si="19"/>
        <v>0.16194864011333901</v>
      </c>
      <c r="D32" s="39">
        <f t="shared" si="20"/>
        <v>135159.78362848799</v>
      </c>
      <c r="E32" s="38">
        <f t="shared" si="21"/>
        <v>0</v>
      </c>
      <c r="F32" s="16">
        <f t="shared" si="22"/>
        <v>0.24940090577454199</v>
      </c>
      <c r="G32" s="37">
        <f t="shared" si="23"/>
        <v>12.7505990942255</v>
      </c>
      <c r="H32" s="40">
        <f t="shared" si="24"/>
        <v>1435.04734681031</v>
      </c>
      <c r="I32" s="40">
        <f t="shared" si="25"/>
        <v>1076.28551010773</v>
      </c>
      <c r="J32" s="37">
        <f t="shared" si="26"/>
        <v>15.816660653523</v>
      </c>
      <c r="K32" s="40">
        <f t="shared" si="27"/>
        <v>881.30821214395098</v>
      </c>
      <c r="L32" s="37">
        <f t="shared" si="28"/>
        <v>16.785399535373401</v>
      </c>
      <c r="M32" s="40">
        <f t="shared" si="29"/>
        <v>42.293920089129898</v>
      </c>
      <c r="N32" s="51">
        <f t="shared" si="31"/>
        <v>0.98081531494041996</v>
      </c>
    </row>
    <row r="33" ht="13">
      <c r="A33" s="37">
        <f t="shared" si="30"/>
        <v>15</v>
      </c>
      <c r="B33" s="16">
        <f t="shared" si="18"/>
        <v>1.90985931710274</v>
      </c>
      <c r="C33" s="16">
        <f t="shared" si="19"/>
        <v>0.18591042870153701</v>
      </c>
      <c r="D33" s="39">
        <f t="shared" si="20"/>
        <v>144814.05388766501</v>
      </c>
      <c r="E33" s="38">
        <f t="shared" si="21"/>
        <v>0</v>
      </c>
      <c r="F33" s="16">
        <f t="shared" si="22"/>
        <v>0.28630206020036703</v>
      </c>
      <c r="G33" s="37">
        <f t="shared" si="23"/>
        <v>12.7136979397996</v>
      </c>
      <c r="H33" s="40">
        <f t="shared" si="24"/>
        <v>1533.1009458987401</v>
      </c>
      <c r="I33" s="40">
        <f t="shared" si="25"/>
        <v>1149.82570942405</v>
      </c>
      <c r="J33" s="37">
        <f t="shared" si="26"/>
        <v>15.7937567911776</v>
      </c>
      <c r="K33" s="40">
        <f t="shared" si="27"/>
        <v>880.03200331472897</v>
      </c>
      <c r="L33" s="37">
        <f t="shared" si="28"/>
        <v>17.387132758927098</v>
      </c>
      <c r="M33" s="40">
        <f t="shared" si="29"/>
        <v>43.810098290210099</v>
      </c>
      <c r="N33" s="51">
        <f t="shared" si="31"/>
        <v>0.97797676459997196</v>
      </c>
    </row>
    <row r="34" ht="13">
      <c r="A34" s="37">
        <f t="shared" si="30"/>
        <v>16</v>
      </c>
      <c r="B34" s="16">
        <f t="shared" si="18"/>
        <v>2.0371832715762599</v>
      </c>
      <c r="C34" s="16">
        <f t="shared" si="19"/>
        <v>0.21152475443374899</v>
      </c>
      <c r="D34" s="39">
        <f t="shared" si="20"/>
        <v>154468.32414684299</v>
      </c>
      <c r="E34" s="38">
        <f t="shared" si="21"/>
        <v>0</v>
      </c>
      <c r="F34" s="16">
        <f t="shared" si="22"/>
        <v>0.32574812182797303</v>
      </c>
      <c r="G34" s="37">
        <f t="shared" si="23"/>
        <v>12.674251878172001</v>
      </c>
      <c r="H34" s="40">
        <f t="shared" si="24"/>
        <v>1630.2339002644301</v>
      </c>
      <c r="I34" s="40">
        <f t="shared" si="25"/>
        <v>1222.67542519832</v>
      </c>
      <c r="J34" s="37">
        <f t="shared" si="26"/>
        <v>15.769236565215699</v>
      </c>
      <c r="K34" s="40">
        <f t="shared" si="27"/>
        <v>878.66573030822894</v>
      </c>
      <c r="L34" s="37">
        <f t="shared" si="28"/>
        <v>17.971309382824099</v>
      </c>
      <c r="M34" s="40">
        <f t="shared" si="29"/>
        <v>45.282039389792899</v>
      </c>
      <c r="N34" s="51">
        <f t="shared" si="31"/>
        <v>0.97494245216707898</v>
      </c>
    </row>
    <row r="35" ht="13">
      <c r="A35" s="37">
        <f t="shared" si="30"/>
        <v>17</v>
      </c>
      <c r="B35" s="16">
        <f t="shared" si="18"/>
        <v>2.1645072260497802</v>
      </c>
      <c r="C35" s="16">
        <f t="shared" si="19"/>
        <v>0.238791617309974</v>
      </c>
      <c r="D35" s="39">
        <f t="shared" si="20"/>
        <v>164122.594406021</v>
      </c>
      <c r="E35" s="38">
        <f t="shared" si="21"/>
        <v>0</v>
      </c>
      <c r="F35" s="16">
        <f t="shared" si="22"/>
        <v>0.36773909065736099</v>
      </c>
      <c r="G35" s="37">
        <f t="shared" si="23"/>
        <v>12.6322609093426</v>
      </c>
      <c r="H35" s="40">
        <f t="shared" si="24"/>
        <v>1726.38483359252</v>
      </c>
      <c r="I35" s="40">
        <f t="shared" si="25"/>
        <v>1294.7886251943901</v>
      </c>
      <c r="J35" s="37">
        <f t="shared" si="26"/>
        <v>15.743092423069299</v>
      </c>
      <c r="K35" s="40">
        <f t="shared" si="27"/>
        <v>877.20897229351499</v>
      </c>
      <c r="L35" s="37">
        <f t="shared" si="28"/>
        <v>18.539776818284999</v>
      </c>
      <c r="M35" s="40">
        <f t="shared" si="29"/>
        <v>46.714398282292798</v>
      </c>
      <c r="N35" s="51">
        <f t="shared" si="31"/>
        <v>0.97171237764174201</v>
      </c>
    </row>
    <row r="36" ht="13">
      <c r="A36" s="37">
        <f t="shared" si="30"/>
        <v>18</v>
      </c>
      <c r="B36" s="16">
        <f t="shared" si="18"/>
        <v>2.2918311805232898</v>
      </c>
      <c r="C36" s="16">
        <f t="shared" si="19"/>
        <v>0.26771101733021302</v>
      </c>
      <c r="D36" s="39">
        <f t="shared" si="20"/>
        <v>173776.86466519799</v>
      </c>
      <c r="E36" s="38">
        <f t="shared" si="21"/>
        <v>0</v>
      </c>
      <c r="F36" s="16">
        <f t="shared" si="22"/>
        <v>0.41227496668852898</v>
      </c>
      <c r="G36" s="37">
        <f t="shared" si="23"/>
        <v>12.5877250333115</v>
      </c>
      <c r="H36" s="40">
        <f t="shared" si="24"/>
        <v>1821.49236956817</v>
      </c>
      <c r="I36" s="40">
        <f t="shared" si="25"/>
        <v>1366.11927717613</v>
      </c>
      <c r="J36" s="37">
        <f t="shared" si="26"/>
        <v>15.715316260055699</v>
      </c>
      <c r="K36" s="40">
        <f t="shared" si="27"/>
        <v>875.661277675669</v>
      </c>
      <c r="L36" s="37">
        <f t="shared" si="28"/>
        <v>19.094124656588701</v>
      </c>
      <c r="M36" s="40">
        <f t="shared" si="29"/>
        <v>48.111180237074002</v>
      </c>
      <c r="N36" s="51">
        <f t="shared" si="31"/>
        <v>0.96828654102395895</v>
      </c>
    </row>
    <row r="37" ht="13">
      <c r="A37" s="37">
        <f t="shared" si="30"/>
        <v>19</v>
      </c>
      <c r="B37" s="16">
        <f t="shared" si="18"/>
        <v>2.4191551349968101</v>
      </c>
      <c r="C37" s="16">
        <f t="shared" si="19"/>
        <v>0.29828295449446601</v>
      </c>
      <c r="D37" s="39">
        <f t="shared" si="20"/>
        <v>183431.13492437601</v>
      </c>
      <c r="E37" s="38">
        <f t="shared" si="21"/>
        <v>0</v>
      </c>
      <c r="F37" s="16">
        <f t="shared" si="22"/>
        <v>0.45935574992147798</v>
      </c>
      <c r="G37" s="37">
        <f t="shared" si="23"/>
        <v>12.5406442500785</v>
      </c>
      <c r="H37" s="40">
        <f t="shared" si="24"/>
        <v>1915.49513187654</v>
      </c>
      <c r="I37" s="40">
        <f t="shared" si="25"/>
        <v>1436.6213489074</v>
      </c>
      <c r="J37" s="37">
        <f t="shared" si="26"/>
        <v>15.685899406362999</v>
      </c>
      <c r="K37" s="40">
        <f t="shared" si="27"/>
        <v>874.02216337065295</v>
      </c>
      <c r="L37" s="37">
        <f t="shared" si="28"/>
        <v>19.635734504364098</v>
      </c>
      <c r="M37" s="40">
        <f t="shared" si="29"/>
        <v>49.475866467689102</v>
      </c>
      <c r="N37" s="51">
        <f t="shared" si="31"/>
        <v>0.96466494231373301</v>
      </c>
    </row>
  </sheetData>
  <printOptions headings="0" gridLines="0"/>
  <pageMargins left="0.74791666666666701" right="0.74791666666666701" top="0.98402777777777795" bottom="0.98402777777777795" header="0.51181102362204689" footer="0.5"/>
  <pageSetup paperSize="1" scale="82" firstPageNumber="4294967295" fitToWidth="1" fitToHeight="1" pageOrder="downThenOver" orientation="landscape" usePrinterDefaults="1" blackAndWhite="0" draft="0" cellComments="none" useFirstPageNumber="0" errors="displayed" horizontalDpi="300" verticalDpi="300" copies="1"/>
  <headerFooter>
    <oddFooter>&amp;C(c) Joseph Hartvigsen 2004
h-hydro.com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7" zoomScale="100" workbookViewId="0">
      <selection activeCell="C23" activeCellId="0" sqref="C23"/>
    </sheetView>
  </sheetViews>
  <sheetFormatPr defaultColWidth="11.5" defaultRowHeight="12.75"/>
  <cols>
    <col customWidth="1" min="1" max="1" style="58" width="45.810000000000002"/>
    <col customWidth="1" min="2" max="2" style="58" width="24.809999999999999"/>
    <col customWidth="1" min="3" max="3" style="59" width="20.809999999999999"/>
    <col customWidth="1" min="4" max="4" style="59" width="14.81"/>
    <col customWidth="1" min="5" max="6" style="0" width="14.81"/>
  </cols>
  <sheetData>
    <row r="1" ht="21.75">
      <c r="A1" s="60"/>
      <c r="B1" s="61" t="s">
        <v>79</v>
      </c>
    </row>
    <row r="2" ht="16.5">
      <c r="A2" s="62" t="s">
        <v>80</v>
      </c>
      <c r="B2" s="63" t="s">
        <v>81</v>
      </c>
    </row>
    <row r="3" ht="16.5">
      <c r="A3" s="64" t="s">
        <v>82</v>
      </c>
      <c r="B3" s="65" t="s">
        <v>83</v>
      </c>
      <c r="C3" s="66" t="s">
        <v>84</v>
      </c>
      <c r="D3" s="66" t="s">
        <v>85</v>
      </c>
    </row>
    <row r="4" ht="16.5">
      <c r="A4" s="67" t="s">
        <v>86</v>
      </c>
      <c r="B4" s="68">
        <v>0.5</v>
      </c>
      <c r="C4" s="59">
        <v>1</v>
      </c>
      <c r="D4" s="59">
        <f t="shared" ref="D4:D9" si="32">B4*C4</f>
        <v>0.5</v>
      </c>
    </row>
    <row r="5" ht="16.5">
      <c r="A5" s="69" t="s">
        <v>87</v>
      </c>
      <c r="B5" s="70">
        <v>0.45000000000000001</v>
      </c>
      <c r="C5" s="59">
        <v>0</v>
      </c>
      <c r="D5" s="59">
        <f t="shared" si="32"/>
        <v>0</v>
      </c>
      <c r="E5" t="s">
        <v>88</v>
      </c>
      <c r="F5" t="s">
        <v>89</v>
      </c>
    </row>
    <row r="6" ht="16.5">
      <c r="A6" s="69" t="s">
        <v>90</v>
      </c>
      <c r="B6" s="70">
        <v>0.35999999999999999</v>
      </c>
      <c r="C6" s="59">
        <v>0</v>
      </c>
      <c r="D6" s="59">
        <f t="shared" si="32"/>
        <v>0</v>
      </c>
    </row>
    <row r="7" ht="16.5">
      <c r="A7" s="69" t="s">
        <v>91</v>
      </c>
      <c r="B7" s="70">
        <v>0.20999999999999999</v>
      </c>
      <c r="C7" s="59">
        <v>0</v>
      </c>
      <c r="D7" s="59">
        <f t="shared" si="32"/>
        <v>0</v>
      </c>
    </row>
    <row r="8" ht="16.5">
      <c r="A8" s="69" t="s">
        <v>92</v>
      </c>
      <c r="B8" s="70">
        <v>0.070000000000000007</v>
      </c>
      <c r="C8" s="59">
        <v>0</v>
      </c>
      <c r="D8" s="59">
        <f t="shared" si="32"/>
        <v>0</v>
      </c>
    </row>
    <row r="9" ht="16.5">
      <c r="A9" s="69" t="s">
        <v>93</v>
      </c>
      <c r="B9" s="70">
        <v>1.3999999999999999</v>
      </c>
      <c r="C9" s="59">
        <v>0</v>
      </c>
      <c r="D9" s="59">
        <f t="shared" si="32"/>
        <v>0</v>
      </c>
    </row>
    <row r="10" ht="16.5">
      <c r="A10" s="69" t="s">
        <v>94</v>
      </c>
      <c r="B10" s="70" t="s">
        <v>95</v>
      </c>
      <c r="C10" s="59">
        <v>0</v>
      </c>
    </row>
    <row r="11" ht="16.5">
      <c r="A11" s="69" t="s">
        <v>96</v>
      </c>
      <c r="B11" s="70" t="s">
        <v>97</v>
      </c>
      <c r="C11" s="59">
        <v>0</v>
      </c>
    </row>
    <row r="12" ht="16.5">
      <c r="A12" s="71" t="s">
        <v>98</v>
      </c>
      <c r="B12" s="72">
        <v>0.34999999999999998</v>
      </c>
      <c r="C12" s="59">
        <v>0</v>
      </c>
      <c r="D12" s="59">
        <f t="shared" ref="D12:D34" si="33">B12*C12</f>
        <v>0</v>
      </c>
    </row>
    <row r="13" ht="16.5">
      <c r="A13" s="71" t="s">
        <v>99</v>
      </c>
      <c r="B13" s="72">
        <v>0.20000000000000001</v>
      </c>
      <c r="C13" s="59">
        <v>0</v>
      </c>
      <c r="D13" s="59">
        <f t="shared" si="33"/>
        <v>0</v>
      </c>
    </row>
    <row r="14" ht="16.5">
      <c r="A14" s="71" t="s">
        <v>100</v>
      </c>
      <c r="B14" s="72">
        <v>0.75</v>
      </c>
      <c r="C14" s="59">
        <v>0</v>
      </c>
      <c r="D14" s="59">
        <f t="shared" si="33"/>
        <v>0</v>
      </c>
    </row>
    <row r="15" ht="16.5">
      <c r="A15" s="71" t="s">
        <v>101</v>
      </c>
      <c r="B15" s="72">
        <v>0.45000000000000001</v>
      </c>
      <c r="C15" s="59">
        <v>0</v>
      </c>
      <c r="D15" s="59">
        <f t="shared" si="33"/>
        <v>0</v>
      </c>
    </row>
    <row r="16" ht="16.5">
      <c r="A16" s="71" t="s">
        <v>102</v>
      </c>
      <c r="B16" s="72">
        <v>1.3</v>
      </c>
      <c r="C16" s="59">
        <v>0</v>
      </c>
      <c r="D16" s="59">
        <f t="shared" si="33"/>
        <v>0</v>
      </c>
    </row>
    <row r="17" ht="16.5">
      <c r="A17" s="71" t="s">
        <v>103</v>
      </c>
      <c r="B17" s="72">
        <v>1.5</v>
      </c>
      <c r="C17" s="59">
        <v>0</v>
      </c>
      <c r="D17" s="59">
        <f t="shared" si="33"/>
        <v>0</v>
      </c>
    </row>
    <row r="18" ht="16.5">
      <c r="A18" s="71" t="s">
        <v>104</v>
      </c>
      <c r="B18" s="72">
        <v>0.40000000000000002</v>
      </c>
      <c r="C18" s="59">
        <v>0</v>
      </c>
      <c r="D18" s="59">
        <f t="shared" si="33"/>
        <v>0</v>
      </c>
    </row>
    <row r="19" ht="16.5">
      <c r="A19" s="71" t="s">
        <v>105</v>
      </c>
      <c r="B19" s="72">
        <v>1</v>
      </c>
      <c r="C19" s="59">
        <v>0</v>
      </c>
      <c r="D19" s="59">
        <f t="shared" si="33"/>
        <v>0</v>
      </c>
    </row>
    <row r="20" ht="16.5">
      <c r="A20" s="71" t="s">
        <v>106</v>
      </c>
      <c r="B20" s="72">
        <v>1</v>
      </c>
      <c r="C20" s="59">
        <v>1</v>
      </c>
      <c r="D20" s="59">
        <f t="shared" si="33"/>
        <v>1</v>
      </c>
    </row>
    <row r="21" ht="16.5">
      <c r="A21" s="71" t="s">
        <v>107</v>
      </c>
      <c r="B21" s="72">
        <v>1</v>
      </c>
      <c r="C21" s="59">
        <v>0</v>
      </c>
      <c r="D21" s="59">
        <f t="shared" si="33"/>
        <v>0</v>
      </c>
    </row>
    <row r="22" ht="16.5">
      <c r="A22" s="71" t="s">
        <v>108</v>
      </c>
      <c r="B22" s="72">
        <v>0.040000000000000001</v>
      </c>
      <c r="C22" s="59">
        <v>1</v>
      </c>
      <c r="D22" s="59">
        <f t="shared" si="33"/>
        <v>0.040000000000000001</v>
      </c>
    </row>
    <row r="23" ht="16.5">
      <c r="A23" s="71" t="s">
        <v>109</v>
      </c>
      <c r="B23" s="72">
        <v>0.040000000000000001</v>
      </c>
      <c r="C23" s="59">
        <v>0</v>
      </c>
      <c r="D23" s="59">
        <f t="shared" si="33"/>
        <v>0</v>
      </c>
    </row>
    <row r="24" ht="16.5">
      <c r="A24" s="71" t="s">
        <v>110</v>
      </c>
      <c r="B24" s="72">
        <v>0.17000000000000001</v>
      </c>
      <c r="C24" s="59">
        <v>0</v>
      </c>
      <c r="D24" s="59">
        <f t="shared" si="33"/>
        <v>0</v>
      </c>
    </row>
    <row r="25" ht="16.5">
      <c r="A25" s="71" t="s">
        <v>111</v>
      </c>
      <c r="B25" s="72">
        <v>2.2999999999999998</v>
      </c>
      <c r="C25" s="59">
        <v>0</v>
      </c>
      <c r="D25" s="59">
        <f t="shared" si="33"/>
        <v>0</v>
      </c>
    </row>
    <row r="26" ht="16.5">
      <c r="A26" s="71" t="s">
        <v>112</v>
      </c>
      <c r="B26" s="72">
        <v>6</v>
      </c>
      <c r="C26" s="59">
        <v>0</v>
      </c>
      <c r="D26" s="59">
        <f t="shared" si="33"/>
        <v>0</v>
      </c>
    </row>
    <row r="27" ht="16.5">
      <c r="A27" s="71" t="s">
        <v>113</v>
      </c>
      <c r="B27" s="72">
        <v>9</v>
      </c>
      <c r="C27" s="59">
        <v>0</v>
      </c>
      <c r="D27" s="59">
        <f t="shared" si="33"/>
        <v>0</v>
      </c>
    </row>
    <row r="28" ht="16.5">
      <c r="A28" s="71" t="s">
        <v>114</v>
      </c>
      <c r="B28" s="72">
        <v>2</v>
      </c>
      <c r="C28" s="59">
        <v>0</v>
      </c>
      <c r="D28" s="59">
        <f t="shared" si="33"/>
        <v>0</v>
      </c>
    </row>
    <row r="29" ht="16.5">
      <c r="A29" s="71" t="s">
        <v>115</v>
      </c>
      <c r="B29" s="72">
        <v>3</v>
      </c>
      <c r="C29" s="59">
        <v>0</v>
      </c>
      <c r="D29" s="59">
        <f t="shared" si="33"/>
        <v>0</v>
      </c>
    </row>
    <row r="30" ht="16.5">
      <c r="A30" s="71" t="s">
        <v>116</v>
      </c>
      <c r="B30" s="72">
        <v>0.050000000000000003</v>
      </c>
      <c r="C30" s="59">
        <v>0</v>
      </c>
      <c r="D30" s="59">
        <f t="shared" si="33"/>
        <v>0</v>
      </c>
    </row>
    <row r="31" ht="16.5">
      <c r="A31" s="71" t="s">
        <v>117</v>
      </c>
      <c r="B31" s="72">
        <v>0.23999999999999999</v>
      </c>
      <c r="C31" s="59">
        <v>0</v>
      </c>
      <c r="D31" s="59">
        <f t="shared" si="33"/>
        <v>0</v>
      </c>
    </row>
    <row r="32" ht="16.5">
      <c r="A32" s="71" t="s">
        <v>118</v>
      </c>
      <c r="B32" s="72">
        <v>2</v>
      </c>
      <c r="C32" s="59">
        <v>0</v>
      </c>
      <c r="D32" s="59">
        <f t="shared" si="33"/>
        <v>0</v>
      </c>
    </row>
    <row r="33" ht="16.5">
      <c r="A33" s="71" t="s">
        <v>119</v>
      </c>
      <c r="B33" s="72">
        <v>10</v>
      </c>
      <c r="C33" s="59">
        <v>0</v>
      </c>
      <c r="D33" s="59">
        <f t="shared" si="33"/>
        <v>0</v>
      </c>
    </row>
    <row r="34" ht="16.5">
      <c r="A34" s="73" t="s">
        <v>120</v>
      </c>
      <c r="B34" s="74">
        <v>70</v>
      </c>
      <c r="C34" s="75">
        <v>0</v>
      </c>
      <c r="D34" s="76">
        <f t="shared" si="33"/>
        <v>0</v>
      </c>
    </row>
    <row r="35" ht="16.5">
      <c r="D35" s="59">
        <f>SUM(D4:D34)</f>
        <v>1.54</v>
      </c>
    </row>
  </sheetData>
  <printOptions headings="0" gridLines="0"/>
  <pageMargins left="0.74791666666666701" right="0.74791666666666701" top="0.98402777777777795" bottom="0.98402777777777795" header="0.51181102362204689" footer="0.51181102362204689"/>
  <pageSetup paperSize="1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selection activeCell="B4" activeCellId="0" sqref="B4"/>
    </sheetView>
  </sheetViews>
  <sheetFormatPr defaultColWidth="8.8125" defaultRowHeight="12.75"/>
  <cols>
    <col customWidth="1" min="1" max="1" style="58" width="50.810000000000002"/>
    <col customWidth="1" min="2" max="5" style="58" width="14.81"/>
    <col customWidth="1" min="6" max="6" style="77" width="14.81"/>
  </cols>
  <sheetData>
    <row r="1" ht="19"/>
    <row r="2" ht="21.75">
      <c r="A2" s="78"/>
      <c r="B2" s="79" t="s">
        <v>121</v>
      </c>
      <c r="C2" s="80"/>
    </row>
    <row r="3" ht="16.5">
      <c r="A3" s="81" t="s">
        <v>122</v>
      </c>
      <c r="B3" s="82" t="s">
        <v>123</v>
      </c>
      <c r="C3" s="83" t="s">
        <v>124</v>
      </c>
    </row>
    <row r="4" ht="16.5">
      <c r="A4" s="84" t="s">
        <v>125</v>
      </c>
      <c r="B4" s="85">
        <v>6.0000000000000002e-05</v>
      </c>
      <c r="C4" s="86">
        <f t="shared" ref="C4:C8" si="34">B4*2.54</f>
        <v>0.00015239999999999999</v>
      </c>
    </row>
    <row r="5" ht="16.5">
      <c r="A5" s="71" t="s">
        <v>126</v>
      </c>
      <c r="B5" s="87">
        <v>0.0018</v>
      </c>
      <c r="C5" s="88">
        <f t="shared" si="34"/>
        <v>0.0045719999999999997</v>
      </c>
    </row>
    <row r="6" ht="16.5">
      <c r="A6" s="71" t="s">
        <v>127</v>
      </c>
      <c r="B6" s="87">
        <v>0.0047999999999999996</v>
      </c>
      <c r="C6" s="89">
        <f t="shared" si="34"/>
        <v>0.012192</v>
      </c>
    </row>
    <row r="7" ht="16.5">
      <c r="A7" s="71" t="s">
        <v>128</v>
      </c>
      <c r="B7" s="87">
        <v>0.0060000000000000001</v>
      </c>
      <c r="C7" s="89">
        <f t="shared" si="34"/>
        <v>0.01524</v>
      </c>
    </row>
    <row r="8" ht="16.5">
      <c r="A8" s="71" t="s">
        <v>129</v>
      </c>
      <c r="B8" s="87">
        <v>0.01</v>
      </c>
      <c r="C8" s="89">
        <f t="shared" si="34"/>
        <v>0.025399999999999999</v>
      </c>
    </row>
    <row r="9" ht="16.5">
      <c r="A9" s="71" t="s">
        <v>130</v>
      </c>
      <c r="B9" s="87" t="s">
        <v>131</v>
      </c>
      <c r="C9" s="72" t="s">
        <v>132</v>
      </c>
    </row>
    <row r="10" ht="16.5">
      <c r="A10" s="71" t="s">
        <v>133</v>
      </c>
      <c r="B10" s="87" t="s">
        <v>134</v>
      </c>
      <c r="C10" s="72" t="s">
        <v>135</v>
      </c>
    </row>
    <row r="11" ht="16.5">
      <c r="A11" s="73" t="s">
        <v>136</v>
      </c>
      <c r="B11" s="90" t="s">
        <v>137</v>
      </c>
      <c r="C11" s="74" t="s">
        <v>138</v>
      </c>
    </row>
  </sheetData>
  <printOptions headings="0" gridLines="0"/>
  <pageMargins left="0.74791666666666701" right="0.74791666666666701" top="0.98402777777777795" bottom="0.98402777777777795" header="0.51181102362204689" footer="0.5118110236220468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Hartvigsen</dc:creator>
  <dc:description/>
  <dc:language>en-US</dc:language>
  <cp:revision>2</cp:revision>
  <dcterms:created xsi:type="dcterms:W3CDTF">2003-11-30T11:03:09Z</dcterms:created>
  <dcterms:modified xsi:type="dcterms:W3CDTF">2022-12-29T08:26:35Z</dcterms:modified>
</cp:coreProperties>
</file>