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232" tabRatio="855" activeTab="4"/>
  </bookViews>
  <sheets>
    <sheet name="Read Me" sheetId="1" r:id="rId1"/>
    <sheet name="IGRF" sheetId="2" r:id="rId2"/>
    <sheet name="Score" sheetId="20" r:id="rId3"/>
    <sheet name="Penalties" sheetId="32" r:id="rId4"/>
    <sheet name="Lineups" sheetId="31" r:id="rId5"/>
    <sheet name="Export_IGRF" sheetId="36" r:id="rId6"/>
    <sheet name="Export_Score" sheetId="37" r:id="rId7"/>
    <sheet name="Export_Lineups" sheetId="38" r:id="rId8"/>
    <sheet name="Export_Penalties" sheetId="39" r:id="rId9"/>
    <sheet name="Expulsion-Suspension Form" sheetId="6" r:id="rId10"/>
    <sheet name="Game Summary" sheetId="7" r:id="rId11"/>
    <sheet name="Penalty Summary" sheetId="33" r:id="rId12"/>
    <sheet name="OS Offset" sheetId="35" r:id="rId13"/>
    <sheet name="Official Reviews" sheetId="26" r:id="rId14"/>
    <sheet name="Game Clock" sheetId="11" r:id="rId15"/>
    <sheet name="Penalty Box" sheetId="13" r:id="rId16"/>
    <sheet name="Whiteboards" sheetId="14" r:id="rId17"/>
    <sheet name="LU" sheetId="17" r:id="rId18"/>
    <sheet name="PT" sheetId="34" r:id="rId19"/>
    <sheet name="SK" sheetId="15" r:id="rId20"/>
    <sheet name="Credits" sheetId="27" r:id="rId21"/>
    <sheet name="Colophon" sheetId="28" r:id="rId22"/>
  </sheets>
  <externalReferences>
    <externalReference r:id="rId23"/>
    <externalReference r:id="rId24"/>
  </externalReferences>
  <definedNames>
    <definedName name="____W.O.R.K.B.O.O.K..C.O.N.T.E.N.T.S____" localSheetId="5">#REF!</definedName>
    <definedName name="____W.O.R.K.B.O.O.K..C.O.N.T.E.N.T.S____" localSheetId="7">#REF!</definedName>
    <definedName name="____W.O.R.K.B.O.O.K..C.O.N.T.E.N.T.S____" localSheetId="8">#REF!</definedName>
    <definedName name="____W.O.R.K.B.O.O.K..C.O.N.T.E.N.T.S____" localSheetId="6">#REF!</definedName>
    <definedName name="____W.O.R.K.B.O.O.K..C.O.N.T.E.N.T.S____" localSheetId="4">#REF!</definedName>
    <definedName name="____W.O.R.K.B.O.O.K..C.O.N.T.E.N.T.S____" localSheetId="3">#REF!</definedName>
    <definedName name="____W.O.R.K.B.O.O.K..C.O.N.T.E.N.T.S____" localSheetId="11">#REF!</definedName>
    <definedName name="____W.O.R.K.B.O.O.K..C.O.N.T.E.N.T.S____" localSheetId="18">#REF!</definedName>
    <definedName name="____W.O.R.K.B.O.O.K..C.O.N.T.E.N.T.S____">#REF!</definedName>
    <definedName name="_ao" localSheetId="5">#REF!</definedName>
    <definedName name="_ao" localSheetId="7">#REF!</definedName>
    <definedName name="_ao" localSheetId="8">#REF!</definedName>
    <definedName name="_ao" localSheetId="6">#REF!</definedName>
    <definedName name="_ao">#REF!</definedName>
    <definedName name="a0" localSheetId="5">#REF!</definedName>
    <definedName name="a0" localSheetId="7">#REF!</definedName>
    <definedName name="a0" localSheetId="8">#REF!</definedName>
    <definedName name="a0" localSheetId="6">#REF!</definedName>
    <definedName name="a0" localSheetId="4">#REF!</definedName>
    <definedName name="a0" localSheetId="2">Score!#REF!</definedName>
    <definedName name="a0">#REF!</definedName>
    <definedName name="ao" localSheetId="5">#REF!</definedName>
    <definedName name="ao" localSheetId="7">#REF!</definedName>
    <definedName name="ao" localSheetId="8">#REF!</definedName>
    <definedName name="ao" localSheetId="6">#REF!</definedName>
    <definedName name="ao" localSheetId="4">#REF!</definedName>
    <definedName name="ao" localSheetId="3">#REF!</definedName>
    <definedName name="ao" localSheetId="11">#REF!</definedName>
    <definedName name="ao" localSheetId="18">#REF!</definedName>
    <definedName name="ao" localSheetId="2">Score!$H$4</definedName>
    <definedName name="ao">#REF!</definedName>
    <definedName name="Flooring" localSheetId="5">#REF!</definedName>
    <definedName name="Flooring" localSheetId="7">#REF!</definedName>
    <definedName name="Flooring" localSheetId="8">#REF!</definedName>
    <definedName name="Flooring" localSheetId="6">#REF!</definedName>
    <definedName name="Flooring">#N/A</definedName>
    <definedName name="Flooring_1">#N/A</definedName>
    <definedName name="Flooring_10" localSheetId="5">#REF!</definedName>
    <definedName name="Flooring_10" localSheetId="7">#REF!</definedName>
    <definedName name="Flooring_10" localSheetId="8">#REF!</definedName>
    <definedName name="Flooring_10" localSheetId="6">#REF!</definedName>
    <definedName name="Flooring_10">#REF!</definedName>
    <definedName name="Flooring_12" localSheetId="5">#REF!</definedName>
    <definedName name="Flooring_12" localSheetId="7">#REF!</definedName>
    <definedName name="Flooring_12" localSheetId="8">#REF!</definedName>
    <definedName name="Flooring_12" localSheetId="6">#REF!</definedName>
    <definedName name="Flooring_12">#REF!</definedName>
    <definedName name="Flooring_2">#N/A</definedName>
    <definedName name="Flooring_3">#N/A</definedName>
    <definedName name="Flooring_4">#N/A</definedName>
    <definedName name="Flooring_5" localSheetId="5">#REF!</definedName>
    <definedName name="Flooring_5" localSheetId="7">#REF!</definedName>
    <definedName name="Flooring_5" localSheetId="8">#REF!</definedName>
    <definedName name="Flooring_5" localSheetId="6">#REF!</definedName>
    <definedName name="Flooring_5">#N/A</definedName>
    <definedName name="Flooring_6">#N/A</definedName>
    <definedName name="Flooring_7" localSheetId="5">#REF!</definedName>
    <definedName name="Flooring_7" localSheetId="7">#REF!</definedName>
    <definedName name="Flooring_7" localSheetId="8">#REF!</definedName>
    <definedName name="Flooring_7" localSheetId="6">#REF!</definedName>
    <definedName name="Flooring_7">#REF!</definedName>
    <definedName name="Flooring_8" localSheetId="5">#REF!</definedName>
    <definedName name="Flooring_8" localSheetId="7">#REF!</definedName>
    <definedName name="Flooring_8" localSheetId="8">#REF!</definedName>
    <definedName name="Flooring_8" localSheetId="6">#REF!</definedName>
    <definedName name="Flooring_8">#REF!</definedName>
    <definedName name="Flooring_9" localSheetId="5">#REF!</definedName>
    <definedName name="Flooring_9" localSheetId="7">#REF!</definedName>
    <definedName name="Flooring_9" localSheetId="8">#REF!</definedName>
    <definedName name="Flooring_9" localSheetId="6">#REF!</definedName>
    <definedName name="Flooring_9">#REF!</definedName>
    <definedName name="_xlnm.Print_Area" localSheetId="9">'Expulsion-Suspension Form'!$A$1:$E$36</definedName>
    <definedName name="_xlnm.Print_Area" localSheetId="14">'Game Clock'!$A$1:$J$102</definedName>
    <definedName name="_xlnm.Print_Area" localSheetId="10">'Game Summary'!$A$1:$AI$48</definedName>
    <definedName name="_xlnm.Print_Area" localSheetId="1">IGRF!$A$1:$L$90</definedName>
    <definedName name="_xlnm.Print_Area" localSheetId="4">Lineups!$A$1:$AZ$84</definedName>
    <definedName name="_xlnm.Print_Area" localSheetId="13">'Official Reviews'!$A$1:$I$32</definedName>
    <definedName name="_xlnm.Print_Area" localSheetId="12">'OS Offset'!$A$1:$K$84</definedName>
    <definedName name="_xlnm.Print_Area" localSheetId="3">Penalties!$A$1:$BD$45</definedName>
    <definedName name="_xlnm.Print_Area" localSheetId="15">'Penalty Box'!$A$1:$AH$86</definedName>
    <definedName name="_xlnm.Print_Area" localSheetId="11">'Penalty Summary'!$A$1:$X$58</definedName>
    <definedName name="_xlnm.Print_Area" localSheetId="0">'Read Me'!$A$1:$K$84</definedName>
    <definedName name="_xlnm.Print_Area" localSheetId="2">Score!$A$1:$AK$84</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D363" i="39" l="1"/>
  <c r="D364" i="39"/>
  <c r="D365" i="39"/>
  <c r="D366" i="39"/>
  <c r="D367" i="39"/>
  <c r="D368" i="39"/>
  <c r="D369" i="39"/>
  <c r="D370" i="39"/>
  <c r="D371" i="39"/>
  <c r="D372" i="39"/>
  <c r="D373" i="39"/>
  <c r="D374" i="39"/>
  <c r="D375" i="39"/>
  <c r="D376" i="39"/>
  <c r="D377" i="39"/>
  <c r="D378" i="39"/>
  <c r="D379" i="39"/>
  <c r="D380" i="39"/>
  <c r="D381" i="39"/>
  <c r="D382" i="39"/>
  <c r="D383" i="39"/>
  <c r="D384" i="39"/>
  <c r="D385" i="39"/>
  <c r="D386" i="39"/>
  <c r="D387" i="39"/>
  <c r="D388" i="39"/>
  <c r="D389" i="39"/>
  <c r="D390" i="39"/>
  <c r="D391" i="39"/>
  <c r="D392" i="39"/>
  <c r="D393" i="39"/>
  <c r="D394" i="39"/>
  <c r="D395" i="39"/>
  <c r="D396" i="39"/>
  <c r="D397" i="39"/>
  <c r="D398" i="39"/>
  <c r="D399" i="39"/>
  <c r="D400" i="39"/>
  <c r="D401" i="39"/>
  <c r="D402" i="39"/>
  <c r="D403" i="39"/>
  <c r="D404" i="39"/>
  <c r="D405" i="39"/>
  <c r="D406" i="39"/>
  <c r="D407" i="39"/>
  <c r="D408" i="39"/>
  <c r="D409" i="39"/>
  <c r="D410" i="39"/>
  <c r="D411" i="39"/>
  <c r="D412" i="39"/>
  <c r="D413" i="39"/>
  <c r="D414" i="39"/>
  <c r="D415" i="39"/>
  <c r="D416" i="39"/>
  <c r="D417" i="39"/>
  <c r="D418" i="39"/>
  <c r="D419" i="39"/>
  <c r="D420" i="39"/>
  <c r="D421" i="39"/>
  <c r="D422" i="39"/>
  <c r="D423" i="39"/>
  <c r="D424" i="39"/>
  <c r="D425" i="39"/>
  <c r="D426" i="39"/>
  <c r="D427" i="39"/>
  <c r="D428" i="39"/>
  <c r="D429" i="39"/>
  <c r="D430" i="39"/>
  <c r="D431" i="39"/>
  <c r="D432" i="39"/>
  <c r="D433" i="39"/>
  <c r="D434" i="39"/>
  <c r="D435" i="39"/>
  <c r="D436" i="39"/>
  <c r="D437" i="39"/>
  <c r="D438" i="39"/>
  <c r="D439" i="39"/>
  <c r="D440" i="39"/>
  <c r="D441" i="39"/>
  <c r="D442" i="39"/>
  <c r="D443" i="39"/>
  <c r="D444" i="39"/>
  <c r="D445" i="39"/>
  <c r="D446" i="39"/>
  <c r="D447" i="39"/>
  <c r="D448" i="39"/>
  <c r="D449" i="39"/>
  <c r="D450" i="39"/>
  <c r="D451" i="39"/>
  <c r="D452" i="39"/>
  <c r="D453" i="39"/>
  <c r="D454" i="39"/>
  <c r="D455" i="39"/>
  <c r="D456" i="39"/>
  <c r="D457" i="39"/>
  <c r="D458" i="39"/>
  <c r="D459" i="39"/>
  <c r="D460" i="39"/>
  <c r="D461" i="39"/>
  <c r="D462" i="39"/>
  <c r="D463" i="39"/>
  <c r="D464" i="39"/>
  <c r="D465" i="39"/>
  <c r="D466" i="39"/>
  <c r="D467" i="39"/>
  <c r="D468" i="39"/>
  <c r="D469" i="39"/>
  <c r="D470" i="39"/>
  <c r="D471" i="39"/>
  <c r="D472" i="39"/>
  <c r="D473" i="39"/>
  <c r="D474" i="39"/>
  <c r="D475" i="39"/>
  <c r="D476" i="39"/>
  <c r="D477" i="39"/>
  <c r="D478" i="39"/>
  <c r="D479" i="39"/>
  <c r="D480" i="39"/>
  <c r="D481" i="39"/>
  <c r="D482" i="39"/>
  <c r="D483" i="39"/>
  <c r="D484" i="39"/>
  <c r="D485" i="39"/>
  <c r="D486" i="39"/>
  <c r="D487" i="39"/>
  <c r="D488" i="39"/>
  <c r="D489" i="39"/>
  <c r="D490" i="39"/>
  <c r="D491" i="39"/>
  <c r="D492" i="39"/>
  <c r="D493" i="39"/>
  <c r="D494" i="39"/>
  <c r="D495" i="39"/>
  <c r="D496" i="39"/>
  <c r="D497" i="39"/>
  <c r="D498" i="39"/>
  <c r="D499" i="39"/>
  <c r="D500" i="39"/>
  <c r="D501" i="39"/>
  <c r="D502" i="39"/>
  <c r="D503" i="39"/>
  <c r="D504" i="39"/>
  <c r="D505" i="39"/>
  <c r="D506" i="39"/>
  <c r="D507" i="39"/>
  <c r="D508" i="39"/>
  <c r="D509" i="39"/>
  <c r="D510" i="39"/>
  <c r="D511" i="39"/>
  <c r="D512" i="39"/>
  <c r="D513" i="39"/>
  <c r="D514" i="39"/>
  <c r="D515" i="39"/>
  <c r="D516" i="39"/>
  <c r="D517" i="39"/>
  <c r="D518" i="39"/>
  <c r="D519" i="39"/>
  <c r="D520" i="39"/>
  <c r="D521" i="39"/>
  <c r="D522" i="39"/>
  <c r="D523" i="39"/>
  <c r="D524" i="39"/>
  <c r="D525" i="39"/>
  <c r="D526" i="39"/>
  <c r="D527" i="39"/>
  <c r="D528" i="39"/>
  <c r="D529" i="39"/>
  <c r="D530" i="39"/>
  <c r="D531" i="39"/>
  <c r="D532" i="39"/>
  <c r="D533" i="39"/>
  <c r="D534" i="39"/>
  <c r="D535" i="39"/>
  <c r="D536" i="39"/>
  <c r="D537" i="39"/>
  <c r="D538" i="39"/>
  <c r="D539" i="39"/>
  <c r="D540" i="39"/>
  <c r="D541" i="39"/>
  <c r="D542" i="39"/>
  <c r="D543" i="39"/>
  <c r="D544" i="39"/>
  <c r="D545" i="39"/>
  <c r="D546" i="39"/>
  <c r="D547" i="39"/>
  <c r="D548" i="39"/>
  <c r="D549" i="39"/>
  <c r="D550" i="39"/>
  <c r="D551" i="39"/>
  <c r="D552" i="39"/>
  <c r="D553" i="39"/>
  <c r="D554" i="39"/>
  <c r="D555" i="39"/>
  <c r="D556" i="39"/>
  <c r="D557" i="39"/>
  <c r="D558" i="39"/>
  <c r="D559" i="39"/>
  <c r="D560" i="39"/>
  <c r="D561" i="39"/>
  <c r="D562" i="39"/>
  <c r="D563" i="39"/>
  <c r="D564" i="39"/>
  <c r="D565" i="39"/>
  <c r="D566" i="39"/>
  <c r="D567" i="39"/>
  <c r="D568" i="39"/>
  <c r="D569" i="39"/>
  <c r="D570" i="39"/>
  <c r="D571" i="39"/>
  <c r="D572" i="39"/>
  <c r="D573" i="39"/>
  <c r="D574" i="39"/>
  <c r="D575" i="39"/>
  <c r="D576" i="39"/>
  <c r="D577" i="39"/>
  <c r="D578" i="39"/>
  <c r="D579" i="39"/>
  <c r="D580" i="39"/>
  <c r="D581" i="39"/>
  <c r="D582" i="39"/>
  <c r="D583" i="39"/>
  <c r="D584" i="39"/>
  <c r="D585" i="39"/>
  <c r="D586" i="39"/>
  <c r="D587" i="39"/>
  <c r="D588" i="39"/>
  <c r="D589" i="39"/>
  <c r="D590" i="39"/>
  <c r="D591" i="39"/>
  <c r="D592" i="39"/>
  <c r="D593" i="39"/>
  <c r="D594" i="39"/>
  <c r="D595" i="39"/>
  <c r="D596" i="39"/>
  <c r="D597" i="39"/>
  <c r="D598" i="39"/>
  <c r="D599" i="39"/>
  <c r="D600" i="39"/>
  <c r="D601" i="39"/>
  <c r="D602" i="39"/>
  <c r="D603" i="39"/>
  <c r="D604" i="39"/>
  <c r="D605" i="39"/>
  <c r="D606" i="39"/>
  <c r="D607" i="39"/>
  <c r="D608" i="39"/>
  <c r="D609" i="39"/>
  <c r="D610" i="39"/>
  <c r="D611" i="39"/>
  <c r="D612" i="39"/>
  <c r="D613" i="39"/>
  <c r="D614" i="39"/>
  <c r="D615" i="39"/>
  <c r="D616" i="39"/>
  <c r="D617" i="39"/>
  <c r="D618" i="39"/>
  <c r="D619" i="39"/>
  <c r="D620" i="39"/>
  <c r="D621" i="39"/>
  <c r="D622" i="39"/>
  <c r="D623" i="39"/>
  <c r="D624" i="39"/>
  <c r="D625" i="39"/>
  <c r="D626" i="39"/>
  <c r="D627" i="39"/>
  <c r="D628" i="39"/>
  <c r="D629" i="39"/>
  <c r="D630" i="39"/>
  <c r="D631" i="39"/>
  <c r="D632" i="39"/>
  <c r="D633" i="39"/>
  <c r="D634" i="39"/>
  <c r="D635" i="39"/>
  <c r="D636" i="39"/>
  <c r="D637" i="39"/>
  <c r="D638" i="39"/>
  <c r="D639" i="39"/>
  <c r="D640" i="39"/>
  <c r="D641" i="39"/>
  <c r="D642" i="39"/>
  <c r="D643" i="39"/>
  <c r="D644" i="39"/>
  <c r="D645" i="39"/>
  <c r="D646" i="39"/>
  <c r="D647" i="39"/>
  <c r="D648" i="39"/>
  <c r="D649" i="39"/>
  <c r="D650" i="39"/>
  <c r="D651" i="39"/>
  <c r="D652" i="39"/>
  <c r="D653" i="39"/>
  <c r="D654" i="39"/>
  <c r="D655" i="39"/>
  <c r="D656" i="39"/>
  <c r="D657" i="39"/>
  <c r="D658" i="39"/>
  <c r="D659" i="39"/>
  <c r="D660" i="39"/>
  <c r="D661" i="39"/>
  <c r="D662" i="39"/>
  <c r="D663" i="39"/>
  <c r="D664" i="39"/>
  <c r="D665" i="39"/>
  <c r="D666" i="39"/>
  <c r="D667" i="39"/>
  <c r="D668" i="39"/>
  <c r="D669" i="39"/>
  <c r="D670" i="39"/>
  <c r="D671" i="39"/>
  <c r="D672" i="39"/>
  <c r="D673" i="39"/>
  <c r="D674" i="39"/>
  <c r="D675" i="39"/>
  <c r="D676" i="39"/>
  <c r="D677" i="39"/>
  <c r="D678" i="39"/>
  <c r="D679" i="39"/>
  <c r="D680" i="39"/>
  <c r="D681" i="39"/>
  <c r="D682" i="39"/>
  <c r="D683" i="39"/>
  <c r="D684" i="39"/>
  <c r="D685" i="39"/>
  <c r="D686" i="39"/>
  <c r="D687" i="39"/>
  <c r="D688" i="39"/>
  <c r="D689" i="39"/>
  <c r="D690" i="39"/>
  <c r="D691" i="39"/>
  <c r="D692" i="39"/>
  <c r="D693" i="39"/>
  <c r="D694" i="39"/>
  <c r="D695" i="39"/>
  <c r="D696" i="39"/>
  <c r="D697" i="39"/>
  <c r="D698" i="39"/>
  <c r="D699" i="39"/>
  <c r="D700" i="39"/>
  <c r="D701" i="39"/>
  <c r="D702" i="39"/>
  <c r="D703" i="39"/>
  <c r="D704" i="39"/>
  <c r="D705" i="39"/>
  <c r="D706" i="39"/>
  <c r="D707" i="39"/>
  <c r="D708" i="39"/>
  <c r="D709" i="39"/>
  <c r="D710" i="39"/>
  <c r="D711" i="39"/>
  <c r="D712" i="39"/>
  <c r="D713" i="39"/>
  <c r="D714" i="39"/>
  <c r="D715" i="39"/>
  <c r="D716" i="39"/>
  <c r="D717" i="39"/>
  <c r="D718" i="39"/>
  <c r="D719" i="39"/>
  <c r="D720" i="39"/>
  <c r="D721" i="39"/>
  <c r="D362" i="39"/>
  <c r="D3" i="39"/>
  <c r="D4" i="39"/>
  <c r="D5" i="39"/>
  <c r="D6" i="39"/>
  <c r="D7" i="39"/>
  <c r="D8" i="39"/>
  <c r="D9" i="39"/>
  <c r="D10" i="39"/>
  <c r="D11" i="39"/>
  <c r="D12" i="39"/>
  <c r="D13" i="39"/>
  <c r="D14" i="39"/>
  <c r="D15" i="39"/>
  <c r="D16" i="39"/>
  <c r="D17" i="39"/>
  <c r="D18" i="39"/>
  <c r="D19" i="39"/>
  <c r="D20" i="39"/>
  <c r="D21" i="39"/>
  <c r="D22" i="39"/>
  <c r="D23" i="39"/>
  <c r="D24" i="39"/>
  <c r="D25" i="39"/>
  <c r="D26" i="39"/>
  <c r="D27" i="39"/>
  <c r="D28" i="39"/>
  <c r="D29" i="39"/>
  <c r="D30" i="39"/>
  <c r="D31" i="39"/>
  <c r="D32" i="39"/>
  <c r="D33" i="39"/>
  <c r="D34" i="39"/>
  <c r="D35" i="39"/>
  <c r="D36" i="39"/>
  <c r="D37" i="39"/>
  <c r="D38" i="39"/>
  <c r="D39" i="39"/>
  <c r="D40" i="39"/>
  <c r="D41" i="39"/>
  <c r="D42" i="39"/>
  <c r="D43" i="39"/>
  <c r="D44" i="39"/>
  <c r="D45" i="39"/>
  <c r="D46" i="39"/>
  <c r="D47" i="39"/>
  <c r="D48" i="39"/>
  <c r="D49" i="39"/>
  <c r="D50" i="39"/>
  <c r="D51" i="39"/>
  <c r="D52" i="39"/>
  <c r="D53" i="39"/>
  <c r="D54" i="39"/>
  <c r="D55" i="39"/>
  <c r="D56" i="39"/>
  <c r="D57" i="39"/>
  <c r="D58" i="39"/>
  <c r="D59" i="39"/>
  <c r="D60" i="39"/>
  <c r="D61" i="39"/>
  <c r="D62" i="39"/>
  <c r="D63" i="39"/>
  <c r="D64" i="39"/>
  <c r="D65" i="39"/>
  <c r="D66" i="39"/>
  <c r="D67" i="39"/>
  <c r="D68" i="39"/>
  <c r="D69" i="39"/>
  <c r="D70" i="39"/>
  <c r="D71" i="39"/>
  <c r="D72" i="39"/>
  <c r="D73" i="39"/>
  <c r="D74" i="39"/>
  <c r="D75" i="39"/>
  <c r="D76" i="39"/>
  <c r="D77" i="39"/>
  <c r="D78" i="39"/>
  <c r="D79" i="39"/>
  <c r="D80" i="39"/>
  <c r="D81" i="39"/>
  <c r="D82" i="39"/>
  <c r="D83" i="39"/>
  <c r="D84" i="39"/>
  <c r="D85" i="39"/>
  <c r="D86" i="39"/>
  <c r="D87" i="39"/>
  <c r="D88" i="39"/>
  <c r="D89" i="39"/>
  <c r="D90" i="39"/>
  <c r="D91" i="39"/>
  <c r="D92" i="39"/>
  <c r="D93" i="39"/>
  <c r="D94" i="39"/>
  <c r="D95" i="39"/>
  <c r="D96" i="39"/>
  <c r="D97" i="39"/>
  <c r="D98" i="39"/>
  <c r="D99" i="39"/>
  <c r="D100" i="39"/>
  <c r="D101" i="39"/>
  <c r="D102" i="39"/>
  <c r="D103" i="39"/>
  <c r="D104" i="39"/>
  <c r="D105" i="39"/>
  <c r="D106" i="39"/>
  <c r="D107" i="39"/>
  <c r="D108" i="39"/>
  <c r="D109" i="39"/>
  <c r="D110" i="39"/>
  <c r="D111" i="39"/>
  <c r="D112" i="39"/>
  <c r="D113" i="39"/>
  <c r="D114" i="39"/>
  <c r="D115" i="39"/>
  <c r="D116" i="39"/>
  <c r="D117" i="39"/>
  <c r="D118" i="39"/>
  <c r="D119" i="39"/>
  <c r="D120" i="39"/>
  <c r="D121" i="39"/>
  <c r="D122" i="39"/>
  <c r="D123" i="39"/>
  <c r="D124" i="39"/>
  <c r="D125" i="39"/>
  <c r="D126" i="39"/>
  <c r="D127" i="39"/>
  <c r="D128" i="39"/>
  <c r="D129" i="39"/>
  <c r="D130" i="39"/>
  <c r="D131" i="39"/>
  <c r="D132" i="39"/>
  <c r="D133" i="39"/>
  <c r="D134" i="39"/>
  <c r="D135" i="39"/>
  <c r="D136" i="39"/>
  <c r="D137" i="39"/>
  <c r="D138" i="39"/>
  <c r="D139" i="39"/>
  <c r="D140" i="39"/>
  <c r="D141" i="39"/>
  <c r="D142" i="39"/>
  <c r="D143" i="39"/>
  <c r="D144" i="39"/>
  <c r="D145" i="39"/>
  <c r="D146" i="39"/>
  <c r="D147" i="39"/>
  <c r="D148" i="39"/>
  <c r="D149" i="39"/>
  <c r="D150" i="39"/>
  <c r="D151" i="39"/>
  <c r="D152" i="39"/>
  <c r="D153" i="39"/>
  <c r="D154" i="39"/>
  <c r="D155" i="39"/>
  <c r="D156" i="39"/>
  <c r="D157" i="39"/>
  <c r="D158" i="39"/>
  <c r="D159" i="39"/>
  <c r="D160" i="39"/>
  <c r="D161" i="39"/>
  <c r="D162" i="39"/>
  <c r="D163" i="39"/>
  <c r="D164" i="39"/>
  <c r="D165" i="39"/>
  <c r="D166" i="39"/>
  <c r="D167" i="39"/>
  <c r="D168" i="39"/>
  <c r="D169" i="39"/>
  <c r="D170" i="39"/>
  <c r="D171" i="39"/>
  <c r="D172" i="39"/>
  <c r="D173" i="39"/>
  <c r="D174" i="39"/>
  <c r="D175" i="39"/>
  <c r="D176" i="39"/>
  <c r="D177" i="39"/>
  <c r="D178" i="39"/>
  <c r="D179" i="39"/>
  <c r="D180" i="39"/>
  <c r="D181" i="39"/>
  <c r="D182" i="39"/>
  <c r="D183" i="39"/>
  <c r="D184" i="39"/>
  <c r="D185" i="39"/>
  <c r="D186" i="39"/>
  <c r="D187" i="39"/>
  <c r="D188" i="39"/>
  <c r="D189" i="39"/>
  <c r="D190" i="39"/>
  <c r="D191" i="39"/>
  <c r="D192" i="39"/>
  <c r="D193" i="39"/>
  <c r="D194" i="39"/>
  <c r="D195" i="39"/>
  <c r="D196" i="39"/>
  <c r="D197" i="39"/>
  <c r="D198" i="39"/>
  <c r="D199" i="39"/>
  <c r="D200" i="39"/>
  <c r="D201" i="39"/>
  <c r="D202" i="39"/>
  <c r="D203" i="39"/>
  <c r="D204" i="39"/>
  <c r="D205" i="39"/>
  <c r="D206" i="39"/>
  <c r="D207" i="39"/>
  <c r="D208" i="39"/>
  <c r="D209" i="39"/>
  <c r="D210" i="39"/>
  <c r="D211" i="39"/>
  <c r="D212" i="39"/>
  <c r="D213" i="39"/>
  <c r="D214" i="39"/>
  <c r="D215" i="39"/>
  <c r="D216" i="39"/>
  <c r="D217" i="39"/>
  <c r="D218" i="39"/>
  <c r="D219" i="39"/>
  <c r="D220" i="39"/>
  <c r="D221" i="39"/>
  <c r="D222" i="39"/>
  <c r="D223" i="39"/>
  <c r="D224" i="39"/>
  <c r="D225" i="39"/>
  <c r="D226" i="39"/>
  <c r="D227" i="39"/>
  <c r="D228" i="39"/>
  <c r="D229" i="39"/>
  <c r="D230" i="39"/>
  <c r="D231" i="39"/>
  <c r="D232" i="39"/>
  <c r="D233" i="39"/>
  <c r="D234" i="39"/>
  <c r="D235" i="39"/>
  <c r="D236" i="39"/>
  <c r="D237" i="39"/>
  <c r="D238" i="39"/>
  <c r="D239" i="39"/>
  <c r="D240" i="39"/>
  <c r="D241" i="39"/>
  <c r="D242" i="39"/>
  <c r="D243" i="39"/>
  <c r="D244" i="39"/>
  <c r="D245" i="39"/>
  <c r="D246" i="39"/>
  <c r="D247" i="39"/>
  <c r="D248" i="39"/>
  <c r="D249" i="39"/>
  <c r="D250" i="39"/>
  <c r="D251" i="39"/>
  <c r="D252" i="39"/>
  <c r="D253" i="39"/>
  <c r="D254" i="39"/>
  <c r="D255" i="39"/>
  <c r="D256" i="39"/>
  <c r="D257" i="39"/>
  <c r="D258" i="39"/>
  <c r="D259" i="39"/>
  <c r="D260" i="39"/>
  <c r="D261" i="39"/>
  <c r="D262" i="39"/>
  <c r="D263" i="39"/>
  <c r="D264" i="39"/>
  <c r="D265" i="39"/>
  <c r="D266" i="39"/>
  <c r="D267" i="39"/>
  <c r="D268" i="39"/>
  <c r="D269" i="39"/>
  <c r="D270" i="39"/>
  <c r="D271" i="39"/>
  <c r="D272" i="39"/>
  <c r="D273" i="39"/>
  <c r="D274" i="39"/>
  <c r="D275" i="39"/>
  <c r="D276" i="39"/>
  <c r="D277" i="39"/>
  <c r="D278" i="39"/>
  <c r="D279" i="39"/>
  <c r="D280" i="39"/>
  <c r="D281" i="39"/>
  <c r="D282" i="39"/>
  <c r="D283" i="39"/>
  <c r="D284" i="39"/>
  <c r="D285" i="39"/>
  <c r="D286" i="39"/>
  <c r="D287" i="39"/>
  <c r="D288" i="39"/>
  <c r="D289" i="39"/>
  <c r="D290" i="39"/>
  <c r="D291" i="39"/>
  <c r="D292" i="39"/>
  <c r="D293" i="39"/>
  <c r="D294" i="39"/>
  <c r="D295" i="39"/>
  <c r="D296" i="39"/>
  <c r="D297" i="39"/>
  <c r="D298" i="39"/>
  <c r="D299" i="39"/>
  <c r="D300" i="39"/>
  <c r="D301" i="39"/>
  <c r="D302" i="39"/>
  <c r="D303" i="39"/>
  <c r="D304" i="39"/>
  <c r="D305" i="39"/>
  <c r="D306" i="39"/>
  <c r="D307" i="39"/>
  <c r="D308" i="39"/>
  <c r="D309" i="39"/>
  <c r="D310" i="39"/>
  <c r="D311" i="39"/>
  <c r="D312" i="39"/>
  <c r="D313" i="39"/>
  <c r="D314" i="39"/>
  <c r="D315" i="39"/>
  <c r="D316" i="39"/>
  <c r="D317" i="39"/>
  <c r="D318" i="39"/>
  <c r="D319" i="39"/>
  <c r="D320" i="39"/>
  <c r="D321" i="39"/>
  <c r="D322" i="39"/>
  <c r="D323" i="39"/>
  <c r="D324" i="39"/>
  <c r="D325" i="39"/>
  <c r="D326" i="39"/>
  <c r="D327" i="39"/>
  <c r="D328" i="39"/>
  <c r="D329" i="39"/>
  <c r="D330" i="39"/>
  <c r="D331" i="39"/>
  <c r="D332" i="39"/>
  <c r="D333" i="39"/>
  <c r="D334" i="39"/>
  <c r="D335" i="39"/>
  <c r="D336" i="39"/>
  <c r="D337" i="39"/>
  <c r="D338" i="39"/>
  <c r="D339" i="39"/>
  <c r="D340" i="39"/>
  <c r="D341" i="39"/>
  <c r="D342" i="39"/>
  <c r="D343" i="39"/>
  <c r="D344" i="39"/>
  <c r="D345" i="39"/>
  <c r="D346" i="39"/>
  <c r="D347" i="39"/>
  <c r="D348" i="39"/>
  <c r="D349" i="39"/>
  <c r="D350" i="39"/>
  <c r="D351" i="39"/>
  <c r="D352" i="39"/>
  <c r="D353" i="39"/>
  <c r="D354" i="39"/>
  <c r="D355" i="39"/>
  <c r="D356" i="39"/>
  <c r="D357" i="39"/>
  <c r="D358" i="39"/>
  <c r="D359" i="39"/>
  <c r="D360" i="39"/>
  <c r="D361" i="39"/>
  <c r="D2" i="39"/>
  <c r="O3" i="39"/>
  <c r="N3" i="39"/>
  <c r="O2" i="39"/>
  <c r="N2" i="39"/>
  <c r="O1" i="39"/>
  <c r="N1" i="39"/>
  <c r="AA3" i="38"/>
  <c r="Z3" i="38"/>
  <c r="AA2" i="38"/>
  <c r="Z2" i="38"/>
  <c r="AA1" i="38"/>
  <c r="Z1" i="38"/>
  <c r="X3" i="37"/>
  <c r="W3" i="37"/>
  <c r="X2" i="37"/>
  <c r="W2" i="37"/>
  <c r="X1" i="37"/>
  <c r="W1" i="37"/>
  <c r="F23" i="36"/>
  <c r="F24" i="36"/>
  <c r="F25" i="36"/>
  <c r="F26" i="36"/>
  <c r="F27" i="36"/>
  <c r="F28" i="36"/>
  <c r="F29" i="36"/>
  <c r="F30" i="36"/>
  <c r="F31" i="36"/>
  <c r="F32" i="36"/>
  <c r="F33" i="36"/>
  <c r="F34" i="36"/>
  <c r="F35" i="36"/>
  <c r="F36" i="36"/>
  <c r="F37" i="36"/>
  <c r="F38" i="36"/>
  <c r="F39" i="36"/>
  <c r="F40" i="36"/>
  <c r="F41" i="36"/>
  <c r="F22" i="36"/>
  <c r="E23" i="36"/>
  <c r="E24" i="36"/>
  <c r="E25" i="36"/>
  <c r="E26" i="36"/>
  <c r="E27" i="36"/>
  <c r="E28" i="36"/>
  <c r="E29" i="36"/>
  <c r="E30" i="36"/>
  <c r="E31" i="36"/>
  <c r="E32" i="36"/>
  <c r="E33" i="36"/>
  <c r="E34" i="36"/>
  <c r="E35" i="36"/>
  <c r="E36" i="36"/>
  <c r="E37" i="36"/>
  <c r="E38" i="36"/>
  <c r="E39" i="36"/>
  <c r="E40" i="36"/>
  <c r="E41" i="36"/>
  <c r="E22" i="36"/>
  <c r="F3" i="36"/>
  <c r="F4" i="36"/>
  <c r="F5" i="36"/>
  <c r="F6" i="36"/>
  <c r="F7" i="36"/>
  <c r="F8" i="36"/>
  <c r="F9" i="36"/>
  <c r="F10" i="36"/>
  <c r="F11" i="36"/>
  <c r="F12" i="36"/>
  <c r="F13" i="36"/>
  <c r="F14" i="36"/>
  <c r="F15" i="36"/>
  <c r="F16" i="36"/>
  <c r="F17" i="36"/>
  <c r="F18" i="36"/>
  <c r="F19" i="36"/>
  <c r="F20" i="36"/>
  <c r="F2" i="36"/>
  <c r="E3" i="36"/>
  <c r="E4" i="36"/>
  <c r="E5" i="36"/>
  <c r="E6" i="36"/>
  <c r="E7" i="36"/>
  <c r="E8" i="36"/>
  <c r="E9" i="36"/>
  <c r="E10" i="36"/>
  <c r="E11" i="36"/>
  <c r="E12" i="36"/>
  <c r="E13" i="36"/>
  <c r="E14" i="36"/>
  <c r="E15" i="36"/>
  <c r="E16" i="36"/>
  <c r="E17" i="36"/>
  <c r="E18" i="36"/>
  <c r="E19" i="36"/>
  <c r="E20" i="36"/>
  <c r="E21" i="36"/>
  <c r="E2" i="36"/>
  <c r="D23" i="36"/>
  <c r="D24" i="36"/>
  <c r="D25" i="36"/>
  <c r="D26" i="36"/>
  <c r="D27" i="36"/>
  <c r="D28" i="36"/>
  <c r="D29" i="36"/>
  <c r="D30" i="36"/>
  <c r="D31" i="36"/>
  <c r="D32" i="36"/>
  <c r="D33" i="36"/>
  <c r="D34" i="36"/>
  <c r="D35" i="36"/>
  <c r="D36" i="36"/>
  <c r="D37" i="36"/>
  <c r="D38" i="36"/>
  <c r="D39" i="36"/>
  <c r="D40" i="36"/>
  <c r="D41" i="36"/>
  <c r="D22" i="36"/>
  <c r="D3" i="36"/>
  <c r="D4" i="36"/>
  <c r="D5" i="36"/>
  <c r="D6" i="36"/>
  <c r="D7" i="36"/>
  <c r="D8" i="36"/>
  <c r="D9" i="36"/>
  <c r="D10" i="36"/>
  <c r="D11" i="36"/>
  <c r="D12" i="36"/>
  <c r="D13" i="36"/>
  <c r="D14" i="36"/>
  <c r="D15" i="36"/>
  <c r="D16" i="36"/>
  <c r="D17" i="36"/>
  <c r="D18" i="36"/>
  <c r="D19" i="36"/>
  <c r="D20" i="36"/>
  <c r="D21" i="36"/>
  <c r="D2" i="36"/>
  <c r="J1" i="36"/>
  <c r="J3" i="36"/>
  <c r="J2" i="36"/>
  <c r="I3" i="36"/>
  <c r="I2" i="36"/>
  <c r="I1" i="36"/>
  <c r="F21" i="36"/>
  <c r="K397" i="39"/>
  <c r="K415" i="39"/>
  <c r="K433" i="39"/>
  <c r="K451" i="39"/>
  <c r="K469" i="39"/>
  <c r="K487" i="39"/>
  <c r="K505" i="39"/>
  <c r="K523" i="39"/>
  <c r="K541" i="39"/>
  <c r="K559" i="39"/>
  <c r="K577" i="39"/>
  <c r="K595" i="39"/>
  <c r="K613" i="39"/>
  <c r="K631" i="39"/>
  <c r="K649" i="39"/>
  <c r="K667" i="39"/>
  <c r="K685" i="39"/>
  <c r="K703" i="39"/>
  <c r="K721" i="39"/>
  <c r="H721" i="39"/>
  <c r="I721" i="39"/>
  <c r="F721" i="39"/>
  <c r="H2" i="39"/>
  <c r="F2" i="39"/>
  <c r="H3" i="39"/>
  <c r="H4" i="39"/>
  <c r="H5" i="39"/>
  <c r="H6" i="39"/>
  <c r="H7" i="39"/>
  <c r="H8" i="39"/>
  <c r="H9" i="39"/>
  <c r="H10" i="39"/>
  <c r="H11" i="39"/>
  <c r="H12" i="39"/>
  <c r="H13" i="39"/>
  <c r="H14" i="39"/>
  <c r="H15" i="39"/>
  <c r="H16" i="39"/>
  <c r="H17" i="39"/>
  <c r="H18" i="39"/>
  <c r="H19" i="39"/>
  <c r="K20" i="39"/>
  <c r="H20" i="39"/>
  <c r="K21" i="39"/>
  <c r="H21" i="39"/>
  <c r="K22" i="39"/>
  <c r="H22" i="39"/>
  <c r="K23" i="39"/>
  <c r="H23" i="39"/>
  <c r="K24" i="39"/>
  <c r="H24" i="39"/>
  <c r="K25" i="39"/>
  <c r="H25" i="39"/>
  <c r="K26" i="39"/>
  <c r="H26" i="39"/>
  <c r="K27" i="39"/>
  <c r="H27" i="39"/>
  <c r="K28" i="39"/>
  <c r="H28" i="39"/>
  <c r="K29" i="39"/>
  <c r="H29" i="39"/>
  <c r="K30" i="39"/>
  <c r="H30" i="39"/>
  <c r="K31" i="39"/>
  <c r="H31" i="39"/>
  <c r="K32" i="39"/>
  <c r="H32" i="39"/>
  <c r="K33" i="39"/>
  <c r="H33" i="39"/>
  <c r="K34" i="39"/>
  <c r="H34" i="39"/>
  <c r="K35" i="39"/>
  <c r="H35" i="39"/>
  <c r="K36" i="39"/>
  <c r="H36" i="39"/>
  <c r="K37" i="39"/>
  <c r="H37" i="39"/>
  <c r="K38" i="39"/>
  <c r="H38" i="39"/>
  <c r="K39" i="39"/>
  <c r="H39" i="39"/>
  <c r="K40" i="39"/>
  <c r="H40" i="39"/>
  <c r="K41" i="39"/>
  <c r="H41" i="39"/>
  <c r="K42" i="39"/>
  <c r="H42" i="39"/>
  <c r="K43" i="39"/>
  <c r="H43" i="39"/>
  <c r="K44" i="39"/>
  <c r="H44" i="39"/>
  <c r="K45" i="39"/>
  <c r="H45" i="39"/>
  <c r="K46" i="39"/>
  <c r="H46" i="39"/>
  <c r="K47" i="39"/>
  <c r="H47" i="39"/>
  <c r="K48" i="39"/>
  <c r="H48" i="39"/>
  <c r="K49" i="39"/>
  <c r="H49" i="39"/>
  <c r="K50" i="39"/>
  <c r="H50" i="39"/>
  <c r="K51" i="39"/>
  <c r="H51" i="39"/>
  <c r="K52" i="39"/>
  <c r="H52" i="39"/>
  <c r="K53" i="39"/>
  <c r="H53" i="39"/>
  <c r="K54" i="39"/>
  <c r="H54" i="39"/>
  <c r="K55" i="39"/>
  <c r="H55" i="39"/>
  <c r="K56" i="39"/>
  <c r="H56" i="39"/>
  <c r="K57" i="39"/>
  <c r="H57" i="39"/>
  <c r="K58" i="39"/>
  <c r="H58" i="39"/>
  <c r="K59" i="39"/>
  <c r="H59" i="39"/>
  <c r="K60" i="39"/>
  <c r="H60" i="39"/>
  <c r="K61" i="39"/>
  <c r="H61" i="39"/>
  <c r="K62" i="39"/>
  <c r="H62" i="39"/>
  <c r="K63" i="39"/>
  <c r="H63" i="39"/>
  <c r="K64" i="39"/>
  <c r="H64" i="39"/>
  <c r="K65" i="39"/>
  <c r="H65" i="39"/>
  <c r="K66" i="39"/>
  <c r="H66" i="39"/>
  <c r="K67" i="39"/>
  <c r="H67" i="39"/>
  <c r="K68" i="39"/>
  <c r="H68" i="39"/>
  <c r="K69" i="39"/>
  <c r="H69" i="39"/>
  <c r="K70" i="39"/>
  <c r="H70" i="39"/>
  <c r="K71" i="39"/>
  <c r="H71" i="39"/>
  <c r="K72" i="39"/>
  <c r="H72" i="39"/>
  <c r="K73" i="39"/>
  <c r="H73" i="39"/>
  <c r="K74" i="39"/>
  <c r="H74" i="39"/>
  <c r="K75" i="39"/>
  <c r="H75" i="39"/>
  <c r="K76" i="39"/>
  <c r="H76" i="39"/>
  <c r="K77" i="39"/>
  <c r="H77" i="39"/>
  <c r="K78" i="39"/>
  <c r="H78" i="39"/>
  <c r="K79" i="39"/>
  <c r="H79" i="39"/>
  <c r="K80" i="39"/>
  <c r="H80" i="39"/>
  <c r="K81" i="39"/>
  <c r="H81" i="39"/>
  <c r="K82" i="39"/>
  <c r="H82" i="39"/>
  <c r="K83" i="39"/>
  <c r="H83" i="39"/>
  <c r="K84" i="39"/>
  <c r="H84" i="39"/>
  <c r="K85" i="39"/>
  <c r="H85" i="39"/>
  <c r="K86" i="39"/>
  <c r="H86" i="39"/>
  <c r="K87" i="39"/>
  <c r="H87" i="39"/>
  <c r="K88" i="39"/>
  <c r="H88" i="39"/>
  <c r="K89" i="39"/>
  <c r="H89" i="39"/>
  <c r="K90" i="39"/>
  <c r="H90" i="39"/>
  <c r="K91" i="39"/>
  <c r="H91" i="39"/>
  <c r="K92" i="39"/>
  <c r="H92" i="39"/>
  <c r="K93" i="39"/>
  <c r="H93" i="39"/>
  <c r="K94" i="39"/>
  <c r="H94" i="39"/>
  <c r="K95" i="39"/>
  <c r="H95" i="39"/>
  <c r="K96" i="39"/>
  <c r="H96" i="39"/>
  <c r="K97" i="39"/>
  <c r="H97" i="39"/>
  <c r="K98" i="39"/>
  <c r="H98" i="39"/>
  <c r="K99" i="39"/>
  <c r="H99" i="39"/>
  <c r="K100" i="39"/>
  <c r="H100" i="39"/>
  <c r="K101" i="39"/>
  <c r="H101" i="39"/>
  <c r="K102" i="39"/>
  <c r="H102" i="39"/>
  <c r="K103" i="39"/>
  <c r="H103" i="39"/>
  <c r="K104" i="39"/>
  <c r="H104" i="39"/>
  <c r="K105" i="39"/>
  <c r="H105" i="39"/>
  <c r="K106" i="39"/>
  <c r="H106" i="39"/>
  <c r="K107" i="39"/>
  <c r="H107" i="39"/>
  <c r="K108" i="39"/>
  <c r="H108" i="39"/>
  <c r="K109" i="39"/>
  <c r="H109" i="39"/>
  <c r="K110" i="39"/>
  <c r="H110" i="39"/>
  <c r="K111" i="39"/>
  <c r="H111" i="39"/>
  <c r="K112" i="39"/>
  <c r="H112" i="39"/>
  <c r="K113" i="39"/>
  <c r="H113" i="39"/>
  <c r="K114" i="39"/>
  <c r="H114" i="39"/>
  <c r="K115" i="39"/>
  <c r="H115" i="39"/>
  <c r="K116" i="39"/>
  <c r="H116" i="39"/>
  <c r="K117" i="39"/>
  <c r="H117" i="39"/>
  <c r="K118" i="39"/>
  <c r="H118" i="39"/>
  <c r="K119" i="39"/>
  <c r="H119" i="39"/>
  <c r="K120" i="39"/>
  <c r="H120" i="39"/>
  <c r="K121" i="39"/>
  <c r="H121" i="39"/>
  <c r="K122" i="39"/>
  <c r="H122" i="39"/>
  <c r="K123" i="39"/>
  <c r="H123" i="39"/>
  <c r="K124" i="39"/>
  <c r="H124" i="39"/>
  <c r="K125" i="39"/>
  <c r="H125" i="39"/>
  <c r="K126" i="39"/>
  <c r="H126" i="39"/>
  <c r="K127" i="39"/>
  <c r="H127" i="39"/>
  <c r="K128" i="39"/>
  <c r="H128" i="39"/>
  <c r="K129" i="39"/>
  <c r="H129" i="39"/>
  <c r="K130" i="39"/>
  <c r="H130" i="39"/>
  <c r="K131" i="39"/>
  <c r="H131" i="39"/>
  <c r="K132" i="39"/>
  <c r="H132" i="39"/>
  <c r="K133" i="39"/>
  <c r="H133" i="39"/>
  <c r="K134" i="39"/>
  <c r="H134" i="39"/>
  <c r="K135" i="39"/>
  <c r="H135" i="39"/>
  <c r="K136" i="39"/>
  <c r="H136" i="39"/>
  <c r="K137" i="39"/>
  <c r="H137" i="39"/>
  <c r="K138" i="39"/>
  <c r="H138" i="39"/>
  <c r="K139" i="39"/>
  <c r="H139" i="39"/>
  <c r="K140" i="39"/>
  <c r="H140" i="39"/>
  <c r="K141" i="39"/>
  <c r="H141" i="39"/>
  <c r="K142" i="39"/>
  <c r="H142" i="39"/>
  <c r="K143" i="39"/>
  <c r="H143" i="39"/>
  <c r="K144" i="39"/>
  <c r="H144" i="39"/>
  <c r="K145" i="39"/>
  <c r="H145" i="39"/>
  <c r="K146" i="39"/>
  <c r="H146" i="39"/>
  <c r="K147" i="39"/>
  <c r="H147" i="39"/>
  <c r="K148" i="39"/>
  <c r="H148" i="39"/>
  <c r="K149" i="39"/>
  <c r="H149" i="39"/>
  <c r="K150" i="39"/>
  <c r="H150" i="39"/>
  <c r="K151" i="39"/>
  <c r="H151" i="39"/>
  <c r="K152" i="39"/>
  <c r="H152" i="39"/>
  <c r="K153" i="39"/>
  <c r="H153" i="39"/>
  <c r="K154" i="39"/>
  <c r="H154" i="39"/>
  <c r="K155" i="39"/>
  <c r="H155" i="39"/>
  <c r="K156" i="39"/>
  <c r="H156" i="39"/>
  <c r="K157" i="39"/>
  <c r="H157" i="39"/>
  <c r="K158" i="39"/>
  <c r="H158" i="39"/>
  <c r="K159" i="39"/>
  <c r="H159" i="39"/>
  <c r="K160" i="39"/>
  <c r="H160" i="39"/>
  <c r="K161" i="39"/>
  <c r="H161" i="39"/>
  <c r="K162" i="39"/>
  <c r="H162" i="39"/>
  <c r="K163" i="39"/>
  <c r="H163" i="39"/>
  <c r="K164" i="39"/>
  <c r="H164" i="39"/>
  <c r="K165" i="39"/>
  <c r="H165" i="39"/>
  <c r="K166" i="39"/>
  <c r="H166" i="39"/>
  <c r="K167" i="39"/>
  <c r="H167" i="39"/>
  <c r="K168" i="39"/>
  <c r="H168" i="39"/>
  <c r="K169" i="39"/>
  <c r="H169" i="39"/>
  <c r="K170" i="39"/>
  <c r="H170" i="39"/>
  <c r="K171" i="39"/>
  <c r="H171" i="39"/>
  <c r="K172" i="39"/>
  <c r="H172" i="39"/>
  <c r="K173" i="39"/>
  <c r="H173" i="39"/>
  <c r="K174" i="39"/>
  <c r="H174" i="39"/>
  <c r="K175" i="39"/>
  <c r="H175" i="39"/>
  <c r="K176" i="39"/>
  <c r="H176" i="39"/>
  <c r="K177" i="39"/>
  <c r="H177" i="39"/>
  <c r="K178" i="39"/>
  <c r="H178" i="39"/>
  <c r="K179" i="39"/>
  <c r="H179" i="39"/>
  <c r="K180" i="39"/>
  <c r="H180" i="39"/>
  <c r="K181" i="39"/>
  <c r="H181" i="39"/>
  <c r="K182" i="39"/>
  <c r="H182" i="39"/>
  <c r="K183" i="39"/>
  <c r="H183" i="39"/>
  <c r="K184" i="39"/>
  <c r="H184" i="39"/>
  <c r="K185" i="39"/>
  <c r="H185" i="39"/>
  <c r="K186" i="39"/>
  <c r="H186" i="39"/>
  <c r="K187" i="39"/>
  <c r="H187" i="39"/>
  <c r="K188" i="39"/>
  <c r="H188" i="39"/>
  <c r="K189" i="39"/>
  <c r="H189" i="39"/>
  <c r="K190" i="39"/>
  <c r="H190" i="39"/>
  <c r="K191" i="39"/>
  <c r="H191" i="39"/>
  <c r="K192" i="39"/>
  <c r="H192" i="39"/>
  <c r="K193" i="39"/>
  <c r="H193" i="39"/>
  <c r="K194" i="39"/>
  <c r="H194" i="39"/>
  <c r="K195" i="39"/>
  <c r="H195" i="39"/>
  <c r="K196" i="39"/>
  <c r="H196" i="39"/>
  <c r="K197" i="39"/>
  <c r="H197" i="39"/>
  <c r="K198" i="39"/>
  <c r="H198" i="39"/>
  <c r="K199" i="39"/>
  <c r="H199" i="39"/>
  <c r="K200" i="39"/>
  <c r="H200" i="39"/>
  <c r="K201" i="39"/>
  <c r="H201" i="39"/>
  <c r="K202" i="39"/>
  <c r="H202" i="39"/>
  <c r="K203" i="39"/>
  <c r="H203" i="39"/>
  <c r="K204" i="39"/>
  <c r="H204" i="39"/>
  <c r="K205" i="39"/>
  <c r="H205" i="39"/>
  <c r="K206" i="39"/>
  <c r="H206" i="39"/>
  <c r="K207" i="39"/>
  <c r="H207" i="39"/>
  <c r="K208" i="39"/>
  <c r="H208" i="39"/>
  <c r="K209" i="39"/>
  <c r="H209" i="39"/>
  <c r="K210" i="39"/>
  <c r="H210" i="39"/>
  <c r="K211" i="39"/>
  <c r="H211" i="39"/>
  <c r="K212" i="39"/>
  <c r="H212" i="39"/>
  <c r="K213" i="39"/>
  <c r="H213" i="39"/>
  <c r="K214" i="39"/>
  <c r="H214" i="39"/>
  <c r="K215" i="39"/>
  <c r="H215" i="39"/>
  <c r="K216" i="39"/>
  <c r="H216" i="39"/>
  <c r="K217" i="39"/>
  <c r="H217" i="39"/>
  <c r="K218" i="39"/>
  <c r="H218" i="39"/>
  <c r="K219" i="39"/>
  <c r="H219" i="39"/>
  <c r="K220" i="39"/>
  <c r="H220" i="39"/>
  <c r="K221" i="39"/>
  <c r="H221" i="39"/>
  <c r="K222" i="39"/>
  <c r="H222" i="39"/>
  <c r="K223" i="39"/>
  <c r="H223" i="39"/>
  <c r="K224" i="39"/>
  <c r="H224" i="39"/>
  <c r="K225" i="39"/>
  <c r="H225" i="39"/>
  <c r="K226" i="39"/>
  <c r="H226" i="39"/>
  <c r="K227" i="39"/>
  <c r="H227" i="39"/>
  <c r="K228" i="39"/>
  <c r="H228" i="39"/>
  <c r="K229" i="39"/>
  <c r="H229" i="39"/>
  <c r="K230" i="39"/>
  <c r="H230" i="39"/>
  <c r="K231" i="39"/>
  <c r="H231" i="39"/>
  <c r="K232" i="39"/>
  <c r="H232" i="39"/>
  <c r="K233" i="39"/>
  <c r="H233" i="39"/>
  <c r="K234" i="39"/>
  <c r="H234" i="39"/>
  <c r="K235" i="39"/>
  <c r="H235" i="39"/>
  <c r="K236" i="39"/>
  <c r="H236" i="39"/>
  <c r="K237" i="39"/>
  <c r="H237" i="39"/>
  <c r="K238" i="39"/>
  <c r="H238" i="39"/>
  <c r="K239" i="39"/>
  <c r="H239" i="39"/>
  <c r="K240" i="39"/>
  <c r="H240" i="39"/>
  <c r="K241" i="39"/>
  <c r="H241" i="39"/>
  <c r="K242" i="39"/>
  <c r="H242" i="39"/>
  <c r="K243" i="39"/>
  <c r="H243" i="39"/>
  <c r="K244" i="39"/>
  <c r="H244" i="39"/>
  <c r="K245" i="39"/>
  <c r="H245" i="39"/>
  <c r="K246" i="39"/>
  <c r="H246" i="39"/>
  <c r="K247" i="39"/>
  <c r="H247" i="39"/>
  <c r="K248" i="39"/>
  <c r="H248" i="39"/>
  <c r="K249" i="39"/>
  <c r="H249" i="39"/>
  <c r="K250" i="39"/>
  <c r="H250" i="39"/>
  <c r="K251" i="39"/>
  <c r="H251" i="39"/>
  <c r="K252" i="39"/>
  <c r="H252" i="39"/>
  <c r="K253" i="39"/>
  <c r="H253" i="39"/>
  <c r="K254" i="39"/>
  <c r="H254" i="39"/>
  <c r="K255" i="39"/>
  <c r="H255" i="39"/>
  <c r="K256" i="39"/>
  <c r="H256" i="39"/>
  <c r="K257" i="39"/>
  <c r="H257" i="39"/>
  <c r="K258" i="39"/>
  <c r="H258" i="39"/>
  <c r="K259" i="39"/>
  <c r="H259" i="39"/>
  <c r="K260" i="39"/>
  <c r="H260" i="39"/>
  <c r="K261" i="39"/>
  <c r="H261" i="39"/>
  <c r="K262" i="39"/>
  <c r="H262" i="39"/>
  <c r="K263" i="39"/>
  <c r="H263" i="39"/>
  <c r="K264" i="39"/>
  <c r="H264" i="39"/>
  <c r="K265" i="39"/>
  <c r="H265" i="39"/>
  <c r="K266" i="39"/>
  <c r="H266" i="39"/>
  <c r="K267" i="39"/>
  <c r="H267" i="39"/>
  <c r="K268" i="39"/>
  <c r="H268" i="39"/>
  <c r="K269" i="39"/>
  <c r="H269" i="39"/>
  <c r="K270" i="39"/>
  <c r="H270" i="39"/>
  <c r="K271" i="39"/>
  <c r="H271" i="39"/>
  <c r="K272" i="39"/>
  <c r="H272" i="39"/>
  <c r="K273" i="39"/>
  <c r="H273" i="39"/>
  <c r="K274" i="39"/>
  <c r="H274" i="39"/>
  <c r="K275" i="39"/>
  <c r="H275" i="39"/>
  <c r="K276" i="39"/>
  <c r="H276" i="39"/>
  <c r="K277" i="39"/>
  <c r="H277" i="39"/>
  <c r="K278" i="39"/>
  <c r="H278" i="39"/>
  <c r="K279" i="39"/>
  <c r="H279" i="39"/>
  <c r="K280" i="39"/>
  <c r="H280" i="39"/>
  <c r="K281" i="39"/>
  <c r="H281" i="39"/>
  <c r="K282" i="39"/>
  <c r="H282" i="39"/>
  <c r="K283" i="39"/>
  <c r="H283" i="39"/>
  <c r="K284" i="39"/>
  <c r="H284" i="39"/>
  <c r="K285" i="39"/>
  <c r="H285" i="39"/>
  <c r="K286" i="39"/>
  <c r="H286" i="39"/>
  <c r="K287" i="39"/>
  <c r="H287" i="39"/>
  <c r="K288" i="39"/>
  <c r="H288" i="39"/>
  <c r="K289" i="39"/>
  <c r="H289" i="39"/>
  <c r="K290" i="39"/>
  <c r="H290" i="39"/>
  <c r="K291" i="39"/>
  <c r="H291" i="39"/>
  <c r="K292" i="39"/>
  <c r="H292" i="39"/>
  <c r="K293" i="39"/>
  <c r="H293" i="39"/>
  <c r="K294" i="39"/>
  <c r="H294" i="39"/>
  <c r="K295" i="39"/>
  <c r="H295" i="39"/>
  <c r="K296" i="39"/>
  <c r="H296" i="39"/>
  <c r="K297" i="39"/>
  <c r="H297" i="39"/>
  <c r="K298" i="39"/>
  <c r="H298" i="39"/>
  <c r="K299" i="39"/>
  <c r="H299" i="39"/>
  <c r="K300" i="39"/>
  <c r="H300" i="39"/>
  <c r="K301" i="39"/>
  <c r="H301" i="39"/>
  <c r="K302" i="39"/>
  <c r="H302" i="39"/>
  <c r="K303" i="39"/>
  <c r="H303" i="39"/>
  <c r="K304" i="39"/>
  <c r="H304" i="39"/>
  <c r="K305" i="39"/>
  <c r="H305" i="39"/>
  <c r="K306" i="39"/>
  <c r="H306" i="39"/>
  <c r="K307" i="39"/>
  <c r="H307" i="39"/>
  <c r="K308" i="39"/>
  <c r="H308" i="39"/>
  <c r="K309" i="39"/>
  <c r="H309" i="39"/>
  <c r="K310" i="39"/>
  <c r="H310" i="39"/>
  <c r="K311" i="39"/>
  <c r="H311" i="39"/>
  <c r="K312" i="39"/>
  <c r="H312" i="39"/>
  <c r="K313" i="39"/>
  <c r="H313" i="39"/>
  <c r="K314" i="39"/>
  <c r="H314" i="39"/>
  <c r="K315" i="39"/>
  <c r="H315" i="39"/>
  <c r="K316" i="39"/>
  <c r="H316" i="39"/>
  <c r="K317" i="39"/>
  <c r="H317" i="39"/>
  <c r="K318" i="39"/>
  <c r="H318" i="39"/>
  <c r="K319" i="39"/>
  <c r="H319" i="39"/>
  <c r="K320" i="39"/>
  <c r="H320" i="39"/>
  <c r="K321" i="39"/>
  <c r="H321" i="39"/>
  <c r="K322" i="39"/>
  <c r="H322" i="39"/>
  <c r="K323" i="39"/>
  <c r="H323" i="39"/>
  <c r="K324" i="39"/>
  <c r="H324" i="39"/>
  <c r="K325" i="39"/>
  <c r="H325" i="39"/>
  <c r="K326" i="39"/>
  <c r="H326" i="39"/>
  <c r="K327" i="39"/>
  <c r="H327" i="39"/>
  <c r="K328" i="39"/>
  <c r="H328" i="39"/>
  <c r="K329" i="39"/>
  <c r="H329" i="39"/>
  <c r="K330" i="39"/>
  <c r="H330" i="39"/>
  <c r="K331" i="39"/>
  <c r="H331" i="39"/>
  <c r="K332" i="39"/>
  <c r="H332" i="39"/>
  <c r="K333" i="39"/>
  <c r="H333" i="39"/>
  <c r="K334" i="39"/>
  <c r="H334" i="39"/>
  <c r="K335" i="39"/>
  <c r="H335" i="39"/>
  <c r="K336" i="39"/>
  <c r="H336" i="39"/>
  <c r="K337" i="39"/>
  <c r="H337" i="39"/>
  <c r="K338" i="39"/>
  <c r="H338" i="39"/>
  <c r="K339" i="39"/>
  <c r="H339" i="39"/>
  <c r="K340" i="39"/>
  <c r="H340" i="39"/>
  <c r="K341" i="39"/>
  <c r="H341" i="39"/>
  <c r="K342" i="39"/>
  <c r="H342" i="39"/>
  <c r="K343" i="39"/>
  <c r="H343" i="39"/>
  <c r="K344" i="39"/>
  <c r="H344" i="39"/>
  <c r="K345" i="39"/>
  <c r="H345" i="39"/>
  <c r="K346" i="39"/>
  <c r="H346" i="39"/>
  <c r="K347" i="39"/>
  <c r="H347" i="39"/>
  <c r="K348" i="39"/>
  <c r="H348" i="39"/>
  <c r="K349" i="39"/>
  <c r="H349" i="39"/>
  <c r="K350" i="39"/>
  <c r="H350" i="39"/>
  <c r="K351" i="39"/>
  <c r="H351" i="39"/>
  <c r="K352" i="39"/>
  <c r="H352" i="39"/>
  <c r="K353" i="39"/>
  <c r="H353" i="39"/>
  <c r="K354" i="39"/>
  <c r="H354" i="39"/>
  <c r="K355" i="39"/>
  <c r="H355" i="39"/>
  <c r="K356" i="39"/>
  <c r="H356" i="39"/>
  <c r="K357" i="39"/>
  <c r="H357" i="39"/>
  <c r="K358" i="39"/>
  <c r="H358" i="39"/>
  <c r="K359" i="39"/>
  <c r="H359" i="39"/>
  <c r="K360" i="39"/>
  <c r="H360" i="39"/>
  <c r="K361" i="39"/>
  <c r="H361" i="39"/>
  <c r="H362" i="39"/>
  <c r="H363" i="39"/>
  <c r="H364" i="39"/>
  <c r="H365" i="39"/>
  <c r="H366" i="39"/>
  <c r="H367" i="39"/>
  <c r="H368" i="39"/>
  <c r="H369" i="39"/>
  <c r="H370" i="39"/>
  <c r="H371" i="39"/>
  <c r="H372" i="39"/>
  <c r="H373" i="39"/>
  <c r="H374" i="39"/>
  <c r="H375" i="39"/>
  <c r="H376" i="39"/>
  <c r="H377" i="39"/>
  <c r="H378" i="39"/>
  <c r="H379" i="39"/>
  <c r="K380" i="39"/>
  <c r="H380" i="39"/>
  <c r="K381" i="39"/>
  <c r="H381" i="39"/>
  <c r="K382" i="39"/>
  <c r="H382" i="39"/>
  <c r="K383" i="39"/>
  <c r="H383" i="39"/>
  <c r="K384" i="39"/>
  <c r="H384" i="39"/>
  <c r="K385" i="39"/>
  <c r="H385" i="39"/>
  <c r="K386" i="39"/>
  <c r="H386" i="39"/>
  <c r="K387" i="39"/>
  <c r="H387" i="39"/>
  <c r="K388" i="39"/>
  <c r="H388" i="39"/>
  <c r="K389" i="39"/>
  <c r="H389" i="39"/>
  <c r="K390" i="39"/>
  <c r="H390" i="39"/>
  <c r="K391" i="39"/>
  <c r="H391" i="39"/>
  <c r="K392" i="39"/>
  <c r="H392" i="39"/>
  <c r="K393" i="39"/>
  <c r="H393" i="39"/>
  <c r="K394" i="39"/>
  <c r="H394" i="39"/>
  <c r="K395" i="39"/>
  <c r="H395" i="39"/>
  <c r="K396" i="39"/>
  <c r="H396" i="39"/>
  <c r="H397" i="39"/>
  <c r="K398" i="39"/>
  <c r="H398" i="39"/>
  <c r="K399" i="39"/>
  <c r="H399" i="39"/>
  <c r="K400" i="39"/>
  <c r="H400" i="39"/>
  <c r="K401" i="39"/>
  <c r="H401" i="39"/>
  <c r="K402" i="39"/>
  <c r="H402" i="39"/>
  <c r="K403" i="39"/>
  <c r="H403" i="39"/>
  <c r="K404" i="39"/>
  <c r="H404" i="39"/>
  <c r="K405" i="39"/>
  <c r="H405" i="39"/>
  <c r="K406" i="39"/>
  <c r="H406" i="39"/>
  <c r="K407" i="39"/>
  <c r="H407" i="39"/>
  <c r="K408" i="39"/>
  <c r="H408" i="39"/>
  <c r="K409" i="39"/>
  <c r="H409" i="39"/>
  <c r="K410" i="39"/>
  <c r="H410" i="39"/>
  <c r="K411" i="39"/>
  <c r="H411" i="39"/>
  <c r="K412" i="39"/>
  <c r="H412" i="39"/>
  <c r="K413" i="39"/>
  <c r="H413" i="39"/>
  <c r="K414" i="39"/>
  <c r="H414" i="39"/>
  <c r="H415" i="39"/>
  <c r="K416" i="39"/>
  <c r="H416" i="39"/>
  <c r="K417" i="39"/>
  <c r="H417" i="39"/>
  <c r="K418" i="39"/>
  <c r="H418" i="39"/>
  <c r="K419" i="39"/>
  <c r="H419" i="39"/>
  <c r="K420" i="39"/>
  <c r="H420" i="39"/>
  <c r="K421" i="39"/>
  <c r="H421" i="39"/>
  <c r="K422" i="39"/>
  <c r="H422" i="39"/>
  <c r="K423" i="39"/>
  <c r="H423" i="39"/>
  <c r="K424" i="39"/>
  <c r="H424" i="39"/>
  <c r="K425" i="39"/>
  <c r="H425" i="39"/>
  <c r="K426" i="39"/>
  <c r="H426" i="39"/>
  <c r="K427" i="39"/>
  <c r="H427" i="39"/>
  <c r="K428" i="39"/>
  <c r="H428" i="39"/>
  <c r="K429" i="39"/>
  <c r="H429" i="39"/>
  <c r="K430" i="39"/>
  <c r="H430" i="39"/>
  <c r="K431" i="39"/>
  <c r="H431" i="39"/>
  <c r="K432" i="39"/>
  <c r="H432" i="39"/>
  <c r="H433" i="39"/>
  <c r="K434" i="39"/>
  <c r="H434" i="39"/>
  <c r="K435" i="39"/>
  <c r="H435" i="39"/>
  <c r="K436" i="39"/>
  <c r="H436" i="39"/>
  <c r="K437" i="39"/>
  <c r="H437" i="39"/>
  <c r="K438" i="39"/>
  <c r="H438" i="39"/>
  <c r="K439" i="39"/>
  <c r="H439" i="39"/>
  <c r="K440" i="39"/>
  <c r="H440" i="39"/>
  <c r="K441" i="39"/>
  <c r="H441" i="39"/>
  <c r="K442" i="39"/>
  <c r="H442" i="39"/>
  <c r="K443" i="39"/>
  <c r="H443" i="39"/>
  <c r="K444" i="39"/>
  <c r="H444" i="39"/>
  <c r="K445" i="39"/>
  <c r="H445" i="39"/>
  <c r="K446" i="39"/>
  <c r="H446" i="39"/>
  <c r="K447" i="39"/>
  <c r="H447" i="39"/>
  <c r="K448" i="39"/>
  <c r="H448" i="39"/>
  <c r="K449" i="39"/>
  <c r="H449" i="39"/>
  <c r="K450" i="39"/>
  <c r="H450" i="39"/>
  <c r="H451" i="39"/>
  <c r="K452" i="39"/>
  <c r="H452" i="39"/>
  <c r="K453" i="39"/>
  <c r="H453" i="39"/>
  <c r="K454" i="39"/>
  <c r="H454" i="39"/>
  <c r="K455" i="39"/>
  <c r="H455" i="39"/>
  <c r="K456" i="39"/>
  <c r="H456" i="39"/>
  <c r="K457" i="39"/>
  <c r="H457" i="39"/>
  <c r="K458" i="39"/>
  <c r="H458" i="39"/>
  <c r="K459" i="39"/>
  <c r="H459" i="39"/>
  <c r="K460" i="39"/>
  <c r="H460" i="39"/>
  <c r="K461" i="39"/>
  <c r="H461" i="39"/>
  <c r="K462" i="39"/>
  <c r="H462" i="39"/>
  <c r="K463" i="39"/>
  <c r="H463" i="39"/>
  <c r="K464" i="39"/>
  <c r="H464" i="39"/>
  <c r="K465" i="39"/>
  <c r="H465" i="39"/>
  <c r="K466" i="39"/>
  <c r="H466" i="39"/>
  <c r="K467" i="39"/>
  <c r="H467" i="39"/>
  <c r="K468" i="39"/>
  <c r="H468" i="39"/>
  <c r="H469" i="39"/>
  <c r="K470" i="39"/>
  <c r="H470" i="39"/>
  <c r="K471" i="39"/>
  <c r="H471" i="39"/>
  <c r="K472" i="39"/>
  <c r="H472" i="39"/>
  <c r="K473" i="39"/>
  <c r="H473" i="39"/>
  <c r="K474" i="39"/>
  <c r="H474" i="39"/>
  <c r="K475" i="39"/>
  <c r="H475" i="39"/>
  <c r="K476" i="39"/>
  <c r="H476" i="39"/>
  <c r="K477" i="39"/>
  <c r="H477" i="39"/>
  <c r="K478" i="39"/>
  <c r="H478" i="39"/>
  <c r="K479" i="39"/>
  <c r="H479" i="39"/>
  <c r="K480" i="39"/>
  <c r="H480" i="39"/>
  <c r="K481" i="39"/>
  <c r="H481" i="39"/>
  <c r="K482" i="39"/>
  <c r="H482" i="39"/>
  <c r="K483" i="39"/>
  <c r="H483" i="39"/>
  <c r="K484" i="39"/>
  <c r="H484" i="39"/>
  <c r="K485" i="39"/>
  <c r="H485" i="39"/>
  <c r="K486" i="39"/>
  <c r="H486" i="39"/>
  <c r="H487" i="39"/>
  <c r="K488" i="39"/>
  <c r="H488" i="39"/>
  <c r="K489" i="39"/>
  <c r="H489" i="39"/>
  <c r="K490" i="39"/>
  <c r="H490" i="39"/>
  <c r="K491" i="39"/>
  <c r="H491" i="39"/>
  <c r="K492" i="39"/>
  <c r="H492" i="39"/>
  <c r="K493" i="39"/>
  <c r="H493" i="39"/>
  <c r="K494" i="39"/>
  <c r="H494" i="39"/>
  <c r="K495" i="39"/>
  <c r="H495" i="39"/>
  <c r="K496" i="39"/>
  <c r="H496" i="39"/>
  <c r="K497" i="39"/>
  <c r="H497" i="39"/>
  <c r="K498" i="39"/>
  <c r="H498" i="39"/>
  <c r="K499" i="39"/>
  <c r="H499" i="39"/>
  <c r="K500" i="39"/>
  <c r="H500" i="39"/>
  <c r="K501" i="39"/>
  <c r="H501" i="39"/>
  <c r="K502" i="39"/>
  <c r="H502" i="39"/>
  <c r="K503" i="39"/>
  <c r="H503" i="39"/>
  <c r="K504" i="39"/>
  <c r="H504" i="39"/>
  <c r="H505" i="39"/>
  <c r="K506" i="39"/>
  <c r="H506" i="39"/>
  <c r="K507" i="39"/>
  <c r="H507" i="39"/>
  <c r="K508" i="39"/>
  <c r="H508" i="39"/>
  <c r="K509" i="39"/>
  <c r="H509" i="39"/>
  <c r="K510" i="39"/>
  <c r="H510" i="39"/>
  <c r="K511" i="39"/>
  <c r="H511" i="39"/>
  <c r="K512" i="39"/>
  <c r="H512" i="39"/>
  <c r="K513" i="39"/>
  <c r="H513" i="39"/>
  <c r="K514" i="39"/>
  <c r="H514" i="39"/>
  <c r="K515" i="39"/>
  <c r="H515" i="39"/>
  <c r="K516" i="39"/>
  <c r="H516" i="39"/>
  <c r="K517" i="39"/>
  <c r="H517" i="39"/>
  <c r="K518" i="39"/>
  <c r="H518" i="39"/>
  <c r="K519" i="39"/>
  <c r="H519" i="39"/>
  <c r="K520" i="39"/>
  <c r="H520" i="39"/>
  <c r="K521" i="39"/>
  <c r="H521" i="39"/>
  <c r="K522" i="39"/>
  <c r="H522" i="39"/>
  <c r="H523" i="39"/>
  <c r="K524" i="39"/>
  <c r="H524" i="39"/>
  <c r="K525" i="39"/>
  <c r="H525" i="39"/>
  <c r="K526" i="39"/>
  <c r="H526" i="39"/>
  <c r="K527" i="39"/>
  <c r="H527" i="39"/>
  <c r="K528" i="39"/>
  <c r="H528" i="39"/>
  <c r="K529" i="39"/>
  <c r="H529" i="39"/>
  <c r="K530" i="39"/>
  <c r="H530" i="39"/>
  <c r="K531" i="39"/>
  <c r="H531" i="39"/>
  <c r="K532" i="39"/>
  <c r="H532" i="39"/>
  <c r="K533" i="39"/>
  <c r="H533" i="39"/>
  <c r="K534" i="39"/>
  <c r="H534" i="39"/>
  <c r="K535" i="39"/>
  <c r="H535" i="39"/>
  <c r="K536" i="39"/>
  <c r="H536" i="39"/>
  <c r="K537" i="39"/>
  <c r="H537" i="39"/>
  <c r="K538" i="39"/>
  <c r="H538" i="39"/>
  <c r="K539" i="39"/>
  <c r="H539" i="39"/>
  <c r="K540" i="39"/>
  <c r="H540" i="39"/>
  <c r="H541" i="39"/>
  <c r="K542" i="39"/>
  <c r="H542" i="39"/>
  <c r="K543" i="39"/>
  <c r="H543" i="39"/>
  <c r="K544" i="39"/>
  <c r="H544" i="39"/>
  <c r="K545" i="39"/>
  <c r="H545" i="39"/>
  <c r="K546" i="39"/>
  <c r="H546" i="39"/>
  <c r="K547" i="39"/>
  <c r="H547" i="39"/>
  <c r="K548" i="39"/>
  <c r="H548" i="39"/>
  <c r="K549" i="39"/>
  <c r="H549" i="39"/>
  <c r="K550" i="39"/>
  <c r="H550" i="39"/>
  <c r="K551" i="39"/>
  <c r="H551" i="39"/>
  <c r="K552" i="39"/>
  <c r="H552" i="39"/>
  <c r="K553" i="39"/>
  <c r="H553" i="39"/>
  <c r="K554" i="39"/>
  <c r="H554" i="39"/>
  <c r="K555" i="39"/>
  <c r="H555" i="39"/>
  <c r="K556" i="39"/>
  <c r="H556" i="39"/>
  <c r="K557" i="39"/>
  <c r="H557" i="39"/>
  <c r="K558" i="39"/>
  <c r="H558" i="39"/>
  <c r="H559" i="39"/>
  <c r="K560" i="39"/>
  <c r="H560" i="39"/>
  <c r="K561" i="39"/>
  <c r="H561" i="39"/>
  <c r="K562" i="39"/>
  <c r="H562" i="39"/>
  <c r="K563" i="39"/>
  <c r="H563" i="39"/>
  <c r="K564" i="39"/>
  <c r="H564" i="39"/>
  <c r="K565" i="39"/>
  <c r="H565" i="39"/>
  <c r="K566" i="39"/>
  <c r="H566" i="39"/>
  <c r="K567" i="39"/>
  <c r="H567" i="39"/>
  <c r="K568" i="39"/>
  <c r="H568" i="39"/>
  <c r="K569" i="39"/>
  <c r="H569" i="39"/>
  <c r="K570" i="39"/>
  <c r="H570" i="39"/>
  <c r="K571" i="39"/>
  <c r="H571" i="39"/>
  <c r="K572" i="39"/>
  <c r="H572" i="39"/>
  <c r="K573" i="39"/>
  <c r="H573" i="39"/>
  <c r="K574" i="39"/>
  <c r="H574" i="39"/>
  <c r="K575" i="39"/>
  <c r="H575" i="39"/>
  <c r="K576" i="39"/>
  <c r="H576" i="39"/>
  <c r="H577" i="39"/>
  <c r="K578" i="39"/>
  <c r="H578" i="39"/>
  <c r="K579" i="39"/>
  <c r="H579" i="39"/>
  <c r="K580" i="39"/>
  <c r="H580" i="39"/>
  <c r="K581" i="39"/>
  <c r="H581" i="39"/>
  <c r="K582" i="39"/>
  <c r="H582" i="39"/>
  <c r="K583" i="39"/>
  <c r="H583" i="39"/>
  <c r="K584" i="39"/>
  <c r="H584" i="39"/>
  <c r="K585" i="39"/>
  <c r="H585" i="39"/>
  <c r="K586" i="39"/>
  <c r="H586" i="39"/>
  <c r="K587" i="39"/>
  <c r="H587" i="39"/>
  <c r="K588" i="39"/>
  <c r="H588" i="39"/>
  <c r="K589" i="39"/>
  <c r="H589" i="39"/>
  <c r="K590" i="39"/>
  <c r="H590" i="39"/>
  <c r="K591" i="39"/>
  <c r="H591" i="39"/>
  <c r="K592" i="39"/>
  <c r="H592" i="39"/>
  <c r="K593" i="39"/>
  <c r="H593" i="39"/>
  <c r="K594" i="39"/>
  <c r="H594" i="39"/>
  <c r="H595" i="39"/>
  <c r="K596" i="39"/>
  <c r="H596" i="39"/>
  <c r="K597" i="39"/>
  <c r="H597" i="39"/>
  <c r="K598" i="39"/>
  <c r="H598" i="39"/>
  <c r="K599" i="39"/>
  <c r="H599" i="39"/>
  <c r="K600" i="39"/>
  <c r="H600" i="39"/>
  <c r="K601" i="39"/>
  <c r="H601" i="39"/>
  <c r="K602" i="39"/>
  <c r="H602" i="39"/>
  <c r="K603" i="39"/>
  <c r="H603" i="39"/>
  <c r="K604" i="39"/>
  <c r="H604" i="39"/>
  <c r="K605" i="39"/>
  <c r="H605" i="39"/>
  <c r="K606" i="39"/>
  <c r="H606" i="39"/>
  <c r="K607" i="39"/>
  <c r="H607" i="39"/>
  <c r="K608" i="39"/>
  <c r="H608" i="39"/>
  <c r="K609" i="39"/>
  <c r="H609" i="39"/>
  <c r="K610" i="39"/>
  <c r="H610" i="39"/>
  <c r="K611" i="39"/>
  <c r="H611" i="39"/>
  <c r="K612" i="39"/>
  <c r="H612" i="39"/>
  <c r="H613" i="39"/>
  <c r="K614" i="39"/>
  <c r="H614" i="39"/>
  <c r="K615" i="39"/>
  <c r="H615" i="39"/>
  <c r="K616" i="39"/>
  <c r="H616" i="39"/>
  <c r="K617" i="39"/>
  <c r="H617" i="39"/>
  <c r="K618" i="39"/>
  <c r="H618" i="39"/>
  <c r="K619" i="39"/>
  <c r="H619" i="39"/>
  <c r="K620" i="39"/>
  <c r="H620" i="39"/>
  <c r="K621" i="39"/>
  <c r="H621" i="39"/>
  <c r="K622" i="39"/>
  <c r="H622" i="39"/>
  <c r="K623" i="39"/>
  <c r="H623" i="39"/>
  <c r="K624" i="39"/>
  <c r="H624" i="39"/>
  <c r="K625" i="39"/>
  <c r="H625" i="39"/>
  <c r="K626" i="39"/>
  <c r="H626" i="39"/>
  <c r="K627" i="39"/>
  <c r="H627" i="39"/>
  <c r="K628" i="39"/>
  <c r="H628" i="39"/>
  <c r="K629" i="39"/>
  <c r="H629" i="39"/>
  <c r="K630" i="39"/>
  <c r="H630" i="39"/>
  <c r="H631" i="39"/>
  <c r="K632" i="39"/>
  <c r="H632" i="39"/>
  <c r="K633" i="39"/>
  <c r="H633" i="39"/>
  <c r="K634" i="39"/>
  <c r="H634" i="39"/>
  <c r="K635" i="39"/>
  <c r="H635" i="39"/>
  <c r="K636" i="39"/>
  <c r="H636" i="39"/>
  <c r="K637" i="39"/>
  <c r="H637" i="39"/>
  <c r="K638" i="39"/>
  <c r="H638" i="39"/>
  <c r="K639" i="39"/>
  <c r="H639" i="39"/>
  <c r="K640" i="39"/>
  <c r="H640" i="39"/>
  <c r="K641" i="39"/>
  <c r="H641" i="39"/>
  <c r="K642" i="39"/>
  <c r="H642" i="39"/>
  <c r="K643" i="39"/>
  <c r="H643" i="39"/>
  <c r="K644" i="39"/>
  <c r="H644" i="39"/>
  <c r="K645" i="39"/>
  <c r="H645" i="39"/>
  <c r="K646" i="39"/>
  <c r="H646" i="39"/>
  <c r="K647" i="39"/>
  <c r="H647" i="39"/>
  <c r="K648" i="39"/>
  <c r="H648" i="39"/>
  <c r="H649" i="39"/>
  <c r="K650" i="39"/>
  <c r="H650" i="39"/>
  <c r="K651" i="39"/>
  <c r="H651" i="39"/>
  <c r="K652" i="39"/>
  <c r="H652" i="39"/>
  <c r="K653" i="39"/>
  <c r="H653" i="39"/>
  <c r="K654" i="39"/>
  <c r="H654" i="39"/>
  <c r="K655" i="39"/>
  <c r="H655" i="39"/>
  <c r="K656" i="39"/>
  <c r="H656" i="39"/>
  <c r="K657" i="39"/>
  <c r="H657" i="39"/>
  <c r="K658" i="39"/>
  <c r="H658" i="39"/>
  <c r="K659" i="39"/>
  <c r="H659" i="39"/>
  <c r="K660" i="39"/>
  <c r="H660" i="39"/>
  <c r="K661" i="39"/>
  <c r="H661" i="39"/>
  <c r="K662" i="39"/>
  <c r="H662" i="39"/>
  <c r="K663" i="39"/>
  <c r="H663" i="39"/>
  <c r="K664" i="39"/>
  <c r="H664" i="39"/>
  <c r="K665" i="39"/>
  <c r="H665" i="39"/>
  <c r="K666" i="39"/>
  <c r="H666" i="39"/>
  <c r="H667" i="39"/>
  <c r="K668" i="39"/>
  <c r="H668" i="39"/>
  <c r="K669" i="39"/>
  <c r="H669" i="39"/>
  <c r="K670" i="39"/>
  <c r="H670" i="39"/>
  <c r="K671" i="39"/>
  <c r="H671" i="39"/>
  <c r="K672" i="39"/>
  <c r="H672" i="39"/>
  <c r="K673" i="39"/>
  <c r="H673" i="39"/>
  <c r="K674" i="39"/>
  <c r="H674" i="39"/>
  <c r="K675" i="39"/>
  <c r="H675" i="39"/>
  <c r="K676" i="39"/>
  <c r="H676" i="39"/>
  <c r="K677" i="39"/>
  <c r="H677" i="39"/>
  <c r="K678" i="39"/>
  <c r="H678" i="39"/>
  <c r="K679" i="39"/>
  <c r="H679" i="39"/>
  <c r="K680" i="39"/>
  <c r="H680" i="39"/>
  <c r="K681" i="39"/>
  <c r="H681" i="39"/>
  <c r="K682" i="39"/>
  <c r="H682" i="39"/>
  <c r="K683" i="39"/>
  <c r="H683" i="39"/>
  <c r="K684" i="39"/>
  <c r="H684" i="39"/>
  <c r="H685" i="39"/>
  <c r="K686" i="39"/>
  <c r="H686" i="39"/>
  <c r="K687" i="39"/>
  <c r="H687" i="39"/>
  <c r="K688" i="39"/>
  <c r="H688" i="39"/>
  <c r="K689" i="39"/>
  <c r="H689" i="39"/>
  <c r="K690" i="39"/>
  <c r="H690" i="39"/>
  <c r="K691" i="39"/>
  <c r="H691" i="39"/>
  <c r="K692" i="39"/>
  <c r="H692" i="39"/>
  <c r="K693" i="39"/>
  <c r="H693" i="39"/>
  <c r="K694" i="39"/>
  <c r="H694" i="39"/>
  <c r="K695" i="39"/>
  <c r="H695" i="39"/>
  <c r="K696" i="39"/>
  <c r="H696" i="39"/>
  <c r="K697" i="39"/>
  <c r="H697" i="39"/>
  <c r="K698" i="39"/>
  <c r="H698" i="39"/>
  <c r="K699" i="39"/>
  <c r="H699" i="39"/>
  <c r="K700" i="39"/>
  <c r="H700" i="39"/>
  <c r="K701" i="39"/>
  <c r="H701" i="39"/>
  <c r="K702" i="39"/>
  <c r="H702" i="39"/>
  <c r="H703" i="39"/>
  <c r="K704" i="39"/>
  <c r="H704" i="39"/>
  <c r="K705" i="39"/>
  <c r="H705" i="39"/>
  <c r="K706" i="39"/>
  <c r="H706" i="39"/>
  <c r="K707" i="39"/>
  <c r="H707" i="39"/>
  <c r="K708" i="39"/>
  <c r="H708" i="39"/>
  <c r="K709" i="39"/>
  <c r="H709" i="39"/>
  <c r="K710" i="39"/>
  <c r="H710" i="39"/>
  <c r="K711" i="39"/>
  <c r="H711" i="39"/>
  <c r="K712" i="39"/>
  <c r="H712" i="39"/>
  <c r="K713" i="39"/>
  <c r="H713" i="39"/>
  <c r="K714" i="39"/>
  <c r="H714" i="39"/>
  <c r="K715" i="39"/>
  <c r="H715" i="39"/>
  <c r="K716" i="39"/>
  <c r="H716" i="39"/>
  <c r="K717" i="39"/>
  <c r="H717" i="39"/>
  <c r="K718" i="39"/>
  <c r="H718" i="39"/>
  <c r="K719" i="39"/>
  <c r="H719" i="39"/>
  <c r="K720" i="39"/>
  <c r="H720"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G721" i="39"/>
  <c r="E721" i="39"/>
  <c r="B721" i="39"/>
  <c r="A721" i="39"/>
  <c r="I720" i="39"/>
  <c r="G720" i="39"/>
  <c r="E720" i="39"/>
  <c r="B720" i="39"/>
  <c r="A720" i="39"/>
  <c r="I719" i="39"/>
  <c r="G719" i="39"/>
  <c r="E719" i="39"/>
  <c r="B719" i="39"/>
  <c r="A719" i="39"/>
  <c r="I718" i="39"/>
  <c r="G718" i="39"/>
  <c r="E718" i="39"/>
  <c r="B718" i="39"/>
  <c r="A718" i="39"/>
  <c r="I717" i="39"/>
  <c r="G717" i="39"/>
  <c r="E717" i="39"/>
  <c r="B717" i="39"/>
  <c r="A717" i="39"/>
  <c r="I716" i="39"/>
  <c r="G716" i="39"/>
  <c r="E716" i="39"/>
  <c r="B716" i="39"/>
  <c r="A716" i="39"/>
  <c r="I715" i="39"/>
  <c r="G715" i="39"/>
  <c r="E715" i="39"/>
  <c r="B715" i="39"/>
  <c r="A715" i="39"/>
  <c r="I714" i="39"/>
  <c r="G714" i="39"/>
  <c r="E714" i="39"/>
  <c r="B714" i="39"/>
  <c r="A714" i="39"/>
  <c r="I713" i="39"/>
  <c r="G713" i="39"/>
  <c r="E713" i="39"/>
  <c r="B713" i="39"/>
  <c r="A713" i="39"/>
  <c r="I712" i="39"/>
  <c r="G712" i="39"/>
  <c r="E712" i="39"/>
  <c r="B712" i="39"/>
  <c r="A712" i="39"/>
  <c r="I711" i="39"/>
  <c r="G711" i="39"/>
  <c r="E711" i="39"/>
  <c r="B711" i="39"/>
  <c r="A711" i="39"/>
  <c r="I710" i="39"/>
  <c r="G710" i="39"/>
  <c r="E710" i="39"/>
  <c r="B710" i="39"/>
  <c r="A710" i="39"/>
  <c r="I709" i="39"/>
  <c r="G709" i="39"/>
  <c r="E709" i="39"/>
  <c r="B709" i="39"/>
  <c r="A709" i="39"/>
  <c r="I708" i="39"/>
  <c r="G708" i="39"/>
  <c r="E708" i="39"/>
  <c r="B708" i="39"/>
  <c r="A708" i="39"/>
  <c r="I707" i="39"/>
  <c r="G707" i="39"/>
  <c r="E707" i="39"/>
  <c r="B707" i="39"/>
  <c r="A707" i="39"/>
  <c r="I706" i="39"/>
  <c r="G706" i="39"/>
  <c r="E706" i="39"/>
  <c r="B706" i="39"/>
  <c r="A706" i="39"/>
  <c r="I705" i="39"/>
  <c r="G705" i="39"/>
  <c r="E705" i="39"/>
  <c r="B705" i="39"/>
  <c r="A705" i="39"/>
  <c r="I704" i="39"/>
  <c r="G704" i="39"/>
  <c r="E704" i="39"/>
  <c r="B704" i="39"/>
  <c r="A704" i="39"/>
  <c r="I703" i="39"/>
  <c r="G703" i="39"/>
  <c r="E703" i="39"/>
  <c r="B703" i="39"/>
  <c r="A703" i="39"/>
  <c r="I702" i="39"/>
  <c r="G702" i="39"/>
  <c r="E702" i="39"/>
  <c r="B702" i="39"/>
  <c r="A702" i="39"/>
  <c r="I701" i="39"/>
  <c r="G701" i="39"/>
  <c r="E701" i="39"/>
  <c r="B701" i="39"/>
  <c r="A701" i="39"/>
  <c r="I700" i="39"/>
  <c r="G700" i="39"/>
  <c r="E700" i="39"/>
  <c r="B700" i="39"/>
  <c r="A700" i="39"/>
  <c r="I699" i="39"/>
  <c r="G699" i="39"/>
  <c r="E699" i="39"/>
  <c r="B699" i="39"/>
  <c r="A699" i="39"/>
  <c r="I698" i="39"/>
  <c r="G698" i="39"/>
  <c r="E698" i="39"/>
  <c r="B698" i="39"/>
  <c r="A698" i="39"/>
  <c r="I697" i="39"/>
  <c r="G697" i="39"/>
  <c r="E697" i="39"/>
  <c r="B697" i="39"/>
  <c r="A697" i="39"/>
  <c r="I696" i="39"/>
  <c r="G696" i="39"/>
  <c r="E696" i="39"/>
  <c r="B696" i="39"/>
  <c r="A696" i="39"/>
  <c r="I695" i="39"/>
  <c r="G695" i="39"/>
  <c r="E695" i="39"/>
  <c r="B695" i="39"/>
  <c r="A695" i="39"/>
  <c r="I694" i="39"/>
  <c r="G694" i="39"/>
  <c r="E694" i="39"/>
  <c r="B694" i="39"/>
  <c r="A694" i="39"/>
  <c r="I693" i="39"/>
  <c r="G693" i="39"/>
  <c r="E693" i="39"/>
  <c r="B693" i="39"/>
  <c r="A693" i="39"/>
  <c r="I692" i="39"/>
  <c r="G692" i="39"/>
  <c r="E692" i="39"/>
  <c r="B692" i="39"/>
  <c r="A692" i="39"/>
  <c r="I691" i="39"/>
  <c r="G691" i="39"/>
  <c r="E691" i="39"/>
  <c r="B691" i="39"/>
  <c r="A691" i="39"/>
  <c r="I690" i="39"/>
  <c r="G690" i="39"/>
  <c r="E690" i="39"/>
  <c r="B690" i="39"/>
  <c r="A690" i="39"/>
  <c r="I689" i="39"/>
  <c r="G689" i="39"/>
  <c r="E689" i="39"/>
  <c r="B689" i="39"/>
  <c r="A689" i="39"/>
  <c r="I688" i="39"/>
  <c r="G688" i="39"/>
  <c r="E688" i="39"/>
  <c r="B688" i="39"/>
  <c r="A688" i="39"/>
  <c r="I687" i="39"/>
  <c r="G687" i="39"/>
  <c r="E687" i="39"/>
  <c r="B687" i="39"/>
  <c r="A687" i="39"/>
  <c r="I686" i="39"/>
  <c r="G686" i="39"/>
  <c r="E686" i="39"/>
  <c r="B686" i="39"/>
  <c r="A686" i="39"/>
  <c r="I685" i="39"/>
  <c r="G685" i="39"/>
  <c r="E685" i="39"/>
  <c r="B685" i="39"/>
  <c r="A685" i="39"/>
  <c r="I684" i="39"/>
  <c r="G684" i="39"/>
  <c r="E684" i="39"/>
  <c r="B684" i="39"/>
  <c r="A684" i="39"/>
  <c r="I683" i="39"/>
  <c r="G683" i="39"/>
  <c r="E683" i="39"/>
  <c r="B683" i="39"/>
  <c r="A683" i="39"/>
  <c r="I682" i="39"/>
  <c r="G682" i="39"/>
  <c r="E682" i="39"/>
  <c r="B682" i="39"/>
  <c r="A682" i="39"/>
  <c r="I681" i="39"/>
  <c r="G681" i="39"/>
  <c r="E681" i="39"/>
  <c r="B681" i="39"/>
  <c r="A681" i="39"/>
  <c r="I680" i="39"/>
  <c r="G680" i="39"/>
  <c r="E680" i="39"/>
  <c r="B680" i="39"/>
  <c r="A680" i="39"/>
  <c r="I679" i="39"/>
  <c r="G679" i="39"/>
  <c r="E679" i="39"/>
  <c r="B679" i="39"/>
  <c r="A679" i="39"/>
  <c r="I678" i="39"/>
  <c r="G678" i="39"/>
  <c r="E678" i="39"/>
  <c r="B678" i="39"/>
  <c r="A678" i="39"/>
  <c r="I677" i="39"/>
  <c r="G677" i="39"/>
  <c r="E677" i="39"/>
  <c r="B677" i="39"/>
  <c r="A677" i="39"/>
  <c r="I676" i="39"/>
  <c r="G676" i="39"/>
  <c r="E676" i="39"/>
  <c r="B676" i="39"/>
  <c r="A676" i="39"/>
  <c r="I675" i="39"/>
  <c r="G675" i="39"/>
  <c r="E675" i="39"/>
  <c r="B675" i="39"/>
  <c r="A675" i="39"/>
  <c r="I674" i="39"/>
  <c r="G674" i="39"/>
  <c r="E674" i="39"/>
  <c r="B674" i="39"/>
  <c r="A674" i="39"/>
  <c r="I673" i="39"/>
  <c r="G673" i="39"/>
  <c r="E673" i="39"/>
  <c r="B673" i="39"/>
  <c r="A673" i="39"/>
  <c r="I672" i="39"/>
  <c r="G672" i="39"/>
  <c r="E672" i="39"/>
  <c r="B672" i="39"/>
  <c r="A672" i="39"/>
  <c r="I671" i="39"/>
  <c r="G671" i="39"/>
  <c r="E671" i="39"/>
  <c r="B671" i="39"/>
  <c r="A671" i="39"/>
  <c r="I670" i="39"/>
  <c r="G670" i="39"/>
  <c r="E670" i="39"/>
  <c r="B670" i="39"/>
  <c r="A670" i="39"/>
  <c r="I669" i="39"/>
  <c r="G669" i="39"/>
  <c r="E669" i="39"/>
  <c r="B669" i="39"/>
  <c r="A669" i="39"/>
  <c r="I668" i="39"/>
  <c r="G668" i="39"/>
  <c r="E668" i="39"/>
  <c r="B668" i="39"/>
  <c r="A668" i="39"/>
  <c r="I667" i="39"/>
  <c r="G667" i="39"/>
  <c r="E667" i="39"/>
  <c r="B667" i="39"/>
  <c r="A667" i="39"/>
  <c r="I666" i="39"/>
  <c r="G666" i="39"/>
  <c r="E666" i="39"/>
  <c r="B666" i="39"/>
  <c r="A666" i="39"/>
  <c r="I665" i="39"/>
  <c r="G665" i="39"/>
  <c r="E665" i="39"/>
  <c r="B665" i="39"/>
  <c r="A665" i="39"/>
  <c r="I664" i="39"/>
  <c r="G664" i="39"/>
  <c r="E664" i="39"/>
  <c r="B664" i="39"/>
  <c r="A664" i="39"/>
  <c r="I663" i="39"/>
  <c r="G663" i="39"/>
  <c r="E663" i="39"/>
  <c r="B663" i="39"/>
  <c r="A663" i="39"/>
  <c r="I662" i="39"/>
  <c r="G662" i="39"/>
  <c r="E662" i="39"/>
  <c r="B662" i="39"/>
  <c r="A662" i="39"/>
  <c r="I661" i="39"/>
  <c r="G661" i="39"/>
  <c r="E661" i="39"/>
  <c r="B661" i="39"/>
  <c r="A661" i="39"/>
  <c r="I660" i="39"/>
  <c r="G660" i="39"/>
  <c r="E660" i="39"/>
  <c r="B660" i="39"/>
  <c r="A660" i="39"/>
  <c r="I659" i="39"/>
  <c r="G659" i="39"/>
  <c r="E659" i="39"/>
  <c r="B659" i="39"/>
  <c r="A659" i="39"/>
  <c r="I658" i="39"/>
  <c r="G658" i="39"/>
  <c r="E658" i="39"/>
  <c r="B658" i="39"/>
  <c r="A658" i="39"/>
  <c r="I657" i="39"/>
  <c r="G657" i="39"/>
  <c r="E657" i="39"/>
  <c r="B657" i="39"/>
  <c r="A657" i="39"/>
  <c r="I656" i="39"/>
  <c r="G656" i="39"/>
  <c r="E656" i="39"/>
  <c r="B656" i="39"/>
  <c r="A656" i="39"/>
  <c r="I655" i="39"/>
  <c r="G655" i="39"/>
  <c r="E655" i="39"/>
  <c r="B655" i="39"/>
  <c r="A655" i="39"/>
  <c r="I654" i="39"/>
  <c r="G654" i="39"/>
  <c r="E654" i="39"/>
  <c r="B654" i="39"/>
  <c r="A654" i="39"/>
  <c r="I653" i="39"/>
  <c r="G653" i="39"/>
  <c r="E653" i="39"/>
  <c r="B653" i="39"/>
  <c r="A653" i="39"/>
  <c r="I652" i="39"/>
  <c r="G652" i="39"/>
  <c r="E652" i="39"/>
  <c r="B652" i="39"/>
  <c r="A652" i="39"/>
  <c r="I651" i="39"/>
  <c r="G651" i="39"/>
  <c r="E651" i="39"/>
  <c r="B651" i="39"/>
  <c r="A651" i="39"/>
  <c r="I650" i="39"/>
  <c r="G650" i="39"/>
  <c r="E650" i="39"/>
  <c r="B650" i="39"/>
  <c r="A650" i="39"/>
  <c r="I649" i="39"/>
  <c r="G649" i="39"/>
  <c r="E649" i="39"/>
  <c r="B649" i="39"/>
  <c r="A649" i="39"/>
  <c r="I648" i="39"/>
  <c r="G648" i="39"/>
  <c r="E648" i="39"/>
  <c r="B648" i="39"/>
  <c r="A648" i="39"/>
  <c r="I647" i="39"/>
  <c r="G647" i="39"/>
  <c r="E647" i="39"/>
  <c r="B647" i="39"/>
  <c r="A647" i="39"/>
  <c r="I646" i="39"/>
  <c r="G646" i="39"/>
  <c r="E646" i="39"/>
  <c r="B646" i="39"/>
  <c r="A646" i="39"/>
  <c r="I645" i="39"/>
  <c r="G645" i="39"/>
  <c r="E645" i="39"/>
  <c r="B645" i="39"/>
  <c r="A645" i="39"/>
  <c r="I644" i="39"/>
  <c r="G644" i="39"/>
  <c r="E644" i="39"/>
  <c r="B644" i="39"/>
  <c r="A644" i="39"/>
  <c r="I643" i="39"/>
  <c r="G643" i="39"/>
  <c r="E643" i="39"/>
  <c r="B643" i="39"/>
  <c r="A643" i="39"/>
  <c r="I642" i="39"/>
  <c r="G642" i="39"/>
  <c r="E642" i="39"/>
  <c r="B642" i="39"/>
  <c r="A642" i="39"/>
  <c r="I641" i="39"/>
  <c r="G641" i="39"/>
  <c r="E641" i="39"/>
  <c r="B641" i="39"/>
  <c r="A641" i="39"/>
  <c r="I640" i="39"/>
  <c r="G640" i="39"/>
  <c r="E640" i="39"/>
  <c r="B640" i="39"/>
  <c r="A640" i="39"/>
  <c r="I639" i="39"/>
  <c r="G639" i="39"/>
  <c r="E639" i="39"/>
  <c r="B639" i="39"/>
  <c r="A639" i="39"/>
  <c r="I638" i="39"/>
  <c r="G638" i="39"/>
  <c r="E638" i="39"/>
  <c r="B638" i="39"/>
  <c r="A638" i="39"/>
  <c r="I637" i="39"/>
  <c r="G637" i="39"/>
  <c r="E637" i="39"/>
  <c r="B637" i="39"/>
  <c r="A637" i="39"/>
  <c r="I636" i="39"/>
  <c r="G636" i="39"/>
  <c r="E636" i="39"/>
  <c r="B636" i="39"/>
  <c r="A636" i="39"/>
  <c r="I635" i="39"/>
  <c r="G635" i="39"/>
  <c r="E635" i="39"/>
  <c r="B635" i="39"/>
  <c r="A635" i="39"/>
  <c r="I634" i="39"/>
  <c r="G634" i="39"/>
  <c r="E634" i="39"/>
  <c r="B634" i="39"/>
  <c r="A634" i="39"/>
  <c r="I633" i="39"/>
  <c r="G633" i="39"/>
  <c r="E633" i="39"/>
  <c r="B633" i="39"/>
  <c r="A633" i="39"/>
  <c r="I632" i="39"/>
  <c r="G632" i="39"/>
  <c r="E632" i="39"/>
  <c r="B632" i="39"/>
  <c r="A632" i="39"/>
  <c r="I631" i="39"/>
  <c r="G631" i="39"/>
  <c r="E631" i="39"/>
  <c r="B631" i="39"/>
  <c r="A631" i="39"/>
  <c r="I630" i="39"/>
  <c r="G630" i="39"/>
  <c r="E630" i="39"/>
  <c r="B630" i="39"/>
  <c r="A630" i="39"/>
  <c r="I629" i="39"/>
  <c r="G629" i="39"/>
  <c r="E629" i="39"/>
  <c r="B629" i="39"/>
  <c r="A629" i="39"/>
  <c r="I628" i="39"/>
  <c r="G628" i="39"/>
  <c r="E628" i="39"/>
  <c r="B628" i="39"/>
  <c r="A628" i="39"/>
  <c r="I627" i="39"/>
  <c r="G627" i="39"/>
  <c r="E627" i="39"/>
  <c r="B627" i="39"/>
  <c r="A627" i="39"/>
  <c r="I626" i="39"/>
  <c r="G626" i="39"/>
  <c r="E626" i="39"/>
  <c r="B626" i="39"/>
  <c r="A626" i="39"/>
  <c r="I625" i="39"/>
  <c r="G625" i="39"/>
  <c r="E625" i="39"/>
  <c r="B625" i="39"/>
  <c r="A625" i="39"/>
  <c r="I624" i="39"/>
  <c r="G624" i="39"/>
  <c r="E624" i="39"/>
  <c r="B624" i="39"/>
  <c r="A624" i="39"/>
  <c r="I623" i="39"/>
  <c r="G623" i="39"/>
  <c r="E623" i="39"/>
  <c r="B623" i="39"/>
  <c r="A623" i="39"/>
  <c r="I622" i="39"/>
  <c r="G622" i="39"/>
  <c r="E622" i="39"/>
  <c r="B622" i="39"/>
  <c r="A622" i="39"/>
  <c r="I621" i="39"/>
  <c r="G621" i="39"/>
  <c r="E621" i="39"/>
  <c r="B621" i="39"/>
  <c r="A621" i="39"/>
  <c r="I620" i="39"/>
  <c r="G620" i="39"/>
  <c r="E620" i="39"/>
  <c r="B620" i="39"/>
  <c r="A620" i="39"/>
  <c r="I619" i="39"/>
  <c r="G619" i="39"/>
  <c r="E619" i="39"/>
  <c r="B619" i="39"/>
  <c r="A619" i="39"/>
  <c r="I618" i="39"/>
  <c r="G618" i="39"/>
  <c r="E618" i="39"/>
  <c r="B618" i="39"/>
  <c r="A618" i="39"/>
  <c r="I617" i="39"/>
  <c r="G617" i="39"/>
  <c r="E617" i="39"/>
  <c r="B617" i="39"/>
  <c r="A617" i="39"/>
  <c r="I616" i="39"/>
  <c r="G616" i="39"/>
  <c r="E616" i="39"/>
  <c r="B616" i="39"/>
  <c r="A616" i="39"/>
  <c r="I615" i="39"/>
  <c r="G615" i="39"/>
  <c r="E615" i="39"/>
  <c r="B615" i="39"/>
  <c r="A615" i="39"/>
  <c r="I614" i="39"/>
  <c r="G614" i="39"/>
  <c r="E614" i="39"/>
  <c r="B614" i="39"/>
  <c r="A614" i="39"/>
  <c r="I613" i="39"/>
  <c r="G613" i="39"/>
  <c r="E613" i="39"/>
  <c r="B613" i="39"/>
  <c r="A613" i="39"/>
  <c r="I612" i="39"/>
  <c r="G612" i="39"/>
  <c r="E612" i="39"/>
  <c r="B612" i="39"/>
  <c r="A612" i="39"/>
  <c r="I611" i="39"/>
  <c r="G611" i="39"/>
  <c r="E611" i="39"/>
  <c r="B611" i="39"/>
  <c r="A611" i="39"/>
  <c r="I610" i="39"/>
  <c r="G610" i="39"/>
  <c r="E610" i="39"/>
  <c r="B610" i="39"/>
  <c r="A610" i="39"/>
  <c r="I609" i="39"/>
  <c r="G609" i="39"/>
  <c r="E609" i="39"/>
  <c r="B609" i="39"/>
  <c r="A609" i="39"/>
  <c r="I608" i="39"/>
  <c r="G608" i="39"/>
  <c r="E608" i="39"/>
  <c r="B608" i="39"/>
  <c r="A608" i="39"/>
  <c r="I607" i="39"/>
  <c r="G607" i="39"/>
  <c r="E607" i="39"/>
  <c r="B607" i="39"/>
  <c r="A607" i="39"/>
  <c r="I606" i="39"/>
  <c r="G606" i="39"/>
  <c r="E606" i="39"/>
  <c r="B606" i="39"/>
  <c r="A606" i="39"/>
  <c r="I605" i="39"/>
  <c r="G605" i="39"/>
  <c r="E605" i="39"/>
  <c r="B605" i="39"/>
  <c r="A605" i="39"/>
  <c r="I604" i="39"/>
  <c r="G604" i="39"/>
  <c r="E604" i="39"/>
  <c r="B604" i="39"/>
  <c r="A604" i="39"/>
  <c r="I603" i="39"/>
  <c r="G603" i="39"/>
  <c r="E603" i="39"/>
  <c r="B603" i="39"/>
  <c r="A603" i="39"/>
  <c r="I602" i="39"/>
  <c r="G602" i="39"/>
  <c r="E602" i="39"/>
  <c r="B602" i="39"/>
  <c r="A602" i="39"/>
  <c r="I601" i="39"/>
  <c r="G601" i="39"/>
  <c r="E601" i="39"/>
  <c r="B601" i="39"/>
  <c r="A601" i="39"/>
  <c r="I600" i="39"/>
  <c r="G600" i="39"/>
  <c r="E600" i="39"/>
  <c r="B600" i="39"/>
  <c r="A600" i="39"/>
  <c r="I599" i="39"/>
  <c r="G599" i="39"/>
  <c r="E599" i="39"/>
  <c r="B599" i="39"/>
  <c r="A599" i="39"/>
  <c r="I598" i="39"/>
  <c r="G598" i="39"/>
  <c r="E598" i="39"/>
  <c r="B598" i="39"/>
  <c r="A598" i="39"/>
  <c r="I597" i="39"/>
  <c r="G597" i="39"/>
  <c r="E597" i="39"/>
  <c r="B597" i="39"/>
  <c r="A597" i="39"/>
  <c r="I596" i="39"/>
  <c r="G596" i="39"/>
  <c r="E596" i="39"/>
  <c r="B596" i="39"/>
  <c r="A596" i="39"/>
  <c r="I595" i="39"/>
  <c r="G595" i="39"/>
  <c r="E595" i="39"/>
  <c r="B595" i="39"/>
  <c r="A595" i="39"/>
  <c r="I594" i="39"/>
  <c r="G594" i="39"/>
  <c r="E594" i="39"/>
  <c r="B594" i="39"/>
  <c r="A594" i="39"/>
  <c r="I593" i="39"/>
  <c r="G593" i="39"/>
  <c r="E593" i="39"/>
  <c r="B593" i="39"/>
  <c r="A593" i="39"/>
  <c r="I592" i="39"/>
  <c r="G592" i="39"/>
  <c r="E592" i="39"/>
  <c r="B592" i="39"/>
  <c r="A592" i="39"/>
  <c r="I591" i="39"/>
  <c r="G591" i="39"/>
  <c r="E591" i="39"/>
  <c r="B591" i="39"/>
  <c r="A591" i="39"/>
  <c r="I590" i="39"/>
  <c r="G590" i="39"/>
  <c r="E590" i="39"/>
  <c r="B590" i="39"/>
  <c r="A590" i="39"/>
  <c r="I589" i="39"/>
  <c r="G589" i="39"/>
  <c r="E589" i="39"/>
  <c r="B589" i="39"/>
  <c r="A589" i="39"/>
  <c r="I588" i="39"/>
  <c r="G588" i="39"/>
  <c r="E588" i="39"/>
  <c r="B588" i="39"/>
  <c r="A588" i="39"/>
  <c r="I587" i="39"/>
  <c r="G587" i="39"/>
  <c r="E587" i="39"/>
  <c r="B587" i="39"/>
  <c r="A587" i="39"/>
  <c r="I586" i="39"/>
  <c r="G586" i="39"/>
  <c r="E586" i="39"/>
  <c r="B586" i="39"/>
  <c r="A586" i="39"/>
  <c r="I585" i="39"/>
  <c r="G585" i="39"/>
  <c r="E585" i="39"/>
  <c r="B585" i="39"/>
  <c r="A585" i="39"/>
  <c r="I584" i="39"/>
  <c r="G584" i="39"/>
  <c r="E584" i="39"/>
  <c r="B584" i="39"/>
  <c r="A584" i="39"/>
  <c r="I583" i="39"/>
  <c r="G583" i="39"/>
  <c r="E583" i="39"/>
  <c r="B583" i="39"/>
  <c r="A583" i="39"/>
  <c r="I582" i="39"/>
  <c r="G582" i="39"/>
  <c r="E582" i="39"/>
  <c r="B582" i="39"/>
  <c r="A582" i="39"/>
  <c r="I581" i="39"/>
  <c r="G581" i="39"/>
  <c r="E581" i="39"/>
  <c r="B581" i="39"/>
  <c r="A581" i="39"/>
  <c r="I580" i="39"/>
  <c r="G580" i="39"/>
  <c r="E580" i="39"/>
  <c r="B580" i="39"/>
  <c r="A580" i="39"/>
  <c r="I579" i="39"/>
  <c r="G579" i="39"/>
  <c r="E579" i="39"/>
  <c r="B579" i="39"/>
  <c r="A579" i="39"/>
  <c r="I578" i="39"/>
  <c r="G578" i="39"/>
  <c r="E578" i="39"/>
  <c r="B578" i="39"/>
  <c r="A578" i="39"/>
  <c r="I577" i="39"/>
  <c r="G577" i="39"/>
  <c r="E577" i="39"/>
  <c r="B577" i="39"/>
  <c r="A577" i="39"/>
  <c r="I576" i="39"/>
  <c r="G576" i="39"/>
  <c r="E576" i="39"/>
  <c r="B576" i="39"/>
  <c r="A576" i="39"/>
  <c r="I575" i="39"/>
  <c r="G575" i="39"/>
  <c r="E575" i="39"/>
  <c r="B575" i="39"/>
  <c r="A575" i="39"/>
  <c r="I574" i="39"/>
  <c r="G574" i="39"/>
  <c r="E574" i="39"/>
  <c r="B574" i="39"/>
  <c r="A574" i="39"/>
  <c r="I573" i="39"/>
  <c r="G573" i="39"/>
  <c r="E573" i="39"/>
  <c r="B573" i="39"/>
  <c r="A573" i="39"/>
  <c r="I572" i="39"/>
  <c r="G572" i="39"/>
  <c r="E572" i="39"/>
  <c r="B572" i="39"/>
  <c r="A572" i="39"/>
  <c r="I571" i="39"/>
  <c r="G571" i="39"/>
  <c r="E571" i="39"/>
  <c r="B571" i="39"/>
  <c r="A571" i="39"/>
  <c r="I570" i="39"/>
  <c r="G570" i="39"/>
  <c r="E570" i="39"/>
  <c r="B570" i="39"/>
  <c r="A570" i="39"/>
  <c r="I569" i="39"/>
  <c r="G569" i="39"/>
  <c r="E569" i="39"/>
  <c r="B569" i="39"/>
  <c r="A569" i="39"/>
  <c r="I568" i="39"/>
  <c r="G568" i="39"/>
  <c r="E568" i="39"/>
  <c r="B568" i="39"/>
  <c r="A568" i="39"/>
  <c r="I567" i="39"/>
  <c r="G567" i="39"/>
  <c r="E567" i="39"/>
  <c r="B567" i="39"/>
  <c r="A567" i="39"/>
  <c r="I566" i="39"/>
  <c r="G566" i="39"/>
  <c r="E566" i="39"/>
  <c r="B566" i="39"/>
  <c r="A566" i="39"/>
  <c r="I565" i="39"/>
  <c r="G565" i="39"/>
  <c r="E565" i="39"/>
  <c r="B565" i="39"/>
  <c r="A565" i="39"/>
  <c r="I564" i="39"/>
  <c r="G564" i="39"/>
  <c r="E564" i="39"/>
  <c r="B564" i="39"/>
  <c r="A564" i="39"/>
  <c r="I563" i="39"/>
  <c r="G563" i="39"/>
  <c r="E563" i="39"/>
  <c r="B563" i="39"/>
  <c r="A563" i="39"/>
  <c r="I562" i="39"/>
  <c r="G562" i="39"/>
  <c r="E562" i="39"/>
  <c r="B562" i="39"/>
  <c r="A562" i="39"/>
  <c r="I561" i="39"/>
  <c r="G561" i="39"/>
  <c r="E561" i="39"/>
  <c r="B561" i="39"/>
  <c r="A561" i="39"/>
  <c r="I560" i="39"/>
  <c r="G560" i="39"/>
  <c r="E560" i="39"/>
  <c r="B560" i="39"/>
  <c r="A560" i="39"/>
  <c r="I559" i="39"/>
  <c r="G559" i="39"/>
  <c r="E559" i="39"/>
  <c r="B559" i="39"/>
  <c r="A559" i="39"/>
  <c r="I558" i="39"/>
  <c r="G558" i="39"/>
  <c r="E558" i="39"/>
  <c r="B558" i="39"/>
  <c r="A558" i="39"/>
  <c r="I557" i="39"/>
  <c r="G557" i="39"/>
  <c r="E557" i="39"/>
  <c r="B557" i="39"/>
  <c r="A557" i="39"/>
  <c r="I556" i="39"/>
  <c r="G556" i="39"/>
  <c r="E556" i="39"/>
  <c r="B556" i="39"/>
  <c r="A556" i="39"/>
  <c r="I555" i="39"/>
  <c r="G555" i="39"/>
  <c r="E555" i="39"/>
  <c r="B555" i="39"/>
  <c r="A555" i="39"/>
  <c r="I554" i="39"/>
  <c r="G554" i="39"/>
  <c r="E554" i="39"/>
  <c r="B554" i="39"/>
  <c r="A554" i="39"/>
  <c r="I553" i="39"/>
  <c r="G553" i="39"/>
  <c r="E553" i="39"/>
  <c r="B553" i="39"/>
  <c r="A553" i="39"/>
  <c r="I552" i="39"/>
  <c r="G552" i="39"/>
  <c r="E552" i="39"/>
  <c r="B552" i="39"/>
  <c r="A552" i="39"/>
  <c r="I551" i="39"/>
  <c r="G551" i="39"/>
  <c r="E551" i="39"/>
  <c r="B551" i="39"/>
  <c r="A551" i="39"/>
  <c r="I550" i="39"/>
  <c r="G550" i="39"/>
  <c r="E550" i="39"/>
  <c r="B550" i="39"/>
  <c r="A550" i="39"/>
  <c r="I549" i="39"/>
  <c r="G549" i="39"/>
  <c r="E549" i="39"/>
  <c r="B549" i="39"/>
  <c r="A549" i="39"/>
  <c r="I548" i="39"/>
  <c r="G548" i="39"/>
  <c r="E548" i="39"/>
  <c r="B548" i="39"/>
  <c r="A548" i="39"/>
  <c r="I547" i="39"/>
  <c r="G547" i="39"/>
  <c r="E547" i="39"/>
  <c r="B547" i="39"/>
  <c r="A547" i="39"/>
  <c r="I546" i="39"/>
  <c r="G546" i="39"/>
  <c r="E546" i="39"/>
  <c r="B546" i="39"/>
  <c r="A546" i="39"/>
  <c r="I545" i="39"/>
  <c r="G545" i="39"/>
  <c r="E545" i="39"/>
  <c r="B545" i="39"/>
  <c r="A545" i="39"/>
  <c r="I544" i="39"/>
  <c r="G544" i="39"/>
  <c r="E544" i="39"/>
  <c r="B544" i="39"/>
  <c r="A544" i="39"/>
  <c r="I543" i="39"/>
  <c r="G543" i="39"/>
  <c r="E543" i="39"/>
  <c r="B543" i="39"/>
  <c r="A543" i="39"/>
  <c r="I542" i="39"/>
  <c r="G542" i="39"/>
  <c r="E542" i="39"/>
  <c r="B542" i="39"/>
  <c r="A542" i="39"/>
  <c r="I541" i="39"/>
  <c r="G541" i="39"/>
  <c r="E541" i="39"/>
  <c r="B541" i="39"/>
  <c r="A541" i="39"/>
  <c r="I540" i="39"/>
  <c r="G540" i="39"/>
  <c r="E540" i="39"/>
  <c r="B540" i="39"/>
  <c r="A540" i="39"/>
  <c r="I539" i="39"/>
  <c r="G539" i="39"/>
  <c r="E539" i="39"/>
  <c r="B539" i="39"/>
  <c r="A539" i="39"/>
  <c r="I538" i="39"/>
  <c r="G538" i="39"/>
  <c r="E538" i="39"/>
  <c r="B538" i="39"/>
  <c r="A538" i="39"/>
  <c r="I537" i="39"/>
  <c r="G537" i="39"/>
  <c r="E537" i="39"/>
  <c r="B537" i="39"/>
  <c r="A537" i="39"/>
  <c r="I536" i="39"/>
  <c r="G536" i="39"/>
  <c r="E536" i="39"/>
  <c r="B536" i="39"/>
  <c r="A536" i="39"/>
  <c r="I535" i="39"/>
  <c r="G535" i="39"/>
  <c r="E535" i="39"/>
  <c r="B535" i="39"/>
  <c r="A535" i="39"/>
  <c r="I534" i="39"/>
  <c r="G534" i="39"/>
  <c r="E534" i="39"/>
  <c r="B534" i="39"/>
  <c r="A534" i="39"/>
  <c r="I533" i="39"/>
  <c r="G533" i="39"/>
  <c r="E533" i="39"/>
  <c r="B533" i="39"/>
  <c r="A533" i="39"/>
  <c r="I532" i="39"/>
  <c r="G532" i="39"/>
  <c r="E532" i="39"/>
  <c r="B532" i="39"/>
  <c r="A532" i="39"/>
  <c r="I531" i="39"/>
  <c r="G531" i="39"/>
  <c r="E531" i="39"/>
  <c r="B531" i="39"/>
  <c r="A531" i="39"/>
  <c r="I530" i="39"/>
  <c r="G530" i="39"/>
  <c r="E530" i="39"/>
  <c r="B530" i="39"/>
  <c r="A530" i="39"/>
  <c r="I529" i="39"/>
  <c r="G529" i="39"/>
  <c r="E529" i="39"/>
  <c r="B529" i="39"/>
  <c r="A529" i="39"/>
  <c r="I528" i="39"/>
  <c r="G528" i="39"/>
  <c r="E528" i="39"/>
  <c r="B528" i="39"/>
  <c r="A528" i="39"/>
  <c r="I527" i="39"/>
  <c r="G527" i="39"/>
  <c r="E527" i="39"/>
  <c r="B527" i="39"/>
  <c r="A527" i="39"/>
  <c r="I526" i="39"/>
  <c r="G526" i="39"/>
  <c r="E526" i="39"/>
  <c r="B526" i="39"/>
  <c r="A526" i="39"/>
  <c r="I525" i="39"/>
  <c r="G525" i="39"/>
  <c r="E525" i="39"/>
  <c r="B525" i="39"/>
  <c r="A525" i="39"/>
  <c r="I524" i="39"/>
  <c r="G524" i="39"/>
  <c r="E524" i="39"/>
  <c r="B524" i="39"/>
  <c r="A524" i="39"/>
  <c r="I523" i="39"/>
  <c r="G523" i="39"/>
  <c r="E523" i="39"/>
  <c r="B523" i="39"/>
  <c r="A523" i="39"/>
  <c r="I522" i="39"/>
  <c r="G522" i="39"/>
  <c r="E522" i="39"/>
  <c r="B522" i="39"/>
  <c r="A522" i="39"/>
  <c r="I521" i="39"/>
  <c r="G521" i="39"/>
  <c r="E521" i="39"/>
  <c r="B521" i="39"/>
  <c r="A521" i="39"/>
  <c r="I520" i="39"/>
  <c r="G520" i="39"/>
  <c r="E520" i="39"/>
  <c r="B520" i="39"/>
  <c r="A520" i="39"/>
  <c r="I519" i="39"/>
  <c r="G519" i="39"/>
  <c r="E519" i="39"/>
  <c r="B519" i="39"/>
  <c r="A519" i="39"/>
  <c r="I518" i="39"/>
  <c r="G518" i="39"/>
  <c r="E518" i="39"/>
  <c r="B518" i="39"/>
  <c r="A518" i="39"/>
  <c r="I517" i="39"/>
  <c r="G517" i="39"/>
  <c r="E517" i="39"/>
  <c r="B517" i="39"/>
  <c r="A517" i="39"/>
  <c r="I516" i="39"/>
  <c r="G516" i="39"/>
  <c r="E516" i="39"/>
  <c r="B516" i="39"/>
  <c r="A516" i="39"/>
  <c r="I515" i="39"/>
  <c r="G515" i="39"/>
  <c r="E515" i="39"/>
  <c r="B515" i="39"/>
  <c r="A515" i="39"/>
  <c r="I514" i="39"/>
  <c r="G514" i="39"/>
  <c r="E514" i="39"/>
  <c r="B514" i="39"/>
  <c r="A514" i="39"/>
  <c r="I513" i="39"/>
  <c r="G513" i="39"/>
  <c r="E513" i="39"/>
  <c r="B513" i="39"/>
  <c r="A513" i="39"/>
  <c r="I512" i="39"/>
  <c r="G512" i="39"/>
  <c r="E512" i="39"/>
  <c r="B512" i="39"/>
  <c r="A512" i="39"/>
  <c r="I511" i="39"/>
  <c r="G511" i="39"/>
  <c r="E511" i="39"/>
  <c r="B511" i="39"/>
  <c r="A511" i="39"/>
  <c r="I510" i="39"/>
  <c r="G510" i="39"/>
  <c r="E510" i="39"/>
  <c r="B510" i="39"/>
  <c r="A510" i="39"/>
  <c r="I509" i="39"/>
  <c r="G509" i="39"/>
  <c r="E509" i="39"/>
  <c r="B509" i="39"/>
  <c r="A509" i="39"/>
  <c r="I508" i="39"/>
  <c r="G508" i="39"/>
  <c r="E508" i="39"/>
  <c r="B508" i="39"/>
  <c r="A508" i="39"/>
  <c r="I507" i="39"/>
  <c r="G507" i="39"/>
  <c r="E507" i="39"/>
  <c r="B507" i="39"/>
  <c r="A507" i="39"/>
  <c r="I506" i="39"/>
  <c r="G506" i="39"/>
  <c r="E506" i="39"/>
  <c r="B506" i="39"/>
  <c r="A506" i="39"/>
  <c r="I505" i="39"/>
  <c r="G505" i="39"/>
  <c r="E505" i="39"/>
  <c r="B505" i="39"/>
  <c r="A505" i="39"/>
  <c r="I504" i="39"/>
  <c r="G504" i="39"/>
  <c r="E504" i="39"/>
  <c r="B504" i="39"/>
  <c r="A504" i="39"/>
  <c r="I503" i="39"/>
  <c r="G503" i="39"/>
  <c r="E503" i="39"/>
  <c r="B503" i="39"/>
  <c r="A503" i="39"/>
  <c r="I502" i="39"/>
  <c r="G502" i="39"/>
  <c r="E502" i="39"/>
  <c r="B502" i="39"/>
  <c r="A502" i="39"/>
  <c r="I501" i="39"/>
  <c r="G501" i="39"/>
  <c r="E501" i="39"/>
  <c r="B501" i="39"/>
  <c r="A501" i="39"/>
  <c r="I500" i="39"/>
  <c r="G500" i="39"/>
  <c r="E500" i="39"/>
  <c r="B500" i="39"/>
  <c r="A500" i="39"/>
  <c r="I499" i="39"/>
  <c r="G499" i="39"/>
  <c r="E499" i="39"/>
  <c r="B499" i="39"/>
  <c r="A499" i="39"/>
  <c r="I498" i="39"/>
  <c r="G498" i="39"/>
  <c r="E498" i="39"/>
  <c r="B498" i="39"/>
  <c r="A498" i="39"/>
  <c r="I497" i="39"/>
  <c r="G497" i="39"/>
  <c r="E497" i="39"/>
  <c r="B497" i="39"/>
  <c r="A497" i="39"/>
  <c r="I496" i="39"/>
  <c r="G496" i="39"/>
  <c r="E496" i="39"/>
  <c r="B496" i="39"/>
  <c r="A496" i="39"/>
  <c r="I495" i="39"/>
  <c r="G495" i="39"/>
  <c r="E495" i="39"/>
  <c r="B495" i="39"/>
  <c r="A495" i="39"/>
  <c r="I494" i="39"/>
  <c r="G494" i="39"/>
  <c r="E494" i="39"/>
  <c r="B494" i="39"/>
  <c r="A494" i="39"/>
  <c r="I493" i="39"/>
  <c r="G493" i="39"/>
  <c r="E493" i="39"/>
  <c r="B493" i="39"/>
  <c r="A493" i="39"/>
  <c r="I492" i="39"/>
  <c r="G492" i="39"/>
  <c r="E492" i="39"/>
  <c r="B492" i="39"/>
  <c r="A492" i="39"/>
  <c r="I491" i="39"/>
  <c r="G491" i="39"/>
  <c r="E491" i="39"/>
  <c r="B491" i="39"/>
  <c r="A491" i="39"/>
  <c r="I490" i="39"/>
  <c r="G490" i="39"/>
  <c r="E490" i="39"/>
  <c r="B490" i="39"/>
  <c r="A490" i="39"/>
  <c r="I489" i="39"/>
  <c r="G489" i="39"/>
  <c r="E489" i="39"/>
  <c r="B489" i="39"/>
  <c r="A489" i="39"/>
  <c r="I488" i="39"/>
  <c r="G488" i="39"/>
  <c r="E488" i="39"/>
  <c r="B488" i="39"/>
  <c r="A488" i="39"/>
  <c r="I487" i="39"/>
  <c r="G487" i="39"/>
  <c r="E487" i="39"/>
  <c r="B487" i="39"/>
  <c r="A487" i="39"/>
  <c r="I486" i="39"/>
  <c r="G486" i="39"/>
  <c r="E486" i="39"/>
  <c r="B486" i="39"/>
  <c r="A486" i="39"/>
  <c r="I485" i="39"/>
  <c r="G485" i="39"/>
  <c r="E485" i="39"/>
  <c r="B485" i="39"/>
  <c r="A485" i="39"/>
  <c r="I484" i="39"/>
  <c r="G484" i="39"/>
  <c r="E484" i="39"/>
  <c r="B484" i="39"/>
  <c r="A484" i="39"/>
  <c r="I483" i="39"/>
  <c r="G483" i="39"/>
  <c r="E483" i="39"/>
  <c r="B483" i="39"/>
  <c r="A483" i="39"/>
  <c r="I482" i="39"/>
  <c r="G482" i="39"/>
  <c r="E482" i="39"/>
  <c r="B482" i="39"/>
  <c r="A482" i="39"/>
  <c r="I481" i="39"/>
  <c r="G481" i="39"/>
  <c r="E481" i="39"/>
  <c r="B481" i="39"/>
  <c r="A481" i="39"/>
  <c r="I480" i="39"/>
  <c r="G480" i="39"/>
  <c r="E480" i="39"/>
  <c r="B480" i="39"/>
  <c r="A480" i="39"/>
  <c r="I479" i="39"/>
  <c r="G479" i="39"/>
  <c r="E479" i="39"/>
  <c r="B479" i="39"/>
  <c r="A479" i="39"/>
  <c r="I478" i="39"/>
  <c r="G478" i="39"/>
  <c r="E478" i="39"/>
  <c r="B478" i="39"/>
  <c r="A478" i="39"/>
  <c r="I477" i="39"/>
  <c r="G477" i="39"/>
  <c r="E477" i="39"/>
  <c r="B477" i="39"/>
  <c r="A477" i="39"/>
  <c r="I476" i="39"/>
  <c r="G476" i="39"/>
  <c r="E476" i="39"/>
  <c r="B476" i="39"/>
  <c r="A476" i="39"/>
  <c r="I475" i="39"/>
  <c r="G475" i="39"/>
  <c r="E475" i="39"/>
  <c r="B475" i="39"/>
  <c r="A475" i="39"/>
  <c r="I474" i="39"/>
  <c r="G474" i="39"/>
  <c r="E474" i="39"/>
  <c r="B474" i="39"/>
  <c r="A474" i="39"/>
  <c r="I473" i="39"/>
  <c r="G473" i="39"/>
  <c r="E473" i="39"/>
  <c r="B473" i="39"/>
  <c r="A473" i="39"/>
  <c r="I472" i="39"/>
  <c r="G472" i="39"/>
  <c r="E472" i="39"/>
  <c r="B472" i="39"/>
  <c r="A472" i="39"/>
  <c r="I471" i="39"/>
  <c r="G471" i="39"/>
  <c r="E471" i="39"/>
  <c r="B471" i="39"/>
  <c r="A471" i="39"/>
  <c r="I470" i="39"/>
  <c r="G470" i="39"/>
  <c r="E470" i="39"/>
  <c r="B470" i="39"/>
  <c r="A470" i="39"/>
  <c r="I469" i="39"/>
  <c r="G469" i="39"/>
  <c r="E469" i="39"/>
  <c r="B469" i="39"/>
  <c r="A469" i="39"/>
  <c r="I468" i="39"/>
  <c r="G468" i="39"/>
  <c r="E468" i="39"/>
  <c r="B468" i="39"/>
  <c r="A468" i="39"/>
  <c r="I467" i="39"/>
  <c r="G467" i="39"/>
  <c r="E467" i="39"/>
  <c r="B467" i="39"/>
  <c r="A467" i="39"/>
  <c r="I466" i="39"/>
  <c r="G466" i="39"/>
  <c r="E466" i="39"/>
  <c r="B466" i="39"/>
  <c r="A466" i="39"/>
  <c r="I465" i="39"/>
  <c r="G465" i="39"/>
  <c r="E465" i="39"/>
  <c r="B465" i="39"/>
  <c r="A465" i="39"/>
  <c r="I464" i="39"/>
  <c r="G464" i="39"/>
  <c r="E464" i="39"/>
  <c r="B464" i="39"/>
  <c r="A464" i="39"/>
  <c r="I463" i="39"/>
  <c r="G463" i="39"/>
  <c r="E463" i="39"/>
  <c r="B463" i="39"/>
  <c r="A463" i="39"/>
  <c r="I462" i="39"/>
  <c r="G462" i="39"/>
  <c r="E462" i="39"/>
  <c r="B462" i="39"/>
  <c r="A462" i="39"/>
  <c r="I461" i="39"/>
  <c r="G461" i="39"/>
  <c r="E461" i="39"/>
  <c r="B461" i="39"/>
  <c r="A461" i="39"/>
  <c r="I460" i="39"/>
  <c r="G460" i="39"/>
  <c r="E460" i="39"/>
  <c r="B460" i="39"/>
  <c r="A460" i="39"/>
  <c r="I459" i="39"/>
  <c r="G459" i="39"/>
  <c r="E459" i="39"/>
  <c r="B459" i="39"/>
  <c r="A459" i="39"/>
  <c r="I458" i="39"/>
  <c r="G458" i="39"/>
  <c r="E458" i="39"/>
  <c r="B458" i="39"/>
  <c r="A458" i="39"/>
  <c r="I457" i="39"/>
  <c r="G457" i="39"/>
  <c r="E457" i="39"/>
  <c r="B457" i="39"/>
  <c r="A457" i="39"/>
  <c r="I456" i="39"/>
  <c r="G456" i="39"/>
  <c r="E456" i="39"/>
  <c r="B456" i="39"/>
  <c r="A456" i="39"/>
  <c r="I455" i="39"/>
  <c r="G455" i="39"/>
  <c r="E455" i="39"/>
  <c r="B455" i="39"/>
  <c r="A455" i="39"/>
  <c r="I454" i="39"/>
  <c r="G454" i="39"/>
  <c r="E454" i="39"/>
  <c r="B454" i="39"/>
  <c r="A454" i="39"/>
  <c r="I453" i="39"/>
  <c r="G453" i="39"/>
  <c r="E453" i="39"/>
  <c r="B453" i="39"/>
  <c r="A453" i="39"/>
  <c r="I452" i="39"/>
  <c r="G452" i="39"/>
  <c r="E452" i="39"/>
  <c r="B452" i="39"/>
  <c r="A452" i="39"/>
  <c r="I451" i="39"/>
  <c r="G451" i="39"/>
  <c r="E451" i="39"/>
  <c r="B451" i="39"/>
  <c r="A451" i="39"/>
  <c r="I450" i="39"/>
  <c r="G450" i="39"/>
  <c r="E450" i="39"/>
  <c r="B450" i="39"/>
  <c r="A450" i="39"/>
  <c r="I449" i="39"/>
  <c r="G449" i="39"/>
  <c r="E449" i="39"/>
  <c r="B449" i="39"/>
  <c r="A449" i="39"/>
  <c r="I448" i="39"/>
  <c r="G448" i="39"/>
  <c r="E448" i="39"/>
  <c r="B448" i="39"/>
  <c r="A448" i="39"/>
  <c r="I447" i="39"/>
  <c r="G447" i="39"/>
  <c r="E447" i="39"/>
  <c r="B447" i="39"/>
  <c r="A447" i="39"/>
  <c r="I446" i="39"/>
  <c r="G446" i="39"/>
  <c r="E446" i="39"/>
  <c r="B446" i="39"/>
  <c r="A446" i="39"/>
  <c r="I445" i="39"/>
  <c r="G445" i="39"/>
  <c r="E445" i="39"/>
  <c r="B445" i="39"/>
  <c r="A445" i="39"/>
  <c r="I444" i="39"/>
  <c r="G444" i="39"/>
  <c r="E444" i="39"/>
  <c r="B444" i="39"/>
  <c r="A444" i="39"/>
  <c r="I443" i="39"/>
  <c r="G443" i="39"/>
  <c r="E443" i="39"/>
  <c r="B443" i="39"/>
  <c r="A443" i="39"/>
  <c r="I442" i="39"/>
  <c r="G442" i="39"/>
  <c r="E442" i="39"/>
  <c r="B442" i="39"/>
  <c r="A442" i="39"/>
  <c r="I441" i="39"/>
  <c r="G441" i="39"/>
  <c r="E441" i="39"/>
  <c r="B441" i="39"/>
  <c r="A441" i="39"/>
  <c r="I440" i="39"/>
  <c r="G440" i="39"/>
  <c r="E440" i="39"/>
  <c r="B440" i="39"/>
  <c r="A440" i="39"/>
  <c r="I439" i="39"/>
  <c r="G439" i="39"/>
  <c r="E439" i="39"/>
  <c r="B439" i="39"/>
  <c r="A439" i="39"/>
  <c r="I438" i="39"/>
  <c r="G438" i="39"/>
  <c r="E438" i="39"/>
  <c r="B438" i="39"/>
  <c r="A438" i="39"/>
  <c r="I437" i="39"/>
  <c r="G437" i="39"/>
  <c r="E437" i="39"/>
  <c r="B437" i="39"/>
  <c r="A437" i="39"/>
  <c r="I436" i="39"/>
  <c r="G436" i="39"/>
  <c r="E436" i="39"/>
  <c r="B436" i="39"/>
  <c r="A436" i="39"/>
  <c r="I435" i="39"/>
  <c r="G435" i="39"/>
  <c r="E435" i="39"/>
  <c r="B435" i="39"/>
  <c r="A435" i="39"/>
  <c r="I434" i="39"/>
  <c r="G434" i="39"/>
  <c r="E434" i="39"/>
  <c r="B434" i="39"/>
  <c r="A434" i="39"/>
  <c r="I433" i="39"/>
  <c r="G433" i="39"/>
  <c r="E433" i="39"/>
  <c r="B433" i="39"/>
  <c r="A433" i="39"/>
  <c r="I432" i="39"/>
  <c r="G432" i="39"/>
  <c r="E432" i="39"/>
  <c r="B432" i="39"/>
  <c r="A432" i="39"/>
  <c r="I431" i="39"/>
  <c r="G431" i="39"/>
  <c r="E431" i="39"/>
  <c r="B431" i="39"/>
  <c r="A431" i="39"/>
  <c r="I430" i="39"/>
  <c r="G430" i="39"/>
  <c r="E430" i="39"/>
  <c r="B430" i="39"/>
  <c r="A430" i="39"/>
  <c r="I429" i="39"/>
  <c r="G429" i="39"/>
  <c r="E429" i="39"/>
  <c r="B429" i="39"/>
  <c r="A429" i="39"/>
  <c r="I428" i="39"/>
  <c r="G428" i="39"/>
  <c r="E428" i="39"/>
  <c r="B428" i="39"/>
  <c r="A428" i="39"/>
  <c r="I427" i="39"/>
  <c r="G427" i="39"/>
  <c r="E427" i="39"/>
  <c r="B427" i="39"/>
  <c r="A427" i="39"/>
  <c r="I426" i="39"/>
  <c r="G426" i="39"/>
  <c r="E426" i="39"/>
  <c r="B426" i="39"/>
  <c r="A426" i="39"/>
  <c r="I425" i="39"/>
  <c r="G425" i="39"/>
  <c r="E425" i="39"/>
  <c r="B425" i="39"/>
  <c r="A425" i="39"/>
  <c r="I424" i="39"/>
  <c r="G424" i="39"/>
  <c r="E424" i="39"/>
  <c r="B424" i="39"/>
  <c r="A424" i="39"/>
  <c r="I423" i="39"/>
  <c r="G423" i="39"/>
  <c r="E423" i="39"/>
  <c r="B423" i="39"/>
  <c r="A423" i="39"/>
  <c r="I422" i="39"/>
  <c r="G422" i="39"/>
  <c r="E422" i="39"/>
  <c r="B422" i="39"/>
  <c r="A422" i="39"/>
  <c r="I421" i="39"/>
  <c r="G421" i="39"/>
  <c r="E421" i="39"/>
  <c r="B421" i="39"/>
  <c r="A421" i="39"/>
  <c r="I420" i="39"/>
  <c r="G420" i="39"/>
  <c r="E420" i="39"/>
  <c r="B420" i="39"/>
  <c r="A420" i="39"/>
  <c r="I419" i="39"/>
  <c r="G419" i="39"/>
  <c r="E419" i="39"/>
  <c r="B419" i="39"/>
  <c r="A419" i="39"/>
  <c r="I418" i="39"/>
  <c r="G418" i="39"/>
  <c r="E418" i="39"/>
  <c r="B418" i="39"/>
  <c r="A418" i="39"/>
  <c r="I417" i="39"/>
  <c r="G417" i="39"/>
  <c r="E417" i="39"/>
  <c r="B417" i="39"/>
  <c r="A417" i="39"/>
  <c r="I416" i="39"/>
  <c r="G416" i="39"/>
  <c r="E416" i="39"/>
  <c r="B416" i="39"/>
  <c r="A416" i="39"/>
  <c r="I415" i="39"/>
  <c r="G415" i="39"/>
  <c r="E415" i="39"/>
  <c r="B415" i="39"/>
  <c r="A415" i="39"/>
  <c r="I414" i="39"/>
  <c r="G414" i="39"/>
  <c r="E414" i="39"/>
  <c r="B414" i="39"/>
  <c r="A414" i="39"/>
  <c r="I413" i="39"/>
  <c r="G413" i="39"/>
  <c r="E413" i="39"/>
  <c r="B413" i="39"/>
  <c r="A413" i="39"/>
  <c r="I412" i="39"/>
  <c r="G412" i="39"/>
  <c r="E412" i="39"/>
  <c r="B412" i="39"/>
  <c r="A412" i="39"/>
  <c r="I411" i="39"/>
  <c r="G411" i="39"/>
  <c r="E411" i="39"/>
  <c r="B411" i="39"/>
  <c r="A411" i="39"/>
  <c r="I410" i="39"/>
  <c r="G410" i="39"/>
  <c r="E410" i="39"/>
  <c r="B410" i="39"/>
  <c r="A410" i="39"/>
  <c r="I409" i="39"/>
  <c r="G409" i="39"/>
  <c r="E409" i="39"/>
  <c r="B409" i="39"/>
  <c r="A409" i="39"/>
  <c r="I408" i="39"/>
  <c r="G408" i="39"/>
  <c r="E408" i="39"/>
  <c r="B408" i="39"/>
  <c r="A408" i="39"/>
  <c r="I407" i="39"/>
  <c r="G407" i="39"/>
  <c r="E407" i="39"/>
  <c r="B407" i="39"/>
  <c r="A407" i="39"/>
  <c r="I406" i="39"/>
  <c r="G406" i="39"/>
  <c r="E406" i="39"/>
  <c r="B406" i="39"/>
  <c r="A406" i="39"/>
  <c r="I405" i="39"/>
  <c r="G405" i="39"/>
  <c r="E405" i="39"/>
  <c r="B405" i="39"/>
  <c r="A405" i="39"/>
  <c r="I404" i="39"/>
  <c r="G404" i="39"/>
  <c r="E404" i="39"/>
  <c r="B404" i="39"/>
  <c r="A404" i="39"/>
  <c r="I403" i="39"/>
  <c r="G403" i="39"/>
  <c r="E403" i="39"/>
  <c r="B403" i="39"/>
  <c r="A403" i="39"/>
  <c r="I402" i="39"/>
  <c r="G402" i="39"/>
  <c r="E402" i="39"/>
  <c r="B402" i="39"/>
  <c r="A402" i="39"/>
  <c r="I401" i="39"/>
  <c r="G401" i="39"/>
  <c r="E401" i="39"/>
  <c r="B401" i="39"/>
  <c r="A401" i="39"/>
  <c r="I400" i="39"/>
  <c r="G400" i="39"/>
  <c r="E400" i="39"/>
  <c r="B400" i="39"/>
  <c r="A400" i="39"/>
  <c r="I399" i="39"/>
  <c r="G399" i="39"/>
  <c r="E399" i="39"/>
  <c r="B399" i="39"/>
  <c r="A399" i="39"/>
  <c r="I398" i="39"/>
  <c r="G398" i="39"/>
  <c r="E398" i="39"/>
  <c r="B398" i="39"/>
  <c r="A398" i="39"/>
  <c r="I397" i="39"/>
  <c r="G397" i="39"/>
  <c r="E397" i="39"/>
  <c r="B397" i="39"/>
  <c r="A397" i="39"/>
  <c r="I396" i="39"/>
  <c r="G396" i="39"/>
  <c r="E396" i="39"/>
  <c r="B396" i="39"/>
  <c r="A396" i="39"/>
  <c r="I395" i="39"/>
  <c r="G395" i="39"/>
  <c r="E395" i="39"/>
  <c r="B395" i="39"/>
  <c r="A395" i="39"/>
  <c r="I394" i="39"/>
  <c r="G394" i="39"/>
  <c r="E394" i="39"/>
  <c r="B394" i="39"/>
  <c r="A394" i="39"/>
  <c r="I393" i="39"/>
  <c r="G393" i="39"/>
  <c r="E393" i="39"/>
  <c r="B393" i="39"/>
  <c r="A393" i="39"/>
  <c r="I392" i="39"/>
  <c r="G392" i="39"/>
  <c r="E392" i="39"/>
  <c r="B392" i="39"/>
  <c r="A392" i="39"/>
  <c r="I391" i="39"/>
  <c r="G391" i="39"/>
  <c r="E391" i="39"/>
  <c r="B391" i="39"/>
  <c r="A391" i="39"/>
  <c r="I390" i="39"/>
  <c r="G390" i="39"/>
  <c r="E390" i="39"/>
  <c r="B390" i="39"/>
  <c r="A390" i="39"/>
  <c r="I389" i="39"/>
  <c r="G389" i="39"/>
  <c r="E389" i="39"/>
  <c r="B389" i="39"/>
  <c r="A389" i="39"/>
  <c r="I388" i="39"/>
  <c r="G388" i="39"/>
  <c r="E388" i="39"/>
  <c r="B388" i="39"/>
  <c r="A388" i="39"/>
  <c r="I387" i="39"/>
  <c r="G387" i="39"/>
  <c r="E387" i="39"/>
  <c r="B387" i="39"/>
  <c r="A387" i="39"/>
  <c r="I386" i="39"/>
  <c r="G386" i="39"/>
  <c r="E386" i="39"/>
  <c r="B386" i="39"/>
  <c r="A386" i="39"/>
  <c r="I385" i="39"/>
  <c r="G385" i="39"/>
  <c r="E385" i="39"/>
  <c r="B385" i="39"/>
  <c r="A385" i="39"/>
  <c r="I384" i="39"/>
  <c r="G384" i="39"/>
  <c r="E384" i="39"/>
  <c r="B384" i="39"/>
  <c r="A384" i="39"/>
  <c r="I383" i="39"/>
  <c r="G383" i="39"/>
  <c r="E383" i="39"/>
  <c r="B383" i="39"/>
  <c r="A383" i="39"/>
  <c r="I382" i="39"/>
  <c r="G382" i="39"/>
  <c r="E382" i="39"/>
  <c r="B382" i="39"/>
  <c r="A382" i="39"/>
  <c r="I381" i="39"/>
  <c r="G381" i="39"/>
  <c r="E381" i="39"/>
  <c r="B381" i="39"/>
  <c r="A381" i="39"/>
  <c r="I380" i="39"/>
  <c r="G380" i="39"/>
  <c r="E380" i="39"/>
  <c r="B380" i="39"/>
  <c r="A380" i="39"/>
  <c r="I379" i="39"/>
  <c r="G379" i="39"/>
  <c r="E379" i="39"/>
  <c r="B379" i="39"/>
  <c r="A379" i="39"/>
  <c r="I378" i="39"/>
  <c r="G378" i="39"/>
  <c r="E378" i="39"/>
  <c r="B378" i="39"/>
  <c r="A378" i="39"/>
  <c r="I377" i="39"/>
  <c r="G377" i="39"/>
  <c r="E377" i="39"/>
  <c r="B377" i="39"/>
  <c r="A377" i="39"/>
  <c r="I376" i="39"/>
  <c r="G376" i="39"/>
  <c r="E376" i="39"/>
  <c r="B376" i="39"/>
  <c r="A376" i="39"/>
  <c r="I375" i="39"/>
  <c r="G375" i="39"/>
  <c r="E375" i="39"/>
  <c r="B375" i="39"/>
  <c r="A375" i="39"/>
  <c r="I374" i="39"/>
  <c r="G374" i="39"/>
  <c r="E374" i="39"/>
  <c r="B374" i="39"/>
  <c r="A374" i="39"/>
  <c r="I373" i="39"/>
  <c r="G373" i="39"/>
  <c r="E373" i="39"/>
  <c r="B373" i="39"/>
  <c r="A373" i="39"/>
  <c r="I372" i="39"/>
  <c r="G372" i="39"/>
  <c r="E372" i="39"/>
  <c r="B372" i="39"/>
  <c r="A372" i="39"/>
  <c r="I371" i="39"/>
  <c r="G371" i="39"/>
  <c r="E371" i="39"/>
  <c r="B371" i="39"/>
  <c r="A371" i="39"/>
  <c r="I370" i="39"/>
  <c r="G370" i="39"/>
  <c r="E370" i="39"/>
  <c r="B370" i="39"/>
  <c r="A370" i="39"/>
  <c r="I369" i="39"/>
  <c r="G369" i="39"/>
  <c r="E369" i="39"/>
  <c r="B369" i="39"/>
  <c r="A369" i="39"/>
  <c r="I368" i="39"/>
  <c r="G368" i="39"/>
  <c r="E368" i="39"/>
  <c r="B368" i="39"/>
  <c r="A368" i="39"/>
  <c r="I367" i="39"/>
  <c r="G367" i="39"/>
  <c r="E367" i="39"/>
  <c r="B367" i="39"/>
  <c r="A367" i="39"/>
  <c r="I366" i="39"/>
  <c r="G366" i="39"/>
  <c r="E366" i="39"/>
  <c r="B366" i="39"/>
  <c r="A366" i="39"/>
  <c r="I365" i="39"/>
  <c r="G365" i="39"/>
  <c r="E365" i="39"/>
  <c r="B365" i="39"/>
  <c r="A365" i="39"/>
  <c r="I364" i="39"/>
  <c r="G364" i="39"/>
  <c r="E364" i="39"/>
  <c r="B364" i="39"/>
  <c r="A364" i="39"/>
  <c r="I363" i="39"/>
  <c r="G363" i="39"/>
  <c r="E363" i="39"/>
  <c r="B363" i="39"/>
  <c r="A363" i="39"/>
  <c r="I362" i="39"/>
  <c r="G362" i="39"/>
  <c r="E362" i="39"/>
  <c r="B362" i="39"/>
  <c r="A362" i="39"/>
  <c r="I361" i="39"/>
  <c r="G361" i="39"/>
  <c r="E361" i="39"/>
  <c r="B361" i="39"/>
  <c r="A361" i="39"/>
  <c r="I360" i="39"/>
  <c r="G360" i="39"/>
  <c r="E360" i="39"/>
  <c r="B360" i="39"/>
  <c r="A360" i="39"/>
  <c r="I359" i="39"/>
  <c r="G359" i="39"/>
  <c r="E359" i="39"/>
  <c r="B359" i="39"/>
  <c r="A359" i="39"/>
  <c r="I358" i="39"/>
  <c r="G358" i="39"/>
  <c r="E358" i="39"/>
  <c r="B358" i="39"/>
  <c r="A358" i="39"/>
  <c r="I357" i="39"/>
  <c r="G357" i="39"/>
  <c r="E357" i="39"/>
  <c r="B357" i="39"/>
  <c r="A357" i="39"/>
  <c r="I356" i="39"/>
  <c r="G356" i="39"/>
  <c r="E356" i="39"/>
  <c r="B356" i="39"/>
  <c r="A356" i="39"/>
  <c r="I355" i="39"/>
  <c r="G355" i="39"/>
  <c r="E355" i="39"/>
  <c r="B355" i="39"/>
  <c r="A355" i="39"/>
  <c r="I354" i="39"/>
  <c r="G354" i="39"/>
  <c r="E354" i="39"/>
  <c r="B354" i="39"/>
  <c r="A354" i="39"/>
  <c r="I353" i="39"/>
  <c r="G353" i="39"/>
  <c r="E353" i="39"/>
  <c r="B353" i="39"/>
  <c r="A353" i="39"/>
  <c r="I352" i="39"/>
  <c r="G352" i="39"/>
  <c r="E352" i="39"/>
  <c r="B352" i="39"/>
  <c r="A352" i="39"/>
  <c r="I351" i="39"/>
  <c r="G351" i="39"/>
  <c r="E351" i="39"/>
  <c r="B351" i="39"/>
  <c r="A351" i="39"/>
  <c r="I350" i="39"/>
  <c r="G350" i="39"/>
  <c r="E350" i="39"/>
  <c r="B350" i="39"/>
  <c r="A350" i="39"/>
  <c r="I349" i="39"/>
  <c r="G349" i="39"/>
  <c r="E349" i="39"/>
  <c r="B349" i="39"/>
  <c r="A349" i="39"/>
  <c r="I348" i="39"/>
  <c r="G348" i="39"/>
  <c r="E348" i="39"/>
  <c r="B348" i="39"/>
  <c r="A348" i="39"/>
  <c r="I347" i="39"/>
  <c r="G347" i="39"/>
  <c r="E347" i="39"/>
  <c r="B347" i="39"/>
  <c r="A347" i="39"/>
  <c r="I346" i="39"/>
  <c r="G346" i="39"/>
  <c r="E346" i="39"/>
  <c r="B346" i="39"/>
  <c r="A346" i="39"/>
  <c r="I345" i="39"/>
  <c r="G345" i="39"/>
  <c r="E345" i="39"/>
  <c r="B345" i="39"/>
  <c r="A345" i="39"/>
  <c r="I344" i="39"/>
  <c r="G344" i="39"/>
  <c r="E344" i="39"/>
  <c r="B344" i="39"/>
  <c r="A344" i="39"/>
  <c r="I343" i="39"/>
  <c r="G343" i="39"/>
  <c r="E343" i="39"/>
  <c r="B343" i="39"/>
  <c r="A343" i="39"/>
  <c r="I342" i="39"/>
  <c r="G342" i="39"/>
  <c r="E342" i="39"/>
  <c r="B342" i="39"/>
  <c r="A342" i="39"/>
  <c r="I341" i="39"/>
  <c r="G341" i="39"/>
  <c r="E341" i="39"/>
  <c r="B341" i="39"/>
  <c r="A341" i="39"/>
  <c r="I340" i="39"/>
  <c r="G340" i="39"/>
  <c r="E340" i="39"/>
  <c r="B340" i="39"/>
  <c r="A340" i="39"/>
  <c r="I339" i="39"/>
  <c r="G339" i="39"/>
  <c r="E339" i="39"/>
  <c r="B339" i="39"/>
  <c r="A339" i="39"/>
  <c r="I338" i="39"/>
  <c r="G338" i="39"/>
  <c r="E338" i="39"/>
  <c r="B338" i="39"/>
  <c r="A338" i="39"/>
  <c r="I337" i="39"/>
  <c r="G337" i="39"/>
  <c r="E337" i="39"/>
  <c r="B337" i="39"/>
  <c r="A337" i="39"/>
  <c r="I336" i="39"/>
  <c r="G336" i="39"/>
  <c r="E336" i="39"/>
  <c r="B336" i="39"/>
  <c r="A336" i="39"/>
  <c r="I335" i="39"/>
  <c r="G335" i="39"/>
  <c r="E335" i="39"/>
  <c r="B335" i="39"/>
  <c r="A335" i="39"/>
  <c r="I334" i="39"/>
  <c r="G334" i="39"/>
  <c r="E334" i="39"/>
  <c r="B334" i="39"/>
  <c r="A334" i="39"/>
  <c r="I333" i="39"/>
  <c r="G333" i="39"/>
  <c r="E333" i="39"/>
  <c r="B333" i="39"/>
  <c r="A333" i="39"/>
  <c r="I332" i="39"/>
  <c r="G332" i="39"/>
  <c r="E332" i="39"/>
  <c r="B332" i="39"/>
  <c r="A332" i="39"/>
  <c r="I331" i="39"/>
  <c r="G331" i="39"/>
  <c r="E331" i="39"/>
  <c r="B331" i="39"/>
  <c r="A331" i="39"/>
  <c r="I330" i="39"/>
  <c r="G330" i="39"/>
  <c r="E330" i="39"/>
  <c r="B330" i="39"/>
  <c r="A330" i="39"/>
  <c r="I329" i="39"/>
  <c r="G329" i="39"/>
  <c r="E329" i="39"/>
  <c r="B329" i="39"/>
  <c r="A329" i="39"/>
  <c r="I328" i="39"/>
  <c r="G328" i="39"/>
  <c r="E328" i="39"/>
  <c r="B328" i="39"/>
  <c r="A328" i="39"/>
  <c r="I327" i="39"/>
  <c r="G327" i="39"/>
  <c r="E327" i="39"/>
  <c r="B327" i="39"/>
  <c r="A327" i="39"/>
  <c r="I326" i="39"/>
  <c r="G326" i="39"/>
  <c r="E326" i="39"/>
  <c r="B326" i="39"/>
  <c r="A326" i="39"/>
  <c r="I325" i="39"/>
  <c r="G325" i="39"/>
  <c r="E325" i="39"/>
  <c r="B325" i="39"/>
  <c r="A325" i="39"/>
  <c r="I324" i="39"/>
  <c r="G324" i="39"/>
  <c r="E324" i="39"/>
  <c r="B324" i="39"/>
  <c r="A324" i="39"/>
  <c r="I323" i="39"/>
  <c r="G323" i="39"/>
  <c r="E323" i="39"/>
  <c r="B323" i="39"/>
  <c r="A323" i="39"/>
  <c r="I322" i="39"/>
  <c r="G322" i="39"/>
  <c r="E322" i="39"/>
  <c r="B322" i="39"/>
  <c r="A322" i="39"/>
  <c r="I321" i="39"/>
  <c r="G321" i="39"/>
  <c r="E321" i="39"/>
  <c r="B321" i="39"/>
  <c r="A321" i="39"/>
  <c r="I320" i="39"/>
  <c r="G320" i="39"/>
  <c r="E320" i="39"/>
  <c r="B320" i="39"/>
  <c r="A320" i="39"/>
  <c r="I319" i="39"/>
  <c r="G319" i="39"/>
  <c r="E319" i="39"/>
  <c r="B319" i="39"/>
  <c r="A319" i="39"/>
  <c r="I318" i="39"/>
  <c r="G318" i="39"/>
  <c r="E318" i="39"/>
  <c r="B318" i="39"/>
  <c r="A318" i="39"/>
  <c r="I317" i="39"/>
  <c r="G317" i="39"/>
  <c r="E317" i="39"/>
  <c r="B317" i="39"/>
  <c r="A317" i="39"/>
  <c r="I316" i="39"/>
  <c r="G316" i="39"/>
  <c r="E316" i="39"/>
  <c r="B316" i="39"/>
  <c r="A316" i="39"/>
  <c r="I315" i="39"/>
  <c r="G315" i="39"/>
  <c r="E315" i="39"/>
  <c r="B315" i="39"/>
  <c r="A315" i="39"/>
  <c r="I314" i="39"/>
  <c r="G314" i="39"/>
  <c r="E314" i="39"/>
  <c r="B314" i="39"/>
  <c r="A314" i="39"/>
  <c r="I313" i="39"/>
  <c r="G313" i="39"/>
  <c r="E313" i="39"/>
  <c r="B313" i="39"/>
  <c r="A313" i="39"/>
  <c r="I312" i="39"/>
  <c r="G312" i="39"/>
  <c r="E312" i="39"/>
  <c r="B312" i="39"/>
  <c r="A312" i="39"/>
  <c r="I311" i="39"/>
  <c r="G311" i="39"/>
  <c r="E311" i="39"/>
  <c r="B311" i="39"/>
  <c r="A311" i="39"/>
  <c r="I310" i="39"/>
  <c r="G310" i="39"/>
  <c r="E310" i="39"/>
  <c r="B310" i="39"/>
  <c r="A310" i="39"/>
  <c r="I309" i="39"/>
  <c r="G309" i="39"/>
  <c r="E309" i="39"/>
  <c r="B309" i="39"/>
  <c r="A309" i="39"/>
  <c r="I308" i="39"/>
  <c r="G308" i="39"/>
  <c r="E308" i="39"/>
  <c r="B308" i="39"/>
  <c r="A308" i="39"/>
  <c r="I307" i="39"/>
  <c r="G307" i="39"/>
  <c r="E307" i="39"/>
  <c r="B307" i="39"/>
  <c r="A307" i="39"/>
  <c r="I306" i="39"/>
  <c r="G306" i="39"/>
  <c r="E306" i="39"/>
  <c r="B306" i="39"/>
  <c r="A306" i="39"/>
  <c r="I305" i="39"/>
  <c r="G305" i="39"/>
  <c r="E305" i="39"/>
  <c r="B305" i="39"/>
  <c r="A305" i="39"/>
  <c r="I304" i="39"/>
  <c r="G304" i="39"/>
  <c r="E304" i="39"/>
  <c r="B304" i="39"/>
  <c r="A304" i="39"/>
  <c r="I303" i="39"/>
  <c r="G303" i="39"/>
  <c r="E303" i="39"/>
  <c r="B303" i="39"/>
  <c r="A303" i="39"/>
  <c r="I302" i="39"/>
  <c r="G302" i="39"/>
  <c r="E302" i="39"/>
  <c r="B302" i="39"/>
  <c r="A302" i="39"/>
  <c r="I301" i="39"/>
  <c r="G301" i="39"/>
  <c r="E301" i="39"/>
  <c r="B301" i="39"/>
  <c r="A301" i="39"/>
  <c r="I300" i="39"/>
  <c r="G300" i="39"/>
  <c r="E300" i="39"/>
  <c r="B300" i="39"/>
  <c r="A300" i="39"/>
  <c r="I299" i="39"/>
  <c r="G299" i="39"/>
  <c r="E299" i="39"/>
  <c r="B299" i="39"/>
  <c r="A299" i="39"/>
  <c r="I298" i="39"/>
  <c r="G298" i="39"/>
  <c r="E298" i="39"/>
  <c r="B298" i="39"/>
  <c r="A298" i="39"/>
  <c r="I297" i="39"/>
  <c r="G297" i="39"/>
  <c r="E297" i="39"/>
  <c r="B297" i="39"/>
  <c r="A297" i="39"/>
  <c r="I296" i="39"/>
  <c r="G296" i="39"/>
  <c r="E296" i="39"/>
  <c r="B296" i="39"/>
  <c r="A296" i="39"/>
  <c r="I295" i="39"/>
  <c r="G295" i="39"/>
  <c r="E295" i="39"/>
  <c r="B295" i="39"/>
  <c r="A295" i="39"/>
  <c r="I294" i="39"/>
  <c r="G294" i="39"/>
  <c r="E294" i="39"/>
  <c r="B294" i="39"/>
  <c r="A294" i="39"/>
  <c r="I293" i="39"/>
  <c r="G293" i="39"/>
  <c r="E293" i="39"/>
  <c r="B293" i="39"/>
  <c r="A293" i="39"/>
  <c r="I292" i="39"/>
  <c r="G292" i="39"/>
  <c r="E292" i="39"/>
  <c r="B292" i="39"/>
  <c r="A292" i="39"/>
  <c r="I291" i="39"/>
  <c r="G291" i="39"/>
  <c r="E291" i="39"/>
  <c r="B291" i="39"/>
  <c r="A291" i="39"/>
  <c r="I290" i="39"/>
  <c r="G290" i="39"/>
  <c r="E290" i="39"/>
  <c r="B290" i="39"/>
  <c r="A290" i="39"/>
  <c r="I289" i="39"/>
  <c r="G289" i="39"/>
  <c r="E289" i="39"/>
  <c r="B289" i="39"/>
  <c r="A289" i="39"/>
  <c r="I288" i="39"/>
  <c r="G288" i="39"/>
  <c r="E288" i="39"/>
  <c r="B288" i="39"/>
  <c r="A288" i="39"/>
  <c r="I287" i="39"/>
  <c r="G287" i="39"/>
  <c r="E287" i="39"/>
  <c r="B287" i="39"/>
  <c r="A287" i="39"/>
  <c r="I286" i="39"/>
  <c r="G286" i="39"/>
  <c r="E286" i="39"/>
  <c r="B286" i="39"/>
  <c r="A286" i="39"/>
  <c r="I285" i="39"/>
  <c r="G285" i="39"/>
  <c r="E285" i="39"/>
  <c r="B285" i="39"/>
  <c r="A285" i="39"/>
  <c r="I284" i="39"/>
  <c r="G284" i="39"/>
  <c r="E284" i="39"/>
  <c r="B284" i="39"/>
  <c r="A284" i="39"/>
  <c r="I283" i="39"/>
  <c r="G283" i="39"/>
  <c r="E283" i="39"/>
  <c r="B283" i="39"/>
  <c r="A283" i="39"/>
  <c r="I282" i="39"/>
  <c r="G282" i="39"/>
  <c r="E282" i="39"/>
  <c r="B282" i="39"/>
  <c r="A282" i="39"/>
  <c r="I281" i="39"/>
  <c r="G281" i="39"/>
  <c r="E281" i="39"/>
  <c r="B281" i="39"/>
  <c r="A281" i="39"/>
  <c r="I280" i="39"/>
  <c r="G280" i="39"/>
  <c r="E280" i="39"/>
  <c r="B280" i="39"/>
  <c r="A280" i="39"/>
  <c r="I279" i="39"/>
  <c r="G279" i="39"/>
  <c r="E279" i="39"/>
  <c r="B279" i="39"/>
  <c r="A279" i="39"/>
  <c r="I278" i="39"/>
  <c r="G278" i="39"/>
  <c r="E278" i="39"/>
  <c r="B278" i="39"/>
  <c r="A278" i="39"/>
  <c r="I277" i="39"/>
  <c r="G277" i="39"/>
  <c r="E277" i="39"/>
  <c r="B277" i="39"/>
  <c r="A277" i="39"/>
  <c r="I276" i="39"/>
  <c r="G276" i="39"/>
  <c r="E276" i="39"/>
  <c r="B276" i="39"/>
  <c r="A276" i="39"/>
  <c r="I275" i="39"/>
  <c r="G275" i="39"/>
  <c r="E275" i="39"/>
  <c r="B275" i="39"/>
  <c r="A275" i="39"/>
  <c r="I274" i="39"/>
  <c r="G274" i="39"/>
  <c r="E274" i="39"/>
  <c r="B274" i="39"/>
  <c r="A274" i="39"/>
  <c r="I273" i="39"/>
  <c r="G273" i="39"/>
  <c r="E273" i="39"/>
  <c r="B273" i="39"/>
  <c r="A273" i="39"/>
  <c r="I272" i="39"/>
  <c r="G272" i="39"/>
  <c r="E272" i="39"/>
  <c r="B272" i="39"/>
  <c r="A272" i="39"/>
  <c r="I271" i="39"/>
  <c r="G271" i="39"/>
  <c r="E271" i="39"/>
  <c r="B271" i="39"/>
  <c r="A271" i="39"/>
  <c r="I270" i="39"/>
  <c r="G270" i="39"/>
  <c r="E270" i="39"/>
  <c r="B270" i="39"/>
  <c r="A270" i="39"/>
  <c r="I269" i="39"/>
  <c r="G269" i="39"/>
  <c r="E269" i="39"/>
  <c r="B269" i="39"/>
  <c r="A269" i="39"/>
  <c r="I268" i="39"/>
  <c r="G268" i="39"/>
  <c r="E268" i="39"/>
  <c r="B268" i="39"/>
  <c r="A268" i="39"/>
  <c r="I267" i="39"/>
  <c r="G267" i="39"/>
  <c r="E267" i="39"/>
  <c r="B267" i="39"/>
  <c r="A267" i="39"/>
  <c r="I266" i="39"/>
  <c r="G266" i="39"/>
  <c r="E266" i="39"/>
  <c r="B266" i="39"/>
  <c r="A266" i="39"/>
  <c r="I265" i="39"/>
  <c r="G265" i="39"/>
  <c r="E265" i="39"/>
  <c r="B265" i="39"/>
  <c r="A265" i="39"/>
  <c r="I264" i="39"/>
  <c r="G264" i="39"/>
  <c r="E264" i="39"/>
  <c r="B264" i="39"/>
  <c r="A264" i="39"/>
  <c r="I263" i="39"/>
  <c r="G263" i="39"/>
  <c r="E263" i="39"/>
  <c r="B263" i="39"/>
  <c r="A263" i="39"/>
  <c r="I262" i="39"/>
  <c r="G262" i="39"/>
  <c r="E262" i="39"/>
  <c r="B262" i="39"/>
  <c r="A262" i="39"/>
  <c r="I261" i="39"/>
  <c r="G261" i="39"/>
  <c r="E261" i="39"/>
  <c r="B261" i="39"/>
  <c r="A261" i="39"/>
  <c r="I260" i="39"/>
  <c r="G260" i="39"/>
  <c r="E260" i="39"/>
  <c r="B260" i="39"/>
  <c r="A260" i="39"/>
  <c r="I259" i="39"/>
  <c r="G259" i="39"/>
  <c r="E259" i="39"/>
  <c r="B259" i="39"/>
  <c r="A259" i="39"/>
  <c r="I258" i="39"/>
  <c r="G258" i="39"/>
  <c r="E258" i="39"/>
  <c r="B258" i="39"/>
  <c r="A258" i="39"/>
  <c r="I257" i="39"/>
  <c r="G257" i="39"/>
  <c r="E257" i="39"/>
  <c r="B257" i="39"/>
  <c r="A257" i="39"/>
  <c r="I256" i="39"/>
  <c r="G256" i="39"/>
  <c r="E256" i="39"/>
  <c r="B256" i="39"/>
  <c r="A256" i="39"/>
  <c r="I255" i="39"/>
  <c r="G255" i="39"/>
  <c r="E255" i="39"/>
  <c r="B255" i="39"/>
  <c r="A255" i="39"/>
  <c r="I254" i="39"/>
  <c r="G254" i="39"/>
  <c r="E254" i="39"/>
  <c r="B254" i="39"/>
  <c r="A254" i="39"/>
  <c r="I253" i="39"/>
  <c r="G253" i="39"/>
  <c r="E253" i="39"/>
  <c r="B253" i="39"/>
  <c r="A253" i="39"/>
  <c r="I252" i="39"/>
  <c r="G252" i="39"/>
  <c r="E252" i="39"/>
  <c r="B252" i="39"/>
  <c r="A252" i="39"/>
  <c r="I251" i="39"/>
  <c r="G251" i="39"/>
  <c r="E251" i="39"/>
  <c r="B251" i="39"/>
  <c r="A251" i="39"/>
  <c r="I250" i="39"/>
  <c r="G250" i="39"/>
  <c r="E250" i="39"/>
  <c r="B250" i="39"/>
  <c r="A250" i="39"/>
  <c r="I249" i="39"/>
  <c r="G249" i="39"/>
  <c r="E249" i="39"/>
  <c r="B249" i="39"/>
  <c r="A249" i="39"/>
  <c r="I248" i="39"/>
  <c r="G248" i="39"/>
  <c r="E248" i="39"/>
  <c r="B248" i="39"/>
  <c r="A248" i="39"/>
  <c r="I247" i="39"/>
  <c r="G247" i="39"/>
  <c r="E247" i="39"/>
  <c r="B247" i="39"/>
  <c r="A247" i="39"/>
  <c r="I246" i="39"/>
  <c r="G246" i="39"/>
  <c r="E246" i="39"/>
  <c r="B246" i="39"/>
  <c r="A246" i="39"/>
  <c r="I245" i="39"/>
  <c r="G245" i="39"/>
  <c r="E245" i="39"/>
  <c r="B245" i="39"/>
  <c r="A245" i="39"/>
  <c r="I244" i="39"/>
  <c r="G244" i="39"/>
  <c r="E244" i="39"/>
  <c r="B244" i="39"/>
  <c r="A244" i="39"/>
  <c r="I243" i="39"/>
  <c r="G243" i="39"/>
  <c r="E243" i="39"/>
  <c r="B243" i="39"/>
  <c r="A243" i="39"/>
  <c r="I242" i="39"/>
  <c r="G242" i="39"/>
  <c r="E242" i="39"/>
  <c r="B242" i="39"/>
  <c r="A242" i="39"/>
  <c r="I241" i="39"/>
  <c r="G241" i="39"/>
  <c r="E241" i="39"/>
  <c r="B241" i="39"/>
  <c r="A241" i="39"/>
  <c r="I240" i="39"/>
  <c r="G240" i="39"/>
  <c r="E240" i="39"/>
  <c r="B240" i="39"/>
  <c r="A240" i="39"/>
  <c r="I239" i="39"/>
  <c r="G239" i="39"/>
  <c r="E239" i="39"/>
  <c r="B239" i="39"/>
  <c r="A239" i="39"/>
  <c r="I238" i="39"/>
  <c r="G238" i="39"/>
  <c r="E238" i="39"/>
  <c r="B238" i="39"/>
  <c r="A238" i="39"/>
  <c r="I237" i="39"/>
  <c r="G237" i="39"/>
  <c r="E237" i="39"/>
  <c r="B237" i="39"/>
  <c r="A237" i="39"/>
  <c r="I236" i="39"/>
  <c r="G236" i="39"/>
  <c r="E236" i="39"/>
  <c r="B236" i="39"/>
  <c r="A236" i="39"/>
  <c r="I235" i="39"/>
  <c r="G235" i="39"/>
  <c r="E235" i="39"/>
  <c r="B235" i="39"/>
  <c r="A235" i="39"/>
  <c r="I234" i="39"/>
  <c r="G234" i="39"/>
  <c r="E234" i="39"/>
  <c r="B234" i="39"/>
  <c r="A234" i="39"/>
  <c r="I233" i="39"/>
  <c r="G233" i="39"/>
  <c r="E233" i="39"/>
  <c r="B233" i="39"/>
  <c r="A233" i="39"/>
  <c r="I232" i="39"/>
  <c r="G232" i="39"/>
  <c r="E232" i="39"/>
  <c r="B232" i="39"/>
  <c r="A232" i="39"/>
  <c r="I231" i="39"/>
  <c r="G231" i="39"/>
  <c r="E231" i="39"/>
  <c r="B231" i="39"/>
  <c r="A231" i="39"/>
  <c r="I230" i="39"/>
  <c r="G230" i="39"/>
  <c r="E230" i="39"/>
  <c r="B230" i="39"/>
  <c r="A230" i="39"/>
  <c r="I229" i="39"/>
  <c r="G229" i="39"/>
  <c r="E229" i="39"/>
  <c r="B229" i="39"/>
  <c r="A229" i="39"/>
  <c r="I228" i="39"/>
  <c r="G228" i="39"/>
  <c r="E228" i="39"/>
  <c r="B228" i="39"/>
  <c r="A228" i="39"/>
  <c r="I227" i="39"/>
  <c r="G227" i="39"/>
  <c r="E227" i="39"/>
  <c r="B227" i="39"/>
  <c r="A227" i="39"/>
  <c r="I226" i="39"/>
  <c r="G226" i="39"/>
  <c r="E226" i="39"/>
  <c r="B226" i="39"/>
  <c r="A226" i="39"/>
  <c r="I225" i="39"/>
  <c r="G225" i="39"/>
  <c r="E225" i="39"/>
  <c r="B225" i="39"/>
  <c r="A225" i="39"/>
  <c r="I224" i="39"/>
  <c r="G224" i="39"/>
  <c r="E224" i="39"/>
  <c r="B224" i="39"/>
  <c r="A224" i="39"/>
  <c r="I223" i="39"/>
  <c r="G223" i="39"/>
  <c r="E223" i="39"/>
  <c r="B223" i="39"/>
  <c r="A223" i="39"/>
  <c r="I222" i="39"/>
  <c r="G222" i="39"/>
  <c r="E222" i="39"/>
  <c r="B222" i="39"/>
  <c r="A222" i="39"/>
  <c r="I221" i="39"/>
  <c r="G221" i="39"/>
  <c r="E221" i="39"/>
  <c r="B221" i="39"/>
  <c r="A221" i="39"/>
  <c r="I220" i="39"/>
  <c r="G220" i="39"/>
  <c r="E220" i="39"/>
  <c r="B220" i="39"/>
  <c r="A220" i="39"/>
  <c r="I219" i="39"/>
  <c r="G219" i="39"/>
  <c r="E219" i="39"/>
  <c r="B219" i="39"/>
  <c r="A219" i="39"/>
  <c r="I218" i="39"/>
  <c r="G218" i="39"/>
  <c r="E218" i="39"/>
  <c r="B218" i="39"/>
  <c r="A218" i="39"/>
  <c r="I217" i="39"/>
  <c r="G217" i="39"/>
  <c r="E217" i="39"/>
  <c r="B217" i="39"/>
  <c r="A217" i="39"/>
  <c r="I216" i="39"/>
  <c r="G216" i="39"/>
  <c r="E216" i="39"/>
  <c r="B216" i="39"/>
  <c r="A216" i="39"/>
  <c r="I215" i="39"/>
  <c r="G215" i="39"/>
  <c r="E215" i="39"/>
  <c r="B215" i="39"/>
  <c r="A215" i="39"/>
  <c r="I214" i="39"/>
  <c r="G214" i="39"/>
  <c r="E214" i="39"/>
  <c r="B214" i="39"/>
  <c r="A214" i="39"/>
  <c r="I213" i="39"/>
  <c r="G213" i="39"/>
  <c r="E213" i="39"/>
  <c r="B213" i="39"/>
  <c r="A213" i="39"/>
  <c r="I212" i="39"/>
  <c r="G212" i="39"/>
  <c r="E212" i="39"/>
  <c r="B212" i="39"/>
  <c r="A212" i="39"/>
  <c r="I211" i="39"/>
  <c r="G211" i="39"/>
  <c r="E211" i="39"/>
  <c r="B211" i="39"/>
  <c r="A211" i="39"/>
  <c r="I210" i="39"/>
  <c r="G210" i="39"/>
  <c r="E210" i="39"/>
  <c r="B210" i="39"/>
  <c r="A210" i="39"/>
  <c r="I209" i="39"/>
  <c r="G209" i="39"/>
  <c r="E209" i="39"/>
  <c r="B209" i="39"/>
  <c r="A209" i="39"/>
  <c r="I208" i="39"/>
  <c r="G208" i="39"/>
  <c r="E208" i="39"/>
  <c r="B208" i="39"/>
  <c r="A208" i="39"/>
  <c r="I207" i="39"/>
  <c r="G207" i="39"/>
  <c r="E207" i="39"/>
  <c r="B207" i="39"/>
  <c r="A207" i="39"/>
  <c r="I206" i="39"/>
  <c r="G206" i="39"/>
  <c r="E206" i="39"/>
  <c r="B206" i="39"/>
  <c r="A206" i="39"/>
  <c r="I205" i="39"/>
  <c r="G205" i="39"/>
  <c r="E205" i="39"/>
  <c r="B205" i="39"/>
  <c r="A205" i="39"/>
  <c r="I204" i="39"/>
  <c r="G204" i="39"/>
  <c r="E204" i="39"/>
  <c r="B204" i="39"/>
  <c r="A204" i="39"/>
  <c r="I203" i="39"/>
  <c r="G203" i="39"/>
  <c r="E203" i="39"/>
  <c r="B203" i="39"/>
  <c r="A203" i="39"/>
  <c r="I202" i="39"/>
  <c r="G202" i="39"/>
  <c r="E202" i="39"/>
  <c r="B202" i="39"/>
  <c r="A202" i="39"/>
  <c r="I201" i="39"/>
  <c r="G201" i="39"/>
  <c r="E201" i="39"/>
  <c r="B201" i="39"/>
  <c r="A201" i="39"/>
  <c r="I200" i="39"/>
  <c r="G200" i="39"/>
  <c r="E200" i="39"/>
  <c r="B200" i="39"/>
  <c r="A200" i="39"/>
  <c r="I199" i="39"/>
  <c r="G199" i="39"/>
  <c r="E199" i="39"/>
  <c r="B199" i="39"/>
  <c r="A199" i="39"/>
  <c r="I198" i="39"/>
  <c r="G198" i="39"/>
  <c r="E198" i="39"/>
  <c r="B198" i="39"/>
  <c r="A198" i="39"/>
  <c r="I197" i="39"/>
  <c r="G197" i="39"/>
  <c r="E197" i="39"/>
  <c r="B197" i="39"/>
  <c r="A197" i="39"/>
  <c r="I196" i="39"/>
  <c r="G196" i="39"/>
  <c r="E196" i="39"/>
  <c r="B196" i="39"/>
  <c r="A196" i="39"/>
  <c r="I195" i="39"/>
  <c r="G195" i="39"/>
  <c r="E195" i="39"/>
  <c r="B195" i="39"/>
  <c r="A195" i="39"/>
  <c r="I194" i="39"/>
  <c r="G194" i="39"/>
  <c r="E194" i="39"/>
  <c r="B194" i="39"/>
  <c r="A194" i="39"/>
  <c r="I193" i="39"/>
  <c r="G193" i="39"/>
  <c r="E193" i="39"/>
  <c r="B193" i="39"/>
  <c r="A193" i="39"/>
  <c r="I192" i="39"/>
  <c r="G192" i="39"/>
  <c r="E192" i="39"/>
  <c r="B192" i="39"/>
  <c r="A192" i="39"/>
  <c r="I191" i="39"/>
  <c r="G191" i="39"/>
  <c r="E191" i="39"/>
  <c r="B191" i="39"/>
  <c r="A191" i="39"/>
  <c r="I190" i="39"/>
  <c r="G190" i="39"/>
  <c r="E190" i="39"/>
  <c r="B190" i="39"/>
  <c r="A190" i="39"/>
  <c r="I189" i="39"/>
  <c r="G189" i="39"/>
  <c r="E189" i="39"/>
  <c r="B189" i="39"/>
  <c r="A189" i="39"/>
  <c r="I188" i="39"/>
  <c r="G188" i="39"/>
  <c r="E188" i="39"/>
  <c r="B188" i="39"/>
  <c r="A188" i="39"/>
  <c r="I187" i="39"/>
  <c r="G187" i="39"/>
  <c r="E187" i="39"/>
  <c r="B187" i="39"/>
  <c r="A187" i="39"/>
  <c r="I186" i="39"/>
  <c r="G186" i="39"/>
  <c r="E186" i="39"/>
  <c r="B186" i="39"/>
  <c r="A186" i="39"/>
  <c r="I185" i="39"/>
  <c r="G185" i="39"/>
  <c r="E185" i="39"/>
  <c r="B185" i="39"/>
  <c r="A185" i="39"/>
  <c r="I184" i="39"/>
  <c r="G184" i="39"/>
  <c r="E184" i="39"/>
  <c r="B184" i="39"/>
  <c r="A184" i="39"/>
  <c r="I183" i="39"/>
  <c r="G183" i="39"/>
  <c r="E183" i="39"/>
  <c r="B183" i="39"/>
  <c r="A183" i="39"/>
  <c r="I182" i="39"/>
  <c r="G182" i="39"/>
  <c r="E182" i="39"/>
  <c r="B182" i="39"/>
  <c r="A182" i="39"/>
  <c r="I181" i="39"/>
  <c r="G181" i="39"/>
  <c r="E181" i="39"/>
  <c r="B181" i="39"/>
  <c r="A181" i="39"/>
  <c r="I180" i="39"/>
  <c r="G180" i="39"/>
  <c r="E180" i="39"/>
  <c r="B180" i="39"/>
  <c r="A180" i="39"/>
  <c r="I179" i="39"/>
  <c r="G179" i="39"/>
  <c r="E179" i="39"/>
  <c r="B179" i="39"/>
  <c r="A179" i="39"/>
  <c r="I178" i="39"/>
  <c r="G178" i="39"/>
  <c r="E178" i="39"/>
  <c r="B178" i="39"/>
  <c r="A178" i="39"/>
  <c r="I177" i="39"/>
  <c r="G177" i="39"/>
  <c r="E177" i="39"/>
  <c r="B177" i="39"/>
  <c r="A177" i="39"/>
  <c r="I176" i="39"/>
  <c r="G176" i="39"/>
  <c r="E176" i="39"/>
  <c r="B176" i="39"/>
  <c r="A176" i="39"/>
  <c r="I175" i="39"/>
  <c r="G175" i="39"/>
  <c r="E175" i="39"/>
  <c r="B175" i="39"/>
  <c r="A175" i="39"/>
  <c r="I174" i="39"/>
  <c r="G174" i="39"/>
  <c r="E174" i="39"/>
  <c r="B174" i="39"/>
  <c r="A174" i="39"/>
  <c r="I173" i="39"/>
  <c r="G173" i="39"/>
  <c r="E173" i="39"/>
  <c r="B173" i="39"/>
  <c r="A173" i="39"/>
  <c r="I172" i="39"/>
  <c r="G172" i="39"/>
  <c r="E172" i="39"/>
  <c r="B172" i="39"/>
  <c r="A172" i="39"/>
  <c r="I171" i="39"/>
  <c r="G171" i="39"/>
  <c r="E171" i="39"/>
  <c r="B171" i="39"/>
  <c r="A171" i="39"/>
  <c r="I170" i="39"/>
  <c r="G170" i="39"/>
  <c r="E170" i="39"/>
  <c r="B170" i="39"/>
  <c r="A170" i="39"/>
  <c r="I169" i="39"/>
  <c r="G169" i="39"/>
  <c r="E169" i="39"/>
  <c r="B169" i="39"/>
  <c r="A169" i="39"/>
  <c r="I168" i="39"/>
  <c r="G168" i="39"/>
  <c r="E168" i="39"/>
  <c r="B168" i="39"/>
  <c r="A168" i="39"/>
  <c r="I167" i="39"/>
  <c r="G167" i="39"/>
  <c r="E167" i="39"/>
  <c r="B167" i="39"/>
  <c r="A167" i="39"/>
  <c r="I166" i="39"/>
  <c r="G166" i="39"/>
  <c r="E166" i="39"/>
  <c r="B166" i="39"/>
  <c r="A166" i="39"/>
  <c r="I165" i="39"/>
  <c r="G165" i="39"/>
  <c r="E165" i="39"/>
  <c r="B165" i="39"/>
  <c r="A165" i="39"/>
  <c r="I164" i="39"/>
  <c r="G164" i="39"/>
  <c r="E164" i="39"/>
  <c r="B164" i="39"/>
  <c r="A164" i="39"/>
  <c r="I163" i="39"/>
  <c r="G163" i="39"/>
  <c r="E163" i="39"/>
  <c r="B163" i="39"/>
  <c r="A163" i="39"/>
  <c r="I162" i="39"/>
  <c r="G162" i="39"/>
  <c r="E162" i="39"/>
  <c r="B162" i="39"/>
  <c r="A162" i="39"/>
  <c r="I161" i="39"/>
  <c r="G161" i="39"/>
  <c r="E161" i="39"/>
  <c r="B161" i="39"/>
  <c r="A161" i="39"/>
  <c r="I160" i="39"/>
  <c r="G160" i="39"/>
  <c r="E160" i="39"/>
  <c r="B160" i="39"/>
  <c r="A160" i="39"/>
  <c r="I159" i="39"/>
  <c r="G159" i="39"/>
  <c r="E159" i="39"/>
  <c r="B159" i="39"/>
  <c r="A159" i="39"/>
  <c r="I158" i="39"/>
  <c r="G158" i="39"/>
  <c r="E158" i="39"/>
  <c r="B158" i="39"/>
  <c r="A158" i="39"/>
  <c r="I157" i="39"/>
  <c r="G157" i="39"/>
  <c r="E157" i="39"/>
  <c r="B157" i="39"/>
  <c r="A157" i="39"/>
  <c r="I156" i="39"/>
  <c r="G156" i="39"/>
  <c r="E156" i="39"/>
  <c r="B156" i="39"/>
  <c r="A156" i="39"/>
  <c r="I155" i="39"/>
  <c r="G155" i="39"/>
  <c r="E155" i="39"/>
  <c r="B155" i="39"/>
  <c r="A155" i="39"/>
  <c r="I154" i="39"/>
  <c r="G154" i="39"/>
  <c r="E154" i="39"/>
  <c r="B154" i="39"/>
  <c r="A154" i="39"/>
  <c r="I153" i="39"/>
  <c r="G153" i="39"/>
  <c r="E153" i="39"/>
  <c r="B153" i="39"/>
  <c r="A153" i="39"/>
  <c r="I152" i="39"/>
  <c r="G152" i="39"/>
  <c r="E152" i="39"/>
  <c r="B152" i="39"/>
  <c r="A152" i="39"/>
  <c r="I151" i="39"/>
  <c r="G151" i="39"/>
  <c r="E151" i="39"/>
  <c r="B151" i="39"/>
  <c r="A151" i="39"/>
  <c r="I150" i="39"/>
  <c r="G150" i="39"/>
  <c r="E150" i="39"/>
  <c r="B150" i="39"/>
  <c r="A150" i="39"/>
  <c r="I149" i="39"/>
  <c r="G149" i="39"/>
  <c r="E149" i="39"/>
  <c r="B149" i="39"/>
  <c r="A149" i="39"/>
  <c r="I148" i="39"/>
  <c r="G148" i="39"/>
  <c r="E148" i="39"/>
  <c r="B148" i="39"/>
  <c r="A148" i="39"/>
  <c r="I147" i="39"/>
  <c r="G147" i="39"/>
  <c r="E147" i="39"/>
  <c r="B147" i="39"/>
  <c r="A147" i="39"/>
  <c r="I146" i="39"/>
  <c r="G146" i="39"/>
  <c r="E146" i="39"/>
  <c r="B146" i="39"/>
  <c r="A146" i="39"/>
  <c r="I145" i="39"/>
  <c r="G145" i="39"/>
  <c r="E145" i="39"/>
  <c r="B145" i="39"/>
  <c r="A145" i="39"/>
  <c r="I144" i="39"/>
  <c r="G144" i="39"/>
  <c r="E144" i="39"/>
  <c r="B144" i="39"/>
  <c r="A144" i="39"/>
  <c r="I143" i="39"/>
  <c r="G143" i="39"/>
  <c r="E143" i="39"/>
  <c r="B143" i="39"/>
  <c r="A143" i="39"/>
  <c r="I142" i="39"/>
  <c r="G142" i="39"/>
  <c r="E142" i="39"/>
  <c r="B142" i="39"/>
  <c r="A142" i="39"/>
  <c r="I141" i="39"/>
  <c r="G141" i="39"/>
  <c r="E141" i="39"/>
  <c r="B141" i="39"/>
  <c r="A141" i="39"/>
  <c r="I140" i="39"/>
  <c r="G140" i="39"/>
  <c r="E140" i="39"/>
  <c r="B140" i="39"/>
  <c r="A140" i="39"/>
  <c r="I139" i="39"/>
  <c r="G139" i="39"/>
  <c r="E139" i="39"/>
  <c r="B139" i="39"/>
  <c r="A139" i="39"/>
  <c r="I138" i="39"/>
  <c r="G138" i="39"/>
  <c r="E138" i="39"/>
  <c r="B138" i="39"/>
  <c r="A138" i="39"/>
  <c r="I137" i="39"/>
  <c r="G137" i="39"/>
  <c r="E137" i="39"/>
  <c r="B137" i="39"/>
  <c r="A137" i="39"/>
  <c r="I136" i="39"/>
  <c r="G136" i="39"/>
  <c r="E136" i="39"/>
  <c r="B136" i="39"/>
  <c r="A136" i="39"/>
  <c r="I135" i="39"/>
  <c r="G135" i="39"/>
  <c r="E135" i="39"/>
  <c r="B135" i="39"/>
  <c r="A135" i="39"/>
  <c r="I134" i="39"/>
  <c r="G134" i="39"/>
  <c r="E134" i="39"/>
  <c r="B134" i="39"/>
  <c r="A134" i="39"/>
  <c r="I133" i="39"/>
  <c r="G133" i="39"/>
  <c r="E133" i="39"/>
  <c r="B133" i="39"/>
  <c r="A133" i="39"/>
  <c r="I132" i="39"/>
  <c r="G132" i="39"/>
  <c r="E132" i="39"/>
  <c r="B132" i="39"/>
  <c r="A132" i="39"/>
  <c r="I131" i="39"/>
  <c r="G131" i="39"/>
  <c r="E131" i="39"/>
  <c r="B131" i="39"/>
  <c r="A131" i="39"/>
  <c r="I130" i="39"/>
  <c r="G130" i="39"/>
  <c r="E130" i="39"/>
  <c r="B130" i="39"/>
  <c r="A130" i="39"/>
  <c r="I129" i="39"/>
  <c r="G129" i="39"/>
  <c r="E129" i="39"/>
  <c r="B129" i="39"/>
  <c r="A129" i="39"/>
  <c r="I128" i="39"/>
  <c r="G128" i="39"/>
  <c r="E128" i="39"/>
  <c r="B128" i="39"/>
  <c r="A128" i="39"/>
  <c r="I127" i="39"/>
  <c r="G127" i="39"/>
  <c r="E127" i="39"/>
  <c r="B127" i="39"/>
  <c r="A127" i="39"/>
  <c r="I126" i="39"/>
  <c r="G126" i="39"/>
  <c r="E126" i="39"/>
  <c r="B126" i="39"/>
  <c r="A126" i="39"/>
  <c r="I125" i="39"/>
  <c r="G125" i="39"/>
  <c r="E125" i="39"/>
  <c r="B125" i="39"/>
  <c r="A125" i="39"/>
  <c r="I124" i="39"/>
  <c r="G124" i="39"/>
  <c r="E124" i="39"/>
  <c r="B124" i="39"/>
  <c r="A124" i="39"/>
  <c r="I123" i="39"/>
  <c r="G123" i="39"/>
  <c r="E123" i="39"/>
  <c r="B123" i="39"/>
  <c r="A123" i="39"/>
  <c r="I122" i="39"/>
  <c r="G122" i="39"/>
  <c r="E122" i="39"/>
  <c r="B122" i="39"/>
  <c r="A122" i="39"/>
  <c r="I121" i="39"/>
  <c r="G121" i="39"/>
  <c r="E121" i="39"/>
  <c r="B121" i="39"/>
  <c r="A121" i="39"/>
  <c r="I120" i="39"/>
  <c r="G120" i="39"/>
  <c r="E120" i="39"/>
  <c r="B120" i="39"/>
  <c r="A120" i="39"/>
  <c r="I119" i="39"/>
  <c r="G119" i="39"/>
  <c r="E119" i="39"/>
  <c r="B119" i="39"/>
  <c r="A119" i="39"/>
  <c r="I118" i="39"/>
  <c r="G118" i="39"/>
  <c r="E118" i="39"/>
  <c r="B118" i="39"/>
  <c r="A118" i="39"/>
  <c r="I117" i="39"/>
  <c r="G117" i="39"/>
  <c r="E117" i="39"/>
  <c r="B117" i="39"/>
  <c r="A117" i="39"/>
  <c r="I116" i="39"/>
  <c r="G116" i="39"/>
  <c r="E116" i="39"/>
  <c r="B116" i="39"/>
  <c r="A116" i="39"/>
  <c r="I115" i="39"/>
  <c r="G115" i="39"/>
  <c r="E115" i="39"/>
  <c r="B115" i="39"/>
  <c r="A115" i="39"/>
  <c r="I114" i="39"/>
  <c r="G114" i="39"/>
  <c r="E114" i="39"/>
  <c r="B114" i="39"/>
  <c r="A114" i="39"/>
  <c r="I113" i="39"/>
  <c r="G113" i="39"/>
  <c r="E113" i="39"/>
  <c r="B113" i="39"/>
  <c r="A113" i="39"/>
  <c r="I112" i="39"/>
  <c r="G112" i="39"/>
  <c r="E112" i="39"/>
  <c r="B112" i="39"/>
  <c r="A112" i="39"/>
  <c r="I111" i="39"/>
  <c r="G111" i="39"/>
  <c r="E111" i="39"/>
  <c r="B111" i="39"/>
  <c r="A111" i="39"/>
  <c r="I110" i="39"/>
  <c r="G110" i="39"/>
  <c r="E110" i="39"/>
  <c r="B110" i="39"/>
  <c r="A110" i="39"/>
  <c r="I109" i="39"/>
  <c r="G109" i="39"/>
  <c r="E109" i="39"/>
  <c r="B109" i="39"/>
  <c r="A109" i="39"/>
  <c r="I108" i="39"/>
  <c r="G108" i="39"/>
  <c r="E108" i="39"/>
  <c r="B108" i="39"/>
  <c r="A108" i="39"/>
  <c r="I107" i="39"/>
  <c r="G107" i="39"/>
  <c r="E107" i="39"/>
  <c r="B107" i="39"/>
  <c r="A107" i="39"/>
  <c r="I106" i="39"/>
  <c r="G106" i="39"/>
  <c r="E106" i="39"/>
  <c r="B106" i="39"/>
  <c r="A106" i="39"/>
  <c r="I105" i="39"/>
  <c r="G105" i="39"/>
  <c r="E105" i="39"/>
  <c r="B105" i="39"/>
  <c r="A105" i="39"/>
  <c r="I104" i="39"/>
  <c r="G104" i="39"/>
  <c r="E104" i="39"/>
  <c r="B104" i="39"/>
  <c r="A104" i="39"/>
  <c r="I103" i="39"/>
  <c r="G103" i="39"/>
  <c r="E103" i="39"/>
  <c r="B103" i="39"/>
  <c r="A103" i="39"/>
  <c r="I102" i="39"/>
  <c r="G102" i="39"/>
  <c r="E102" i="39"/>
  <c r="B102" i="39"/>
  <c r="A102" i="39"/>
  <c r="I101" i="39"/>
  <c r="G101" i="39"/>
  <c r="E101" i="39"/>
  <c r="B101" i="39"/>
  <c r="A101" i="39"/>
  <c r="I100" i="39"/>
  <c r="G100" i="39"/>
  <c r="E100" i="39"/>
  <c r="B100" i="39"/>
  <c r="A100" i="39"/>
  <c r="I99" i="39"/>
  <c r="G99" i="39"/>
  <c r="E99" i="39"/>
  <c r="B99" i="39"/>
  <c r="A99" i="39"/>
  <c r="I98" i="39"/>
  <c r="G98" i="39"/>
  <c r="E98" i="39"/>
  <c r="B98" i="39"/>
  <c r="A98" i="39"/>
  <c r="I97" i="39"/>
  <c r="G97" i="39"/>
  <c r="E97" i="39"/>
  <c r="B97" i="39"/>
  <c r="A97" i="39"/>
  <c r="I96" i="39"/>
  <c r="G96" i="39"/>
  <c r="E96" i="39"/>
  <c r="B96" i="39"/>
  <c r="A96" i="39"/>
  <c r="I95" i="39"/>
  <c r="G95" i="39"/>
  <c r="E95" i="39"/>
  <c r="B95" i="39"/>
  <c r="A95" i="39"/>
  <c r="I94" i="39"/>
  <c r="G94" i="39"/>
  <c r="E94" i="39"/>
  <c r="B94" i="39"/>
  <c r="A94" i="39"/>
  <c r="I93" i="39"/>
  <c r="G93" i="39"/>
  <c r="E93" i="39"/>
  <c r="B93" i="39"/>
  <c r="A93" i="39"/>
  <c r="I92" i="39"/>
  <c r="G92" i="39"/>
  <c r="E92" i="39"/>
  <c r="B92" i="39"/>
  <c r="A92" i="39"/>
  <c r="I91" i="39"/>
  <c r="G91" i="39"/>
  <c r="E91" i="39"/>
  <c r="B91" i="39"/>
  <c r="A91" i="39"/>
  <c r="I90" i="39"/>
  <c r="G90" i="39"/>
  <c r="E90" i="39"/>
  <c r="B90" i="39"/>
  <c r="A90" i="39"/>
  <c r="I89" i="39"/>
  <c r="G89" i="39"/>
  <c r="E89" i="39"/>
  <c r="B89" i="39"/>
  <c r="A89" i="39"/>
  <c r="I88" i="39"/>
  <c r="G88" i="39"/>
  <c r="E88" i="39"/>
  <c r="B88" i="39"/>
  <c r="A88" i="39"/>
  <c r="I87" i="39"/>
  <c r="G87" i="39"/>
  <c r="E87" i="39"/>
  <c r="B87" i="39"/>
  <c r="A87" i="39"/>
  <c r="I86" i="39"/>
  <c r="G86" i="39"/>
  <c r="E86" i="39"/>
  <c r="B86" i="39"/>
  <c r="A86" i="39"/>
  <c r="I85" i="39"/>
  <c r="G85" i="39"/>
  <c r="E85" i="39"/>
  <c r="B85" i="39"/>
  <c r="A85" i="39"/>
  <c r="I84" i="39"/>
  <c r="G84" i="39"/>
  <c r="E84" i="39"/>
  <c r="B84" i="39"/>
  <c r="A84" i="39"/>
  <c r="I83" i="39"/>
  <c r="G83" i="39"/>
  <c r="E83" i="39"/>
  <c r="B83" i="39"/>
  <c r="A83" i="39"/>
  <c r="I82" i="39"/>
  <c r="G82" i="39"/>
  <c r="E82" i="39"/>
  <c r="B82" i="39"/>
  <c r="A82" i="39"/>
  <c r="I81" i="39"/>
  <c r="G81" i="39"/>
  <c r="E81" i="39"/>
  <c r="B81" i="39"/>
  <c r="A81" i="39"/>
  <c r="I80" i="39"/>
  <c r="G80" i="39"/>
  <c r="E80" i="39"/>
  <c r="B80" i="39"/>
  <c r="A80" i="39"/>
  <c r="I79" i="39"/>
  <c r="G79" i="39"/>
  <c r="E79" i="39"/>
  <c r="B79" i="39"/>
  <c r="A79" i="39"/>
  <c r="I78" i="39"/>
  <c r="G78" i="39"/>
  <c r="E78" i="39"/>
  <c r="B78" i="39"/>
  <c r="A78" i="39"/>
  <c r="I77" i="39"/>
  <c r="G77" i="39"/>
  <c r="E77" i="39"/>
  <c r="B77" i="39"/>
  <c r="A77" i="39"/>
  <c r="I76" i="39"/>
  <c r="G76" i="39"/>
  <c r="E76" i="39"/>
  <c r="B76" i="39"/>
  <c r="A76" i="39"/>
  <c r="I75" i="39"/>
  <c r="G75" i="39"/>
  <c r="E75" i="39"/>
  <c r="B75" i="39"/>
  <c r="A75" i="39"/>
  <c r="I74" i="39"/>
  <c r="G74" i="39"/>
  <c r="E74" i="39"/>
  <c r="B74" i="39"/>
  <c r="A74" i="39"/>
  <c r="I73" i="39"/>
  <c r="G73" i="39"/>
  <c r="E73" i="39"/>
  <c r="B73" i="39"/>
  <c r="A73" i="39"/>
  <c r="I72" i="39"/>
  <c r="G72" i="39"/>
  <c r="E72" i="39"/>
  <c r="B72" i="39"/>
  <c r="A72" i="39"/>
  <c r="I71" i="39"/>
  <c r="G71" i="39"/>
  <c r="E71" i="39"/>
  <c r="B71" i="39"/>
  <c r="A71" i="39"/>
  <c r="I70" i="39"/>
  <c r="G70" i="39"/>
  <c r="E70" i="39"/>
  <c r="B70" i="39"/>
  <c r="A70" i="39"/>
  <c r="I69" i="39"/>
  <c r="G69" i="39"/>
  <c r="E69" i="39"/>
  <c r="B69" i="39"/>
  <c r="A69" i="39"/>
  <c r="I68" i="39"/>
  <c r="G68" i="39"/>
  <c r="E68" i="39"/>
  <c r="B68" i="39"/>
  <c r="A68" i="39"/>
  <c r="I67" i="39"/>
  <c r="G67" i="39"/>
  <c r="E67" i="39"/>
  <c r="B67" i="39"/>
  <c r="A67" i="39"/>
  <c r="I66" i="39"/>
  <c r="G66" i="39"/>
  <c r="E66" i="39"/>
  <c r="B66" i="39"/>
  <c r="A66" i="39"/>
  <c r="I65" i="39"/>
  <c r="G65" i="39"/>
  <c r="E65" i="39"/>
  <c r="B65" i="39"/>
  <c r="A65" i="39"/>
  <c r="I64" i="39"/>
  <c r="G64" i="39"/>
  <c r="E64" i="39"/>
  <c r="B64" i="39"/>
  <c r="A64" i="39"/>
  <c r="I63" i="39"/>
  <c r="G63" i="39"/>
  <c r="E63" i="39"/>
  <c r="B63" i="39"/>
  <c r="A63" i="39"/>
  <c r="I62" i="39"/>
  <c r="G62" i="39"/>
  <c r="E62" i="39"/>
  <c r="B62" i="39"/>
  <c r="A62" i="39"/>
  <c r="I61" i="39"/>
  <c r="G61" i="39"/>
  <c r="E61" i="39"/>
  <c r="B61" i="39"/>
  <c r="A61" i="39"/>
  <c r="I60" i="39"/>
  <c r="G60" i="39"/>
  <c r="E60" i="39"/>
  <c r="B60" i="39"/>
  <c r="A60" i="39"/>
  <c r="I59" i="39"/>
  <c r="G59" i="39"/>
  <c r="E59" i="39"/>
  <c r="B59" i="39"/>
  <c r="A59" i="39"/>
  <c r="I58" i="39"/>
  <c r="G58" i="39"/>
  <c r="E58" i="39"/>
  <c r="B58" i="39"/>
  <c r="A58" i="39"/>
  <c r="I57" i="39"/>
  <c r="G57" i="39"/>
  <c r="E57" i="39"/>
  <c r="B57" i="39"/>
  <c r="A57" i="39"/>
  <c r="I56" i="39"/>
  <c r="G56" i="39"/>
  <c r="E56" i="39"/>
  <c r="B56" i="39"/>
  <c r="A56" i="39"/>
  <c r="I55" i="39"/>
  <c r="G55" i="39"/>
  <c r="E55" i="39"/>
  <c r="B55" i="39"/>
  <c r="A55" i="39"/>
  <c r="I54" i="39"/>
  <c r="G54" i="39"/>
  <c r="E54" i="39"/>
  <c r="B54" i="39"/>
  <c r="A54" i="39"/>
  <c r="I53" i="39"/>
  <c r="G53" i="39"/>
  <c r="E53" i="39"/>
  <c r="B53" i="39"/>
  <c r="A53" i="39"/>
  <c r="I52" i="39"/>
  <c r="G52" i="39"/>
  <c r="E52" i="39"/>
  <c r="B52" i="39"/>
  <c r="A52" i="39"/>
  <c r="I51" i="39"/>
  <c r="G51" i="39"/>
  <c r="E51" i="39"/>
  <c r="B51" i="39"/>
  <c r="A51" i="39"/>
  <c r="I50" i="39"/>
  <c r="G50" i="39"/>
  <c r="E50" i="39"/>
  <c r="B50" i="39"/>
  <c r="A50" i="39"/>
  <c r="I49" i="39"/>
  <c r="G49" i="39"/>
  <c r="E49" i="39"/>
  <c r="B49" i="39"/>
  <c r="A49" i="39"/>
  <c r="I48" i="39"/>
  <c r="G48" i="39"/>
  <c r="E48" i="39"/>
  <c r="B48" i="39"/>
  <c r="A48" i="39"/>
  <c r="I47" i="39"/>
  <c r="G47" i="39"/>
  <c r="E47" i="39"/>
  <c r="B47" i="39"/>
  <c r="A47" i="39"/>
  <c r="I46" i="39"/>
  <c r="G46" i="39"/>
  <c r="E46" i="39"/>
  <c r="B46" i="39"/>
  <c r="A46" i="39"/>
  <c r="I45" i="39"/>
  <c r="G45" i="39"/>
  <c r="E45" i="39"/>
  <c r="B45" i="39"/>
  <c r="A45" i="39"/>
  <c r="I44" i="39"/>
  <c r="G44" i="39"/>
  <c r="E44" i="39"/>
  <c r="B44" i="39"/>
  <c r="A44" i="39"/>
  <c r="I43" i="39"/>
  <c r="G43" i="39"/>
  <c r="E43" i="39"/>
  <c r="B43" i="39"/>
  <c r="A43" i="39"/>
  <c r="I42" i="39"/>
  <c r="G42" i="39"/>
  <c r="E42" i="39"/>
  <c r="B42" i="39"/>
  <c r="A42" i="39"/>
  <c r="I41" i="39"/>
  <c r="G41" i="39"/>
  <c r="E41" i="39"/>
  <c r="B41" i="39"/>
  <c r="A41" i="39"/>
  <c r="I40" i="39"/>
  <c r="G40" i="39"/>
  <c r="E40" i="39"/>
  <c r="B40" i="39"/>
  <c r="A40" i="39"/>
  <c r="I39" i="39"/>
  <c r="G39" i="39"/>
  <c r="E39" i="39"/>
  <c r="B39" i="39"/>
  <c r="A39" i="39"/>
  <c r="I38" i="39"/>
  <c r="G38" i="39"/>
  <c r="E38" i="39"/>
  <c r="B38" i="39"/>
  <c r="A38" i="39"/>
  <c r="I37" i="39"/>
  <c r="G37" i="39"/>
  <c r="E37" i="39"/>
  <c r="B37" i="39"/>
  <c r="A37" i="39"/>
  <c r="I36" i="39"/>
  <c r="G36" i="39"/>
  <c r="E36" i="39"/>
  <c r="B36" i="39"/>
  <c r="A36" i="39"/>
  <c r="I35" i="39"/>
  <c r="G35" i="39"/>
  <c r="E35" i="39"/>
  <c r="B35" i="39"/>
  <c r="A35" i="39"/>
  <c r="I34" i="39"/>
  <c r="G34" i="39"/>
  <c r="E34" i="39"/>
  <c r="B34" i="39"/>
  <c r="A34" i="39"/>
  <c r="I33" i="39"/>
  <c r="G33" i="39"/>
  <c r="E33" i="39"/>
  <c r="B33" i="39"/>
  <c r="A33" i="39"/>
  <c r="I32" i="39"/>
  <c r="G32" i="39"/>
  <c r="E32" i="39"/>
  <c r="B32" i="39"/>
  <c r="A32" i="39"/>
  <c r="I31" i="39"/>
  <c r="G31" i="39"/>
  <c r="E31" i="39"/>
  <c r="B31" i="39"/>
  <c r="A31" i="39"/>
  <c r="I30" i="39"/>
  <c r="G30" i="39"/>
  <c r="E30" i="39"/>
  <c r="B30" i="39"/>
  <c r="A30" i="39"/>
  <c r="I29" i="39"/>
  <c r="G29" i="39"/>
  <c r="E29" i="39"/>
  <c r="B29" i="39"/>
  <c r="A29" i="39"/>
  <c r="I28" i="39"/>
  <c r="G28" i="39"/>
  <c r="E28" i="39"/>
  <c r="B28" i="39"/>
  <c r="A28" i="39"/>
  <c r="I27" i="39"/>
  <c r="G27" i="39"/>
  <c r="E27" i="39"/>
  <c r="B27" i="39"/>
  <c r="A27" i="39"/>
  <c r="I26" i="39"/>
  <c r="G26" i="39"/>
  <c r="E26" i="39"/>
  <c r="B26" i="39"/>
  <c r="A26" i="39"/>
  <c r="I25" i="39"/>
  <c r="G25" i="39"/>
  <c r="E25" i="39"/>
  <c r="B25" i="39"/>
  <c r="A25" i="39"/>
  <c r="I24" i="39"/>
  <c r="G24" i="39"/>
  <c r="E24" i="39"/>
  <c r="B24" i="39"/>
  <c r="A24" i="39"/>
  <c r="I23" i="39"/>
  <c r="G23" i="39"/>
  <c r="E23" i="39"/>
  <c r="B23" i="39"/>
  <c r="A23" i="39"/>
  <c r="I22" i="39"/>
  <c r="G22" i="39"/>
  <c r="E22" i="39"/>
  <c r="B22" i="39"/>
  <c r="A22" i="39"/>
  <c r="I21" i="39"/>
  <c r="G21" i="39"/>
  <c r="E21" i="39"/>
  <c r="B21" i="39"/>
  <c r="A21" i="39"/>
  <c r="I20" i="39"/>
  <c r="G20" i="39"/>
  <c r="E20" i="39"/>
  <c r="B20" i="39"/>
  <c r="A20" i="39"/>
  <c r="I19" i="39"/>
  <c r="G19" i="39"/>
  <c r="E19" i="39"/>
  <c r="B19" i="39"/>
  <c r="A19" i="39"/>
  <c r="I18" i="39"/>
  <c r="G18" i="39"/>
  <c r="E18" i="39"/>
  <c r="B18" i="39"/>
  <c r="A18" i="39"/>
  <c r="I17" i="39"/>
  <c r="G17" i="39"/>
  <c r="E17" i="39"/>
  <c r="B17" i="39"/>
  <c r="A17" i="39"/>
  <c r="I16" i="39"/>
  <c r="G16" i="39"/>
  <c r="E16" i="39"/>
  <c r="B16" i="39"/>
  <c r="A16" i="39"/>
  <c r="I15" i="39"/>
  <c r="G15" i="39"/>
  <c r="E15" i="39"/>
  <c r="B15" i="39"/>
  <c r="A15" i="39"/>
  <c r="I14" i="39"/>
  <c r="G14" i="39"/>
  <c r="E14" i="39"/>
  <c r="B14" i="39"/>
  <c r="A14" i="39"/>
  <c r="I13" i="39"/>
  <c r="G13" i="39"/>
  <c r="E13" i="39"/>
  <c r="B13" i="39"/>
  <c r="A13" i="39"/>
  <c r="I12" i="39"/>
  <c r="G12" i="39"/>
  <c r="E12" i="39"/>
  <c r="B12" i="39"/>
  <c r="A12" i="39"/>
  <c r="I11" i="39"/>
  <c r="G11" i="39"/>
  <c r="E11" i="39"/>
  <c r="B11" i="39"/>
  <c r="A11" i="39"/>
  <c r="I10" i="39"/>
  <c r="G10" i="39"/>
  <c r="E10" i="39"/>
  <c r="B10" i="39"/>
  <c r="A10" i="39"/>
  <c r="I9" i="39"/>
  <c r="G9" i="39"/>
  <c r="E9" i="39"/>
  <c r="B9" i="39"/>
  <c r="A9" i="39"/>
  <c r="I8" i="39"/>
  <c r="G8" i="39"/>
  <c r="E8" i="39"/>
  <c r="B8" i="39"/>
  <c r="A8" i="39"/>
  <c r="I7" i="39"/>
  <c r="G7" i="39"/>
  <c r="E7" i="39"/>
  <c r="B7" i="39"/>
  <c r="A7" i="39"/>
  <c r="I6" i="39"/>
  <c r="G6" i="39"/>
  <c r="E6" i="39"/>
  <c r="B6" i="39"/>
  <c r="A6" i="39"/>
  <c r="I5" i="39"/>
  <c r="G5" i="39"/>
  <c r="E5" i="39"/>
  <c r="B5" i="39"/>
  <c r="A5" i="39"/>
  <c r="I4" i="39"/>
  <c r="G4" i="39"/>
  <c r="E4" i="39"/>
  <c r="B4" i="39"/>
  <c r="A4" i="39"/>
  <c r="I3" i="39"/>
  <c r="G3" i="39"/>
  <c r="E3" i="39"/>
  <c r="B3" i="39"/>
  <c r="A3" i="39"/>
  <c r="I2" i="39"/>
  <c r="G2" i="39"/>
  <c r="E2" i="39"/>
  <c r="B2" i="39"/>
  <c r="A2" i="39"/>
  <c r="U153" i="38" a="1"/>
  <c r="U153" i="38"/>
  <c r="S153" i="38" a="1"/>
  <c r="S153" i="38"/>
  <c r="T153" i="38"/>
  <c r="R153" i="38" a="1"/>
  <c r="R153" i="38"/>
  <c r="P153" i="38" a="1"/>
  <c r="P153" i="38"/>
  <c r="Q153" i="38"/>
  <c r="O153" i="38" a="1"/>
  <c r="O153" i="38"/>
  <c r="M153" i="38" a="1"/>
  <c r="M153" i="38"/>
  <c r="N153" i="38"/>
  <c r="L153" i="38" a="1"/>
  <c r="L153" i="38"/>
  <c r="J153" i="38" a="1"/>
  <c r="J153" i="38"/>
  <c r="K153" i="38"/>
  <c r="I153" i="38" a="1"/>
  <c r="I153" i="38"/>
  <c r="G153" i="38" a="1"/>
  <c r="G153" i="38"/>
  <c r="H153" i="38"/>
  <c r="F153" i="38" a="1"/>
  <c r="F153" i="38"/>
  <c r="E153" i="38"/>
  <c r="D153" i="38" a="1"/>
  <c r="D153" i="38"/>
  <c r="B153" i="38"/>
  <c r="A153" i="38"/>
  <c r="U152" i="38" a="1"/>
  <c r="U152" i="38"/>
  <c r="S152" i="38" a="1"/>
  <c r="S152" i="38"/>
  <c r="T152" i="38"/>
  <c r="R152" i="38" a="1"/>
  <c r="R152" i="38"/>
  <c r="P152" i="38" a="1"/>
  <c r="P152" i="38"/>
  <c r="Q152" i="38"/>
  <c r="O152" i="38" a="1"/>
  <c r="O152" i="38"/>
  <c r="M152" i="38" a="1"/>
  <c r="M152" i="38"/>
  <c r="N152" i="38"/>
  <c r="L152" i="38" a="1"/>
  <c r="L152" i="38"/>
  <c r="J152" i="38" a="1"/>
  <c r="J152" i="38"/>
  <c r="K152" i="38"/>
  <c r="I152" i="38" a="1"/>
  <c r="I152" i="38"/>
  <c r="G152" i="38" a="1"/>
  <c r="G152" i="38"/>
  <c r="H152" i="38"/>
  <c r="F152" i="38" a="1"/>
  <c r="F152" i="38"/>
  <c r="E152" i="38"/>
  <c r="D152" i="38" a="1"/>
  <c r="D152" i="38"/>
  <c r="B152" i="38"/>
  <c r="A152" i="38"/>
  <c r="U151" i="38" a="1"/>
  <c r="U151" i="38"/>
  <c r="S151" i="38" a="1"/>
  <c r="S151" i="38"/>
  <c r="T151" i="38"/>
  <c r="R151" i="38" a="1"/>
  <c r="R151" i="38"/>
  <c r="P151" i="38" a="1"/>
  <c r="P151" i="38"/>
  <c r="Q151" i="38"/>
  <c r="O151" i="38" a="1"/>
  <c r="O151" i="38"/>
  <c r="M151" i="38" a="1"/>
  <c r="M151" i="38"/>
  <c r="N151" i="38"/>
  <c r="L151" i="38" a="1"/>
  <c r="L151" i="38"/>
  <c r="J151" i="38" a="1"/>
  <c r="J151" i="38"/>
  <c r="K151" i="38"/>
  <c r="I151" i="38" a="1"/>
  <c r="I151" i="38"/>
  <c r="G151" i="38" a="1"/>
  <c r="G151" i="38"/>
  <c r="H151" i="38"/>
  <c r="F151" i="38" a="1"/>
  <c r="F151" i="38"/>
  <c r="E151" i="38"/>
  <c r="D151" i="38" a="1"/>
  <c r="D151" i="38"/>
  <c r="B151" i="38"/>
  <c r="A151" i="38"/>
  <c r="U150" i="38" a="1"/>
  <c r="U150" i="38"/>
  <c r="S150" i="38" a="1"/>
  <c r="S150" i="38"/>
  <c r="T150" i="38"/>
  <c r="R150" i="38" a="1"/>
  <c r="R150" i="38"/>
  <c r="P150" i="38" a="1"/>
  <c r="P150" i="38"/>
  <c r="Q150" i="38"/>
  <c r="O150" i="38" a="1"/>
  <c r="O150" i="38"/>
  <c r="M150" i="38" a="1"/>
  <c r="M150" i="38"/>
  <c r="N150" i="38"/>
  <c r="L150" i="38" a="1"/>
  <c r="L150" i="38"/>
  <c r="J150" i="38" a="1"/>
  <c r="J150" i="38"/>
  <c r="K150" i="38"/>
  <c r="I150" i="38" a="1"/>
  <c r="I150" i="38"/>
  <c r="G150" i="38" a="1"/>
  <c r="G150" i="38"/>
  <c r="H150" i="38"/>
  <c r="F150" i="38" a="1"/>
  <c r="F150" i="38"/>
  <c r="E150" i="38"/>
  <c r="D150" i="38" a="1"/>
  <c r="D150" i="38"/>
  <c r="B150" i="38"/>
  <c r="A150" i="38"/>
  <c r="U149" i="38" a="1"/>
  <c r="U149" i="38"/>
  <c r="S149" i="38" a="1"/>
  <c r="S149" i="38"/>
  <c r="T149" i="38"/>
  <c r="R149" i="38" a="1"/>
  <c r="R149" i="38"/>
  <c r="P149" i="38" a="1"/>
  <c r="P149" i="38"/>
  <c r="Q149" i="38"/>
  <c r="O149" i="38" a="1"/>
  <c r="O149" i="38"/>
  <c r="M149" i="38" a="1"/>
  <c r="M149" i="38"/>
  <c r="N149" i="38"/>
  <c r="L149" i="38" a="1"/>
  <c r="L149" i="38"/>
  <c r="J149" i="38" a="1"/>
  <c r="J149" i="38"/>
  <c r="K149" i="38"/>
  <c r="I149" i="38" a="1"/>
  <c r="I149" i="38"/>
  <c r="G149" i="38" a="1"/>
  <c r="G149" i="38"/>
  <c r="H149" i="38"/>
  <c r="F149" i="38" a="1"/>
  <c r="F149" i="38"/>
  <c r="E149" i="38"/>
  <c r="D149" i="38" a="1"/>
  <c r="D149" i="38"/>
  <c r="B149" i="38"/>
  <c r="A149" i="38"/>
  <c r="U148" i="38" a="1"/>
  <c r="U148" i="38"/>
  <c r="S148" i="38" a="1"/>
  <c r="S148" i="38"/>
  <c r="T148" i="38"/>
  <c r="R148" i="38" a="1"/>
  <c r="R148" i="38"/>
  <c r="P148" i="38" a="1"/>
  <c r="P148" i="38"/>
  <c r="Q148" i="38"/>
  <c r="O148" i="38" a="1"/>
  <c r="O148" i="38"/>
  <c r="M148" i="38" a="1"/>
  <c r="M148" i="38"/>
  <c r="N148" i="38"/>
  <c r="L148" i="38" a="1"/>
  <c r="L148" i="38"/>
  <c r="J148" i="38" a="1"/>
  <c r="J148" i="38"/>
  <c r="K148" i="38"/>
  <c r="I148" i="38" a="1"/>
  <c r="I148" i="38"/>
  <c r="G148" i="38" a="1"/>
  <c r="G148" i="38"/>
  <c r="H148" i="38"/>
  <c r="F148" i="38" a="1"/>
  <c r="F148" i="38"/>
  <c r="E148" i="38"/>
  <c r="D148" i="38" a="1"/>
  <c r="D148" i="38"/>
  <c r="B148" i="38"/>
  <c r="A148" i="38"/>
  <c r="U147" i="38" a="1"/>
  <c r="U147" i="38"/>
  <c r="S147" i="38" a="1"/>
  <c r="S147" i="38"/>
  <c r="T147" i="38"/>
  <c r="R147" i="38" a="1"/>
  <c r="R147" i="38"/>
  <c r="P147" i="38" a="1"/>
  <c r="P147" i="38"/>
  <c r="Q147" i="38"/>
  <c r="O147" i="38" a="1"/>
  <c r="O147" i="38"/>
  <c r="M147" i="38" a="1"/>
  <c r="M147" i="38"/>
  <c r="N147" i="38"/>
  <c r="L147" i="38" a="1"/>
  <c r="L147" i="38"/>
  <c r="J147" i="38" a="1"/>
  <c r="J147" i="38"/>
  <c r="K147" i="38"/>
  <c r="I147" i="38" a="1"/>
  <c r="I147" i="38"/>
  <c r="G147" i="38" a="1"/>
  <c r="G147" i="38"/>
  <c r="H147" i="38"/>
  <c r="F147" i="38" a="1"/>
  <c r="F147" i="38"/>
  <c r="E147" i="38"/>
  <c r="D147" i="38" a="1"/>
  <c r="D147" i="38"/>
  <c r="B147" i="38"/>
  <c r="A147" i="38"/>
  <c r="U146" i="38" a="1"/>
  <c r="U146" i="38"/>
  <c r="S146" i="38" a="1"/>
  <c r="S146" i="38"/>
  <c r="T146" i="38"/>
  <c r="R146" i="38" a="1"/>
  <c r="R146" i="38"/>
  <c r="P146" i="38" a="1"/>
  <c r="P146" i="38"/>
  <c r="Q146" i="38"/>
  <c r="O146" i="38" a="1"/>
  <c r="O146" i="38"/>
  <c r="M146" i="38" a="1"/>
  <c r="M146" i="38"/>
  <c r="N146" i="38"/>
  <c r="L146" i="38" a="1"/>
  <c r="L146" i="38"/>
  <c r="J146" i="38" a="1"/>
  <c r="J146" i="38"/>
  <c r="K146" i="38"/>
  <c r="I146" i="38" a="1"/>
  <c r="I146" i="38"/>
  <c r="G146" i="38" a="1"/>
  <c r="G146" i="38"/>
  <c r="H146" i="38"/>
  <c r="F146" i="38" a="1"/>
  <c r="F146" i="38"/>
  <c r="E146" i="38"/>
  <c r="D146" i="38" a="1"/>
  <c r="D146" i="38"/>
  <c r="B146" i="38"/>
  <c r="A146" i="38"/>
  <c r="U145" i="38" a="1"/>
  <c r="U145" i="38"/>
  <c r="S145" i="38" a="1"/>
  <c r="S145" i="38"/>
  <c r="T145" i="38"/>
  <c r="R145" i="38" a="1"/>
  <c r="R145" i="38"/>
  <c r="P145" i="38" a="1"/>
  <c r="P145" i="38"/>
  <c r="Q145" i="38"/>
  <c r="O145" i="38" a="1"/>
  <c r="O145" i="38"/>
  <c r="M145" i="38" a="1"/>
  <c r="M145" i="38"/>
  <c r="N145" i="38"/>
  <c r="L145" i="38" a="1"/>
  <c r="L145" i="38"/>
  <c r="J145" i="38" a="1"/>
  <c r="J145" i="38"/>
  <c r="K145" i="38"/>
  <c r="I145" i="38" a="1"/>
  <c r="I145" i="38"/>
  <c r="G145" i="38" a="1"/>
  <c r="G145" i="38"/>
  <c r="H145" i="38"/>
  <c r="F145" i="38" a="1"/>
  <c r="F145" i="38"/>
  <c r="E145" i="38"/>
  <c r="D145" i="38" a="1"/>
  <c r="D145" i="38"/>
  <c r="B145" i="38"/>
  <c r="A145" i="38"/>
  <c r="U144" i="38" a="1"/>
  <c r="U144" i="38"/>
  <c r="S144" i="38" a="1"/>
  <c r="S144" i="38"/>
  <c r="T144" i="38"/>
  <c r="R144" i="38" a="1"/>
  <c r="R144" i="38"/>
  <c r="P144" i="38" a="1"/>
  <c r="P144" i="38"/>
  <c r="Q144" i="38"/>
  <c r="O144" i="38" a="1"/>
  <c r="O144" i="38"/>
  <c r="M144" i="38" a="1"/>
  <c r="M144" i="38"/>
  <c r="N144" i="38"/>
  <c r="L144" i="38" a="1"/>
  <c r="L144" i="38"/>
  <c r="J144" i="38" a="1"/>
  <c r="J144" i="38"/>
  <c r="K144" i="38"/>
  <c r="I144" i="38" a="1"/>
  <c r="I144" i="38"/>
  <c r="G144" i="38" a="1"/>
  <c r="G144" i="38"/>
  <c r="H144" i="38"/>
  <c r="F144" i="38" a="1"/>
  <c r="F144" i="38"/>
  <c r="E144" i="38"/>
  <c r="D144" i="38" a="1"/>
  <c r="D144" i="38"/>
  <c r="B144" i="38"/>
  <c r="A144" i="38"/>
  <c r="U143" i="38" a="1"/>
  <c r="U143" i="38"/>
  <c r="S143" i="38" a="1"/>
  <c r="S143" i="38"/>
  <c r="T143" i="38"/>
  <c r="R143" i="38" a="1"/>
  <c r="R143" i="38"/>
  <c r="P143" i="38" a="1"/>
  <c r="P143" i="38"/>
  <c r="Q143" i="38"/>
  <c r="O143" i="38" a="1"/>
  <c r="O143" i="38"/>
  <c r="M143" i="38" a="1"/>
  <c r="M143" i="38"/>
  <c r="N143" i="38"/>
  <c r="L143" i="38" a="1"/>
  <c r="L143" i="38"/>
  <c r="J143" i="38" a="1"/>
  <c r="J143" i="38"/>
  <c r="K143" i="38"/>
  <c r="I143" i="38" a="1"/>
  <c r="I143" i="38"/>
  <c r="G143" i="38" a="1"/>
  <c r="G143" i="38"/>
  <c r="H143" i="38"/>
  <c r="F143" i="38" a="1"/>
  <c r="F143" i="38"/>
  <c r="E143" i="38"/>
  <c r="D143" i="38" a="1"/>
  <c r="D143" i="38"/>
  <c r="B143" i="38"/>
  <c r="A143" i="38"/>
  <c r="U142" i="38" a="1"/>
  <c r="U142" i="38"/>
  <c r="S142" i="38" a="1"/>
  <c r="S142" i="38"/>
  <c r="T142" i="38"/>
  <c r="R142" i="38" a="1"/>
  <c r="R142" i="38"/>
  <c r="P142" i="38" a="1"/>
  <c r="P142" i="38"/>
  <c r="Q142" i="38"/>
  <c r="O142" i="38" a="1"/>
  <c r="O142" i="38"/>
  <c r="M142" i="38" a="1"/>
  <c r="M142" i="38"/>
  <c r="N142" i="38"/>
  <c r="L142" i="38" a="1"/>
  <c r="L142" i="38"/>
  <c r="J142" i="38" a="1"/>
  <c r="J142" i="38"/>
  <c r="K142" i="38"/>
  <c r="I142" i="38" a="1"/>
  <c r="I142" i="38"/>
  <c r="G142" i="38" a="1"/>
  <c r="G142" i="38"/>
  <c r="H142" i="38"/>
  <c r="F142" i="38" a="1"/>
  <c r="F142" i="38"/>
  <c r="E142" i="38"/>
  <c r="D142" i="38" a="1"/>
  <c r="D142" i="38"/>
  <c r="B142" i="38"/>
  <c r="A142" i="38"/>
  <c r="U141" i="38" a="1"/>
  <c r="U141" i="38"/>
  <c r="S141" i="38" a="1"/>
  <c r="S141" i="38"/>
  <c r="T141" i="38"/>
  <c r="R141" i="38" a="1"/>
  <c r="R141" i="38"/>
  <c r="P141" i="38" a="1"/>
  <c r="P141" i="38"/>
  <c r="Q141" i="38"/>
  <c r="O141" i="38" a="1"/>
  <c r="O141" i="38"/>
  <c r="M141" i="38" a="1"/>
  <c r="M141" i="38"/>
  <c r="N141" i="38"/>
  <c r="L141" i="38" a="1"/>
  <c r="L141" i="38"/>
  <c r="J141" i="38" a="1"/>
  <c r="J141" i="38"/>
  <c r="K141" i="38"/>
  <c r="I141" i="38" a="1"/>
  <c r="I141" i="38"/>
  <c r="G141" i="38" a="1"/>
  <c r="G141" i="38"/>
  <c r="H141" i="38"/>
  <c r="F141" i="38" a="1"/>
  <c r="F141" i="38"/>
  <c r="E141" i="38"/>
  <c r="D141" i="38" a="1"/>
  <c r="D141" i="38"/>
  <c r="B141" i="38"/>
  <c r="A141" i="38"/>
  <c r="U140" i="38" a="1"/>
  <c r="U140" i="38"/>
  <c r="S140" i="38" a="1"/>
  <c r="S140" i="38"/>
  <c r="T140" i="38"/>
  <c r="R140" i="38" a="1"/>
  <c r="R140" i="38"/>
  <c r="P140" i="38" a="1"/>
  <c r="P140" i="38"/>
  <c r="Q140" i="38"/>
  <c r="O140" i="38" a="1"/>
  <c r="O140" i="38"/>
  <c r="M140" i="38" a="1"/>
  <c r="M140" i="38"/>
  <c r="N140" i="38"/>
  <c r="L140" i="38" a="1"/>
  <c r="L140" i="38"/>
  <c r="J140" i="38" a="1"/>
  <c r="J140" i="38"/>
  <c r="K140" i="38"/>
  <c r="I140" i="38" a="1"/>
  <c r="I140" i="38"/>
  <c r="G140" i="38" a="1"/>
  <c r="G140" i="38"/>
  <c r="H140" i="38"/>
  <c r="F140" i="38" a="1"/>
  <c r="F140" i="38"/>
  <c r="E140" i="38"/>
  <c r="D140" i="38" a="1"/>
  <c r="D140" i="38"/>
  <c r="B140" i="38"/>
  <c r="A140" i="38"/>
  <c r="U139" i="38" a="1"/>
  <c r="U139" i="38"/>
  <c r="S139" i="38" a="1"/>
  <c r="S139" i="38"/>
  <c r="T139" i="38"/>
  <c r="R139" i="38" a="1"/>
  <c r="R139" i="38"/>
  <c r="P139" i="38" a="1"/>
  <c r="P139" i="38"/>
  <c r="Q139" i="38"/>
  <c r="O139" i="38" a="1"/>
  <c r="O139" i="38"/>
  <c r="M139" i="38" a="1"/>
  <c r="M139" i="38"/>
  <c r="N139" i="38"/>
  <c r="L139" i="38" a="1"/>
  <c r="L139" i="38"/>
  <c r="J139" i="38" a="1"/>
  <c r="J139" i="38"/>
  <c r="K139" i="38"/>
  <c r="I139" i="38" a="1"/>
  <c r="I139" i="38"/>
  <c r="G139" i="38" a="1"/>
  <c r="G139" i="38"/>
  <c r="H139" i="38"/>
  <c r="F139" i="38" a="1"/>
  <c r="F139" i="38"/>
  <c r="E139" i="38"/>
  <c r="D139" i="38" a="1"/>
  <c r="D139" i="38"/>
  <c r="B139" i="38"/>
  <c r="A139" i="38"/>
  <c r="U138" i="38" a="1"/>
  <c r="U138" i="38"/>
  <c r="S138" i="38" a="1"/>
  <c r="S138" i="38"/>
  <c r="T138" i="38"/>
  <c r="R138" i="38" a="1"/>
  <c r="R138" i="38"/>
  <c r="P138" i="38" a="1"/>
  <c r="P138" i="38"/>
  <c r="Q138" i="38"/>
  <c r="O138" i="38" a="1"/>
  <c r="O138" i="38"/>
  <c r="M138" i="38" a="1"/>
  <c r="M138" i="38"/>
  <c r="N138" i="38"/>
  <c r="L138" i="38" a="1"/>
  <c r="L138" i="38"/>
  <c r="J138" i="38" a="1"/>
  <c r="J138" i="38"/>
  <c r="K138" i="38"/>
  <c r="I138" i="38" a="1"/>
  <c r="I138" i="38"/>
  <c r="G138" i="38" a="1"/>
  <c r="G138" i="38"/>
  <c r="H138" i="38"/>
  <c r="F138" i="38" a="1"/>
  <c r="F138" i="38"/>
  <c r="E138" i="38"/>
  <c r="U137" i="38" a="1"/>
  <c r="U137" i="38"/>
  <c r="D137" i="38" a="1"/>
  <c r="D137" i="38"/>
  <c r="D138" i="38" a="1"/>
  <c r="D138" i="38"/>
  <c r="B138" i="38"/>
  <c r="A138" i="38"/>
  <c r="S137" i="38" a="1"/>
  <c r="S137" i="38"/>
  <c r="T137" i="38"/>
  <c r="R137" i="38" a="1"/>
  <c r="R137" i="38"/>
  <c r="P137" i="38" a="1"/>
  <c r="P137" i="38"/>
  <c r="Q137" i="38"/>
  <c r="O137" i="38" a="1"/>
  <c r="O137" i="38"/>
  <c r="M137" i="38" a="1"/>
  <c r="M137" i="38"/>
  <c r="N137" i="38"/>
  <c r="L137" i="38" a="1"/>
  <c r="L137" i="38"/>
  <c r="J137" i="38" a="1"/>
  <c r="J137" i="38"/>
  <c r="K137" i="38"/>
  <c r="I137" i="38" a="1"/>
  <c r="I137" i="38"/>
  <c r="G137" i="38" a="1"/>
  <c r="G137" i="38"/>
  <c r="H137" i="38"/>
  <c r="F137" i="38" a="1"/>
  <c r="F137" i="38"/>
  <c r="E137" i="38"/>
  <c r="B137" i="38"/>
  <c r="A137" i="38"/>
  <c r="U136" i="38" a="1"/>
  <c r="U136" i="38"/>
  <c r="S136" i="38" a="1"/>
  <c r="S136" i="38"/>
  <c r="T136" i="38"/>
  <c r="R136" i="38" a="1"/>
  <c r="R136" i="38"/>
  <c r="P136" i="38" a="1"/>
  <c r="P136" i="38"/>
  <c r="Q136" i="38"/>
  <c r="O136" i="38" a="1"/>
  <c r="O136" i="38"/>
  <c r="M136" i="38" a="1"/>
  <c r="M136" i="38"/>
  <c r="N136" i="38"/>
  <c r="L136" i="38" a="1"/>
  <c r="L136" i="38"/>
  <c r="J136" i="38" a="1"/>
  <c r="J136" i="38"/>
  <c r="K136" i="38"/>
  <c r="I136" i="38" a="1"/>
  <c r="I136" i="38"/>
  <c r="G136" i="38" a="1"/>
  <c r="G136" i="38"/>
  <c r="H136" i="38"/>
  <c r="F136" i="38" a="1"/>
  <c r="F136" i="38"/>
  <c r="E136" i="38"/>
  <c r="U135" i="38" a="1"/>
  <c r="U135" i="38"/>
  <c r="D135" i="38" a="1"/>
  <c r="D135" i="38"/>
  <c r="D136" i="38" a="1"/>
  <c r="D136" i="38"/>
  <c r="B136" i="38"/>
  <c r="A136" i="38"/>
  <c r="S135" i="38" a="1"/>
  <c r="S135" i="38"/>
  <c r="T135" i="38"/>
  <c r="R135" i="38" a="1"/>
  <c r="R135" i="38"/>
  <c r="P135" i="38" a="1"/>
  <c r="P135" i="38"/>
  <c r="Q135" i="38"/>
  <c r="O135" i="38" a="1"/>
  <c r="O135" i="38"/>
  <c r="M135" i="38" a="1"/>
  <c r="M135" i="38"/>
  <c r="N135" i="38"/>
  <c r="L135" i="38" a="1"/>
  <c r="L135" i="38"/>
  <c r="J135" i="38" a="1"/>
  <c r="J135" i="38"/>
  <c r="K135" i="38"/>
  <c r="I135" i="38" a="1"/>
  <c r="I135" i="38"/>
  <c r="G135" i="38" a="1"/>
  <c r="G135" i="38"/>
  <c r="H135" i="38"/>
  <c r="F135" i="38" a="1"/>
  <c r="F135" i="38"/>
  <c r="E135" i="38"/>
  <c r="B135" i="38"/>
  <c r="A135" i="38"/>
  <c r="U134" i="38" a="1"/>
  <c r="U134" i="38"/>
  <c r="S134" i="38" a="1"/>
  <c r="S134" i="38"/>
  <c r="T134" i="38"/>
  <c r="R134" i="38" a="1"/>
  <c r="R134" i="38"/>
  <c r="P134" i="38" a="1"/>
  <c r="P134" i="38"/>
  <c r="Q134" i="38"/>
  <c r="O134" i="38" a="1"/>
  <c r="O134" i="38"/>
  <c r="M134" i="38" a="1"/>
  <c r="M134" i="38"/>
  <c r="N134" i="38"/>
  <c r="L134" i="38" a="1"/>
  <c r="L134" i="38"/>
  <c r="J134" i="38" a="1"/>
  <c r="J134" i="38"/>
  <c r="K134" i="38"/>
  <c r="I134" i="38" a="1"/>
  <c r="I134" i="38"/>
  <c r="G134" i="38" a="1"/>
  <c r="G134" i="38"/>
  <c r="H134" i="38"/>
  <c r="F134" i="38" a="1"/>
  <c r="F134" i="38"/>
  <c r="E134" i="38"/>
  <c r="U133" i="38" a="1"/>
  <c r="U133" i="38"/>
  <c r="U132" i="38" a="1"/>
  <c r="U132" i="38"/>
  <c r="D132" i="38" a="1"/>
  <c r="D132" i="38"/>
  <c r="D133" i="38" a="1"/>
  <c r="D133" i="38"/>
  <c r="D134" i="38" a="1"/>
  <c r="D134" i="38"/>
  <c r="B134" i="38"/>
  <c r="A134" i="38"/>
  <c r="S133" i="38" a="1"/>
  <c r="S133" i="38"/>
  <c r="T133" i="38"/>
  <c r="R133" i="38" a="1"/>
  <c r="R133" i="38"/>
  <c r="P133" i="38" a="1"/>
  <c r="P133" i="38"/>
  <c r="Q133" i="38"/>
  <c r="O133" i="38" a="1"/>
  <c r="O133" i="38"/>
  <c r="M133" i="38" a="1"/>
  <c r="M133" i="38"/>
  <c r="N133" i="38"/>
  <c r="L133" i="38" a="1"/>
  <c r="L133" i="38"/>
  <c r="J133" i="38" a="1"/>
  <c r="J133" i="38"/>
  <c r="K133" i="38"/>
  <c r="I133" i="38" a="1"/>
  <c r="I133" i="38"/>
  <c r="G133" i="38" a="1"/>
  <c r="G133" i="38"/>
  <c r="H133" i="38"/>
  <c r="F133" i="38" a="1"/>
  <c r="F133" i="38"/>
  <c r="E133" i="38"/>
  <c r="B133" i="38"/>
  <c r="A133" i="38"/>
  <c r="S132" i="38" a="1"/>
  <c r="S132" i="38"/>
  <c r="T132" i="38"/>
  <c r="R132" i="38" a="1"/>
  <c r="R132" i="38"/>
  <c r="P132" i="38" a="1"/>
  <c r="P132" i="38"/>
  <c r="Q132" i="38"/>
  <c r="O132" i="38" a="1"/>
  <c r="O132" i="38"/>
  <c r="M132" i="38" a="1"/>
  <c r="M132" i="38"/>
  <c r="N132" i="38"/>
  <c r="L132" i="38" a="1"/>
  <c r="L132" i="38"/>
  <c r="J132" i="38" a="1"/>
  <c r="J132" i="38"/>
  <c r="K132" i="38"/>
  <c r="I132" i="38" a="1"/>
  <c r="I132" i="38"/>
  <c r="G132" i="38" a="1"/>
  <c r="G132" i="38"/>
  <c r="H132" i="38"/>
  <c r="F132" i="38" a="1"/>
  <c r="F132" i="38"/>
  <c r="E132" i="38"/>
  <c r="U131" i="38" a="1"/>
  <c r="U131" i="38"/>
  <c r="D131" i="38" a="1"/>
  <c r="D131" i="38"/>
  <c r="B132" i="38"/>
  <c r="A132" i="38"/>
  <c r="S131" i="38" a="1"/>
  <c r="S131" i="38"/>
  <c r="T131" i="38"/>
  <c r="R131" i="38" a="1"/>
  <c r="R131" i="38"/>
  <c r="P131" i="38" a="1"/>
  <c r="P131" i="38"/>
  <c r="Q131" i="38"/>
  <c r="O131" i="38" a="1"/>
  <c r="O131" i="38"/>
  <c r="M131" i="38" a="1"/>
  <c r="M131" i="38"/>
  <c r="N131" i="38"/>
  <c r="L131" i="38" a="1"/>
  <c r="L131" i="38"/>
  <c r="J131" i="38" a="1"/>
  <c r="J131" i="38"/>
  <c r="K131" i="38"/>
  <c r="I131" i="38" a="1"/>
  <c r="I131" i="38"/>
  <c r="G131" i="38" a="1"/>
  <c r="G131" i="38"/>
  <c r="H131" i="38"/>
  <c r="F131" i="38" a="1"/>
  <c r="F131" i="38"/>
  <c r="E131" i="38"/>
  <c r="B131" i="38"/>
  <c r="A131" i="38"/>
  <c r="U130" i="38" a="1"/>
  <c r="U130" i="38"/>
  <c r="S130" i="38" a="1"/>
  <c r="S130" i="38"/>
  <c r="T130" i="38"/>
  <c r="R130" i="38" a="1"/>
  <c r="R130" i="38"/>
  <c r="P130" i="38" a="1"/>
  <c r="P130" i="38"/>
  <c r="Q130" i="38"/>
  <c r="O130" i="38" a="1"/>
  <c r="O130" i="38"/>
  <c r="M130" i="38" a="1"/>
  <c r="M130" i="38"/>
  <c r="N130" i="38"/>
  <c r="L130" i="38" a="1"/>
  <c r="L130" i="38"/>
  <c r="J130" i="38" a="1"/>
  <c r="J130" i="38"/>
  <c r="K130" i="38"/>
  <c r="I130" i="38" a="1"/>
  <c r="I130" i="38"/>
  <c r="G130" i="38" a="1"/>
  <c r="G130" i="38"/>
  <c r="H130" i="38"/>
  <c r="F130" i="38" a="1"/>
  <c r="F130" i="38"/>
  <c r="E130" i="38"/>
  <c r="U129" i="38" a="1"/>
  <c r="U129" i="38"/>
  <c r="D129" i="38" a="1"/>
  <c r="D129" i="38"/>
  <c r="D130" i="38" a="1"/>
  <c r="D130" i="38"/>
  <c r="B130" i="38"/>
  <c r="A130" i="38"/>
  <c r="S129" i="38" a="1"/>
  <c r="S129" i="38"/>
  <c r="T129" i="38"/>
  <c r="R129" i="38" a="1"/>
  <c r="R129" i="38"/>
  <c r="P129" i="38" a="1"/>
  <c r="P129" i="38"/>
  <c r="Q129" i="38"/>
  <c r="O129" i="38" a="1"/>
  <c r="O129" i="38"/>
  <c r="M129" i="38" a="1"/>
  <c r="M129" i="38"/>
  <c r="N129" i="38"/>
  <c r="L129" i="38" a="1"/>
  <c r="L129" i="38"/>
  <c r="J129" i="38" a="1"/>
  <c r="J129" i="38"/>
  <c r="K129" i="38"/>
  <c r="I129" i="38" a="1"/>
  <c r="I129" i="38"/>
  <c r="G129" i="38" a="1"/>
  <c r="G129" i="38"/>
  <c r="H129" i="38"/>
  <c r="F129" i="38" a="1"/>
  <c r="F129" i="38"/>
  <c r="E129" i="38"/>
  <c r="U128" i="38" a="1"/>
  <c r="U128" i="38"/>
  <c r="D128" i="38" a="1"/>
  <c r="D128" i="38"/>
  <c r="B129" i="38"/>
  <c r="A129" i="38"/>
  <c r="S128" i="38" a="1"/>
  <c r="S128" i="38"/>
  <c r="T128" i="38"/>
  <c r="R128" i="38" a="1"/>
  <c r="R128" i="38"/>
  <c r="P128" i="38" a="1"/>
  <c r="P128" i="38"/>
  <c r="Q128" i="38"/>
  <c r="O128" i="38" a="1"/>
  <c r="O128" i="38"/>
  <c r="M128" i="38" a="1"/>
  <c r="M128" i="38"/>
  <c r="N128" i="38"/>
  <c r="L128" i="38" a="1"/>
  <c r="L128" i="38"/>
  <c r="J128" i="38" a="1"/>
  <c r="J128" i="38"/>
  <c r="K128" i="38"/>
  <c r="I128" i="38" a="1"/>
  <c r="I128" i="38"/>
  <c r="G128" i="38" a="1"/>
  <c r="G128" i="38"/>
  <c r="H128" i="38"/>
  <c r="F128" i="38" a="1"/>
  <c r="F128" i="38"/>
  <c r="E128" i="38"/>
  <c r="B128" i="38"/>
  <c r="A128" i="38"/>
  <c r="U127" i="38" a="1"/>
  <c r="U127" i="38"/>
  <c r="S127" i="38" a="1"/>
  <c r="S127" i="38"/>
  <c r="T127" i="38"/>
  <c r="R127" i="38" a="1"/>
  <c r="R127" i="38"/>
  <c r="P127" i="38" a="1"/>
  <c r="P127" i="38"/>
  <c r="Q127" i="38"/>
  <c r="O127" i="38" a="1"/>
  <c r="O127" i="38"/>
  <c r="M127" i="38" a="1"/>
  <c r="M127" i="38"/>
  <c r="N127" i="38"/>
  <c r="L127" i="38" a="1"/>
  <c r="L127" i="38"/>
  <c r="J127" i="38" a="1"/>
  <c r="J127" i="38"/>
  <c r="K127" i="38"/>
  <c r="I127" i="38" a="1"/>
  <c r="I127" i="38"/>
  <c r="G127" i="38" a="1"/>
  <c r="G127" i="38"/>
  <c r="H127" i="38"/>
  <c r="F127" i="38" a="1"/>
  <c r="F127" i="38"/>
  <c r="E127" i="38"/>
  <c r="D127" i="38" a="1"/>
  <c r="D127" i="38"/>
  <c r="B127" i="38"/>
  <c r="A127" i="38"/>
  <c r="U126" i="38" a="1"/>
  <c r="U126" i="38"/>
  <c r="S126" i="38" a="1"/>
  <c r="S126" i="38"/>
  <c r="T126" i="38"/>
  <c r="R126" i="38" a="1"/>
  <c r="R126" i="38"/>
  <c r="P126" i="38" a="1"/>
  <c r="P126" i="38"/>
  <c r="Q126" i="38"/>
  <c r="O126" i="38" a="1"/>
  <c r="O126" i="38"/>
  <c r="M126" i="38" a="1"/>
  <c r="M126" i="38"/>
  <c r="N126" i="38"/>
  <c r="L126" i="38" a="1"/>
  <c r="L126" i="38"/>
  <c r="J126" i="38" a="1"/>
  <c r="J126" i="38"/>
  <c r="K126" i="38"/>
  <c r="I126" i="38" a="1"/>
  <c r="I126" i="38"/>
  <c r="G126" i="38" a="1"/>
  <c r="G126" i="38"/>
  <c r="H126" i="38"/>
  <c r="F126" i="38" a="1"/>
  <c r="F126" i="38"/>
  <c r="E126" i="38"/>
  <c r="U125" i="38" a="1"/>
  <c r="U125" i="38"/>
  <c r="U124" i="38" a="1"/>
  <c r="U124" i="38"/>
  <c r="D124" i="38" a="1"/>
  <c r="D124" i="38"/>
  <c r="D125" i="38" a="1"/>
  <c r="D125" i="38"/>
  <c r="D126" i="38" a="1"/>
  <c r="D126" i="38"/>
  <c r="B126" i="38"/>
  <c r="A126" i="38"/>
  <c r="S125" i="38" a="1"/>
  <c r="S125" i="38"/>
  <c r="T125" i="38"/>
  <c r="R125" i="38" a="1"/>
  <c r="R125" i="38"/>
  <c r="P125" i="38" a="1"/>
  <c r="P125" i="38"/>
  <c r="Q125" i="38"/>
  <c r="O125" i="38" a="1"/>
  <c r="O125" i="38"/>
  <c r="M125" i="38" a="1"/>
  <c r="M125" i="38"/>
  <c r="N125" i="38"/>
  <c r="L125" i="38" a="1"/>
  <c r="L125" i="38"/>
  <c r="J125" i="38" a="1"/>
  <c r="J125" i="38"/>
  <c r="K125" i="38"/>
  <c r="I125" i="38" a="1"/>
  <c r="I125" i="38"/>
  <c r="G125" i="38" a="1"/>
  <c r="G125" i="38"/>
  <c r="H125" i="38"/>
  <c r="F125" i="38" a="1"/>
  <c r="F125" i="38"/>
  <c r="E125" i="38"/>
  <c r="B125" i="38"/>
  <c r="A125" i="38"/>
  <c r="S124" i="38" a="1"/>
  <c r="S124" i="38"/>
  <c r="T124" i="38"/>
  <c r="R124" i="38" a="1"/>
  <c r="R124" i="38"/>
  <c r="P124" i="38" a="1"/>
  <c r="P124" i="38"/>
  <c r="Q124" i="38"/>
  <c r="O124" i="38" a="1"/>
  <c r="O124" i="38"/>
  <c r="M124" i="38" a="1"/>
  <c r="M124" i="38"/>
  <c r="N124" i="38"/>
  <c r="L124" i="38" a="1"/>
  <c r="L124" i="38"/>
  <c r="J124" i="38" a="1"/>
  <c r="J124" i="38"/>
  <c r="K124" i="38"/>
  <c r="I124" i="38" a="1"/>
  <c r="I124" i="38"/>
  <c r="G124" i="38" a="1"/>
  <c r="G124" i="38"/>
  <c r="H124" i="38"/>
  <c r="F124" i="38" a="1"/>
  <c r="F124" i="38"/>
  <c r="E124" i="38"/>
  <c r="B124" i="38"/>
  <c r="A124" i="38"/>
  <c r="U123" i="38" a="1"/>
  <c r="U123" i="38"/>
  <c r="S123" i="38" a="1"/>
  <c r="S123" i="38"/>
  <c r="T123" i="38"/>
  <c r="R123" i="38" a="1"/>
  <c r="R123" i="38"/>
  <c r="P123" i="38" a="1"/>
  <c r="P123" i="38"/>
  <c r="Q123" i="38"/>
  <c r="O123" i="38" a="1"/>
  <c r="O123" i="38"/>
  <c r="M123" i="38" a="1"/>
  <c r="M123" i="38"/>
  <c r="N123" i="38"/>
  <c r="L123" i="38" a="1"/>
  <c r="L123" i="38"/>
  <c r="J123" i="38" a="1"/>
  <c r="J123" i="38"/>
  <c r="K123" i="38"/>
  <c r="I123" i="38" a="1"/>
  <c r="I123" i="38"/>
  <c r="G123" i="38" a="1"/>
  <c r="G123" i="38"/>
  <c r="H123" i="38"/>
  <c r="F123" i="38" a="1"/>
  <c r="F123" i="38"/>
  <c r="E123" i="38"/>
  <c r="U122" i="38" a="1"/>
  <c r="U122" i="38"/>
  <c r="D122" i="38" a="1"/>
  <c r="D122" i="38"/>
  <c r="D123" i="38" a="1"/>
  <c r="D123" i="38"/>
  <c r="B123" i="38"/>
  <c r="A123" i="38"/>
  <c r="S122" i="38" a="1"/>
  <c r="S122" i="38"/>
  <c r="T122" i="38"/>
  <c r="R122" i="38" a="1"/>
  <c r="R122" i="38"/>
  <c r="P122" i="38" a="1"/>
  <c r="P122" i="38"/>
  <c r="Q122" i="38"/>
  <c r="O122" i="38" a="1"/>
  <c r="O122" i="38"/>
  <c r="M122" i="38" a="1"/>
  <c r="M122" i="38"/>
  <c r="N122" i="38"/>
  <c r="L122" i="38" a="1"/>
  <c r="L122" i="38"/>
  <c r="J122" i="38" a="1"/>
  <c r="J122" i="38"/>
  <c r="K122" i="38"/>
  <c r="I122" i="38" a="1"/>
  <c r="I122" i="38"/>
  <c r="G122" i="38" a="1"/>
  <c r="G122" i="38"/>
  <c r="H122" i="38"/>
  <c r="F122" i="38" a="1"/>
  <c r="F122" i="38"/>
  <c r="E122" i="38"/>
  <c r="B122" i="38"/>
  <c r="A122" i="38"/>
  <c r="U121" i="38" a="1"/>
  <c r="U121" i="38"/>
  <c r="S121" i="38" a="1"/>
  <c r="S121" i="38"/>
  <c r="T121" i="38"/>
  <c r="R121" i="38" a="1"/>
  <c r="R121" i="38"/>
  <c r="P121" i="38" a="1"/>
  <c r="P121" i="38"/>
  <c r="Q121" i="38"/>
  <c r="O121" i="38" a="1"/>
  <c r="O121" i="38"/>
  <c r="M121" i="38" a="1"/>
  <c r="M121" i="38"/>
  <c r="N121" i="38"/>
  <c r="L121" i="38" a="1"/>
  <c r="L121" i="38"/>
  <c r="J121" i="38" a="1"/>
  <c r="J121" i="38"/>
  <c r="K121" i="38"/>
  <c r="I121" i="38" a="1"/>
  <c r="I121" i="38"/>
  <c r="G121" i="38" a="1"/>
  <c r="G121" i="38"/>
  <c r="H121" i="38"/>
  <c r="F121" i="38" a="1"/>
  <c r="F121" i="38"/>
  <c r="E121" i="38"/>
  <c r="U120" i="38" a="1"/>
  <c r="U120" i="38"/>
  <c r="D120" i="38" a="1"/>
  <c r="D120" i="38"/>
  <c r="D121" i="38" a="1"/>
  <c r="D121" i="38"/>
  <c r="B121" i="38"/>
  <c r="A121" i="38"/>
  <c r="S120" i="38" a="1"/>
  <c r="S120" i="38"/>
  <c r="T120" i="38"/>
  <c r="R120" i="38" a="1"/>
  <c r="R120" i="38"/>
  <c r="P120" i="38" a="1"/>
  <c r="P120" i="38"/>
  <c r="Q120" i="38"/>
  <c r="O120" i="38" a="1"/>
  <c r="O120" i="38"/>
  <c r="M120" i="38" a="1"/>
  <c r="M120" i="38"/>
  <c r="N120" i="38"/>
  <c r="L120" i="38" a="1"/>
  <c r="L120" i="38"/>
  <c r="J120" i="38" a="1"/>
  <c r="J120" i="38"/>
  <c r="K120" i="38"/>
  <c r="I120" i="38" a="1"/>
  <c r="I120" i="38"/>
  <c r="G120" i="38" a="1"/>
  <c r="G120" i="38"/>
  <c r="H120" i="38"/>
  <c r="F120" i="38" a="1"/>
  <c r="F120" i="38"/>
  <c r="E120" i="38"/>
  <c r="B120" i="38"/>
  <c r="A120" i="38"/>
  <c r="U119" i="38" a="1"/>
  <c r="U119" i="38"/>
  <c r="S119" i="38" a="1"/>
  <c r="S119" i="38"/>
  <c r="T119" i="38"/>
  <c r="R119" i="38" a="1"/>
  <c r="R119" i="38"/>
  <c r="P119" i="38" a="1"/>
  <c r="P119" i="38"/>
  <c r="Q119" i="38"/>
  <c r="O119" i="38" a="1"/>
  <c r="O119" i="38"/>
  <c r="M119" i="38" a="1"/>
  <c r="M119" i="38"/>
  <c r="N119" i="38"/>
  <c r="L119" i="38" a="1"/>
  <c r="L119" i="38"/>
  <c r="J119" i="38" a="1"/>
  <c r="J119" i="38"/>
  <c r="K119" i="38"/>
  <c r="I119" i="38" a="1"/>
  <c r="I119" i="38"/>
  <c r="G119" i="38" a="1"/>
  <c r="G119" i="38"/>
  <c r="H119" i="38"/>
  <c r="F119" i="38" a="1"/>
  <c r="F119" i="38"/>
  <c r="E119" i="38"/>
  <c r="U118" i="38" a="1"/>
  <c r="U118" i="38"/>
  <c r="D118" i="38" a="1"/>
  <c r="D118" i="38"/>
  <c r="D119" i="38" a="1"/>
  <c r="D119" i="38"/>
  <c r="B119" i="38"/>
  <c r="A119" i="38"/>
  <c r="S118" i="38" a="1"/>
  <c r="S118" i="38"/>
  <c r="T118" i="38"/>
  <c r="R118" i="38" a="1"/>
  <c r="R118" i="38"/>
  <c r="P118" i="38" a="1"/>
  <c r="P118" i="38"/>
  <c r="Q118" i="38"/>
  <c r="O118" i="38" a="1"/>
  <c r="O118" i="38"/>
  <c r="M118" i="38" a="1"/>
  <c r="M118" i="38"/>
  <c r="N118" i="38"/>
  <c r="L118" i="38" a="1"/>
  <c r="L118" i="38"/>
  <c r="J118" i="38" a="1"/>
  <c r="J118" i="38"/>
  <c r="K118" i="38"/>
  <c r="I118" i="38" a="1"/>
  <c r="I118" i="38"/>
  <c r="G118" i="38" a="1"/>
  <c r="G118" i="38"/>
  <c r="H118" i="38"/>
  <c r="F118" i="38" a="1"/>
  <c r="F118" i="38"/>
  <c r="E118" i="38"/>
  <c r="B118" i="38"/>
  <c r="A118" i="38"/>
  <c r="U117" i="38" a="1"/>
  <c r="U117" i="38"/>
  <c r="S117" i="38" a="1"/>
  <c r="S117" i="38"/>
  <c r="T117" i="38"/>
  <c r="R117" i="38" a="1"/>
  <c r="R117" i="38"/>
  <c r="P117" i="38" a="1"/>
  <c r="P117" i="38"/>
  <c r="Q117" i="38"/>
  <c r="O117" i="38" a="1"/>
  <c r="O117" i="38"/>
  <c r="M117" i="38" a="1"/>
  <c r="M117" i="38"/>
  <c r="N117" i="38"/>
  <c r="L117" i="38" a="1"/>
  <c r="L117" i="38"/>
  <c r="J117" i="38" a="1"/>
  <c r="J117" i="38"/>
  <c r="K117" i="38"/>
  <c r="I117" i="38" a="1"/>
  <c r="I117" i="38"/>
  <c r="G117" i="38" a="1"/>
  <c r="G117" i="38"/>
  <c r="H117" i="38"/>
  <c r="F117" i="38" a="1"/>
  <c r="F117" i="38"/>
  <c r="E117" i="38"/>
  <c r="U116" i="38" a="1"/>
  <c r="U116" i="38"/>
  <c r="D116" i="38" a="1"/>
  <c r="D116" i="38"/>
  <c r="D117" i="38" a="1"/>
  <c r="D117" i="38"/>
  <c r="B117" i="38"/>
  <c r="A117" i="38"/>
  <c r="S116" i="38" a="1"/>
  <c r="S116" i="38"/>
  <c r="T116" i="38"/>
  <c r="R116" i="38" a="1"/>
  <c r="R116" i="38"/>
  <c r="P116" i="38" a="1"/>
  <c r="P116" i="38"/>
  <c r="Q116" i="38"/>
  <c r="O116" i="38" a="1"/>
  <c r="O116" i="38"/>
  <c r="M116" i="38" a="1"/>
  <c r="M116" i="38"/>
  <c r="N116" i="38"/>
  <c r="L116" i="38" a="1"/>
  <c r="L116" i="38"/>
  <c r="J116" i="38" a="1"/>
  <c r="J116" i="38"/>
  <c r="K116" i="38"/>
  <c r="I116" i="38" a="1"/>
  <c r="I116" i="38"/>
  <c r="G116" i="38" a="1"/>
  <c r="G116" i="38"/>
  <c r="H116" i="38"/>
  <c r="F116" i="38" a="1"/>
  <c r="F116" i="38"/>
  <c r="E116" i="38"/>
  <c r="B116" i="38"/>
  <c r="A116" i="38"/>
  <c r="U115" i="38" a="1"/>
  <c r="U115" i="38"/>
  <c r="S115" i="38" a="1"/>
  <c r="S115" i="38"/>
  <c r="T115" i="38"/>
  <c r="R115" i="38" a="1"/>
  <c r="R115" i="38"/>
  <c r="P115" i="38" a="1"/>
  <c r="P115" i="38"/>
  <c r="Q115" i="38"/>
  <c r="O115" i="38" a="1"/>
  <c r="O115" i="38"/>
  <c r="M115" i="38" a="1"/>
  <c r="M115" i="38"/>
  <c r="N115" i="38"/>
  <c r="L115" i="38" a="1"/>
  <c r="L115" i="38"/>
  <c r="J115" i="38" a="1"/>
  <c r="J115" i="38"/>
  <c r="K115" i="38"/>
  <c r="I115" i="38" a="1"/>
  <c r="I115" i="38"/>
  <c r="G115" i="38" a="1"/>
  <c r="G115" i="38"/>
  <c r="H115" i="38"/>
  <c r="F115" i="38" a="1"/>
  <c r="F115" i="38"/>
  <c r="E115" i="38"/>
  <c r="D115" i="38" a="1"/>
  <c r="D115" i="38"/>
  <c r="B115" i="38"/>
  <c r="A115" i="38"/>
  <c r="U114" i="38" a="1"/>
  <c r="U114" i="38"/>
  <c r="S114" i="38" a="1"/>
  <c r="S114" i="38"/>
  <c r="T114" i="38"/>
  <c r="R114" i="38" a="1"/>
  <c r="R114" i="38"/>
  <c r="P114" i="38" a="1"/>
  <c r="P114" i="38"/>
  <c r="Q114" i="38"/>
  <c r="O114" i="38" a="1"/>
  <c r="O114" i="38"/>
  <c r="M114" i="38" a="1"/>
  <c r="M114" i="38"/>
  <c r="N114" i="38"/>
  <c r="L114" i="38" a="1"/>
  <c r="L114" i="38"/>
  <c r="J114" i="38" a="1"/>
  <c r="J114" i="38"/>
  <c r="K114" i="38"/>
  <c r="I114" i="38" a="1"/>
  <c r="I114" i="38"/>
  <c r="G114" i="38" a="1"/>
  <c r="G114" i="38"/>
  <c r="H114" i="38"/>
  <c r="F114" i="38" a="1"/>
  <c r="F114" i="38"/>
  <c r="E114" i="38"/>
  <c r="D114" i="38" a="1"/>
  <c r="D114" i="38"/>
  <c r="B114" i="38"/>
  <c r="A114" i="38"/>
  <c r="U113" i="38" a="1"/>
  <c r="U113" i="38"/>
  <c r="S113" i="38" a="1"/>
  <c r="S113" i="38"/>
  <c r="T113" i="38"/>
  <c r="R113" i="38" a="1"/>
  <c r="R113" i="38"/>
  <c r="P113" i="38" a="1"/>
  <c r="P113" i="38"/>
  <c r="Q113" i="38"/>
  <c r="O113" i="38" a="1"/>
  <c r="O113" i="38"/>
  <c r="M113" i="38" a="1"/>
  <c r="M113" i="38"/>
  <c r="N113" i="38"/>
  <c r="L113" i="38" a="1"/>
  <c r="L113" i="38"/>
  <c r="J113" i="38" a="1"/>
  <c r="J113" i="38"/>
  <c r="K113" i="38"/>
  <c r="I113" i="38" a="1"/>
  <c r="I113" i="38"/>
  <c r="G113" i="38" a="1"/>
  <c r="G113" i="38"/>
  <c r="H113" i="38"/>
  <c r="F113" i="38" a="1"/>
  <c r="F113" i="38"/>
  <c r="E113" i="38"/>
  <c r="D113" i="38" a="1"/>
  <c r="D113" i="38"/>
  <c r="B113" i="38"/>
  <c r="A113" i="38"/>
  <c r="U112" i="38" a="1"/>
  <c r="U112" i="38"/>
  <c r="S112" i="38" a="1"/>
  <c r="S112" i="38"/>
  <c r="T112" i="38"/>
  <c r="R112" i="38" a="1"/>
  <c r="R112" i="38"/>
  <c r="P112" i="38" a="1"/>
  <c r="P112" i="38"/>
  <c r="Q112" i="38"/>
  <c r="O112" i="38" a="1"/>
  <c r="O112" i="38"/>
  <c r="M112" i="38" a="1"/>
  <c r="M112" i="38"/>
  <c r="N112" i="38"/>
  <c r="L112" i="38" a="1"/>
  <c r="L112" i="38"/>
  <c r="J112" i="38" a="1"/>
  <c r="J112" i="38"/>
  <c r="K112" i="38"/>
  <c r="I112" i="38" a="1"/>
  <c r="I112" i="38"/>
  <c r="G112" i="38" a="1"/>
  <c r="G112" i="38"/>
  <c r="H112" i="38"/>
  <c r="F112" i="38" a="1"/>
  <c r="F112" i="38"/>
  <c r="E112" i="38"/>
  <c r="D112" i="38" a="1"/>
  <c r="D112" i="38"/>
  <c r="B112" i="38"/>
  <c r="A112" i="38"/>
  <c r="U111" i="38" a="1"/>
  <c r="U111" i="38"/>
  <c r="S111" i="38" a="1"/>
  <c r="S111" i="38"/>
  <c r="T111" i="38"/>
  <c r="R111" i="38" a="1"/>
  <c r="R111" i="38"/>
  <c r="P111" i="38" a="1"/>
  <c r="P111" i="38"/>
  <c r="Q111" i="38"/>
  <c r="O111" i="38" a="1"/>
  <c r="O111" i="38"/>
  <c r="M111" i="38" a="1"/>
  <c r="M111" i="38"/>
  <c r="N111" i="38"/>
  <c r="L111" i="38" a="1"/>
  <c r="L111" i="38"/>
  <c r="J111" i="38" a="1"/>
  <c r="J111" i="38"/>
  <c r="K111" i="38"/>
  <c r="I111" i="38" a="1"/>
  <c r="I111" i="38"/>
  <c r="G111" i="38" a="1"/>
  <c r="G111" i="38"/>
  <c r="H111" i="38"/>
  <c r="F111" i="38" a="1"/>
  <c r="F111" i="38"/>
  <c r="E111" i="38"/>
  <c r="D111" i="38" a="1"/>
  <c r="D111" i="38"/>
  <c r="B111" i="38"/>
  <c r="A111" i="38"/>
  <c r="U110" i="38" a="1"/>
  <c r="U110" i="38"/>
  <c r="S110" i="38" a="1"/>
  <c r="S110" i="38"/>
  <c r="T110" i="38"/>
  <c r="R110" i="38" a="1"/>
  <c r="R110" i="38"/>
  <c r="P110" i="38" a="1"/>
  <c r="P110" i="38"/>
  <c r="Q110" i="38"/>
  <c r="O110" i="38" a="1"/>
  <c r="O110" i="38"/>
  <c r="M110" i="38" a="1"/>
  <c r="M110" i="38"/>
  <c r="N110" i="38"/>
  <c r="L110" i="38" a="1"/>
  <c r="L110" i="38"/>
  <c r="J110" i="38" a="1"/>
  <c r="J110" i="38"/>
  <c r="K110" i="38"/>
  <c r="I110" i="38" a="1"/>
  <c r="I110" i="38"/>
  <c r="G110" i="38" a="1"/>
  <c r="G110" i="38"/>
  <c r="H110" i="38"/>
  <c r="F110" i="38" a="1"/>
  <c r="F110" i="38"/>
  <c r="E110" i="38"/>
  <c r="D110" i="38" a="1"/>
  <c r="D110" i="38"/>
  <c r="B110" i="38"/>
  <c r="A110" i="38"/>
  <c r="U109" i="38" a="1"/>
  <c r="U109" i="38"/>
  <c r="S109" i="38" a="1"/>
  <c r="S109" i="38"/>
  <c r="T109" i="38"/>
  <c r="R109" i="38" a="1"/>
  <c r="R109" i="38"/>
  <c r="P109" i="38" a="1"/>
  <c r="P109" i="38"/>
  <c r="Q109" i="38"/>
  <c r="O109" i="38" a="1"/>
  <c r="O109" i="38"/>
  <c r="M109" i="38" a="1"/>
  <c r="M109" i="38"/>
  <c r="N109" i="38"/>
  <c r="L109" i="38" a="1"/>
  <c r="L109" i="38"/>
  <c r="J109" i="38" a="1"/>
  <c r="J109" i="38"/>
  <c r="K109" i="38"/>
  <c r="I109" i="38" a="1"/>
  <c r="I109" i="38"/>
  <c r="G109" i="38" a="1"/>
  <c r="G109" i="38"/>
  <c r="H109" i="38"/>
  <c r="F109" i="38" a="1"/>
  <c r="F109" i="38"/>
  <c r="E109" i="38"/>
  <c r="D109" i="38" a="1"/>
  <c r="D109" i="38"/>
  <c r="B109" i="38"/>
  <c r="A109" i="38"/>
  <c r="U108" i="38" a="1"/>
  <c r="U108" i="38"/>
  <c r="S108" i="38" a="1"/>
  <c r="S108" i="38"/>
  <c r="T108" i="38"/>
  <c r="R108" i="38" a="1"/>
  <c r="R108" i="38"/>
  <c r="P108" i="38" a="1"/>
  <c r="P108" i="38"/>
  <c r="Q108" i="38"/>
  <c r="O108" i="38" a="1"/>
  <c r="O108" i="38"/>
  <c r="M108" i="38" a="1"/>
  <c r="M108" i="38"/>
  <c r="N108" i="38"/>
  <c r="L108" i="38" a="1"/>
  <c r="L108" i="38"/>
  <c r="J108" i="38" a="1"/>
  <c r="J108" i="38"/>
  <c r="K108" i="38"/>
  <c r="I108" i="38" a="1"/>
  <c r="I108" i="38"/>
  <c r="G108" i="38" a="1"/>
  <c r="G108" i="38"/>
  <c r="H108" i="38"/>
  <c r="F108" i="38" a="1"/>
  <c r="F108" i="38"/>
  <c r="E108" i="38"/>
  <c r="D108" i="38" a="1"/>
  <c r="D108" i="38"/>
  <c r="B108" i="38"/>
  <c r="A108" i="38"/>
  <c r="U107" i="38" a="1"/>
  <c r="U107" i="38"/>
  <c r="S107" i="38" a="1"/>
  <c r="S107" i="38"/>
  <c r="T107" i="38"/>
  <c r="R107" i="38" a="1"/>
  <c r="R107" i="38"/>
  <c r="P107" i="38" a="1"/>
  <c r="P107" i="38"/>
  <c r="Q107" i="38"/>
  <c r="O107" i="38" a="1"/>
  <c r="O107" i="38"/>
  <c r="M107" i="38" a="1"/>
  <c r="M107" i="38"/>
  <c r="N107" i="38"/>
  <c r="L107" i="38" a="1"/>
  <c r="L107" i="38"/>
  <c r="J107" i="38" a="1"/>
  <c r="J107" i="38"/>
  <c r="K107" i="38"/>
  <c r="I107" i="38" a="1"/>
  <c r="I107" i="38"/>
  <c r="G107" i="38" a="1"/>
  <c r="G107" i="38"/>
  <c r="H107" i="38"/>
  <c r="F107" i="38" a="1"/>
  <c r="F107" i="38"/>
  <c r="E107" i="38"/>
  <c r="D107" i="38" a="1"/>
  <c r="D107" i="38"/>
  <c r="B107" i="38"/>
  <c r="A107" i="38"/>
  <c r="U106" i="38" a="1"/>
  <c r="U106" i="38"/>
  <c r="S106" i="38" a="1"/>
  <c r="S106" i="38"/>
  <c r="T106" i="38"/>
  <c r="R106" i="38" a="1"/>
  <c r="R106" i="38"/>
  <c r="P106" i="38" a="1"/>
  <c r="P106" i="38"/>
  <c r="Q106" i="38"/>
  <c r="O106" i="38" a="1"/>
  <c r="O106" i="38"/>
  <c r="M106" i="38" a="1"/>
  <c r="M106" i="38"/>
  <c r="N106" i="38"/>
  <c r="L106" i="38" a="1"/>
  <c r="L106" i="38"/>
  <c r="J106" i="38" a="1"/>
  <c r="J106" i="38"/>
  <c r="K106" i="38"/>
  <c r="I106" i="38" a="1"/>
  <c r="I106" i="38"/>
  <c r="G106" i="38" a="1"/>
  <c r="G106" i="38"/>
  <c r="H106" i="38"/>
  <c r="F106" i="38" a="1"/>
  <c r="F106" i="38"/>
  <c r="E106" i="38"/>
  <c r="D106" i="38" a="1"/>
  <c r="D106" i="38"/>
  <c r="B106" i="38"/>
  <c r="A106" i="38"/>
  <c r="U105" i="38" a="1"/>
  <c r="U105" i="38"/>
  <c r="S105" i="38" a="1"/>
  <c r="S105" i="38"/>
  <c r="T105" i="38"/>
  <c r="R105" i="38" a="1"/>
  <c r="R105" i="38"/>
  <c r="P105" i="38" a="1"/>
  <c r="P105" i="38"/>
  <c r="Q105" i="38"/>
  <c r="O105" i="38" a="1"/>
  <c r="O105" i="38"/>
  <c r="M105" i="38" a="1"/>
  <c r="M105" i="38"/>
  <c r="N105" i="38"/>
  <c r="L105" i="38" a="1"/>
  <c r="L105" i="38"/>
  <c r="J105" i="38" a="1"/>
  <c r="J105" i="38"/>
  <c r="K105" i="38"/>
  <c r="I105" i="38" a="1"/>
  <c r="I105" i="38"/>
  <c r="G105" i="38" a="1"/>
  <c r="G105" i="38"/>
  <c r="H105" i="38"/>
  <c r="F105" i="38" a="1"/>
  <c r="F105" i="38"/>
  <c r="E105" i="38"/>
  <c r="D105" i="38" a="1"/>
  <c r="D105" i="38"/>
  <c r="B105" i="38"/>
  <c r="A105" i="38"/>
  <c r="U104" i="38" a="1"/>
  <c r="U104" i="38"/>
  <c r="S104" i="38" a="1"/>
  <c r="S104" i="38"/>
  <c r="T104" i="38"/>
  <c r="R104" i="38" a="1"/>
  <c r="R104" i="38"/>
  <c r="P104" i="38" a="1"/>
  <c r="P104" i="38"/>
  <c r="Q104" i="38"/>
  <c r="O104" i="38" a="1"/>
  <c r="O104" i="38"/>
  <c r="M104" i="38" a="1"/>
  <c r="M104" i="38"/>
  <c r="N104" i="38"/>
  <c r="L104" i="38" a="1"/>
  <c r="L104" i="38"/>
  <c r="J104" i="38" a="1"/>
  <c r="J104" i="38"/>
  <c r="K104" i="38"/>
  <c r="I104" i="38" a="1"/>
  <c r="I104" i="38"/>
  <c r="G104" i="38" a="1"/>
  <c r="G104" i="38"/>
  <c r="H104" i="38"/>
  <c r="F104" i="38" a="1"/>
  <c r="F104" i="38"/>
  <c r="E104" i="38"/>
  <c r="D104" i="38" a="1"/>
  <c r="D104" i="38"/>
  <c r="B104" i="38"/>
  <c r="A104" i="38"/>
  <c r="U103" i="38" a="1"/>
  <c r="U103" i="38"/>
  <c r="S103" i="38" a="1"/>
  <c r="S103" i="38"/>
  <c r="T103" i="38"/>
  <c r="R103" i="38" a="1"/>
  <c r="R103" i="38"/>
  <c r="P103" i="38" a="1"/>
  <c r="P103" i="38"/>
  <c r="Q103" i="38"/>
  <c r="O103" i="38" a="1"/>
  <c r="O103" i="38"/>
  <c r="M103" i="38" a="1"/>
  <c r="M103" i="38"/>
  <c r="N103" i="38"/>
  <c r="L103" i="38" a="1"/>
  <c r="L103" i="38"/>
  <c r="J103" i="38" a="1"/>
  <c r="J103" i="38"/>
  <c r="K103" i="38"/>
  <c r="I103" i="38" a="1"/>
  <c r="I103" i="38"/>
  <c r="G103" i="38" a="1"/>
  <c r="G103" i="38"/>
  <c r="H103" i="38"/>
  <c r="F103" i="38" a="1"/>
  <c r="F103" i="38"/>
  <c r="E103" i="38"/>
  <c r="D103" i="38" a="1"/>
  <c r="D103" i="38"/>
  <c r="B103" i="38"/>
  <c r="A103" i="38"/>
  <c r="U102" i="38" a="1"/>
  <c r="U102" i="38"/>
  <c r="S102" i="38" a="1"/>
  <c r="S102" i="38"/>
  <c r="T102" i="38"/>
  <c r="R102" i="38" a="1"/>
  <c r="R102" i="38"/>
  <c r="P102" i="38" a="1"/>
  <c r="P102" i="38"/>
  <c r="Q102" i="38"/>
  <c r="O102" i="38" a="1"/>
  <c r="O102" i="38"/>
  <c r="M102" i="38" a="1"/>
  <c r="M102" i="38"/>
  <c r="N102" i="38"/>
  <c r="L102" i="38" a="1"/>
  <c r="L102" i="38"/>
  <c r="J102" i="38" a="1"/>
  <c r="J102" i="38"/>
  <c r="K102" i="38"/>
  <c r="I102" i="38" a="1"/>
  <c r="I102" i="38"/>
  <c r="G102" i="38" a="1"/>
  <c r="G102" i="38"/>
  <c r="H102" i="38"/>
  <c r="F102" i="38" a="1"/>
  <c r="F102" i="38"/>
  <c r="E102" i="38"/>
  <c r="D102" i="38" a="1"/>
  <c r="D102" i="38"/>
  <c r="B102" i="38"/>
  <c r="A102" i="38"/>
  <c r="U101" i="38" a="1"/>
  <c r="U101" i="38"/>
  <c r="S101" i="38" a="1"/>
  <c r="S101" i="38"/>
  <c r="T101" i="38"/>
  <c r="R101" i="38" a="1"/>
  <c r="R101" i="38"/>
  <c r="P101" i="38" a="1"/>
  <c r="P101" i="38"/>
  <c r="Q101" i="38"/>
  <c r="O101" i="38" a="1"/>
  <c r="O101" i="38"/>
  <c r="M101" i="38" a="1"/>
  <c r="M101" i="38"/>
  <c r="N101" i="38"/>
  <c r="L101" i="38" a="1"/>
  <c r="L101" i="38"/>
  <c r="J101" i="38" a="1"/>
  <c r="J101" i="38"/>
  <c r="K101" i="38"/>
  <c r="I101" i="38" a="1"/>
  <c r="I101" i="38"/>
  <c r="G101" i="38" a="1"/>
  <c r="G101" i="38"/>
  <c r="H101" i="38"/>
  <c r="F101" i="38" a="1"/>
  <c r="F101" i="38"/>
  <c r="E101" i="38"/>
  <c r="D101" i="38" a="1"/>
  <c r="D101" i="38"/>
  <c r="B101" i="38"/>
  <c r="A101" i="38"/>
  <c r="U100" i="38" a="1"/>
  <c r="U100" i="38"/>
  <c r="S100" i="38" a="1"/>
  <c r="S100" i="38"/>
  <c r="T100" i="38"/>
  <c r="R100" i="38" a="1"/>
  <c r="R100" i="38"/>
  <c r="P100" i="38" a="1"/>
  <c r="P100" i="38"/>
  <c r="Q100" i="38"/>
  <c r="O100" i="38" a="1"/>
  <c r="O100" i="38"/>
  <c r="M100" i="38" a="1"/>
  <c r="M100" i="38"/>
  <c r="N100" i="38"/>
  <c r="L100" i="38" a="1"/>
  <c r="L100" i="38"/>
  <c r="J100" i="38" a="1"/>
  <c r="J100" i="38"/>
  <c r="K100" i="38"/>
  <c r="I100" i="38" a="1"/>
  <c r="I100" i="38"/>
  <c r="G100" i="38" a="1"/>
  <c r="G100" i="38"/>
  <c r="H100" i="38"/>
  <c r="F100" i="38" a="1"/>
  <c r="F100" i="38"/>
  <c r="E100" i="38"/>
  <c r="U99" i="38" a="1"/>
  <c r="U99" i="38"/>
  <c r="D99" i="38" a="1"/>
  <c r="D99" i="38"/>
  <c r="D100" i="38" a="1"/>
  <c r="D100" i="38"/>
  <c r="B100" i="38"/>
  <c r="A100" i="38"/>
  <c r="S99" i="38" a="1"/>
  <c r="S99" i="38"/>
  <c r="T99" i="38"/>
  <c r="R99" i="38" a="1"/>
  <c r="R99" i="38"/>
  <c r="P99" i="38" a="1"/>
  <c r="P99" i="38"/>
  <c r="Q99" i="38"/>
  <c r="O99" i="38" a="1"/>
  <c r="O99" i="38"/>
  <c r="M99" i="38" a="1"/>
  <c r="M99" i="38"/>
  <c r="N99" i="38"/>
  <c r="L99" i="38" a="1"/>
  <c r="L99" i="38"/>
  <c r="J99" i="38" a="1"/>
  <c r="J99" i="38"/>
  <c r="K99" i="38"/>
  <c r="I99" i="38" a="1"/>
  <c r="I99" i="38"/>
  <c r="G99" i="38" a="1"/>
  <c r="G99" i="38"/>
  <c r="H99" i="38"/>
  <c r="F99" i="38" a="1"/>
  <c r="F99" i="38"/>
  <c r="E99" i="38"/>
  <c r="B99" i="38"/>
  <c r="A99" i="38"/>
  <c r="U98" i="38" a="1"/>
  <c r="U98" i="38"/>
  <c r="S98" i="38" a="1"/>
  <c r="S98" i="38"/>
  <c r="T98" i="38"/>
  <c r="R98" i="38" a="1"/>
  <c r="R98" i="38"/>
  <c r="P98" i="38" a="1"/>
  <c r="P98" i="38"/>
  <c r="Q98" i="38"/>
  <c r="O98" i="38" a="1"/>
  <c r="O98" i="38"/>
  <c r="M98" i="38" a="1"/>
  <c r="M98" i="38"/>
  <c r="N98" i="38"/>
  <c r="L98" i="38" a="1"/>
  <c r="L98" i="38"/>
  <c r="J98" i="38" a="1"/>
  <c r="J98" i="38"/>
  <c r="K98" i="38"/>
  <c r="I98" i="38" a="1"/>
  <c r="I98" i="38"/>
  <c r="G98" i="38" a="1"/>
  <c r="G98" i="38"/>
  <c r="H98" i="38"/>
  <c r="F98" i="38" a="1"/>
  <c r="F98" i="38"/>
  <c r="E98" i="38"/>
  <c r="U97" i="38" a="1"/>
  <c r="U97" i="38"/>
  <c r="D97" i="38" a="1"/>
  <c r="D97" i="38"/>
  <c r="D98" i="38" a="1"/>
  <c r="D98" i="38"/>
  <c r="B98" i="38"/>
  <c r="A98" i="38"/>
  <c r="S97" i="38" a="1"/>
  <c r="S97" i="38"/>
  <c r="T97" i="38"/>
  <c r="R97" i="38" a="1"/>
  <c r="R97" i="38"/>
  <c r="P97" i="38" a="1"/>
  <c r="P97" i="38"/>
  <c r="Q97" i="38"/>
  <c r="O97" i="38" a="1"/>
  <c r="O97" i="38"/>
  <c r="M97" i="38" a="1"/>
  <c r="M97" i="38"/>
  <c r="N97" i="38"/>
  <c r="L97" i="38" a="1"/>
  <c r="L97" i="38"/>
  <c r="J97" i="38" a="1"/>
  <c r="J97" i="38"/>
  <c r="K97" i="38"/>
  <c r="I97" i="38" a="1"/>
  <c r="I97" i="38"/>
  <c r="G97" i="38" a="1"/>
  <c r="G97" i="38"/>
  <c r="H97" i="38"/>
  <c r="F97" i="38" a="1"/>
  <c r="F97" i="38"/>
  <c r="E97" i="38"/>
  <c r="B97" i="38"/>
  <c r="A97" i="38"/>
  <c r="U96" i="38" a="1"/>
  <c r="U96" i="38"/>
  <c r="S96" i="38" a="1"/>
  <c r="S96" i="38"/>
  <c r="T96" i="38"/>
  <c r="R96" i="38" a="1"/>
  <c r="R96" i="38"/>
  <c r="P96" i="38" a="1"/>
  <c r="P96" i="38"/>
  <c r="Q96" i="38"/>
  <c r="O96" i="38" a="1"/>
  <c r="O96" i="38"/>
  <c r="M96" i="38" a="1"/>
  <c r="M96" i="38"/>
  <c r="N96" i="38"/>
  <c r="L96" i="38" a="1"/>
  <c r="L96" i="38"/>
  <c r="J96" i="38" a="1"/>
  <c r="J96" i="38"/>
  <c r="K96" i="38"/>
  <c r="I96" i="38" a="1"/>
  <c r="I96" i="38"/>
  <c r="G96" i="38" a="1"/>
  <c r="G96" i="38"/>
  <c r="H96" i="38"/>
  <c r="F96" i="38" a="1"/>
  <c r="F96" i="38"/>
  <c r="E96" i="38"/>
  <c r="U95" i="38" a="1"/>
  <c r="U95" i="38"/>
  <c r="U94" i="38" a="1"/>
  <c r="U94" i="38"/>
  <c r="D94" i="38" a="1"/>
  <c r="D94" i="38"/>
  <c r="D95" i="38" a="1"/>
  <c r="D95" i="38"/>
  <c r="D96" i="38" a="1"/>
  <c r="D96" i="38"/>
  <c r="B96" i="38"/>
  <c r="A96" i="38"/>
  <c r="S95" i="38" a="1"/>
  <c r="S95" i="38"/>
  <c r="T95" i="38"/>
  <c r="R95" i="38" a="1"/>
  <c r="R95" i="38"/>
  <c r="P95" i="38" a="1"/>
  <c r="P95" i="38"/>
  <c r="Q95" i="38"/>
  <c r="O95" i="38" a="1"/>
  <c r="O95" i="38"/>
  <c r="M95" i="38" a="1"/>
  <c r="M95" i="38"/>
  <c r="N95" i="38"/>
  <c r="L95" i="38" a="1"/>
  <c r="L95" i="38"/>
  <c r="J95" i="38" a="1"/>
  <c r="J95" i="38"/>
  <c r="K95" i="38"/>
  <c r="I95" i="38" a="1"/>
  <c r="I95" i="38"/>
  <c r="G95" i="38" a="1"/>
  <c r="G95" i="38"/>
  <c r="H95" i="38"/>
  <c r="F95" i="38" a="1"/>
  <c r="F95" i="38"/>
  <c r="E95" i="38"/>
  <c r="B95" i="38"/>
  <c r="A95" i="38"/>
  <c r="S94" i="38" a="1"/>
  <c r="S94" i="38"/>
  <c r="T94" i="38"/>
  <c r="R94" i="38" a="1"/>
  <c r="R94" i="38"/>
  <c r="P94" i="38" a="1"/>
  <c r="P94" i="38"/>
  <c r="Q94" i="38"/>
  <c r="O94" i="38" a="1"/>
  <c r="O94" i="38"/>
  <c r="M94" i="38" a="1"/>
  <c r="M94" i="38"/>
  <c r="N94" i="38"/>
  <c r="L94" i="38" a="1"/>
  <c r="L94" i="38"/>
  <c r="J94" i="38" a="1"/>
  <c r="J94" i="38"/>
  <c r="K94" i="38"/>
  <c r="I94" i="38" a="1"/>
  <c r="I94" i="38"/>
  <c r="G94" i="38" a="1"/>
  <c r="G94" i="38"/>
  <c r="H94" i="38"/>
  <c r="F94" i="38" a="1"/>
  <c r="F94" i="38"/>
  <c r="E94" i="38"/>
  <c r="U93" i="38" a="1"/>
  <c r="U93" i="38"/>
  <c r="D93" i="38" a="1"/>
  <c r="D93" i="38"/>
  <c r="B94" i="38"/>
  <c r="A94" i="38"/>
  <c r="S93" i="38" a="1"/>
  <c r="S93" i="38"/>
  <c r="T93" i="38"/>
  <c r="R93" i="38" a="1"/>
  <c r="R93" i="38"/>
  <c r="P93" i="38" a="1"/>
  <c r="P93" i="38"/>
  <c r="Q93" i="38"/>
  <c r="O93" i="38" a="1"/>
  <c r="O93" i="38"/>
  <c r="M93" i="38" a="1"/>
  <c r="M93" i="38"/>
  <c r="N93" i="38"/>
  <c r="L93" i="38" a="1"/>
  <c r="L93" i="38"/>
  <c r="J93" i="38" a="1"/>
  <c r="J93" i="38"/>
  <c r="K93" i="38"/>
  <c r="I93" i="38" a="1"/>
  <c r="I93" i="38"/>
  <c r="G93" i="38" a="1"/>
  <c r="G93" i="38"/>
  <c r="H93" i="38"/>
  <c r="F93" i="38" a="1"/>
  <c r="F93" i="38"/>
  <c r="E93" i="38"/>
  <c r="B93" i="38"/>
  <c r="A93" i="38"/>
  <c r="U92" i="38" a="1"/>
  <c r="U92" i="38"/>
  <c r="S92" i="38" a="1"/>
  <c r="S92" i="38"/>
  <c r="T92" i="38"/>
  <c r="R92" i="38" a="1"/>
  <c r="R92" i="38"/>
  <c r="P92" i="38" a="1"/>
  <c r="P92" i="38"/>
  <c r="Q92" i="38"/>
  <c r="O92" i="38" a="1"/>
  <c r="O92" i="38"/>
  <c r="M92" i="38" a="1"/>
  <c r="M92" i="38"/>
  <c r="N92" i="38"/>
  <c r="L92" i="38" a="1"/>
  <c r="L92" i="38"/>
  <c r="J92" i="38" a="1"/>
  <c r="J92" i="38"/>
  <c r="K92" i="38"/>
  <c r="I92" i="38" a="1"/>
  <c r="I92" i="38"/>
  <c r="G92" i="38" a="1"/>
  <c r="G92" i="38"/>
  <c r="H92" i="38"/>
  <c r="F92" i="38" a="1"/>
  <c r="F92" i="38"/>
  <c r="E92" i="38"/>
  <c r="U91" i="38" a="1"/>
  <c r="U91" i="38"/>
  <c r="D91" i="38" a="1"/>
  <c r="D91" i="38"/>
  <c r="D92" i="38" a="1"/>
  <c r="D92" i="38"/>
  <c r="B92" i="38"/>
  <c r="A92" i="38"/>
  <c r="S91" i="38" a="1"/>
  <c r="S91" i="38"/>
  <c r="T91" i="38"/>
  <c r="R91" i="38" a="1"/>
  <c r="R91" i="38"/>
  <c r="P91" i="38" a="1"/>
  <c r="P91" i="38"/>
  <c r="Q91" i="38"/>
  <c r="O91" i="38" a="1"/>
  <c r="O91" i="38"/>
  <c r="M91" i="38" a="1"/>
  <c r="M91" i="38"/>
  <c r="N91" i="38"/>
  <c r="L91" i="38" a="1"/>
  <c r="L91" i="38"/>
  <c r="J91" i="38" a="1"/>
  <c r="J91" i="38"/>
  <c r="K91" i="38"/>
  <c r="I91" i="38" a="1"/>
  <c r="I91" i="38"/>
  <c r="G91" i="38" a="1"/>
  <c r="G91" i="38"/>
  <c r="H91" i="38"/>
  <c r="F91" i="38" a="1"/>
  <c r="F91" i="38"/>
  <c r="E91" i="38"/>
  <c r="U90" i="38" a="1"/>
  <c r="U90" i="38"/>
  <c r="D90" i="38" a="1"/>
  <c r="D90" i="38"/>
  <c r="B91" i="38"/>
  <c r="A91" i="38"/>
  <c r="S90" i="38" a="1"/>
  <c r="S90" i="38"/>
  <c r="T90" i="38"/>
  <c r="R90" i="38" a="1"/>
  <c r="R90" i="38"/>
  <c r="P90" i="38" a="1"/>
  <c r="P90" i="38"/>
  <c r="Q90" i="38"/>
  <c r="O90" i="38" a="1"/>
  <c r="O90" i="38"/>
  <c r="M90" i="38" a="1"/>
  <c r="M90" i="38"/>
  <c r="N90" i="38"/>
  <c r="L90" i="38" a="1"/>
  <c r="L90" i="38"/>
  <c r="J90" i="38" a="1"/>
  <c r="J90" i="38"/>
  <c r="K90" i="38"/>
  <c r="I90" i="38" a="1"/>
  <c r="I90" i="38"/>
  <c r="G90" i="38" a="1"/>
  <c r="G90" i="38"/>
  <c r="H90" i="38"/>
  <c r="F90" i="38" a="1"/>
  <c r="F90" i="38"/>
  <c r="E90" i="38"/>
  <c r="B90" i="38"/>
  <c r="A90" i="38"/>
  <c r="U89" i="38" a="1"/>
  <c r="U89" i="38"/>
  <c r="S89" i="38" a="1"/>
  <c r="S89" i="38"/>
  <c r="T89" i="38"/>
  <c r="R89" i="38" a="1"/>
  <c r="R89" i="38"/>
  <c r="P89" i="38" a="1"/>
  <c r="P89" i="38"/>
  <c r="Q89" i="38"/>
  <c r="O89" i="38" a="1"/>
  <c r="O89" i="38"/>
  <c r="M89" i="38" a="1"/>
  <c r="M89" i="38"/>
  <c r="N89" i="38"/>
  <c r="L89" i="38" a="1"/>
  <c r="L89" i="38"/>
  <c r="J89" i="38" a="1"/>
  <c r="J89" i="38"/>
  <c r="K89" i="38"/>
  <c r="I89" i="38" a="1"/>
  <c r="I89" i="38"/>
  <c r="G89" i="38" a="1"/>
  <c r="G89" i="38"/>
  <c r="H89" i="38"/>
  <c r="F89" i="38" a="1"/>
  <c r="F89" i="38"/>
  <c r="E89" i="38"/>
  <c r="D89" i="38" a="1"/>
  <c r="D89" i="38"/>
  <c r="B89" i="38"/>
  <c r="A89" i="38"/>
  <c r="U88" i="38" a="1"/>
  <c r="U88" i="38"/>
  <c r="S88" i="38" a="1"/>
  <c r="S88" i="38"/>
  <c r="T88" i="38"/>
  <c r="R88" i="38" a="1"/>
  <c r="R88" i="38"/>
  <c r="P88" i="38" a="1"/>
  <c r="P88" i="38"/>
  <c r="Q88" i="38"/>
  <c r="O88" i="38" a="1"/>
  <c r="O88" i="38"/>
  <c r="M88" i="38" a="1"/>
  <c r="M88" i="38"/>
  <c r="N88" i="38"/>
  <c r="L88" i="38" a="1"/>
  <c r="L88" i="38"/>
  <c r="J88" i="38" a="1"/>
  <c r="J88" i="38"/>
  <c r="K88" i="38"/>
  <c r="I88" i="38" a="1"/>
  <c r="I88" i="38"/>
  <c r="G88" i="38" a="1"/>
  <c r="G88" i="38"/>
  <c r="H88" i="38"/>
  <c r="F88" i="38" a="1"/>
  <c r="F88" i="38"/>
  <c r="E88" i="38"/>
  <c r="U87" i="38" a="1"/>
  <c r="U87" i="38"/>
  <c r="U86" i="38" a="1"/>
  <c r="U86" i="38"/>
  <c r="D86" i="38" a="1"/>
  <c r="D86" i="38"/>
  <c r="D87" i="38" a="1"/>
  <c r="D87" i="38"/>
  <c r="D88" i="38" a="1"/>
  <c r="D88" i="38"/>
  <c r="B88" i="38"/>
  <c r="A88" i="38"/>
  <c r="S87" i="38" a="1"/>
  <c r="S87" i="38"/>
  <c r="T87" i="38"/>
  <c r="R87" i="38" a="1"/>
  <c r="R87" i="38"/>
  <c r="P87" i="38" a="1"/>
  <c r="P87" i="38"/>
  <c r="Q87" i="38"/>
  <c r="O87" i="38" a="1"/>
  <c r="O87" i="38"/>
  <c r="M87" i="38" a="1"/>
  <c r="M87" i="38"/>
  <c r="N87" i="38"/>
  <c r="L87" i="38" a="1"/>
  <c r="L87" i="38"/>
  <c r="J87" i="38" a="1"/>
  <c r="J87" i="38"/>
  <c r="K87" i="38"/>
  <c r="I87" i="38" a="1"/>
  <c r="I87" i="38"/>
  <c r="G87" i="38" a="1"/>
  <c r="G87" i="38"/>
  <c r="H87" i="38"/>
  <c r="F87" i="38" a="1"/>
  <c r="F87" i="38"/>
  <c r="E87" i="38"/>
  <c r="B87" i="38"/>
  <c r="A87" i="38"/>
  <c r="S86" i="38" a="1"/>
  <c r="S86" i="38"/>
  <c r="T86" i="38"/>
  <c r="R86" i="38" a="1"/>
  <c r="R86" i="38"/>
  <c r="P86" i="38" a="1"/>
  <c r="P86" i="38"/>
  <c r="Q86" i="38"/>
  <c r="O86" i="38" a="1"/>
  <c r="O86" i="38"/>
  <c r="M86" i="38" a="1"/>
  <c r="M86" i="38"/>
  <c r="N86" i="38"/>
  <c r="L86" i="38" a="1"/>
  <c r="L86" i="38"/>
  <c r="J86" i="38" a="1"/>
  <c r="J86" i="38"/>
  <c r="K86" i="38"/>
  <c r="I86" i="38" a="1"/>
  <c r="I86" i="38"/>
  <c r="G86" i="38" a="1"/>
  <c r="G86" i="38"/>
  <c r="H86" i="38"/>
  <c r="F86" i="38" a="1"/>
  <c r="F86" i="38"/>
  <c r="E86" i="38"/>
  <c r="B86" i="38"/>
  <c r="A86" i="38"/>
  <c r="U85" i="38" a="1"/>
  <c r="U85" i="38"/>
  <c r="S85" i="38" a="1"/>
  <c r="S85" i="38"/>
  <c r="T85" i="38"/>
  <c r="R85" i="38" a="1"/>
  <c r="R85" i="38"/>
  <c r="P85" i="38" a="1"/>
  <c r="P85" i="38"/>
  <c r="Q85" i="38"/>
  <c r="O85" i="38" a="1"/>
  <c r="O85" i="38"/>
  <c r="M85" i="38" a="1"/>
  <c r="M85" i="38"/>
  <c r="N85" i="38"/>
  <c r="L85" i="38" a="1"/>
  <c r="L85" i="38"/>
  <c r="J85" i="38" a="1"/>
  <c r="J85" i="38"/>
  <c r="K85" i="38"/>
  <c r="I85" i="38" a="1"/>
  <c r="I85" i="38"/>
  <c r="G85" i="38" a="1"/>
  <c r="G85" i="38"/>
  <c r="H85" i="38"/>
  <c r="F85" i="38" a="1"/>
  <c r="F85" i="38"/>
  <c r="E85" i="38"/>
  <c r="U84" i="38" a="1"/>
  <c r="U84" i="38"/>
  <c r="D84" i="38" a="1"/>
  <c r="D84" i="38"/>
  <c r="D85" i="38" a="1"/>
  <c r="D85" i="38"/>
  <c r="B85" i="38"/>
  <c r="A85" i="38"/>
  <c r="S84" i="38" a="1"/>
  <c r="S84" i="38"/>
  <c r="T84" i="38"/>
  <c r="R84" i="38" a="1"/>
  <c r="R84" i="38"/>
  <c r="P84" i="38" a="1"/>
  <c r="P84" i="38"/>
  <c r="Q84" i="38"/>
  <c r="O84" i="38" a="1"/>
  <c r="O84" i="38"/>
  <c r="M84" i="38" a="1"/>
  <c r="M84" i="38"/>
  <c r="N84" i="38"/>
  <c r="L84" i="38" a="1"/>
  <c r="L84" i="38"/>
  <c r="J84" i="38" a="1"/>
  <c r="J84" i="38"/>
  <c r="K84" i="38"/>
  <c r="I84" i="38" a="1"/>
  <c r="I84" i="38"/>
  <c r="G84" i="38" a="1"/>
  <c r="G84" i="38"/>
  <c r="H84" i="38"/>
  <c r="F84" i="38" a="1"/>
  <c r="F84" i="38"/>
  <c r="E84" i="38"/>
  <c r="B84" i="38"/>
  <c r="A84" i="38"/>
  <c r="U83" i="38" a="1"/>
  <c r="U83" i="38"/>
  <c r="S83" i="38" a="1"/>
  <c r="S83" i="38"/>
  <c r="T83" i="38"/>
  <c r="R83" i="38" a="1"/>
  <c r="R83" i="38"/>
  <c r="P83" i="38" a="1"/>
  <c r="P83" i="38"/>
  <c r="Q83" i="38"/>
  <c r="O83" i="38" a="1"/>
  <c r="O83" i="38"/>
  <c r="M83" i="38" a="1"/>
  <c r="M83" i="38"/>
  <c r="N83" i="38"/>
  <c r="L83" i="38" a="1"/>
  <c r="L83" i="38"/>
  <c r="J83" i="38" a="1"/>
  <c r="J83" i="38"/>
  <c r="K83" i="38"/>
  <c r="I83" i="38" a="1"/>
  <c r="I83" i="38"/>
  <c r="G83" i="38" a="1"/>
  <c r="G83" i="38"/>
  <c r="H83" i="38"/>
  <c r="F83" i="38" a="1"/>
  <c r="F83" i="38"/>
  <c r="E83" i="38"/>
  <c r="U82" i="38" a="1"/>
  <c r="U82" i="38"/>
  <c r="D82" i="38" a="1"/>
  <c r="D82" i="38"/>
  <c r="D83" i="38" a="1"/>
  <c r="D83" i="38"/>
  <c r="B83" i="38"/>
  <c r="A83" i="38"/>
  <c r="S82" i="38" a="1"/>
  <c r="S82" i="38"/>
  <c r="T82" i="38"/>
  <c r="R82" i="38" a="1"/>
  <c r="R82" i="38"/>
  <c r="P82" i="38" a="1"/>
  <c r="P82" i="38"/>
  <c r="Q82" i="38"/>
  <c r="O82" i="38" a="1"/>
  <c r="O82" i="38"/>
  <c r="M82" i="38" a="1"/>
  <c r="M82" i="38"/>
  <c r="N82" i="38"/>
  <c r="L82" i="38" a="1"/>
  <c r="L82" i="38"/>
  <c r="J82" i="38" a="1"/>
  <c r="J82" i="38"/>
  <c r="K82" i="38"/>
  <c r="I82" i="38" a="1"/>
  <c r="I82" i="38"/>
  <c r="G82" i="38" a="1"/>
  <c r="G82" i="38"/>
  <c r="H82" i="38"/>
  <c r="F82" i="38" a="1"/>
  <c r="F82" i="38"/>
  <c r="E82" i="38"/>
  <c r="B82" i="38"/>
  <c r="A82" i="38"/>
  <c r="U81" i="38" a="1"/>
  <c r="U81" i="38"/>
  <c r="S81" i="38" a="1"/>
  <c r="S81" i="38"/>
  <c r="T81" i="38"/>
  <c r="R81" i="38" a="1"/>
  <c r="R81" i="38"/>
  <c r="P81" i="38" a="1"/>
  <c r="P81" i="38"/>
  <c r="Q81" i="38"/>
  <c r="O81" i="38" a="1"/>
  <c r="O81" i="38"/>
  <c r="M81" i="38" a="1"/>
  <c r="M81" i="38"/>
  <c r="N81" i="38"/>
  <c r="L81" i="38" a="1"/>
  <c r="L81" i="38"/>
  <c r="J81" i="38" a="1"/>
  <c r="J81" i="38"/>
  <c r="K81" i="38"/>
  <c r="I81" i="38" a="1"/>
  <c r="I81" i="38"/>
  <c r="G81" i="38" a="1"/>
  <c r="G81" i="38"/>
  <c r="H81" i="38"/>
  <c r="F81" i="38" a="1"/>
  <c r="F81" i="38"/>
  <c r="E81" i="38"/>
  <c r="U80" i="38" a="1"/>
  <c r="U80" i="38"/>
  <c r="D80" i="38" a="1"/>
  <c r="D80" i="38"/>
  <c r="D81" i="38" a="1"/>
  <c r="D81" i="38"/>
  <c r="B81" i="38"/>
  <c r="A81" i="38"/>
  <c r="S80" i="38" a="1"/>
  <c r="S80" i="38"/>
  <c r="T80" i="38"/>
  <c r="R80" i="38" a="1"/>
  <c r="R80" i="38"/>
  <c r="P80" i="38" a="1"/>
  <c r="P80" i="38"/>
  <c r="Q80" i="38"/>
  <c r="O80" i="38" a="1"/>
  <c r="O80" i="38"/>
  <c r="M80" i="38" a="1"/>
  <c r="M80" i="38"/>
  <c r="N80" i="38"/>
  <c r="L80" i="38" a="1"/>
  <c r="L80" i="38"/>
  <c r="J80" i="38" a="1"/>
  <c r="J80" i="38"/>
  <c r="K80" i="38"/>
  <c r="I80" i="38" a="1"/>
  <c r="I80" i="38"/>
  <c r="G80" i="38" a="1"/>
  <c r="G80" i="38"/>
  <c r="H80" i="38"/>
  <c r="F80" i="38" a="1"/>
  <c r="F80" i="38"/>
  <c r="E80" i="38"/>
  <c r="B80" i="38"/>
  <c r="A80" i="38"/>
  <c r="U79" i="38" a="1"/>
  <c r="U79" i="38"/>
  <c r="S79" i="38" a="1"/>
  <c r="S79" i="38"/>
  <c r="T79" i="38"/>
  <c r="R79" i="38" a="1"/>
  <c r="R79" i="38"/>
  <c r="P79" i="38" a="1"/>
  <c r="P79" i="38"/>
  <c r="Q79" i="38"/>
  <c r="O79" i="38" a="1"/>
  <c r="O79" i="38"/>
  <c r="M79" i="38" a="1"/>
  <c r="M79" i="38"/>
  <c r="N79" i="38"/>
  <c r="L79" i="38" a="1"/>
  <c r="L79" i="38"/>
  <c r="J79" i="38" a="1"/>
  <c r="J79" i="38"/>
  <c r="K79" i="38"/>
  <c r="I79" i="38" a="1"/>
  <c r="I79" i="38"/>
  <c r="G79" i="38" a="1"/>
  <c r="G79" i="38"/>
  <c r="H79" i="38"/>
  <c r="F79" i="38" a="1"/>
  <c r="F79" i="38"/>
  <c r="E79" i="38"/>
  <c r="U78" i="38" a="1"/>
  <c r="U78" i="38"/>
  <c r="D78" i="38" a="1"/>
  <c r="D78" i="38"/>
  <c r="D79" i="38" a="1"/>
  <c r="D79" i="38"/>
  <c r="B79" i="38"/>
  <c r="A79" i="38"/>
  <c r="S78" i="38" a="1"/>
  <c r="S78" i="38"/>
  <c r="T78" i="38"/>
  <c r="R78" i="38" a="1"/>
  <c r="R78" i="38"/>
  <c r="P78" i="38" a="1"/>
  <c r="P78" i="38"/>
  <c r="Q78" i="38"/>
  <c r="O78" i="38" a="1"/>
  <c r="O78" i="38"/>
  <c r="M78" i="38" a="1"/>
  <c r="M78" i="38"/>
  <c r="N78" i="38"/>
  <c r="L78" i="38" a="1"/>
  <c r="L78" i="38"/>
  <c r="J78" i="38" a="1"/>
  <c r="J78" i="38"/>
  <c r="K78" i="38"/>
  <c r="I78" i="38" a="1"/>
  <c r="I78" i="38"/>
  <c r="G78" i="38" a="1"/>
  <c r="G78" i="38"/>
  <c r="H78" i="38"/>
  <c r="F78" i="38" a="1"/>
  <c r="F78" i="38"/>
  <c r="E78" i="38"/>
  <c r="B78" i="38"/>
  <c r="A78" i="38"/>
  <c r="U77" i="38" a="1"/>
  <c r="U77" i="38"/>
  <c r="S77" i="38" a="1"/>
  <c r="S77" i="38"/>
  <c r="T77" i="38"/>
  <c r="R77" i="38" a="1"/>
  <c r="R77" i="38"/>
  <c r="P77" i="38" a="1"/>
  <c r="P77" i="38"/>
  <c r="Q77" i="38"/>
  <c r="O77" i="38" a="1"/>
  <c r="O77" i="38"/>
  <c r="M77" i="38" a="1"/>
  <c r="M77" i="38"/>
  <c r="N77" i="38"/>
  <c r="L77" i="38" a="1"/>
  <c r="L77" i="38"/>
  <c r="J77" i="38" a="1"/>
  <c r="J77" i="38"/>
  <c r="K77" i="38"/>
  <c r="I77" i="38" a="1"/>
  <c r="I77" i="38"/>
  <c r="G77" i="38" a="1"/>
  <c r="G77" i="38"/>
  <c r="H77" i="38"/>
  <c r="F77" i="38" a="1"/>
  <c r="F77" i="38"/>
  <c r="E77" i="38"/>
  <c r="D77" i="38" a="1"/>
  <c r="D77" i="38"/>
  <c r="B77" i="38"/>
  <c r="A77" i="38"/>
  <c r="U76" i="38" a="1"/>
  <c r="U76" i="38"/>
  <c r="S76" i="38" a="1"/>
  <c r="S76" i="38"/>
  <c r="T76" i="38"/>
  <c r="R76" i="38" a="1"/>
  <c r="R76" i="38"/>
  <c r="P76" i="38" a="1"/>
  <c r="P76" i="38"/>
  <c r="Q76" i="38"/>
  <c r="O76" i="38" a="1"/>
  <c r="O76" i="38"/>
  <c r="M76" i="38" a="1"/>
  <c r="M76" i="38"/>
  <c r="N76" i="38"/>
  <c r="L76" i="38" a="1"/>
  <c r="L76" i="38"/>
  <c r="J76" i="38" a="1"/>
  <c r="J76" i="38"/>
  <c r="K76" i="38"/>
  <c r="I76" i="38" a="1"/>
  <c r="I76" i="38"/>
  <c r="G76" i="38" a="1"/>
  <c r="G76" i="38"/>
  <c r="H76" i="38"/>
  <c r="F76" i="38" a="1"/>
  <c r="F76" i="38"/>
  <c r="E76" i="38"/>
  <c r="D76" i="38" a="1"/>
  <c r="D76" i="38"/>
  <c r="B76" i="38"/>
  <c r="A76" i="38"/>
  <c r="U75" i="38" a="1"/>
  <c r="U75" i="38"/>
  <c r="S75" i="38" a="1"/>
  <c r="S75" i="38"/>
  <c r="T75" i="38"/>
  <c r="R75" i="38" a="1"/>
  <c r="R75" i="38"/>
  <c r="P75" i="38" a="1"/>
  <c r="P75" i="38"/>
  <c r="Q75" i="38"/>
  <c r="O75" i="38" a="1"/>
  <c r="O75" i="38"/>
  <c r="M75" i="38" a="1"/>
  <c r="M75" i="38"/>
  <c r="N75" i="38"/>
  <c r="L75" i="38" a="1"/>
  <c r="L75" i="38"/>
  <c r="J75" i="38" a="1"/>
  <c r="J75" i="38"/>
  <c r="K75" i="38"/>
  <c r="I75" i="38" a="1"/>
  <c r="I75" i="38"/>
  <c r="G75" i="38" a="1"/>
  <c r="G75" i="38"/>
  <c r="H75" i="38"/>
  <c r="F75" i="38" a="1"/>
  <c r="F75" i="38"/>
  <c r="E75" i="38"/>
  <c r="D75" i="38" a="1"/>
  <c r="D75" i="38"/>
  <c r="B75" i="38"/>
  <c r="A75" i="38"/>
  <c r="U74" i="38" a="1"/>
  <c r="U74" i="38"/>
  <c r="S74" i="38" a="1"/>
  <c r="S74" i="38"/>
  <c r="T74" i="38"/>
  <c r="R74" i="38" a="1"/>
  <c r="R74" i="38"/>
  <c r="P74" i="38" a="1"/>
  <c r="P74" i="38"/>
  <c r="Q74" i="38"/>
  <c r="O74" i="38" a="1"/>
  <c r="O74" i="38"/>
  <c r="M74" i="38" a="1"/>
  <c r="M74" i="38"/>
  <c r="N74" i="38"/>
  <c r="L74" i="38" a="1"/>
  <c r="L74" i="38"/>
  <c r="J74" i="38" a="1"/>
  <c r="J74" i="38"/>
  <c r="K74" i="38"/>
  <c r="I74" i="38" a="1"/>
  <c r="I74" i="38"/>
  <c r="G74" i="38" a="1"/>
  <c r="G74" i="38"/>
  <c r="H74" i="38"/>
  <c r="F74" i="38" a="1"/>
  <c r="F74" i="38"/>
  <c r="E74" i="38"/>
  <c r="D74" i="38" a="1"/>
  <c r="D74" i="38"/>
  <c r="B74" i="38"/>
  <c r="A74" i="38"/>
  <c r="U73" i="38" a="1"/>
  <c r="U73" i="38"/>
  <c r="S73" i="38" a="1"/>
  <c r="S73" i="38"/>
  <c r="T73" i="38"/>
  <c r="R73" i="38" a="1"/>
  <c r="R73" i="38"/>
  <c r="P73" i="38" a="1"/>
  <c r="P73" i="38"/>
  <c r="Q73" i="38"/>
  <c r="O73" i="38" a="1"/>
  <c r="O73" i="38"/>
  <c r="M73" i="38" a="1"/>
  <c r="M73" i="38"/>
  <c r="N73" i="38"/>
  <c r="L73" i="38" a="1"/>
  <c r="L73" i="38"/>
  <c r="J73" i="38" a="1"/>
  <c r="J73" i="38"/>
  <c r="K73" i="38"/>
  <c r="I73" i="38" a="1"/>
  <c r="I73" i="38"/>
  <c r="G73" i="38" a="1"/>
  <c r="G73" i="38"/>
  <c r="H73" i="38"/>
  <c r="F73" i="38" a="1"/>
  <c r="F73" i="38"/>
  <c r="E73" i="38"/>
  <c r="D73" i="38" a="1"/>
  <c r="D73" i="38"/>
  <c r="B73" i="38"/>
  <c r="A73" i="38"/>
  <c r="U72" i="38" a="1"/>
  <c r="U72" i="38"/>
  <c r="S72" i="38" a="1"/>
  <c r="S72" i="38"/>
  <c r="T72" i="38"/>
  <c r="R72" i="38" a="1"/>
  <c r="R72" i="38"/>
  <c r="P72" i="38" a="1"/>
  <c r="P72" i="38"/>
  <c r="Q72" i="38"/>
  <c r="O72" i="38" a="1"/>
  <c r="O72" i="38"/>
  <c r="M72" i="38" a="1"/>
  <c r="M72" i="38"/>
  <c r="N72" i="38"/>
  <c r="L72" i="38" a="1"/>
  <c r="L72" i="38"/>
  <c r="J72" i="38" a="1"/>
  <c r="J72" i="38"/>
  <c r="K72" i="38"/>
  <c r="I72" i="38" a="1"/>
  <c r="I72" i="38"/>
  <c r="G72" i="38" a="1"/>
  <c r="G72" i="38"/>
  <c r="H72" i="38"/>
  <c r="F72" i="38" a="1"/>
  <c r="F72" i="38"/>
  <c r="E72" i="38"/>
  <c r="D72" i="38" a="1"/>
  <c r="D72" i="38"/>
  <c r="B72" i="38"/>
  <c r="A72" i="38"/>
  <c r="U71" i="38" a="1"/>
  <c r="U71" i="38"/>
  <c r="S71" i="38" a="1"/>
  <c r="S71" i="38"/>
  <c r="T71" i="38"/>
  <c r="R71" i="38" a="1"/>
  <c r="R71" i="38"/>
  <c r="P71" i="38" a="1"/>
  <c r="P71" i="38"/>
  <c r="Q71" i="38"/>
  <c r="O71" i="38" a="1"/>
  <c r="O71" i="38"/>
  <c r="M71" i="38" a="1"/>
  <c r="M71" i="38"/>
  <c r="N71" i="38"/>
  <c r="L71" i="38" a="1"/>
  <c r="L71" i="38"/>
  <c r="J71" i="38" a="1"/>
  <c r="J71" i="38"/>
  <c r="K71" i="38"/>
  <c r="I71" i="38" a="1"/>
  <c r="I71" i="38"/>
  <c r="G71" i="38" a="1"/>
  <c r="G71" i="38"/>
  <c r="H71" i="38"/>
  <c r="F71" i="38" a="1"/>
  <c r="F71" i="38"/>
  <c r="E71" i="38"/>
  <c r="D71" i="38" a="1"/>
  <c r="D71" i="38"/>
  <c r="B71" i="38"/>
  <c r="A71" i="38"/>
  <c r="U70" i="38" a="1"/>
  <c r="U70" i="38"/>
  <c r="S70" i="38" a="1"/>
  <c r="S70" i="38"/>
  <c r="T70" i="38"/>
  <c r="R70" i="38" a="1"/>
  <c r="R70" i="38"/>
  <c r="P70" i="38" a="1"/>
  <c r="P70" i="38"/>
  <c r="Q70" i="38"/>
  <c r="O70" i="38" a="1"/>
  <c r="O70" i="38"/>
  <c r="M70" i="38" a="1"/>
  <c r="M70" i="38"/>
  <c r="N70" i="38"/>
  <c r="L70" i="38" a="1"/>
  <c r="L70" i="38"/>
  <c r="J70" i="38" a="1"/>
  <c r="J70" i="38"/>
  <c r="K70" i="38"/>
  <c r="I70" i="38" a="1"/>
  <c r="I70" i="38"/>
  <c r="G70" i="38" a="1"/>
  <c r="G70" i="38"/>
  <c r="H70" i="38"/>
  <c r="F70" i="38" a="1"/>
  <c r="F70" i="38"/>
  <c r="E70" i="38"/>
  <c r="D70" i="38" a="1"/>
  <c r="D70" i="38"/>
  <c r="B70" i="38"/>
  <c r="A70" i="38"/>
  <c r="U69" i="38" a="1"/>
  <c r="U69" i="38"/>
  <c r="S69" i="38" a="1"/>
  <c r="S69" i="38"/>
  <c r="T69" i="38"/>
  <c r="R69" i="38" a="1"/>
  <c r="R69" i="38"/>
  <c r="P69" i="38" a="1"/>
  <c r="P69" i="38"/>
  <c r="Q69" i="38"/>
  <c r="O69" i="38" a="1"/>
  <c r="O69" i="38"/>
  <c r="M69" i="38" a="1"/>
  <c r="M69" i="38"/>
  <c r="N69" i="38"/>
  <c r="L69" i="38" a="1"/>
  <c r="L69" i="38"/>
  <c r="J69" i="38" a="1"/>
  <c r="J69" i="38"/>
  <c r="K69" i="38"/>
  <c r="I69" i="38" a="1"/>
  <c r="I69" i="38"/>
  <c r="G69" i="38" a="1"/>
  <c r="G69" i="38"/>
  <c r="H69" i="38"/>
  <c r="F69" i="38" a="1"/>
  <c r="F69" i="38"/>
  <c r="E69" i="38"/>
  <c r="D69" i="38" a="1"/>
  <c r="D69" i="38"/>
  <c r="B69" i="38"/>
  <c r="A69" i="38"/>
  <c r="U68" i="38" a="1"/>
  <c r="U68" i="38"/>
  <c r="S68" i="38" a="1"/>
  <c r="S68" i="38"/>
  <c r="T68" i="38"/>
  <c r="R68" i="38" a="1"/>
  <c r="R68" i="38"/>
  <c r="P68" i="38" a="1"/>
  <c r="P68" i="38"/>
  <c r="Q68" i="38"/>
  <c r="O68" i="38" a="1"/>
  <c r="O68" i="38"/>
  <c r="M68" i="38" a="1"/>
  <c r="M68" i="38"/>
  <c r="N68" i="38"/>
  <c r="L68" i="38" a="1"/>
  <c r="L68" i="38"/>
  <c r="J68" i="38" a="1"/>
  <c r="J68" i="38"/>
  <c r="K68" i="38"/>
  <c r="I68" i="38" a="1"/>
  <c r="I68" i="38"/>
  <c r="G68" i="38" a="1"/>
  <c r="G68" i="38"/>
  <c r="H68" i="38"/>
  <c r="F68" i="38" a="1"/>
  <c r="F68" i="38"/>
  <c r="E68" i="38"/>
  <c r="D68" i="38" a="1"/>
  <c r="D68" i="38"/>
  <c r="B68" i="38"/>
  <c r="A68" i="38"/>
  <c r="U67" i="38" a="1"/>
  <c r="U67" i="38"/>
  <c r="S67" i="38" a="1"/>
  <c r="S67" i="38"/>
  <c r="T67" i="38"/>
  <c r="R67" i="38" a="1"/>
  <c r="R67" i="38"/>
  <c r="P67" i="38" a="1"/>
  <c r="P67" i="38"/>
  <c r="Q67" i="38"/>
  <c r="O67" i="38" a="1"/>
  <c r="O67" i="38"/>
  <c r="M67" i="38" a="1"/>
  <c r="M67" i="38"/>
  <c r="N67" i="38"/>
  <c r="L67" i="38" a="1"/>
  <c r="L67" i="38"/>
  <c r="J67" i="38" a="1"/>
  <c r="J67" i="38"/>
  <c r="K67" i="38"/>
  <c r="I67" i="38" a="1"/>
  <c r="I67" i="38"/>
  <c r="G67" i="38" a="1"/>
  <c r="G67" i="38"/>
  <c r="H67" i="38"/>
  <c r="F67" i="38" a="1"/>
  <c r="F67" i="38"/>
  <c r="E67" i="38"/>
  <c r="D67" i="38" a="1"/>
  <c r="D67" i="38"/>
  <c r="B67" i="38"/>
  <c r="A67" i="38"/>
  <c r="U66" i="38" a="1"/>
  <c r="U66" i="38"/>
  <c r="S66" i="38" a="1"/>
  <c r="S66" i="38"/>
  <c r="T66" i="38"/>
  <c r="R66" i="38" a="1"/>
  <c r="R66" i="38"/>
  <c r="P66" i="38" a="1"/>
  <c r="P66" i="38"/>
  <c r="Q66" i="38"/>
  <c r="O66" i="38" a="1"/>
  <c r="O66" i="38"/>
  <c r="M66" i="38" a="1"/>
  <c r="M66" i="38"/>
  <c r="N66" i="38"/>
  <c r="L66" i="38" a="1"/>
  <c r="L66" i="38"/>
  <c r="J66" i="38" a="1"/>
  <c r="J66" i="38"/>
  <c r="K66" i="38"/>
  <c r="I66" i="38" a="1"/>
  <c r="I66" i="38"/>
  <c r="G66" i="38" a="1"/>
  <c r="G66" i="38"/>
  <c r="H66" i="38"/>
  <c r="F66" i="38" a="1"/>
  <c r="F66" i="38"/>
  <c r="E66" i="38"/>
  <c r="D66" i="38" a="1"/>
  <c r="D66" i="38"/>
  <c r="B66" i="38"/>
  <c r="A66" i="38"/>
  <c r="U65" i="38" a="1"/>
  <c r="U65" i="38"/>
  <c r="S65" i="38" a="1"/>
  <c r="S65" i="38"/>
  <c r="T65" i="38"/>
  <c r="R65" i="38" a="1"/>
  <c r="R65" i="38"/>
  <c r="P65" i="38" a="1"/>
  <c r="P65" i="38"/>
  <c r="Q65" i="38"/>
  <c r="O65" i="38" a="1"/>
  <c r="O65" i="38"/>
  <c r="M65" i="38" a="1"/>
  <c r="M65" i="38"/>
  <c r="N65" i="38"/>
  <c r="L65" i="38" a="1"/>
  <c r="L65" i="38"/>
  <c r="J65" i="38" a="1"/>
  <c r="J65" i="38"/>
  <c r="K65" i="38"/>
  <c r="I65" i="38" a="1"/>
  <c r="I65" i="38"/>
  <c r="G65" i="38" a="1"/>
  <c r="G65" i="38"/>
  <c r="H65" i="38"/>
  <c r="F65" i="38" a="1"/>
  <c r="F65" i="38"/>
  <c r="E65" i="38"/>
  <c r="D65" i="38" a="1"/>
  <c r="D65" i="38"/>
  <c r="B65" i="38"/>
  <c r="A65" i="38"/>
  <c r="U64" i="38" a="1"/>
  <c r="U64" i="38"/>
  <c r="S64" i="38" a="1"/>
  <c r="S64" i="38"/>
  <c r="T64" i="38"/>
  <c r="R64" i="38" a="1"/>
  <c r="R64" i="38"/>
  <c r="P64" i="38" a="1"/>
  <c r="P64" i="38"/>
  <c r="Q64" i="38"/>
  <c r="O64" i="38" a="1"/>
  <c r="O64" i="38"/>
  <c r="M64" i="38" a="1"/>
  <c r="M64" i="38"/>
  <c r="N64" i="38"/>
  <c r="L64" i="38" a="1"/>
  <c r="L64" i="38"/>
  <c r="J64" i="38" a="1"/>
  <c r="J64" i="38"/>
  <c r="K64" i="38"/>
  <c r="I64" i="38" a="1"/>
  <c r="I64" i="38"/>
  <c r="G64" i="38" a="1"/>
  <c r="G64" i="38"/>
  <c r="H64" i="38"/>
  <c r="F64" i="38" a="1"/>
  <c r="F64" i="38"/>
  <c r="E64" i="38"/>
  <c r="D64" i="38" a="1"/>
  <c r="D64" i="38"/>
  <c r="B64" i="38"/>
  <c r="A64" i="38"/>
  <c r="U63" i="38" a="1"/>
  <c r="U63" i="38"/>
  <c r="S63" i="38" a="1"/>
  <c r="S63" i="38"/>
  <c r="T63" i="38"/>
  <c r="R63" i="38" a="1"/>
  <c r="R63" i="38"/>
  <c r="P63" i="38" a="1"/>
  <c r="P63" i="38"/>
  <c r="Q63" i="38"/>
  <c r="O63" i="38" a="1"/>
  <c r="O63" i="38"/>
  <c r="M63" i="38" a="1"/>
  <c r="M63" i="38"/>
  <c r="N63" i="38"/>
  <c r="L63" i="38" a="1"/>
  <c r="L63" i="38"/>
  <c r="J63" i="38" a="1"/>
  <c r="J63" i="38"/>
  <c r="K63" i="38"/>
  <c r="I63" i="38" a="1"/>
  <c r="I63" i="38"/>
  <c r="G63" i="38" a="1"/>
  <c r="G63" i="38"/>
  <c r="H63" i="38"/>
  <c r="F63" i="38" a="1"/>
  <c r="F63" i="38"/>
  <c r="E63" i="38"/>
  <c r="D63" i="38" a="1"/>
  <c r="D63" i="38"/>
  <c r="B63" i="38"/>
  <c r="A63" i="38"/>
  <c r="U62" i="38" a="1"/>
  <c r="U62" i="38"/>
  <c r="S62" i="38" a="1"/>
  <c r="S62" i="38"/>
  <c r="T62" i="38"/>
  <c r="R62" i="38" a="1"/>
  <c r="R62" i="38"/>
  <c r="P62" i="38" a="1"/>
  <c r="P62" i="38"/>
  <c r="Q62" i="38"/>
  <c r="O62" i="38" a="1"/>
  <c r="O62" i="38"/>
  <c r="M62" i="38" a="1"/>
  <c r="M62" i="38"/>
  <c r="N62" i="38"/>
  <c r="L62" i="38" a="1"/>
  <c r="L62" i="38"/>
  <c r="J62" i="38" a="1"/>
  <c r="J62" i="38"/>
  <c r="K62" i="38"/>
  <c r="I62" i="38" a="1"/>
  <c r="I62" i="38"/>
  <c r="G62" i="38" a="1"/>
  <c r="G62" i="38"/>
  <c r="H62" i="38"/>
  <c r="F62" i="38" a="1"/>
  <c r="F62" i="38"/>
  <c r="E62" i="38"/>
  <c r="D62" i="38" a="1"/>
  <c r="D62" i="38"/>
  <c r="B62" i="38"/>
  <c r="A62" i="38"/>
  <c r="U61" i="38" a="1"/>
  <c r="U61" i="38"/>
  <c r="S61" i="38" a="1"/>
  <c r="S61" i="38"/>
  <c r="T61" i="38"/>
  <c r="R61" i="38" a="1"/>
  <c r="R61" i="38"/>
  <c r="P61" i="38" a="1"/>
  <c r="P61" i="38"/>
  <c r="Q61" i="38"/>
  <c r="O61" i="38" a="1"/>
  <c r="O61" i="38"/>
  <c r="M61" i="38" a="1"/>
  <c r="M61" i="38"/>
  <c r="N61" i="38"/>
  <c r="L61" i="38" a="1"/>
  <c r="L61" i="38"/>
  <c r="J61" i="38" a="1"/>
  <c r="J61" i="38"/>
  <c r="K61" i="38"/>
  <c r="I61" i="38" a="1"/>
  <c r="I61" i="38"/>
  <c r="G61" i="38" a="1"/>
  <c r="G61" i="38"/>
  <c r="H61" i="38"/>
  <c r="F61" i="38" a="1"/>
  <c r="F61" i="38"/>
  <c r="E61" i="38"/>
  <c r="D61" i="38" a="1"/>
  <c r="D61" i="38"/>
  <c r="B61" i="38"/>
  <c r="A61" i="38"/>
  <c r="U60" i="38" a="1"/>
  <c r="U60" i="38"/>
  <c r="S60" i="38" a="1"/>
  <c r="S60" i="38"/>
  <c r="T60" i="38"/>
  <c r="R60" i="38" a="1"/>
  <c r="R60" i="38"/>
  <c r="P60" i="38" a="1"/>
  <c r="P60" i="38"/>
  <c r="Q60" i="38"/>
  <c r="O60" i="38" a="1"/>
  <c r="O60" i="38"/>
  <c r="M60" i="38" a="1"/>
  <c r="M60" i="38"/>
  <c r="N60" i="38"/>
  <c r="L60" i="38" a="1"/>
  <c r="L60" i="38"/>
  <c r="J60" i="38" a="1"/>
  <c r="J60" i="38"/>
  <c r="K60" i="38"/>
  <c r="I60" i="38" a="1"/>
  <c r="I60" i="38"/>
  <c r="G60" i="38" a="1"/>
  <c r="G60" i="38"/>
  <c r="H60" i="38"/>
  <c r="F60" i="38" a="1"/>
  <c r="F60" i="38"/>
  <c r="E60" i="38"/>
  <c r="D60" i="38" a="1"/>
  <c r="D60" i="38"/>
  <c r="B60" i="38"/>
  <c r="A60" i="38"/>
  <c r="U59" i="38" a="1"/>
  <c r="U59" i="38"/>
  <c r="S59" i="38" a="1"/>
  <c r="S59" i="38"/>
  <c r="T59" i="38"/>
  <c r="R59" i="38" a="1"/>
  <c r="R59" i="38"/>
  <c r="P59" i="38" a="1"/>
  <c r="P59" i="38"/>
  <c r="Q59" i="38"/>
  <c r="O59" i="38" a="1"/>
  <c r="O59" i="38"/>
  <c r="M59" i="38" a="1"/>
  <c r="M59" i="38"/>
  <c r="N59" i="38"/>
  <c r="L59" i="38" a="1"/>
  <c r="L59" i="38"/>
  <c r="J59" i="38" a="1"/>
  <c r="J59" i="38"/>
  <c r="K59" i="38"/>
  <c r="I59" i="38" a="1"/>
  <c r="I59" i="38"/>
  <c r="G59" i="38" a="1"/>
  <c r="G59" i="38"/>
  <c r="H59" i="38"/>
  <c r="F59" i="38" a="1"/>
  <c r="F59" i="38"/>
  <c r="E59" i="38"/>
  <c r="U58" i="38" a="1"/>
  <c r="U58" i="38"/>
  <c r="D58" i="38" a="1"/>
  <c r="D58" i="38"/>
  <c r="D59" i="38" a="1"/>
  <c r="D59" i="38"/>
  <c r="B59" i="38"/>
  <c r="A59" i="38"/>
  <c r="S58" i="38" a="1"/>
  <c r="S58" i="38"/>
  <c r="T58" i="38"/>
  <c r="R58" i="38" a="1"/>
  <c r="R58" i="38"/>
  <c r="P58" i="38" a="1"/>
  <c r="P58" i="38"/>
  <c r="Q58" i="38"/>
  <c r="O58" i="38" a="1"/>
  <c r="O58" i="38"/>
  <c r="M58" i="38" a="1"/>
  <c r="M58" i="38"/>
  <c r="N58" i="38"/>
  <c r="L58" i="38" a="1"/>
  <c r="L58" i="38"/>
  <c r="J58" i="38" a="1"/>
  <c r="J58" i="38"/>
  <c r="K58" i="38"/>
  <c r="I58" i="38" a="1"/>
  <c r="I58" i="38"/>
  <c r="G58" i="38" a="1"/>
  <c r="G58" i="38"/>
  <c r="H58" i="38"/>
  <c r="F58" i="38" a="1"/>
  <c r="F58" i="38"/>
  <c r="E58" i="38"/>
  <c r="B58" i="38"/>
  <c r="A58" i="38"/>
  <c r="U57" i="38" a="1"/>
  <c r="U57" i="38"/>
  <c r="S57" i="38" a="1"/>
  <c r="S57" i="38"/>
  <c r="T57" i="38"/>
  <c r="R57" i="38" a="1"/>
  <c r="R57" i="38"/>
  <c r="P57" i="38" a="1"/>
  <c r="P57" i="38"/>
  <c r="Q57" i="38"/>
  <c r="O57" i="38" a="1"/>
  <c r="O57" i="38"/>
  <c r="M57" i="38" a="1"/>
  <c r="M57" i="38"/>
  <c r="N57" i="38"/>
  <c r="L57" i="38" a="1"/>
  <c r="L57" i="38"/>
  <c r="J57" i="38" a="1"/>
  <c r="J57" i="38"/>
  <c r="K57" i="38"/>
  <c r="I57" i="38" a="1"/>
  <c r="I57" i="38"/>
  <c r="G57" i="38" a="1"/>
  <c r="G57" i="38"/>
  <c r="H57" i="38"/>
  <c r="F57" i="38" a="1"/>
  <c r="F57" i="38"/>
  <c r="E57" i="38"/>
  <c r="D57" i="38" a="1"/>
  <c r="D57" i="38"/>
  <c r="B57" i="38"/>
  <c r="A57" i="38"/>
  <c r="U56" i="38" a="1"/>
  <c r="U56" i="38"/>
  <c r="S56" i="38" a="1"/>
  <c r="S56" i="38"/>
  <c r="T56" i="38"/>
  <c r="R56" i="38" a="1"/>
  <c r="R56" i="38"/>
  <c r="P56" i="38" a="1"/>
  <c r="P56" i="38"/>
  <c r="Q56" i="38"/>
  <c r="O56" i="38" a="1"/>
  <c r="O56" i="38"/>
  <c r="M56" i="38" a="1"/>
  <c r="M56" i="38"/>
  <c r="N56" i="38"/>
  <c r="L56" i="38" a="1"/>
  <c r="L56" i="38"/>
  <c r="J56" i="38" a="1"/>
  <c r="J56" i="38"/>
  <c r="K56" i="38"/>
  <c r="I56" i="38" a="1"/>
  <c r="I56" i="38"/>
  <c r="G56" i="38" a="1"/>
  <c r="G56" i="38"/>
  <c r="H56" i="38"/>
  <c r="F56" i="38" a="1"/>
  <c r="F56" i="38"/>
  <c r="E56" i="38"/>
  <c r="D56" i="38" a="1"/>
  <c r="D56" i="38"/>
  <c r="B56" i="38"/>
  <c r="A56" i="38"/>
  <c r="U55" i="38" a="1"/>
  <c r="U55" i="38"/>
  <c r="S55" i="38" a="1"/>
  <c r="S55" i="38"/>
  <c r="T55" i="38"/>
  <c r="R55" i="38" a="1"/>
  <c r="R55" i="38"/>
  <c r="P55" i="38" a="1"/>
  <c r="P55" i="38"/>
  <c r="Q55" i="38"/>
  <c r="O55" i="38" a="1"/>
  <c r="O55" i="38"/>
  <c r="M55" i="38" a="1"/>
  <c r="M55" i="38"/>
  <c r="N55" i="38"/>
  <c r="L55" i="38" a="1"/>
  <c r="L55" i="38"/>
  <c r="J55" i="38" a="1"/>
  <c r="J55" i="38"/>
  <c r="K55" i="38"/>
  <c r="I55" i="38" a="1"/>
  <c r="I55" i="38"/>
  <c r="G55" i="38" a="1"/>
  <c r="G55" i="38"/>
  <c r="H55" i="38"/>
  <c r="F55" i="38" a="1"/>
  <c r="F55" i="38"/>
  <c r="E55" i="38"/>
  <c r="D55" i="38" a="1"/>
  <c r="D55" i="38"/>
  <c r="B55" i="38"/>
  <c r="A55" i="38"/>
  <c r="U54" i="38" a="1"/>
  <c r="U54" i="38"/>
  <c r="S54" i="38" a="1"/>
  <c r="S54" i="38"/>
  <c r="T54" i="38"/>
  <c r="R54" i="38" a="1"/>
  <c r="R54" i="38"/>
  <c r="P54" i="38" a="1"/>
  <c r="P54" i="38"/>
  <c r="Q54" i="38"/>
  <c r="O54" i="38" a="1"/>
  <c r="O54" i="38"/>
  <c r="M54" i="38" a="1"/>
  <c r="M54" i="38"/>
  <c r="N54" i="38"/>
  <c r="L54" i="38" a="1"/>
  <c r="L54" i="38"/>
  <c r="J54" i="38" a="1"/>
  <c r="J54" i="38"/>
  <c r="K54" i="38"/>
  <c r="I54" i="38" a="1"/>
  <c r="I54" i="38"/>
  <c r="G54" i="38" a="1"/>
  <c r="G54" i="38"/>
  <c r="H54" i="38"/>
  <c r="F54" i="38" a="1"/>
  <c r="F54" i="38"/>
  <c r="E54" i="38"/>
  <c r="D54" i="38" a="1"/>
  <c r="D54" i="38"/>
  <c r="B54" i="38"/>
  <c r="A54" i="38"/>
  <c r="U53" i="38" a="1"/>
  <c r="U53" i="38"/>
  <c r="S53" i="38" a="1"/>
  <c r="S53" i="38"/>
  <c r="T53" i="38"/>
  <c r="R53" i="38" a="1"/>
  <c r="R53" i="38"/>
  <c r="P53" i="38" a="1"/>
  <c r="P53" i="38"/>
  <c r="Q53" i="38"/>
  <c r="O53" i="38" a="1"/>
  <c r="O53" i="38"/>
  <c r="M53" i="38" a="1"/>
  <c r="M53" i="38"/>
  <c r="N53" i="38"/>
  <c r="L53" i="38" a="1"/>
  <c r="L53" i="38"/>
  <c r="J53" i="38" a="1"/>
  <c r="J53" i="38"/>
  <c r="K53" i="38"/>
  <c r="I53" i="38" a="1"/>
  <c r="I53" i="38"/>
  <c r="G53" i="38" a="1"/>
  <c r="G53" i="38"/>
  <c r="H53" i="38"/>
  <c r="F53" i="38" a="1"/>
  <c r="F53" i="38"/>
  <c r="E53" i="38"/>
  <c r="D53" i="38" a="1"/>
  <c r="D53" i="38"/>
  <c r="B53" i="38"/>
  <c r="A53" i="38"/>
  <c r="U52" i="38" a="1"/>
  <c r="U52" i="38"/>
  <c r="S52" i="38" a="1"/>
  <c r="S52" i="38"/>
  <c r="T52" i="38"/>
  <c r="R52" i="38" a="1"/>
  <c r="R52" i="38"/>
  <c r="P52" i="38" a="1"/>
  <c r="P52" i="38"/>
  <c r="Q52" i="38"/>
  <c r="O52" i="38" a="1"/>
  <c r="O52" i="38"/>
  <c r="M52" i="38" a="1"/>
  <c r="M52" i="38"/>
  <c r="N52" i="38"/>
  <c r="L52" i="38" a="1"/>
  <c r="L52" i="38"/>
  <c r="J52" i="38" a="1"/>
  <c r="J52" i="38"/>
  <c r="K52" i="38"/>
  <c r="I52" i="38" a="1"/>
  <c r="I52" i="38"/>
  <c r="G52" i="38" a="1"/>
  <c r="G52" i="38"/>
  <c r="H52" i="38"/>
  <c r="F52" i="38" a="1"/>
  <c r="F52" i="38"/>
  <c r="E52" i="38"/>
  <c r="D52" i="38" a="1"/>
  <c r="D52" i="38"/>
  <c r="B52" i="38"/>
  <c r="A52" i="38"/>
  <c r="U51" i="38" a="1"/>
  <c r="U51" i="38"/>
  <c r="S51" i="38" a="1"/>
  <c r="S51" i="38"/>
  <c r="T51" i="38"/>
  <c r="R51" i="38" a="1"/>
  <c r="R51" i="38"/>
  <c r="P51" i="38" a="1"/>
  <c r="P51" i="38"/>
  <c r="Q51" i="38"/>
  <c r="O51" i="38" a="1"/>
  <c r="O51" i="38"/>
  <c r="M51" i="38" a="1"/>
  <c r="M51" i="38"/>
  <c r="N51" i="38"/>
  <c r="L51" i="38" a="1"/>
  <c r="L51" i="38"/>
  <c r="J51" i="38" a="1"/>
  <c r="J51" i="38"/>
  <c r="K51" i="38"/>
  <c r="I51" i="38" a="1"/>
  <c r="I51" i="38"/>
  <c r="G51" i="38" a="1"/>
  <c r="G51" i="38"/>
  <c r="H51" i="38"/>
  <c r="F51" i="38" a="1"/>
  <c r="F51" i="38"/>
  <c r="E51" i="38"/>
  <c r="D51" i="38" a="1"/>
  <c r="D51" i="38"/>
  <c r="B51" i="38"/>
  <c r="A51" i="38"/>
  <c r="U50" i="38" a="1"/>
  <c r="U50" i="38"/>
  <c r="S50" i="38" a="1"/>
  <c r="S50" i="38"/>
  <c r="T50" i="38"/>
  <c r="R50" i="38" a="1"/>
  <c r="R50" i="38"/>
  <c r="P50" i="38" a="1"/>
  <c r="P50" i="38"/>
  <c r="Q50" i="38"/>
  <c r="O50" i="38" a="1"/>
  <c r="O50" i="38"/>
  <c r="M50" i="38" a="1"/>
  <c r="M50" i="38"/>
  <c r="N50" i="38"/>
  <c r="L50" i="38" a="1"/>
  <c r="L50" i="38"/>
  <c r="J50" i="38" a="1"/>
  <c r="J50" i="38"/>
  <c r="K50" i="38"/>
  <c r="I50" i="38" a="1"/>
  <c r="I50" i="38"/>
  <c r="G50" i="38" a="1"/>
  <c r="G50" i="38"/>
  <c r="H50" i="38"/>
  <c r="F50" i="38" a="1"/>
  <c r="F50" i="38"/>
  <c r="E50" i="38"/>
  <c r="D50" i="38" a="1"/>
  <c r="D50" i="38"/>
  <c r="B50" i="38"/>
  <c r="A50" i="38"/>
  <c r="U49" i="38" a="1"/>
  <c r="U49" i="38"/>
  <c r="S49" i="38" a="1"/>
  <c r="S49" i="38"/>
  <c r="T49" i="38"/>
  <c r="R49" i="38" a="1"/>
  <c r="R49" i="38"/>
  <c r="P49" i="38" a="1"/>
  <c r="P49" i="38"/>
  <c r="Q49" i="38"/>
  <c r="O49" i="38" a="1"/>
  <c r="O49" i="38"/>
  <c r="M49" i="38" a="1"/>
  <c r="M49" i="38"/>
  <c r="N49" i="38"/>
  <c r="L49" i="38" a="1"/>
  <c r="L49" i="38"/>
  <c r="J49" i="38" a="1"/>
  <c r="J49" i="38"/>
  <c r="K49" i="38"/>
  <c r="I49" i="38" a="1"/>
  <c r="I49" i="38"/>
  <c r="G49" i="38" a="1"/>
  <c r="G49" i="38"/>
  <c r="H49" i="38"/>
  <c r="F49" i="38" a="1"/>
  <c r="F49" i="38"/>
  <c r="E49" i="38"/>
  <c r="D49" i="38" a="1"/>
  <c r="D49" i="38"/>
  <c r="B49" i="38"/>
  <c r="A49" i="38"/>
  <c r="U48" i="38" a="1"/>
  <c r="U48" i="38"/>
  <c r="S48" i="38" a="1"/>
  <c r="S48" i="38"/>
  <c r="T48" i="38"/>
  <c r="R48" i="38" a="1"/>
  <c r="R48" i="38"/>
  <c r="P48" i="38" a="1"/>
  <c r="P48" i="38"/>
  <c r="Q48" i="38"/>
  <c r="O48" i="38" a="1"/>
  <c r="O48" i="38"/>
  <c r="M48" i="38" a="1"/>
  <c r="M48" i="38"/>
  <c r="N48" i="38"/>
  <c r="L48" i="38" a="1"/>
  <c r="L48" i="38"/>
  <c r="J48" i="38" a="1"/>
  <c r="J48" i="38"/>
  <c r="K48" i="38"/>
  <c r="I48" i="38" a="1"/>
  <c r="I48" i="38"/>
  <c r="G48" i="38" a="1"/>
  <c r="G48" i="38"/>
  <c r="H48" i="38"/>
  <c r="F48" i="38" a="1"/>
  <c r="F48" i="38"/>
  <c r="E48" i="38"/>
  <c r="D48" i="38" a="1"/>
  <c r="D48" i="38"/>
  <c r="B48" i="38"/>
  <c r="A48" i="38"/>
  <c r="U47" i="38" a="1"/>
  <c r="U47" i="38"/>
  <c r="S47" i="38" a="1"/>
  <c r="S47" i="38"/>
  <c r="T47" i="38"/>
  <c r="R47" i="38" a="1"/>
  <c r="R47" i="38"/>
  <c r="P47" i="38" a="1"/>
  <c r="P47" i="38"/>
  <c r="Q47" i="38"/>
  <c r="O47" i="38" a="1"/>
  <c r="O47" i="38"/>
  <c r="M47" i="38" a="1"/>
  <c r="M47" i="38"/>
  <c r="N47" i="38"/>
  <c r="L47" i="38" a="1"/>
  <c r="L47" i="38"/>
  <c r="J47" i="38" a="1"/>
  <c r="J47" i="38"/>
  <c r="K47" i="38"/>
  <c r="I47" i="38" a="1"/>
  <c r="I47" i="38"/>
  <c r="G47" i="38" a="1"/>
  <c r="G47" i="38"/>
  <c r="H47" i="38"/>
  <c r="F47" i="38" a="1"/>
  <c r="F47" i="38"/>
  <c r="E47" i="38"/>
  <c r="D47" i="38" a="1"/>
  <c r="D47" i="38"/>
  <c r="B47" i="38"/>
  <c r="A47" i="38"/>
  <c r="U46" i="38" a="1"/>
  <c r="U46" i="38"/>
  <c r="S46" i="38" a="1"/>
  <c r="S46" i="38"/>
  <c r="T46" i="38"/>
  <c r="R46" i="38" a="1"/>
  <c r="R46" i="38"/>
  <c r="P46" i="38" a="1"/>
  <c r="P46" i="38"/>
  <c r="Q46" i="38"/>
  <c r="O46" i="38" a="1"/>
  <c r="O46" i="38"/>
  <c r="M46" i="38" a="1"/>
  <c r="M46" i="38"/>
  <c r="N46" i="38"/>
  <c r="L46" i="38" a="1"/>
  <c r="L46" i="38"/>
  <c r="J46" i="38" a="1"/>
  <c r="J46" i="38"/>
  <c r="K46" i="38"/>
  <c r="I46" i="38" a="1"/>
  <c r="I46" i="38"/>
  <c r="G46" i="38" a="1"/>
  <c r="G46" i="38"/>
  <c r="H46" i="38"/>
  <c r="F46" i="38" a="1"/>
  <c r="F46" i="38"/>
  <c r="E46" i="38"/>
  <c r="U45" i="38" a="1"/>
  <c r="U45" i="38"/>
  <c r="D45" i="38" a="1"/>
  <c r="D45" i="38"/>
  <c r="D46" i="38" a="1"/>
  <c r="D46" i="38"/>
  <c r="B46" i="38"/>
  <c r="A46" i="38"/>
  <c r="S45" i="38" a="1"/>
  <c r="S45" i="38"/>
  <c r="T45" i="38"/>
  <c r="R45" i="38" a="1"/>
  <c r="R45" i="38"/>
  <c r="P45" i="38" a="1"/>
  <c r="P45" i="38"/>
  <c r="Q45" i="38"/>
  <c r="O45" i="38" a="1"/>
  <c r="O45" i="38"/>
  <c r="M45" i="38" a="1"/>
  <c r="M45" i="38"/>
  <c r="N45" i="38"/>
  <c r="L45" i="38" a="1"/>
  <c r="L45" i="38"/>
  <c r="J45" i="38" a="1"/>
  <c r="J45" i="38"/>
  <c r="K45" i="38"/>
  <c r="I45" i="38" a="1"/>
  <c r="I45" i="38"/>
  <c r="G45" i="38" a="1"/>
  <c r="G45" i="38"/>
  <c r="H45" i="38"/>
  <c r="F45" i="38" a="1"/>
  <c r="F45" i="38"/>
  <c r="E45" i="38"/>
  <c r="B45" i="38"/>
  <c r="A45" i="38"/>
  <c r="U44" i="38" a="1"/>
  <c r="U44" i="38"/>
  <c r="S44" i="38" a="1"/>
  <c r="S44" i="38"/>
  <c r="T44" i="38"/>
  <c r="R44" i="38" a="1"/>
  <c r="R44" i="38"/>
  <c r="P44" i="38" a="1"/>
  <c r="P44" i="38"/>
  <c r="Q44" i="38"/>
  <c r="O44" i="38" a="1"/>
  <c r="O44" i="38"/>
  <c r="M44" i="38" a="1"/>
  <c r="M44" i="38"/>
  <c r="N44" i="38"/>
  <c r="L44" i="38" a="1"/>
  <c r="L44" i="38"/>
  <c r="J44" i="38" a="1"/>
  <c r="J44" i="38"/>
  <c r="K44" i="38"/>
  <c r="I44" i="38" a="1"/>
  <c r="I44" i="38"/>
  <c r="G44" i="38" a="1"/>
  <c r="G44" i="38"/>
  <c r="H44" i="38"/>
  <c r="F44" i="38" a="1"/>
  <c r="F44" i="38"/>
  <c r="E44" i="38"/>
  <c r="D44" i="38" a="1"/>
  <c r="D44" i="38"/>
  <c r="B44" i="38"/>
  <c r="A44" i="38"/>
  <c r="U43" i="38" a="1"/>
  <c r="U43" i="38"/>
  <c r="S43" i="38" a="1"/>
  <c r="S43" i="38"/>
  <c r="T43" i="38"/>
  <c r="R43" i="38" a="1"/>
  <c r="R43" i="38"/>
  <c r="P43" i="38" a="1"/>
  <c r="P43" i="38"/>
  <c r="Q43" i="38"/>
  <c r="O43" i="38" a="1"/>
  <c r="O43" i="38"/>
  <c r="M43" i="38" a="1"/>
  <c r="M43" i="38"/>
  <c r="N43" i="38"/>
  <c r="L43" i="38" a="1"/>
  <c r="L43" i="38"/>
  <c r="J43" i="38" a="1"/>
  <c r="J43" i="38"/>
  <c r="K43" i="38"/>
  <c r="I43" i="38" a="1"/>
  <c r="I43" i="38"/>
  <c r="G43" i="38" a="1"/>
  <c r="G43" i="38"/>
  <c r="H43" i="38"/>
  <c r="F43" i="38" a="1"/>
  <c r="F43" i="38"/>
  <c r="E43" i="38"/>
  <c r="D43" i="38" a="1"/>
  <c r="D43" i="38"/>
  <c r="B43" i="38"/>
  <c r="A43" i="38"/>
  <c r="U42" i="38" a="1"/>
  <c r="U42" i="38"/>
  <c r="S42" i="38" a="1"/>
  <c r="S42" i="38"/>
  <c r="T42" i="38"/>
  <c r="R42" i="38" a="1"/>
  <c r="R42" i="38"/>
  <c r="P42" i="38" a="1"/>
  <c r="P42" i="38"/>
  <c r="Q42" i="38"/>
  <c r="O42" i="38" a="1"/>
  <c r="O42" i="38"/>
  <c r="M42" i="38" a="1"/>
  <c r="M42" i="38"/>
  <c r="N42" i="38"/>
  <c r="L42" i="38" a="1"/>
  <c r="L42" i="38"/>
  <c r="J42" i="38" a="1"/>
  <c r="J42" i="38"/>
  <c r="K42" i="38"/>
  <c r="I42" i="38" a="1"/>
  <c r="I42" i="38"/>
  <c r="G42" i="38" a="1"/>
  <c r="G42" i="38"/>
  <c r="H42" i="38"/>
  <c r="F42" i="38" a="1"/>
  <c r="F42" i="38"/>
  <c r="E42" i="38"/>
  <c r="D42" i="38" a="1"/>
  <c r="D42" i="38"/>
  <c r="B42" i="38"/>
  <c r="A42" i="38"/>
  <c r="U41" i="38" a="1"/>
  <c r="U41" i="38"/>
  <c r="S41" i="38" a="1"/>
  <c r="S41" i="38"/>
  <c r="T41" i="38"/>
  <c r="R41" i="38" a="1"/>
  <c r="R41" i="38"/>
  <c r="P41" i="38" a="1"/>
  <c r="P41" i="38"/>
  <c r="Q41" i="38"/>
  <c r="O41" i="38" a="1"/>
  <c r="O41" i="38"/>
  <c r="M41" i="38" a="1"/>
  <c r="M41" i="38"/>
  <c r="N41" i="38"/>
  <c r="L41" i="38" a="1"/>
  <c r="L41" i="38"/>
  <c r="J41" i="38" a="1"/>
  <c r="J41" i="38"/>
  <c r="K41" i="38"/>
  <c r="I41" i="38" a="1"/>
  <c r="I41" i="38"/>
  <c r="G41" i="38" a="1"/>
  <c r="G41" i="38"/>
  <c r="H41" i="38"/>
  <c r="F41" i="38" a="1"/>
  <c r="F41" i="38"/>
  <c r="E41" i="38"/>
  <c r="D41" i="38" a="1"/>
  <c r="D41" i="38"/>
  <c r="B41" i="38"/>
  <c r="A41" i="38"/>
  <c r="U40" i="38" a="1"/>
  <c r="U40" i="38"/>
  <c r="S40" i="38" a="1"/>
  <c r="S40" i="38"/>
  <c r="T40" i="38"/>
  <c r="R40" i="38" a="1"/>
  <c r="R40" i="38"/>
  <c r="P40" i="38" a="1"/>
  <c r="P40" i="38"/>
  <c r="Q40" i="38"/>
  <c r="O40" i="38" a="1"/>
  <c r="O40" i="38"/>
  <c r="M40" i="38" a="1"/>
  <c r="M40" i="38"/>
  <c r="N40" i="38"/>
  <c r="L40" i="38" a="1"/>
  <c r="L40" i="38"/>
  <c r="J40" i="38" a="1"/>
  <c r="J40" i="38"/>
  <c r="K40" i="38"/>
  <c r="I40" i="38" a="1"/>
  <c r="I40" i="38"/>
  <c r="G40" i="38" a="1"/>
  <c r="G40" i="38"/>
  <c r="H40" i="38"/>
  <c r="F40" i="38" a="1"/>
  <c r="F40" i="38"/>
  <c r="E40" i="38"/>
  <c r="D40" i="38" a="1"/>
  <c r="D40" i="38"/>
  <c r="B40" i="38"/>
  <c r="A40" i="38"/>
  <c r="U39" i="38" a="1"/>
  <c r="U39" i="38"/>
  <c r="S39" i="38" a="1"/>
  <c r="S39" i="38"/>
  <c r="T39" i="38"/>
  <c r="R39" i="38" a="1"/>
  <c r="R39" i="38"/>
  <c r="P39" i="38" a="1"/>
  <c r="P39" i="38"/>
  <c r="Q39" i="38"/>
  <c r="O39" i="38" a="1"/>
  <c r="O39" i="38"/>
  <c r="M39" i="38" a="1"/>
  <c r="M39" i="38"/>
  <c r="N39" i="38"/>
  <c r="L39" i="38" a="1"/>
  <c r="L39" i="38"/>
  <c r="J39" i="38" a="1"/>
  <c r="J39" i="38"/>
  <c r="K39" i="38"/>
  <c r="I39" i="38" a="1"/>
  <c r="I39" i="38"/>
  <c r="G39" i="38" a="1"/>
  <c r="G39" i="38"/>
  <c r="H39" i="38"/>
  <c r="F39" i="38" a="1"/>
  <c r="F39" i="38"/>
  <c r="E39" i="38"/>
  <c r="D39" i="38" a="1"/>
  <c r="D39" i="38"/>
  <c r="B39" i="38"/>
  <c r="A39" i="38"/>
  <c r="U38" i="38" a="1"/>
  <c r="U38" i="38"/>
  <c r="S38" i="38" a="1"/>
  <c r="S38" i="38"/>
  <c r="T38" i="38"/>
  <c r="R38" i="38" a="1"/>
  <c r="R38" i="38"/>
  <c r="P38" i="38" a="1"/>
  <c r="P38" i="38"/>
  <c r="Q38" i="38"/>
  <c r="O38" i="38" a="1"/>
  <c r="O38" i="38"/>
  <c r="M38" i="38" a="1"/>
  <c r="M38" i="38"/>
  <c r="N38" i="38"/>
  <c r="L38" i="38" a="1"/>
  <c r="L38" i="38"/>
  <c r="J38" i="38" a="1"/>
  <c r="J38" i="38"/>
  <c r="K38" i="38"/>
  <c r="I38" i="38" a="1"/>
  <c r="I38" i="38"/>
  <c r="G38" i="38" a="1"/>
  <c r="G38" i="38"/>
  <c r="H38" i="38"/>
  <c r="F38" i="38" a="1"/>
  <c r="F38" i="38"/>
  <c r="E38" i="38"/>
  <c r="D38" i="38" a="1"/>
  <c r="D38" i="38"/>
  <c r="B38" i="38"/>
  <c r="A38" i="38"/>
  <c r="U37" i="38" a="1"/>
  <c r="U37" i="38"/>
  <c r="S37" i="38" a="1"/>
  <c r="S37" i="38"/>
  <c r="T37" i="38"/>
  <c r="R37" i="38" a="1"/>
  <c r="R37" i="38"/>
  <c r="P37" i="38" a="1"/>
  <c r="P37" i="38"/>
  <c r="Q37" i="38"/>
  <c r="O37" i="38" a="1"/>
  <c r="O37" i="38"/>
  <c r="M37" i="38" a="1"/>
  <c r="M37" i="38"/>
  <c r="N37" i="38"/>
  <c r="L37" i="38" a="1"/>
  <c r="L37" i="38"/>
  <c r="J37" i="38" a="1"/>
  <c r="J37" i="38"/>
  <c r="K37" i="38"/>
  <c r="I37" i="38" a="1"/>
  <c r="I37" i="38"/>
  <c r="G37" i="38" a="1"/>
  <c r="G37" i="38"/>
  <c r="H37" i="38"/>
  <c r="F37" i="38" a="1"/>
  <c r="F37" i="38"/>
  <c r="E37" i="38"/>
  <c r="D37" i="38" a="1"/>
  <c r="D37" i="38"/>
  <c r="B37" i="38"/>
  <c r="A37" i="38"/>
  <c r="U36" i="38" a="1"/>
  <c r="U36" i="38"/>
  <c r="S36" i="38" a="1"/>
  <c r="S36" i="38"/>
  <c r="T36" i="38"/>
  <c r="R36" i="38" a="1"/>
  <c r="R36" i="38"/>
  <c r="P36" i="38" a="1"/>
  <c r="P36" i="38"/>
  <c r="Q36" i="38"/>
  <c r="O36" i="38" a="1"/>
  <c r="O36" i="38"/>
  <c r="M36" i="38" a="1"/>
  <c r="M36" i="38"/>
  <c r="N36" i="38"/>
  <c r="L36" i="38" a="1"/>
  <c r="L36" i="38"/>
  <c r="J36" i="38" a="1"/>
  <c r="J36" i="38"/>
  <c r="K36" i="38"/>
  <c r="I36" i="38" a="1"/>
  <c r="I36" i="38"/>
  <c r="G36" i="38" a="1"/>
  <c r="G36" i="38"/>
  <c r="H36" i="38"/>
  <c r="F36" i="38" a="1"/>
  <c r="F36" i="38"/>
  <c r="E36" i="38"/>
  <c r="D36" i="38" a="1"/>
  <c r="D36" i="38"/>
  <c r="B36" i="38"/>
  <c r="A36" i="38"/>
  <c r="U35" i="38" a="1"/>
  <c r="U35" i="38"/>
  <c r="S35" i="38" a="1"/>
  <c r="S35" i="38"/>
  <c r="T35" i="38"/>
  <c r="R35" i="38" a="1"/>
  <c r="R35" i="38"/>
  <c r="P35" i="38" a="1"/>
  <c r="P35" i="38"/>
  <c r="Q35" i="38"/>
  <c r="O35" i="38" a="1"/>
  <c r="O35" i="38"/>
  <c r="M35" i="38" a="1"/>
  <c r="M35" i="38"/>
  <c r="N35" i="38"/>
  <c r="L35" i="38" a="1"/>
  <c r="L35" i="38"/>
  <c r="J35" i="38" a="1"/>
  <c r="J35" i="38"/>
  <c r="K35" i="38"/>
  <c r="I35" i="38" a="1"/>
  <c r="I35" i="38"/>
  <c r="G35" i="38" a="1"/>
  <c r="G35" i="38"/>
  <c r="H35" i="38"/>
  <c r="F35" i="38" a="1"/>
  <c r="F35" i="38"/>
  <c r="E35" i="38"/>
  <c r="D35" i="38" a="1"/>
  <c r="D35" i="38"/>
  <c r="B35" i="38"/>
  <c r="A35" i="38"/>
  <c r="U34" i="38" a="1"/>
  <c r="U34" i="38"/>
  <c r="S34" i="38" a="1"/>
  <c r="S34" i="38"/>
  <c r="T34" i="38"/>
  <c r="R34" i="38" a="1"/>
  <c r="R34" i="38"/>
  <c r="P34" i="38" a="1"/>
  <c r="P34" i="38"/>
  <c r="Q34" i="38"/>
  <c r="O34" i="38" a="1"/>
  <c r="O34" i="38"/>
  <c r="M34" i="38" a="1"/>
  <c r="M34" i="38"/>
  <c r="N34" i="38"/>
  <c r="L34" i="38" a="1"/>
  <c r="L34" i="38"/>
  <c r="J34" i="38" a="1"/>
  <c r="J34" i="38"/>
  <c r="K34" i="38"/>
  <c r="I34" i="38" a="1"/>
  <c r="I34" i="38"/>
  <c r="G34" i="38" a="1"/>
  <c r="G34" i="38"/>
  <c r="H34" i="38"/>
  <c r="F34" i="38" a="1"/>
  <c r="F34" i="38"/>
  <c r="E34" i="38"/>
  <c r="D34" i="38" a="1"/>
  <c r="D34" i="38"/>
  <c r="B34" i="38"/>
  <c r="A34" i="38"/>
  <c r="U33" i="38" a="1"/>
  <c r="U33" i="38"/>
  <c r="S33" i="38" a="1"/>
  <c r="S33" i="38"/>
  <c r="T33" i="38"/>
  <c r="R33" i="38" a="1"/>
  <c r="R33" i="38"/>
  <c r="P33" i="38" a="1"/>
  <c r="P33" i="38"/>
  <c r="Q33" i="38"/>
  <c r="O33" i="38" a="1"/>
  <c r="O33" i="38"/>
  <c r="M33" i="38" a="1"/>
  <c r="M33" i="38"/>
  <c r="N33" i="38"/>
  <c r="L33" i="38" a="1"/>
  <c r="L33" i="38"/>
  <c r="J33" i="38" a="1"/>
  <c r="J33" i="38"/>
  <c r="K33" i="38"/>
  <c r="I33" i="38" a="1"/>
  <c r="I33" i="38"/>
  <c r="G33" i="38" a="1"/>
  <c r="G33" i="38"/>
  <c r="H33" i="38"/>
  <c r="F33" i="38" a="1"/>
  <c r="F33" i="38"/>
  <c r="E33" i="38"/>
  <c r="D33" i="38" a="1"/>
  <c r="D33" i="38"/>
  <c r="B33" i="38"/>
  <c r="A33" i="38"/>
  <c r="U32" i="38" a="1"/>
  <c r="U32" i="38"/>
  <c r="S32" i="38" a="1"/>
  <c r="S32" i="38"/>
  <c r="T32" i="38"/>
  <c r="R32" i="38" a="1"/>
  <c r="R32" i="38"/>
  <c r="P32" i="38" a="1"/>
  <c r="P32" i="38"/>
  <c r="Q32" i="38"/>
  <c r="O32" i="38" a="1"/>
  <c r="O32" i="38"/>
  <c r="M32" i="38" a="1"/>
  <c r="M32" i="38"/>
  <c r="N32" i="38"/>
  <c r="L32" i="38" a="1"/>
  <c r="L32" i="38"/>
  <c r="J32" i="38" a="1"/>
  <c r="J32" i="38"/>
  <c r="K32" i="38"/>
  <c r="I32" i="38" a="1"/>
  <c r="I32" i="38"/>
  <c r="G32" i="38" a="1"/>
  <c r="G32" i="38"/>
  <c r="H32" i="38"/>
  <c r="F32" i="38" a="1"/>
  <c r="F32" i="38"/>
  <c r="E32" i="38"/>
  <c r="D32" i="38" a="1"/>
  <c r="D32" i="38"/>
  <c r="B32" i="38"/>
  <c r="A32" i="38"/>
  <c r="U31" i="38" a="1"/>
  <c r="U31" i="38"/>
  <c r="S31" i="38" a="1"/>
  <c r="S31" i="38"/>
  <c r="T31" i="38"/>
  <c r="R31" i="38" a="1"/>
  <c r="R31" i="38"/>
  <c r="P31" i="38" a="1"/>
  <c r="P31" i="38"/>
  <c r="Q31" i="38"/>
  <c r="O31" i="38" a="1"/>
  <c r="O31" i="38"/>
  <c r="M31" i="38" a="1"/>
  <c r="M31" i="38"/>
  <c r="N31" i="38"/>
  <c r="L31" i="38" a="1"/>
  <c r="L31" i="38"/>
  <c r="J31" i="38" a="1"/>
  <c r="J31" i="38"/>
  <c r="K31" i="38"/>
  <c r="I31" i="38" a="1"/>
  <c r="I31" i="38"/>
  <c r="G31" i="38" a="1"/>
  <c r="G31" i="38"/>
  <c r="H31" i="38"/>
  <c r="F31" i="38" a="1"/>
  <c r="F31" i="38"/>
  <c r="E31" i="38"/>
  <c r="D31" i="38" a="1"/>
  <c r="D31" i="38"/>
  <c r="B31" i="38"/>
  <c r="A31" i="38"/>
  <c r="U30" i="38" a="1"/>
  <c r="U30" i="38"/>
  <c r="S30" i="38" a="1"/>
  <c r="S30" i="38"/>
  <c r="T30" i="38"/>
  <c r="R30" i="38" a="1"/>
  <c r="R30" i="38"/>
  <c r="P30" i="38" a="1"/>
  <c r="P30" i="38"/>
  <c r="Q30" i="38"/>
  <c r="O30" i="38" a="1"/>
  <c r="O30" i="38"/>
  <c r="M30" i="38" a="1"/>
  <c r="M30" i="38"/>
  <c r="N30" i="38"/>
  <c r="L30" i="38" a="1"/>
  <c r="L30" i="38"/>
  <c r="J30" i="38" a="1"/>
  <c r="J30" i="38"/>
  <c r="K30" i="38"/>
  <c r="I30" i="38" a="1"/>
  <c r="I30" i="38"/>
  <c r="G30" i="38" a="1"/>
  <c r="G30" i="38"/>
  <c r="H30" i="38"/>
  <c r="F30" i="38" a="1"/>
  <c r="F30" i="38"/>
  <c r="E30" i="38"/>
  <c r="D30" i="38" a="1"/>
  <c r="D30" i="38"/>
  <c r="B30" i="38"/>
  <c r="A30" i="38"/>
  <c r="U29" i="38" a="1"/>
  <c r="U29" i="38"/>
  <c r="S29" i="38" a="1"/>
  <c r="S29" i="38"/>
  <c r="T29" i="38"/>
  <c r="R29" i="38" a="1"/>
  <c r="R29" i="38"/>
  <c r="P29" i="38" a="1"/>
  <c r="P29" i="38"/>
  <c r="Q29" i="38"/>
  <c r="O29" i="38" a="1"/>
  <c r="O29" i="38"/>
  <c r="M29" i="38" a="1"/>
  <c r="M29" i="38"/>
  <c r="N29" i="38"/>
  <c r="L29" i="38" a="1"/>
  <c r="L29" i="38"/>
  <c r="J29" i="38" a="1"/>
  <c r="J29" i="38"/>
  <c r="K29" i="38"/>
  <c r="I29" i="38" a="1"/>
  <c r="I29" i="38"/>
  <c r="G29" i="38" a="1"/>
  <c r="G29" i="38"/>
  <c r="H29" i="38"/>
  <c r="F29" i="38" a="1"/>
  <c r="F29" i="38"/>
  <c r="E29" i="38"/>
  <c r="D29" i="38" a="1"/>
  <c r="D29" i="38"/>
  <c r="B29" i="38"/>
  <c r="A29" i="38"/>
  <c r="U28" i="38" a="1"/>
  <c r="U28" i="38"/>
  <c r="S28" i="38" a="1"/>
  <c r="S28" i="38"/>
  <c r="T28" i="38"/>
  <c r="R28" i="38" a="1"/>
  <c r="R28" i="38"/>
  <c r="P28" i="38" a="1"/>
  <c r="P28" i="38"/>
  <c r="Q28" i="38"/>
  <c r="O28" i="38" a="1"/>
  <c r="O28" i="38"/>
  <c r="M28" i="38" a="1"/>
  <c r="M28" i="38"/>
  <c r="N28" i="38"/>
  <c r="L28" i="38" a="1"/>
  <c r="L28" i="38"/>
  <c r="J28" i="38" a="1"/>
  <c r="J28" i="38"/>
  <c r="K28" i="38"/>
  <c r="I28" i="38" a="1"/>
  <c r="I28" i="38"/>
  <c r="G28" i="38" a="1"/>
  <c r="G28" i="38"/>
  <c r="H28" i="38"/>
  <c r="F28" i="38" a="1"/>
  <c r="F28" i="38"/>
  <c r="E28" i="38"/>
  <c r="D28" i="38" a="1"/>
  <c r="D28" i="38"/>
  <c r="B28" i="38"/>
  <c r="A28" i="38"/>
  <c r="U27" i="38" a="1"/>
  <c r="U27" i="38"/>
  <c r="S27" i="38" a="1"/>
  <c r="S27" i="38"/>
  <c r="T27" i="38"/>
  <c r="R27" i="38" a="1"/>
  <c r="R27" i="38"/>
  <c r="P27" i="38" a="1"/>
  <c r="P27" i="38"/>
  <c r="Q27" i="38"/>
  <c r="O27" i="38" a="1"/>
  <c r="O27" i="38"/>
  <c r="M27" i="38" a="1"/>
  <c r="M27" i="38"/>
  <c r="N27" i="38"/>
  <c r="L27" i="38" a="1"/>
  <c r="L27" i="38"/>
  <c r="J27" i="38" a="1"/>
  <c r="J27" i="38"/>
  <c r="K27" i="38"/>
  <c r="I27" i="38" a="1"/>
  <c r="I27" i="38"/>
  <c r="G27" i="38" a="1"/>
  <c r="G27" i="38"/>
  <c r="H27" i="38"/>
  <c r="F27" i="38" a="1"/>
  <c r="F27" i="38"/>
  <c r="E27" i="38"/>
  <c r="D27" i="38" a="1"/>
  <c r="D27" i="38"/>
  <c r="B27" i="38"/>
  <c r="A27" i="38"/>
  <c r="U26" i="38" a="1"/>
  <c r="U26" i="38"/>
  <c r="S26" i="38" a="1"/>
  <c r="S26" i="38"/>
  <c r="T26" i="38"/>
  <c r="R26" i="38" a="1"/>
  <c r="R26" i="38"/>
  <c r="P26" i="38" a="1"/>
  <c r="P26" i="38"/>
  <c r="Q26" i="38"/>
  <c r="O26" i="38" a="1"/>
  <c r="O26" i="38"/>
  <c r="M26" i="38" a="1"/>
  <c r="M26" i="38"/>
  <c r="N26" i="38"/>
  <c r="L26" i="38" a="1"/>
  <c r="L26" i="38"/>
  <c r="J26" i="38" a="1"/>
  <c r="J26" i="38"/>
  <c r="K26" i="38"/>
  <c r="I26" i="38" a="1"/>
  <c r="I26" i="38"/>
  <c r="G26" i="38" a="1"/>
  <c r="G26" i="38"/>
  <c r="H26" i="38"/>
  <c r="F26" i="38" a="1"/>
  <c r="F26" i="38"/>
  <c r="E26" i="38"/>
  <c r="D26" i="38" a="1"/>
  <c r="D26" i="38"/>
  <c r="B26" i="38"/>
  <c r="A26" i="38"/>
  <c r="U25" i="38" a="1"/>
  <c r="U25" i="38"/>
  <c r="S25" i="38" a="1"/>
  <c r="S25" i="38"/>
  <c r="T25" i="38"/>
  <c r="R25" i="38" a="1"/>
  <c r="R25" i="38"/>
  <c r="P25" i="38" a="1"/>
  <c r="P25" i="38"/>
  <c r="Q25" i="38"/>
  <c r="O25" i="38" a="1"/>
  <c r="O25" i="38"/>
  <c r="M25" i="38" a="1"/>
  <c r="M25" i="38"/>
  <c r="N25" i="38"/>
  <c r="L25" i="38" a="1"/>
  <c r="L25" i="38"/>
  <c r="J25" i="38" a="1"/>
  <c r="J25" i="38"/>
  <c r="K25" i="38"/>
  <c r="I25" i="38" a="1"/>
  <c r="I25" i="38"/>
  <c r="G25" i="38" a="1"/>
  <c r="G25" i="38"/>
  <c r="H25" i="38"/>
  <c r="F25" i="38" a="1"/>
  <c r="F25" i="38"/>
  <c r="E25" i="38"/>
  <c r="D25" i="38" a="1"/>
  <c r="D25" i="38"/>
  <c r="B25" i="38"/>
  <c r="A25" i="38"/>
  <c r="U24" i="38" a="1"/>
  <c r="U24" i="38"/>
  <c r="S24" i="38" a="1"/>
  <c r="S24" i="38"/>
  <c r="T24" i="38"/>
  <c r="R24" i="38" a="1"/>
  <c r="R24" i="38"/>
  <c r="P24" i="38" a="1"/>
  <c r="P24" i="38"/>
  <c r="Q24" i="38"/>
  <c r="O24" i="38" a="1"/>
  <c r="O24" i="38"/>
  <c r="M24" i="38" a="1"/>
  <c r="M24" i="38"/>
  <c r="N24" i="38"/>
  <c r="L24" i="38" a="1"/>
  <c r="L24" i="38"/>
  <c r="J24" i="38" a="1"/>
  <c r="J24" i="38"/>
  <c r="K24" i="38"/>
  <c r="I24" i="38" a="1"/>
  <c r="I24" i="38"/>
  <c r="G24" i="38" a="1"/>
  <c r="G24" i="38"/>
  <c r="H24" i="38"/>
  <c r="F24" i="38" a="1"/>
  <c r="F24" i="38"/>
  <c r="E24" i="38"/>
  <c r="D24" i="38" a="1"/>
  <c r="D24" i="38"/>
  <c r="B24" i="38"/>
  <c r="A24" i="38"/>
  <c r="U23" i="38" a="1"/>
  <c r="U23" i="38"/>
  <c r="S23" i="38" a="1"/>
  <c r="S23" i="38"/>
  <c r="T23" i="38"/>
  <c r="R23" i="38" a="1"/>
  <c r="R23" i="38"/>
  <c r="P23" i="38" a="1"/>
  <c r="P23" i="38"/>
  <c r="Q23" i="38"/>
  <c r="O23" i="38" a="1"/>
  <c r="O23" i="38"/>
  <c r="M23" i="38" a="1"/>
  <c r="M23" i="38"/>
  <c r="N23" i="38"/>
  <c r="L23" i="38" a="1"/>
  <c r="L23" i="38"/>
  <c r="J23" i="38" a="1"/>
  <c r="J23" i="38"/>
  <c r="K23" i="38"/>
  <c r="I23" i="38" a="1"/>
  <c r="I23" i="38"/>
  <c r="G23" i="38" a="1"/>
  <c r="G23" i="38"/>
  <c r="H23" i="38"/>
  <c r="F23" i="38" a="1"/>
  <c r="F23" i="38"/>
  <c r="E23" i="38"/>
  <c r="D23" i="38" a="1"/>
  <c r="D23" i="38"/>
  <c r="B23" i="38"/>
  <c r="A23" i="38"/>
  <c r="U22" i="38" a="1"/>
  <c r="U22" i="38"/>
  <c r="S22" i="38" a="1"/>
  <c r="S22" i="38"/>
  <c r="T22" i="38"/>
  <c r="R22" i="38" a="1"/>
  <c r="R22" i="38"/>
  <c r="P22" i="38" a="1"/>
  <c r="P22" i="38"/>
  <c r="Q22" i="38"/>
  <c r="O22" i="38" a="1"/>
  <c r="O22" i="38"/>
  <c r="M22" i="38" a="1"/>
  <c r="M22" i="38"/>
  <c r="N22" i="38"/>
  <c r="L22" i="38" a="1"/>
  <c r="L22" i="38"/>
  <c r="J22" i="38" a="1"/>
  <c r="J22" i="38"/>
  <c r="K22" i="38"/>
  <c r="I22" i="38" a="1"/>
  <c r="I22" i="38"/>
  <c r="G22" i="38" a="1"/>
  <c r="G22" i="38"/>
  <c r="H22" i="38"/>
  <c r="F22" i="38" a="1"/>
  <c r="F22" i="38"/>
  <c r="E22" i="38"/>
  <c r="D22" i="38" a="1"/>
  <c r="D22" i="38"/>
  <c r="B22" i="38"/>
  <c r="A22" i="38"/>
  <c r="U21" i="38" a="1"/>
  <c r="U21" i="38"/>
  <c r="S21" i="38" a="1"/>
  <c r="S21" i="38"/>
  <c r="T21" i="38"/>
  <c r="R21" i="38" a="1"/>
  <c r="R21" i="38"/>
  <c r="P21" i="38" a="1"/>
  <c r="P21" i="38"/>
  <c r="Q21" i="38"/>
  <c r="O21" i="38" a="1"/>
  <c r="O21" i="38"/>
  <c r="M21" i="38" a="1"/>
  <c r="M21" i="38"/>
  <c r="N21" i="38"/>
  <c r="L21" i="38" a="1"/>
  <c r="L21" i="38"/>
  <c r="J21" i="38" a="1"/>
  <c r="J21" i="38"/>
  <c r="K21" i="38"/>
  <c r="I21" i="38" a="1"/>
  <c r="I21" i="38"/>
  <c r="G21" i="38" a="1"/>
  <c r="G21" i="38"/>
  <c r="H21" i="38"/>
  <c r="F21" i="38" a="1"/>
  <c r="F21" i="38"/>
  <c r="E21" i="38"/>
  <c r="U20" i="38" a="1"/>
  <c r="U20" i="38"/>
  <c r="D20" i="38" a="1"/>
  <c r="D20" i="38"/>
  <c r="D21" i="38" a="1"/>
  <c r="D21" i="38"/>
  <c r="B21" i="38"/>
  <c r="A21" i="38"/>
  <c r="S20" i="38" a="1"/>
  <c r="S20" i="38"/>
  <c r="T20" i="38"/>
  <c r="R20" i="38" a="1"/>
  <c r="R20" i="38"/>
  <c r="P20" i="38" a="1"/>
  <c r="P20" i="38"/>
  <c r="Q20" i="38"/>
  <c r="O20" i="38" a="1"/>
  <c r="O20" i="38"/>
  <c r="M20" i="38" a="1"/>
  <c r="M20" i="38"/>
  <c r="N20" i="38"/>
  <c r="L20" i="38" a="1"/>
  <c r="L20" i="38"/>
  <c r="J20" i="38" a="1"/>
  <c r="J20" i="38"/>
  <c r="K20" i="38"/>
  <c r="I20" i="38" a="1"/>
  <c r="I20" i="38"/>
  <c r="G20" i="38" a="1"/>
  <c r="G20" i="38"/>
  <c r="H20" i="38"/>
  <c r="F20" i="38" a="1"/>
  <c r="F20" i="38"/>
  <c r="E20" i="38"/>
  <c r="B20" i="38"/>
  <c r="A20" i="38"/>
  <c r="U19" i="38" a="1"/>
  <c r="U19" i="38"/>
  <c r="S19" i="38" a="1"/>
  <c r="S19" i="38"/>
  <c r="T19" i="38"/>
  <c r="R19" i="38" a="1"/>
  <c r="R19" i="38"/>
  <c r="P19" i="38" a="1"/>
  <c r="P19" i="38"/>
  <c r="Q19" i="38"/>
  <c r="O19" i="38" a="1"/>
  <c r="O19" i="38"/>
  <c r="M19" i="38" a="1"/>
  <c r="M19" i="38"/>
  <c r="N19" i="38"/>
  <c r="L19" i="38" a="1"/>
  <c r="L19" i="38"/>
  <c r="J19" i="38" a="1"/>
  <c r="J19" i="38"/>
  <c r="K19" i="38"/>
  <c r="I19" i="38" a="1"/>
  <c r="I19" i="38"/>
  <c r="G19" i="38" a="1"/>
  <c r="G19" i="38"/>
  <c r="H19" i="38"/>
  <c r="F19" i="38" a="1"/>
  <c r="F19" i="38"/>
  <c r="E19" i="38"/>
  <c r="D19" i="38" a="1"/>
  <c r="D19" i="38"/>
  <c r="B19" i="38"/>
  <c r="A19" i="38"/>
  <c r="U18" i="38" a="1"/>
  <c r="U18" i="38"/>
  <c r="S18" i="38" a="1"/>
  <c r="S18" i="38"/>
  <c r="T18" i="38"/>
  <c r="R18" i="38" a="1"/>
  <c r="R18" i="38"/>
  <c r="P18" i="38" a="1"/>
  <c r="P18" i="38"/>
  <c r="Q18" i="38"/>
  <c r="O18" i="38" a="1"/>
  <c r="O18" i="38"/>
  <c r="M18" i="38" a="1"/>
  <c r="M18" i="38"/>
  <c r="N18" i="38"/>
  <c r="L18" i="38" a="1"/>
  <c r="L18" i="38"/>
  <c r="J18" i="38" a="1"/>
  <c r="J18" i="38"/>
  <c r="K18" i="38"/>
  <c r="I18" i="38" a="1"/>
  <c r="I18" i="38"/>
  <c r="G18" i="38" a="1"/>
  <c r="G18" i="38"/>
  <c r="H18" i="38"/>
  <c r="F18" i="38" a="1"/>
  <c r="F18" i="38"/>
  <c r="E18" i="38"/>
  <c r="D18" i="38" a="1"/>
  <c r="D18" i="38"/>
  <c r="B18" i="38"/>
  <c r="A18" i="38"/>
  <c r="U17" i="38" a="1"/>
  <c r="U17" i="38"/>
  <c r="S17" i="38" a="1"/>
  <c r="S17" i="38"/>
  <c r="T17" i="38"/>
  <c r="R17" i="38" a="1"/>
  <c r="R17" i="38"/>
  <c r="P17" i="38" a="1"/>
  <c r="P17" i="38"/>
  <c r="Q17" i="38"/>
  <c r="O17" i="38" a="1"/>
  <c r="O17" i="38"/>
  <c r="M17" i="38" a="1"/>
  <c r="M17" i="38"/>
  <c r="N17" i="38"/>
  <c r="L17" i="38" a="1"/>
  <c r="L17" i="38"/>
  <c r="J17" i="38" a="1"/>
  <c r="J17" i="38"/>
  <c r="K17" i="38"/>
  <c r="I17" i="38" a="1"/>
  <c r="I17" i="38"/>
  <c r="G17" i="38" a="1"/>
  <c r="G17" i="38"/>
  <c r="H17" i="38"/>
  <c r="F17" i="38" a="1"/>
  <c r="F17" i="38"/>
  <c r="E17" i="38"/>
  <c r="D17" i="38" a="1"/>
  <c r="D17" i="38"/>
  <c r="B17" i="38"/>
  <c r="A17" i="38"/>
  <c r="U16" i="38" a="1"/>
  <c r="U16" i="38"/>
  <c r="S16" i="38" a="1"/>
  <c r="S16" i="38"/>
  <c r="T16" i="38"/>
  <c r="R16" i="38" a="1"/>
  <c r="R16" i="38"/>
  <c r="P16" i="38" a="1"/>
  <c r="P16" i="38"/>
  <c r="Q16" i="38"/>
  <c r="O16" i="38" a="1"/>
  <c r="O16" i="38"/>
  <c r="M16" i="38" a="1"/>
  <c r="M16" i="38"/>
  <c r="N16" i="38"/>
  <c r="L16" i="38" a="1"/>
  <c r="L16" i="38"/>
  <c r="J16" i="38" a="1"/>
  <c r="J16" i="38"/>
  <c r="K16" i="38"/>
  <c r="I16" i="38" a="1"/>
  <c r="I16" i="38"/>
  <c r="G16" i="38" a="1"/>
  <c r="G16" i="38"/>
  <c r="H16" i="38"/>
  <c r="F16" i="38" a="1"/>
  <c r="F16" i="38"/>
  <c r="E16" i="38"/>
  <c r="D16" i="38" a="1"/>
  <c r="D16" i="38"/>
  <c r="B16" i="38"/>
  <c r="A16" i="38"/>
  <c r="U15" i="38" a="1"/>
  <c r="U15" i="38"/>
  <c r="S15" i="38" a="1"/>
  <c r="S15" i="38"/>
  <c r="T15" i="38"/>
  <c r="R15" i="38" a="1"/>
  <c r="R15" i="38"/>
  <c r="P15" i="38" a="1"/>
  <c r="P15" i="38"/>
  <c r="Q15" i="38"/>
  <c r="O15" i="38" a="1"/>
  <c r="O15" i="38"/>
  <c r="M15" i="38" a="1"/>
  <c r="M15" i="38"/>
  <c r="N15" i="38"/>
  <c r="L15" i="38" a="1"/>
  <c r="L15" i="38"/>
  <c r="J15" i="38" a="1"/>
  <c r="J15" i="38"/>
  <c r="K15" i="38"/>
  <c r="I15" i="38" a="1"/>
  <c r="I15" i="38"/>
  <c r="G15" i="38" a="1"/>
  <c r="G15" i="38"/>
  <c r="H15" i="38"/>
  <c r="F15" i="38" a="1"/>
  <c r="F15" i="38"/>
  <c r="E15" i="38"/>
  <c r="D15" i="38" a="1"/>
  <c r="D15" i="38"/>
  <c r="B15" i="38"/>
  <c r="A15" i="38"/>
  <c r="U14" i="38" a="1"/>
  <c r="U14" i="38"/>
  <c r="S14" i="38" a="1"/>
  <c r="S14" i="38"/>
  <c r="T14" i="38"/>
  <c r="R14" i="38" a="1"/>
  <c r="R14" i="38"/>
  <c r="P14" i="38" a="1"/>
  <c r="P14" i="38"/>
  <c r="Q14" i="38"/>
  <c r="O14" i="38" a="1"/>
  <c r="O14" i="38"/>
  <c r="M14" i="38" a="1"/>
  <c r="M14" i="38"/>
  <c r="N14" i="38"/>
  <c r="L14" i="38" a="1"/>
  <c r="L14" i="38"/>
  <c r="J14" i="38" a="1"/>
  <c r="J14" i="38"/>
  <c r="K14" i="38"/>
  <c r="I14" i="38" a="1"/>
  <c r="I14" i="38"/>
  <c r="G14" i="38" a="1"/>
  <c r="G14" i="38"/>
  <c r="H14" i="38"/>
  <c r="F14" i="38" a="1"/>
  <c r="F14" i="38"/>
  <c r="E14" i="38"/>
  <c r="D14" i="38" a="1"/>
  <c r="D14" i="38"/>
  <c r="B14" i="38"/>
  <c r="A14" i="38"/>
  <c r="U13" i="38" a="1"/>
  <c r="U13" i="38"/>
  <c r="S13" i="38" a="1"/>
  <c r="S13" i="38"/>
  <c r="T13" i="38"/>
  <c r="R13" i="38" a="1"/>
  <c r="R13" i="38"/>
  <c r="P13" i="38" a="1"/>
  <c r="P13" i="38"/>
  <c r="Q13" i="38"/>
  <c r="O13" i="38" a="1"/>
  <c r="O13" i="38"/>
  <c r="M13" i="38" a="1"/>
  <c r="M13" i="38"/>
  <c r="N13" i="38"/>
  <c r="L13" i="38" a="1"/>
  <c r="L13" i="38"/>
  <c r="J13" i="38" a="1"/>
  <c r="J13" i="38"/>
  <c r="K13" i="38"/>
  <c r="I13" i="38" a="1"/>
  <c r="I13" i="38"/>
  <c r="G13" i="38" a="1"/>
  <c r="G13" i="38"/>
  <c r="H13" i="38"/>
  <c r="F13" i="38" a="1"/>
  <c r="F13" i="38"/>
  <c r="E13" i="38"/>
  <c r="D13" i="38" a="1"/>
  <c r="D13" i="38"/>
  <c r="B13" i="38"/>
  <c r="A13" i="38"/>
  <c r="U12" i="38" a="1"/>
  <c r="U12" i="38"/>
  <c r="S12" i="38" a="1"/>
  <c r="S12" i="38"/>
  <c r="T12" i="38"/>
  <c r="R12" i="38" a="1"/>
  <c r="R12" i="38"/>
  <c r="P12" i="38" a="1"/>
  <c r="P12" i="38"/>
  <c r="Q12" i="38"/>
  <c r="O12" i="38" a="1"/>
  <c r="O12" i="38"/>
  <c r="M12" i="38" a="1"/>
  <c r="M12" i="38"/>
  <c r="N12" i="38"/>
  <c r="L12" i="38" a="1"/>
  <c r="L12" i="38"/>
  <c r="J12" i="38" a="1"/>
  <c r="J12" i="38"/>
  <c r="K12" i="38"/>
  <c r="I12" i="38" a="1"/>
  <c r="I12" i="38"/>
  <c r="G12" i="38" a="1"/>
  <c r="G12" i="38"/>
  <c r="H12" i="38"/>
  <c r="F12" i="38" a="1"/>
  <c r="F12" i="38"/>
  <c r="E12" i="38"/>
  <c r="D12" i="38" a="1"/>
  <c r="D12" i="38"/>
  <c r="B12" i="38"/>
  <c r="A12" i="38"/>
  <c r="U11" i="38" a="1"/>
  <c r="U11" i="38"/>
  <c r="S11" i="38" a="1"/>
  <c r="S11" i="38"/>
  <c r="T11" i="38"/>
  <c r="R11" i="38" a="1"/>
  <c r="R11" i="38"/>
  <c r="P11" i="38" a="1"/>
  <c r="P11" i="38"/>
  <c r="Q11" i="38"/>
  <c r="O11" i="38" a="1"/>
  <c r="O11" i="38"/>
  <c r="M11" i="38" a="1"/>
  <c r="M11" i="38"/>
  <c r="N11" i="38"/>
  <c r="L11" i="38" a="1"/>
  <c r="L11" i="38"/>
  <c r="J11" i="38" a="1"/>
  <c r="J11" i="38"/>
  <c r="K11" i="38"/>
  <c r="I11" i="38" a="1"/>
  <c r="I11" i="38"/>
  <c r="G11" i="38" a="1"/>
  <c r="G11" i="38"/>
  <c r="H11" i="38"/>
  <c r="F11" i="38" a="1"/>
  <c r="F11" i="38"/>
  <c r="E11" i="38"/>
  <c r="D11" i="38" a="1"/>
  <c r="D11" i="38"/>
  <c r="B11" i="38"/>
  <c r="A11" i="38"/>
  <c r="U10" i="38" a="1"/>
  <c r="U10" i="38"/>
  <c r="S10" i="38" a="1"/>
  <c r="S10" i="38"/>
  <c r="T10" i="38"/>
  <c r="R10" i="38" a="1"/>
  <c r="R10" i="38"/>
  <c r="P10" i="38" a="1"/>
  <c r="P10" i="38"/>
  <c r="Q10" i="38"/>
  <c r="O10" i="38" a="1"/>
  <c r="O10" i="38"/>
  <c r="M10" i="38" a="1"/>
  <c r="M10" i="38"/>
  <c r="N10" i="38"/>
  <c r="L10" i="38" a="1"/>
  <c r="L10" i="38"/>
  <c r="J10" i="38" a="1"/>
  <c r="J10" i="38"/>
  <c r="K10" i="38"/>
  <c r="I10" i="38" a="1"/>
  <c r="I10" i="38"/>
  <c r="G10" i="38" a="1"/>
  <c r="G10" i="38"/>
  <c r="H10" i="38"/>
  <c r="F10" i="38" a="1"/>
  <c r="F10" i="38"/>
  <c r="E10" i="38"/>
  <c r="D10" i="38" a="1"/>
  <c r="D10" i="38"/>
  <c r="B10" i="38"/>
  <c r="A10" i="38"/>
  <c r="U9" i="38" a="1"/>
  <c r="U9" i="38"/>
  <c r="S9" i="38" a="1"/>
  <c r="S9" i="38"/>
  <c r="T9" i="38"/>
  <c r="R9" i="38" a="1"/>
  <c r="R9" i="38"/>
  <c r="P9" i="38" a="1"/>
  <c r="P9" i="38"/>
  <c r="Q9" i="38"/>
  <c r="O9" i="38" a="1"/>
  <c r="O9" i="38"/>
  <c r="M9" i="38" a="1"/>
  <c r="M9" i="38"/>
  <c r="N9" i="38"/>
  <c r="L9" i="38" a="1"/>
  <c r="L9" i="38"/>
  <c r="J9" i="38" a="1"/>
  <c r="J9" i="38"/>
  <c r="K9" i="38"/>
  <c r="I9" i="38" a="1"/>
  <c r="I9" i="38"/>
  <c r="G9" i="38" a="1"/>
  <c r="G9" i="38"/>
  <c r="H9" i="38"/>
  <c r="F9" i="38" a="1"/>
  <c r="F9" i="38"/>
  <c r="E9" i="38"/>
  <c r="D9" i="38" a="1"/>
  <c r="D9" i="38"/>
  <c r="B9" i="38"/>
  <c r="A9" i="38"/>
  <c r="U8" i="38" a="1"/>
  <c r="U8" i="38"/>
  <c r="S8" i="38" a="1"/>
  <c r="S8" i="38"/>
  <c r="T8" i="38"/>
  <c r="R8" i="38" a="1"/>
  <c r="R8" i="38"/>
  <c r="P8" i="38" a="1"/>
  <c r="P8" i="38"/>
  <c r="Q8" i="38"/>
  <c r="O8" i="38" a="1"/>
  <c r="O8" i="38"/>
  <c r="M8" i="38" a="1"/>
  <c r="M8" i="38"/>
  <c r="N8" i="38"/>
  <c r="L8" i="38" a="1"/>
  <c r="L8" i="38"/>
  <c r="J8" i="38" a="1"/>
  <c r="J8" i="38"/>
  <c r="K8" i="38"/>
  <c r="I8" i="38" a="1"/>
  <c r="I8" i="38"/>
  <c r="G8" i="38" a="1"/>
  <c r="G8" i="38"/>
  <c r="H8" i="38"/>
  <c r="F8" i="38" a="1"/>
  <c r="F8" i="38"/>
  <c r="E8" i="38"/>
  <c r="U7" i="38" a="1"/>
  <c r="U7" i="38"/>
  <c r="D7" i="38" a="1"/>
  <c r="D7" i="38"/>
  <c r="D8" i="38" a="1"/>
  <c r="D8" i="38"/>
  <c r="B8" i="38"/>
  <c r="A8" i="38"/>
  <c r="S7" i="38" a="1"/>
  <c r="S7" i="38"/>
  <c r="T7" i="38"/>
  <c r="R7" i="38" a="1"/>
  <c r="R7" i="38"/>
  <c r="P7" i="38" a="1"/>
  <c r="P7" i="38"/>
  <c r="Q7" i="38"/>
  <c r="O7" i="38" a="1"/>
  <c r="O7" i="38"/>
  <c r="M7" i="38" a="1"/>
  <c r="M7" i="38"/>
  <c r="N7" i="38"/>
  <c r="L7" i="38" a="1"/>
  <c r="L7" i="38"/>
  <c r="J7" i="38" a="1"/>
  <c r="J7" i="38"/>
  <c r="K7" i="38"/>
  <c r="I7" i="38" a="1"/>
  <c r="I7" i="38"/>
  <c r="G7" i="38" a="1"/>
  <c r="G7" i="38"/>
  <c r="H7" i="38"/>
  <c r="F7" i="38" a="1"/>
  <c r="F7" i="38"/>
  <c r="E7" i="38"/>
  <c r="B7" i="38"/>
  <c r="A7" i="38"/>
  <c r="U6" i="38" a="1"/>
  <c r="U6" i="38"/>
  <c r="S6" i="38" a="1"/>
  <c r="S6" i="38"/>
  <c r="T6" i="38"/>
  <c r="R6" i="38" a="1"/>
  <c r="R6" i="38"/>
  <c r="P6" i="38" a="1"/>
  <c r="P6" i="38"/>
  <c r="Q6" i="38"/>
  <c r="O6" i="38" a="1"/>
  <c r="O6" i="38"/>
  <c r="M6" i="38" a="1"/>
  <c r="M6" i="38"/>
  <c r="N6" i="38"/>
  <c r="L6" i="38" a="1"/>
  <c r="L6" i="38"/>
  <c r="J6" i="38" a="1"/>
  <c r="J6" i="38"/>
  <c r="K6" i="38"/>
  <c r="I6" i="38" a="1"/>
  <c r="I6" i="38"/>
  <c r="G6" i="38" a="1"/>
  <c r="G6" i="38"/>
  <c r="H6" i="38"/>
  <c r="F6" i="38" a="1"/>
  <c r="F6" i="38"/>
  <c r="E6" i="38"/>
  <c r="D6" i="38" a="1"/>
  <c r="D6" i="38"/>
  <c r="B6" i="38"/>
  <c r="A6" i="38"/>
  <c r="U5" i="38" a="1"/>
  <c r="U5" i="38"/>
  <c r="S5" i="38" a="1"/>
  <c r="S5" i="38"/>
  <c r="T5" i="38"/>
  <c r="R5" i="38" a="1"/>
  <c r="R5" i="38"/>
  <c r="P5" i="38" a="1"/>
  <c r="P5" i="38"/>
  <c r="Q5" i="38"/>
  <c r="O5" i="38" a="1"/>
  <c r="O5" i="38"/>
  <c r="M5" i="38" a="1"/>
  <c r="M5" i="38"/>
  <c r="N5" i="38"/>
  <c r="L5" i="38" a="1"/>
  <c r="L5" i="38"/>
  <c r="J5" i="38" a="1"/>
  <c r="J5" i="38"/>
  <c r="K5" i="38"/>
  <c r="I5" i="38" a="1"/>
  <c r="I5" i="38"/>
  <c r="G5" i="38" a="1"/>
  <c r="G5" i="38"/>
  <c r="H5" i="38"/>
  <c r="F5" i="38" a="1"/>
  <c r="F5" i="38"/>
  <c r="E5" i="38"/>
  <c r="D5" i="38" a="1"/>
  <c r="D5" i="38"/>
  <c r="B5" i="38"/>
  <c r="A5" i="38"/>
  <c r="U4" i="38" a="1"/>
  <c r="U4" i="38"/>
  <c r="S4" i="38" a="1"/>
  <c r="S4" i="38"/>
  <c r="T4" i="38"/>
  <c r="R4" i="38" a="1"/>
  <c r="R4" i="38"/>
  <c r="P4" i="38" a="1"/>
  <c r="P4" i="38"/>
  <c r="Q4" i="38"/>
  <c r="O4" i="38" a="1"/>
  <c r="O4" i="38"/>
  <c r="M4" i="38" a="1"/>
  <c r="M4" i="38"/>
  <c r="N4" i="38"/>
  <c r="L4" i="38" a="1"/>
  <c r="L4" i="38"/>
  <c r="J4" i="38" a="1"/>
  <c r="J4" i="38"/>
  <c r="K4" i="38"/>
  <c r="I4" i="38" a="1"/>
  <c r="I4" i="38"/>
  <c r="G4" i="38" a="1"/>
  <c r="G4" i="38"/>
  <c r="H4" i="38"/>
  <c r="F4" i="38" a="1"/>
  <c r="F4" i="38"/>
  <c r="E4" i="38"/>
  <c r="D4" i="38" a="1"/>
  <c r="D4" i="38"/>
  <c r="B4" i="38"/>
  <c r="A4" i="38"/>
  <c r="U3" i="38" a="1"/>
  <c r="U3" i="38"/>
  <c r="S3" i="38" a="1"/>
  <c r="S3" i="38"/>
  <c r="T3" i="38"/>
  <c r="R3" i="38" a="1"/>
  <c r="R3" i="38"/>
  <c r="P3" i="38" a="1"/>
  <c r="P3" i="38"/>
  <c r="Q3" i="38"/>
  <c r="O3" i="38" a="1"/>
  <c r="O3" i="38"/>
  <c r="M3" i="38" a="1"/>
  <c r="M3" i="38"/>
  <c r="N3" i="38"/>
  <c r="L3" i="38" a="1"/>
  <c r="L3" i="38"/>
  <c r="J3" i="38" a="1"/>
  <c r="J3" i="38"/>
  <c r="K3" i="38"/>
  <c r="I3" i="38" a="1"/>
  <c r="I3" i="38"/>
  <c r="G3" i="38" a="1"/>
  <c r="G3" i="38"/>
  <c r="H3" i="38"/>
  <c r="F3" i="38" a="1"/>
  <c r="F3" i="38"/>
  <c r="E3" i="38"/>
  <c r="D3" i="38" a="1"/>
  <c r="D3" i="38"/>
  <c r="B3" i="38"/>
  <c r="A3" i="38"/>
  <c r="U2" i="38" a="1"/>
  <c r="U2" i="38"/>
  <c r="S2" i="38" a="1"/>
  <c r="S2" i="38"/>
  <c r="T2" i="38"/>
  <c r="R2" i="38" a="1"/>
  <c r="R2" i="38"/>
  <c r="P2" i="38" a="1"/>
  <c r="P2" i="38"/>
  <c r="Q2" i="38"/>
  <c r="O2" i="38" a="1"/>
  <c r="O2" i="38"/>
  <c r="M2" i="38" a="1"/>
  <c r="M2" i="38"/>
  <c r="N2" i="38"/>
  <c r="L2" i="38" a="1"/>
  <c r="L2" i="38"/>
  <c r="J2" i="38" a="1"/>
  <c r="J2" i="38"/>
  <c r="K2" i="38"/>
  <c r="I2" i="38" a="1"/>
  <c r="I2" i="38"/>
  <c r="G2" i="38" a="1"/>
  <c r="G2" i="38"/>
  <c r="H2" i="38"/>
  <c r="F2" i="38" a="1"/>
  <c r="F2" i="38"/>
  <c r="E2" i="38"/>
  <c r="D2" i="38" a="1"/>
  <c r="D2" i="38"/>
  <c r="B2" i="38"/>
  <c r="A2" i="38"/>
  <c r="S153" i="37" a="1"/>
  <c r="S153" i="37"/>
  <c r="R153" i="37" a="1"/>
  <c r="R153" i="37"/>
  <c r="Q153" i="37" a="1"/>
  <c r="Q153" i="37"/>
  <c r="P153" i="37" a="1"/>
  <c r="P153" i="37"/>
  <c r="O153" i="37" a="1"/>
  <c r="O153" i="37"/>
  <c r="N153" i="37" a="1"/>
  <c r="N153" i="37"/>
  <c r="M153" i="37" a="1"/>
  <c r="M153" i="37"/>
  <c r="K153" i="37"/>
  <c r="J153" i="37"/>
  <c r="I153" i="37"/>
  <c r="H153" i="37"/>
  <c r="G153" i="37"/>
  <c r="F153" i="37"/>
  <c r="E153" i="37"/>
  <c r="D153" i="37"/>
  <c r="B153" i="37"/>
  <c r="A153" i="37"/>
  <c r="S152" i="37" a="1"/>
  <c r="S152" i="37"/>
  <c r="R152" i="37" a="1"/>
  <c r="R152" i="37"/>
  <c r="Q152" i="37" a="1"/>
  <c r="Q152" i="37"/>
  <c r="P152" i="37" a="1"/>
  <c r="P152" i="37"/>
  <c r="O152" i="37" a="1"/>
  <c r="O152" i="37"/>
  <c r="N152" i="37" a="1"/>
  <c r="N152" i="37"/>
  <c r="M152" i="37" a="1"/>
  <c r="M152" i="37"/>
  <c r="K152" i="37"/>
  <c r="J152" i="37"/>
  <c r="I152" i="37"/>
  <c r="H152" i="37"/>
  <c r="G152" i="37"/>
  <c r="F152" i="37"/>
  <c r="E152" i="37"/>
  <c r="D152" i="37"/>
  <c r="B152" i="37"/>
  <c r="A152" i="37"/>
  <c r="S151" i="37" a="1"/>
  <c r="S151" i="37"/>
  <c r="R151" i="37" a="1"/>
  <c r="R151" i="37"/>
  <c r="Q151" i="37" a="1"/>
  <c r="Q151" i="37"/>
  <c r="P151" i="37" a="1"/>
  <c r="P151" i="37"/>
  <c r="O151" i="37" a="1"/>
  <c r="O151" i="37"/>
  <c r="N151" i="37" a="1"/>
  <c r="N151" i="37"/>
  <c r="M151" i="37" a="1"/>
  <c r="M151" i="37"/>
  <c r="K151" i="37"/>
  <c r="J151" i="37"/>
  <c r="I151" i="37"/>
  <c r="H151" i="37"/>
  <c r="G151" i="37"/>
  <c r="F151" i="37"/>
  <c r="E151" i="37"/>
  <c r="D151" i="37"/>
  <c r="B151" i="37"/>
  <c r="A151" i="37"/>
  <c r="S150" i="37" a="1"/>
  <c r="S150" i="37"/>
  <c r="R150" i="37" a="1"/>
  <c r="R150" i="37"/>
  <c r="Q150" i="37" a="1"/>
  <c r="Q150" i="37"/>
  <c r="P150" i="37" a="1"/>
  <c r="P150" i="37"/>
  <c r="O150" i="37" a="1"/>
  <c r="O150" i="37"/>
  <c r="N150" i="37" a="1"/>
  <c r="N150" i="37"/>
  <c r="M150" i="37" a="1"/>
  <c r="M150" i="37"/>
  <c r="K150" i="37"/>
  <c r="J150" i="37"/>
  <c r="I150" i="37"/>
  <c r="H150" i="37"/>
  <c r="G150" i="37"/>
  <c r="F150" i="37"/>
  <c r="E150" i="37"/>
  <c r="D150" i="37"/>
  <c r="B150" i="37"/>
  <c r="A150" i="37"/>
  <c r="S149" i="37" a="1"/>
  <c r="S149" i="37"/>
  <c r="R149" i="37" a="1"/>
  <c r="R149" i="37"/>
  <c r="Q149" i="37" a="1"/>
  <c r="Q149" i="37"/>
  <c r="P149" i="37" a="1"/>
  <c r="P149" i="37"/>
  <c r="O149" i="37" a="1"/>
  <c r="O149" i="37"/>
  <c r="N149" i="37" a="1"/>
  <c r="N149" i="37"/>
  <c r="M149" i="37" a="1"/>
  <c r="M149" i="37"/>
  <c r="K149" i="37"/>
  <c r="J149" i="37"/>
  <c r="I149" i="37"/>
  <c r="H149" i="37"/>
  <c r="G149" i="37"/>
  <c r="F149" i="37"/>
  <c r="E149" i="37"/>
  <c r="D149" i="37"/>
  <c r="B149" i="37"/>
  <c r="A149" i="37"/>
  <c r="S148" i="37" a="1"/>
  <c r="S148" i="37"/>
  <c r="R148" i="37" a="1"/>
  <c r="R148" i="37"/>
  <c r="Q148" i="37" a="1"/>
  <c r="Q148" i="37"/>
  <c r="P148" i="37" a="1"/>
  <c r="P148" i="37"/>
  <c r="O148" i="37" a="1"/>
  <c r="O148" i="37"/>
  <c r="N148" i="37" a="1"/>
  <c r="N148" i="37"/>
  <c r="M148" i="37" a="1"/>
  <c r="M148" i="37"/>
  <c r="K148" i="37"/>
  <c r="J148" i="37"/>
  <c r="I148" i="37"/>
  <c r="H148" i="37"/>
  <c r="G148" i="37"/>
  <c r="F148" i="37"/>
  <c r="E148" i="37"/>
  <c r="D148" i="37"/>
  <c r="B148" i="37"/>
  <c r="A148" i="37"/>
  <c r="S147" i="37" a="1"/>
  <c r="S147" i="37"/>
  <c r="R147" i="37" a="1"/>
  <c r="R147" i="37"/>
  <c r="Q147" i="37" a="1"/>
  <c r="Q147" i="37"/>
  <c r="P147" i="37" a="1"/>
  <c r="P147" i="37"/>
  <c r="O147" i="37" a="1"/>
  <c r="O147" i="37"/>
  <c r="N147" i="37" a="1"/>
  <c r="N147" i="37"/>
  <c r="M147" i="37" a="1"/>
  <c r="M147" i="37"/>
  <c r="K147" i="37"/>
  <c r="J147" i="37"/>
  <c r="I147" i="37"/>
  <c r="H147" i="37"/>
  <c r="G147" i="37"/>
  <c r="F147" i="37"/>
  <c r="E147" i="37"/>
  <c r="D147" i="37"/>
  <c r="B147" i="37"/>
  <c r="A147" i="37"/>
  <c r="S146" i="37" a="1"/>
  <c r="S146" i="37"/>
  <c r="R146" i="37" a="1"/>
  <c r="R146" i="37"/>
  <c r="Q146" i="37" a="1"/>
  <c r="Q146" i="37"/>
  <c r="P146" i="37" a="1"/>
  <c r="P146" i="37"/>
  <c r="O146" i="37" a="1"/>
  <c r="O146" i="37"/>
  <c r="N146" i="37" a="1"/>
  <c r="N146" i="37"/>
  <c r="M146" i="37" a="1"/>
  <c r="M146" i="37"/>
  <c r="K146" i="37"/>
  <c r="J146" i="37"/>
  <c r="I146" i="37"/>
  <c r="H146" i="37"/>
  <c r="G146" i="37"/>
  <c r="F146" i="37"/>
  <c r="E146" i="37"/>
  <c r="D146" i="37"/>
  <c r="B146" i="37"/>
  <c r="A146" i="37"/>
  <c r="S145" i="37" a="1"/>
  <c r="S145" i="37"/>
  <c r="R145" i="37" a="1"/>
  <c r="R145" i="37"/>
  <c r="Q145" i="37" a="1"/>
  <c r="Q145" i="37"/>
  <c r="P145" i="37" a="1"/>
  <c r="P145" i="37"/>
  <c r="O145" i="37" a="1"/>
  <c r="O145" i="37"/>
  <c r="N145" i="37" a="1"/>
  <c r="N145" i="37"/>
  <c r="M145" i="37" a="1"/>
  <c r="M145" i="37"/>
  <c r="K145" i="37"/>
  <c r="J145" i="37"/>
  <c r="I145" i="37"/>
  <c r="H145" i="37"/>
  <c r="G145" i="37"/>
  <c r="F145" i="37"/>
  <c r="E145" i="37"/>
  <c r="D145" i="37"/>
  <c r="B145" i="37"/>
  <c r="A145" i="37"/>
  <c r="S144" i="37" a="1"/>
  <c r="S144" i="37"/>
  <c r="R144" i="37" a="1"/>
  <c r="R144" i="37"/>
  <c r="Q144" i="37" a="1"/>
  <c r="Q144" i="37"/>
  <c r="P144" i="37" a="1"/>
  <c r="P144" i="37"/>
  <c r="O144" i="37" a="1"/>
  <c r="O144" i="37"/>
  <c r="N144" i="37" a="1"/>
  <c r="N144" i="37"/>
  <c r="M144" i="37" a="1"/>
  <c r="M144" i="37"/>
  <c r="K144" i="37"/>
  <c r="J144" i="37"/>
  <c r="I144" i="37"/>
  <c r="H144" i="37"/>
  <c r="G144" i="37"/>
  <c r="F144" i="37"/>
  <c r="E144" i="37"/>
  <c r="D144" i="37"/>
  <c r="B144" i="37"/>
  <c r="A144" i="37"/>
  <c r="S143" i="37" a="1"/>
  <c r="S143" i="37"/>
  <c r="R143" i="37" a="1"/>
  <c r="R143" i="37"/>
  <c r="Q143" i="37" a="1"/>
  <c r="Q143" i="37"/>
  <c r="P143" i="37" a="1"/>
  <c r="P143" i="37"/>
  <c r="O143" i="37" a="1"/>
  <c r="O143" i="37"/>
  <c r="N143" i="37" a="1"/>
  <c r="N143" i="37"/>
  <c r="M143" i="37" a="1"/>
  <c r="M143" i="37"/>
  <c r="K143" i="37"/>
  <c r="J143" i="37"/>
  <c r="I143" i="37"/>
  <c r="H143" i="37"/>
  <c r="G143" i="37"/>
  <c r="F143" i="37"/>
  <c r="E143" i="37"/>
  <c r="D143" i="37"/>
  <c r="B143" i="37"/>
  <c r="A143" i="37"/>
  <c r="S142" i="37" a="1"/>
  <c r="S142" i="37"/>
  <c r="R142" i="37" a="1"/>
  <c r="R142" i="37"/>
  <c r="Q142" i="37" a="1"/>
  <c r="Q142" i="37"/>
  <c r="P142" i="37" a="1"/>
  <c r="P142" i="37"/>
  <c r="O142" i="37" a="1"/>
  <c r="O142" i="37"/>
  <c r="N142" i="37" a="1"/>
  <c r="N142" i="37"/>
  <c r="M142" i="37" a="1"/>
  <c r="M142" i="37"/>
  <c r="K142" i="37"/>
  <c r="J142" i="37"/>
  <c r="I142" i="37"/>
  <c r="H142" i="37"/>
  <c r="G142" i="37"/>
  <c r="F142" i="37"/>
  <c r="E142" i="37"/>
  <c r="D142" i="37"/>
  <c r="B142" i="37"/>
  <c r="A142" i="37"/>
  <c r="S141" i="37" a="1"/>
  <c r="S141" i="37"/>
  <c r="R141" i="37" a="1"/>
  <c r="R141" i="37"/>
  <c r="Q141" i="37" a="1"/>
  <c r="Q141" i="37"/>
  <c r="P141" i="37" a="1"/>
  <c r="P141" i="37"/>
  <c r="O141" i="37" a="1"/>
  <c r="O141" i="37"/>
  <c r="N141" i="37" a="1"/>
  <c r="N141" i="37"/>
  <c r="M141" i="37" a="1"/>
  <c r="M141" i="37"/>
  <c r="K141" i="37"/>
  <c r="J141" i="37"/>
  <c r="I141" i="37"/>
  <c r="H141" i="37"/>
  <c r="G141" i="37"/>
  <c r="F141" i="37"/>
  <c r="E141" i="37"/>
  <c r="D141" i="37"/>
  <c r="B141" i="37"/>
  <c r="A141" i="37"/>
  <c r="S140" i="37" a="1"/>
  <c r="S140" i="37"/>
  <c r="R140" i="37" a="1"/>
  <c r="R140" i="37"/>
  <c r="Q140" i="37" a="1"/>
  <c r="Q140" i="37"/>
  <c r="P140" i="37" a="1"/>
  <c r="P140" i="37"/>
  <c r="O140" i="37" a="1"/>
  <c r="O140" i="37"/>
  <c r="N140" i="37" a="1"/>
  <c r="N140" i="37"/>
  <c r="M140" i="37" a="1"/>
  <c r="M140" i="37"/>
  <c r="K140" i="37"/>
  <c r="J140" i="37"/>
  <c r="I140" i="37"/>
  <c r="H140" i="37"/>
  <c r="G140" i="37"/>
  <c r="F140" i="37"/>
  <c r="E140" i="37"/>
  <c r="D140" i="37"/>
  <c r="B140" i="37"/>
  <c r="A140" i="37"/>
  <c r="S139" i="37" a="1"/>
  <c r="S139" i="37"/>
  <c r="R139" i="37" a="1"/>
  <c r="R139" i="37"/>
  <c r="Q139" i="37" a="1"/>
  <c r="Q139" i="37"/>
  <c r="P139" i="37" a="1"/>
  <c r="P139" i="37"/>
  <c r="O139" i="37" a="1"/>
  <c r="O139" i="37"/>
  <c r="N139" i="37" a="1"/>
  <c r="N139" i="37"/>
  <c r="M139" i="37" a="1"/>
  <c r="M139" i="37"/>
  <c r="K139" i="37"/>
  <c r="J139" i="37"/>
  <c r="I139" i="37"/>
  <c r="H139" i="37"/>
  <c r="G139" i="37"/>
  <c r="F139" i="37"/>
  <c r="E139" i="37"/>
  <c r="D139" i="37"/>
  <c r="B139" i="37"/>
  <c r="A139" i="37"/>
  <c r="S138" i="37" a="1"/>
  <c r="S138" i="37"/>
  <c r="R138" i="37" a="1"/>
  <c r="R138" i="37"/>
  <c r="Q138" i="37" a="1"/>
  <c r="Q138" i="37"/>
  <c r="P138" i="37" a="1"/>
  <c r="P138" i="37"/>
  <c r="O138" i="37" a="1"/>
  <c r="O138" i="37"/>
  <c r="N138" i="37" a="1"/>
  <c r="N138" i="37"/>
  <c r="M138" i="37" a="1"/>
  <c r="M138" i="37"/>
  <c r="K138" i="37"/>
  <c r="J138" i="37"/>
  <c r="I138" i="37"/>
  <c r="H138" i="37"/>
  <c r="G138" i="37"/>
  <c r="F138" i="37"/>
  <c r="E138" i="37"/>
  <c r="K137" i="37"/>
  <c r="D137" i="37"/>
  <c r="D138" i="37"/>
  <c r="B138" i="37"/>
  <c r="A138" i="37"/>
  <c r="S137" i="37" a="1"/>
  <c r="S137" i="37"/>
  <c r="R137" i="37" a="1"/>
  <c r="R137" i="37"/>
  <c r="Q137" i="37" a="1"/>
  <c r="Q137" i="37"/>
  <c r="P137" i="37" a="1"/>
  <c r="P137" i="37"/>
  <c r="O137" i="37" a="1"/>
  <c r="O137" i="37"/>
  <c r="N137" i="37" a="1"/>
  <c r="N137" i="37"/>
  <c r="M137" i="37" a="1"/>
  <c r="M137" i="37"/>
  <c r="J137" i="37"/>
  <c r="I137" i="37"/>
  <c r="H137" i="37"/>
  <c r="G137" i="37"/>
  <c r="F137" i="37"/>
  <c r="E137" i="37"/>
  <c r="B137" i="37"/>
  <c r="A137" i="37"/>
  <c r="S136" i="37" a="1"/>
  <c r="S136" i="37"/>
  <c r="R136" i="37" a="1"/>
  <c r="R136" i="37"/>
  <c r="Q136" i="37" a="1"/>
  <c r="Q136" i="37"/>
  <c r="P136" i="37" a="1"/>
  <c r="P136" i="37"/>
  <c r="O136" i="37" a="1"/>
  <c r="O136" i="37"/>
  <c r="N136" i="37" a="1"/>
  <c r="N136" i="37"/>
  <c r="M136" i="37" a="1"/>
  <c r="M136" i="37"/>
  <c r="K136" i="37"/>
  <c r="J136" i="37"/>
  <c r="I136" i="37"/>
  <c r="H136" i="37"/>
  <c r="G136" i="37"/>
  <c r="F136" i="37"/>
  <c r="E136" i="37"/>
  <c r="K135" i="37"/>
  <c r="D135" i="37"/>
  <c r="D136" i="37"/>
  <c r="B136" i="37"/>
  <c r="A136" i="37"/>
  <c r="S135" i="37" a="1"/>
  <c r="S135" i="37"/>
  <c r="R135" i="37" a="1"/>
  <c r="R135" i="37"/>
  <c r="Q135" i="37" a="1"/>
  <c r="Q135" i="37"/>
  <c r="P135" i="37" a="1"/>
  <c r="P135" i="37"/>
  <c r="O135" i="37" a="1"/>
  <c r="O135" i="37"/>
  <c r="N135" i="37" a="1"/>
  <c r="N135" i="37"/>
  <c r="M135" i="37" a="1"/>
  <c r="M135" i="37"/>
  <c r="J135" i="37"/>
  <c r="I135" i="37"/>
  <c r="H135" i="37"/>
  <c r="G135" i="37"/>
  <c r="F135" i="37"/>
  <c r="E135" i="37"/>
  <c r="B135" i="37"/>
  <c r="A135" i="37"/>
  <c r="S134" i="37" a="1"/>
  <c r="S134" i="37"/>
  <c r="R134" i="37" a="1"/>
  <c r="R134" i="37"/>
  <c r="Q134" i="37" a="1"/>
  <c r="Q134" i="37"/>
  <c r="P134" i="37" a="1"/>
  <c r="P134" i="37"/>
  <c r="O134" i="37" a="1"/>
  <c r="O134" i="37"/>
  <c r="N134" i="37" a="1"/>
  <c r="N134" i="37"/>
  <c r="M134" i="37" a="1"/>
  <c r="M134" i="37"/>
  <c r="K134" i="37"/>
  <c r="J134" i="37"/>
  <c r="I134" i="37"/>
  <c r="H134" i="37"/>
  <c r="G134" i="37"/>
  <c r="F134" i="37"/>
  <c r="E134" i="37"/>
  <c r="D134" i="37"/>
  <c r="B134" i="37"/>
  <c r="A134" i="37"/>
  <c r="S133" i="37" a="1"/>
  <c r="S133" i="37"/>
  <c r="R133" i="37" a="1"/>
  <c r="R133" i="37"/>
  <c r="Q133" i="37" a="1"/>
  <c r="Q133" i="37"/>
  <c r="P133" i="37" a="1"/>
  <c r="P133" i="37"/>
  <c r="O133" i="37" a="1"/>
  <c r="O133" i="37"/>
  <c r="N133" i="37" a="1"/>
  <c r="N133" i="37"/>
  <c r="M133" i="37" a="1"/>
  <c r="M133" i="37"/>
  <c r="K133" i="37"/>
  <c r="J133" i="37"/>
  <c r="I133" i="37"/>
  <c r="H133" i="37"/>
  <c r="G133" i="37"/>
  <c r="F133" i="37"/>
  <c r="E133" i="37"/>
  <c r="M132" i="37" a="1"/>
  <c r="M132" i="37"/>
  <c r="K132" i="37"/>
  <c r="D132" i="37"/>
  <c r="D133" i="37"/>
  <c r="B133" i="37"/>
  <c r="A133" i="37"/>
  <c r="S132" i="37" a="1"/>
  <c r="S132" i="37"/>
  <c r="R132" i="37" a="1"/>
  <c r="R132" i="37"/>
  <c r="Q132" i="37" a="1"/>
  <c r="Q132" i="37"/>
  <c r="P132" i="37" a="1"/>
  <c r="P132" i="37"/>
  <c r="O132" i="37" a="1"/>
  <c r="O132" i="37"/>
  <c r="N132" i="37" a="1"/>
  <c r="N132" i="37"/>
  <c r="J132" i="37"/>
  <c r="I132" i="37"/>
  <c r="H132" i="37"/>
  <c r="G132" i="37"/>
  <c r="F132" i="37"/>
  <c r="E132" i="37"/>
  <c r="B132" i="37"/>
  <c r="A132" i="37"/>
  <c r="S131" i="37" a="1"/>
  <c r="S131" i="37"/>
  <c r="R131" i="37" a="1"/>
  <c r="R131" i="37"/>
  <c r="Q131" i="37" a="1"/>
  <c r="Q131" i="37"/>
  <c r="P131" i="37" a="1"/>
  <c r="P131" i="37"/>
  <c r="O131" i="37" a="1"/>
  <c r="O131" i="37"/>
  <c r="N131" i="37" a="1"/>
  <c r="N131" i="37"/>
  <c r="M131" i="37" a="1"/>
  <c r="M131" i="37"/>
  <c r="K131" i="37"/>
  <c r="J131" i="37"/>
  <c r="I131" i="37"/>
  <c r="H131" i="37"/>
  <c r="G131" i="37"/>
  <c r="F131" i="37"/>
  <c r="E131" i="37"/>
  <c r="M130" i="37" a="1"/>
  <c r="M130" i="37"/>
  <c r="K130" i="37"/>
  <c r="K129" i="37"/>
  <c r="D129" i="37"/>
  <c r="D130" i="37"/>
  <c r="D131" i="37"/>
  <c r="B131" i="37"/>
  <c r="A131" i="37"/>
  <c r="S130" i="37" a="1"/>
  <c r="S130" i="37"/>
  <c r="R130" i="37" a="1"/>
  <c r="R130" i="37"/>
  <c r="Q130" i="37" a="1"/>
  <c r="Q130" i="37"/>
  <c r="P130" i="37" a="1"/>
  <c r="P130" i="37"/>
  <c r="O130" i="37" a="1"/>
  <c r="O130" i="37"/>
  <c r="N130" i="37" a="1"/>
  <c r="N130" i="37"/>
  <c r="J130" i="37"/>
  <c r="I130" i="37"/>
  <c r="H130" i="37"/>
  <c r="G130" i="37"/>
  <c r="F130" i="37"/>
  <c r="E130" i="37"/>
  <c r="B130" i="37"/>
  <c r="A130" i="37"/>
  <c r="S129" i="37" a="1"/>
  <c r="S129" i="37"/>
  <c r="R129" i="37" a="1"/>
  <c r="R129" i="37"/>
  <c r="Q129" i="37" a="1"/>
  <c r="Q129" i="37"/>
  <c r="P129" i="37" a="1"/>
  <c r="P129" i="37"/>
  <c r="O129" i="37" a="1"/>
  <c r="O129" i="37"/>
  <c r="N129" i="37" a="1"/>
  <c r="N129" i="37"/>
  <c r="M129" i="37" a="1"/>
  <c r="M129" i="37"/>
  <c r="J129" i="37"/>
  <c r="I129" i="37"/>
  <c r="H129" i="37"/>
  <c r="G129" i="37"/>
  <c r="F129" i="37"/>
  <c r="E129" i="37"/>
  <c r="B129" i="37"/>
  <c r="A129" i="37"/>
  <c r="S128" i="37" a="1"/>
  <c r="S128" i="37"/>
  <c r="R128" i="37" a="1"/>
  <c r="R128" i="37"/>
  <c r="Q128" i="37" a="1"/>
  <c r="Q128" i="37"/>
  <c r="P128" i="37" a="1"/>
  <c r="P128" i="37"/>
  <c r="O128" i="37" a="1"/>
  <c r="O128" i="37"/>
  <c r="N128" i="37" a="1"/>
  <c r="N128" i="37"/>
  <c r="M128" i="37" a="1"/>
  <c r="M128" i="37"/>
  <c r="K128" i="37"/>
  <c r="J128" i="37"/>
  <c r="I128" i="37"/>
  <c r="H128" i="37"/>
  <c r="G128" i="37"/>
  <c r="F128" i="37"/>
  <c r="E128" i="37"/>
  <c r="M127" i="37" a="1"/>
  <c r="M127" i="37"/>
  <c r="K127" i="37"/>
  <c r="D127" i="37"/>
  <c r="D128" i="37"/>
  <c r="B128" i="37"/>
  <c r="A128" i="37"/>
  <c r="S127" i="37" a="1"/>
  <c r="S127" i="37"/>
  <c r="R127" i="37" a="1"/>
  <c r="R127" i="37"/>
  <c r="Q127" i="37" a="1"/>
  <c r="Q127" i="37"/>
  <c r="P127" i="37" a="1"/>
  <c r="P127" i="37"/>
  <c r="O127" i="37" a="1"/>
  <c r="O127" i="37"/>
  <c r="N127" i="37" a="1"/>
  <c r="N127" i="37"/>
  <c r="J127" i="37"/>
  <c r="I127" i="37"/>
  <c r="H127" i="37"/>
  <c r="G127" i="37"/>
  <c r="F127" i="37"/>
  <c r="E127" i="37"/>
  <c r="B127" i="37"/>
  <c r="A127" i="37"/>
  <c r="S126" i="37" a="1"/>
  <c r="S126" i="37"/>
  <c r="R126" i="37" a="1"/>
  <c r="R126" i="37"/>
  <c r="Q126" i="37" a="1"/>
  <c r="Q126" i="37"/>
  <c r="P126" i="37" a="1"/>
  <c r="P126" i="37"/>
  <c r="O126" i="37" a="1"/>
  <c r="O126" i="37"/>
  <c r="N126" i="37" a="1"/>
  <c r="N126" i="37"/>
  <c r="M126" i="37" a="1"/>
  <c r="M126" i="37"/>
  <c r="K126" i="37"/>
  <c r="J126" i="37"/>
  <c r="I126" i="37"/>
  <c r="H126" i="37"/>
  <c r="G126" i="37"/>
  <c r="F126" i="37"/>
  <c r="E126" i="37"/>
  <c r="D126" i="37"/>
  <c r="B126" i="37"/>
  <c r="A126" i="37"/>
  <c r="S125" i="37" a="1"/>
  <c r="S125" i="37"/>
  <c r="R125" i="37" a="1"/>
  <c r="R125" i="37"/>
  <c r="Q125" i="37" a="1"/>
  <c r="Q125" i="37"/>
  <c r="P125" i="37" a="1"/>
  <c r="P125" i="37"/>
  <c r="O125" i="37" a="1"/>
  <c r="O125" i="37"/>
  <c r="N125" i="37" a="1"/>
  <c r="N125" i="37"/>
  <c r="M125" i="37" a="1"/>
  <c r="M125" i="37"/>
  <c r="K125" i="37"/>
  <c r="J125" i="37"/>
  <c r="I125" i="37"/>
  <c r="H125" i="37"/>
  <c r="G125" i="37"/>
  <c r="F125" i="37"/>
  <c r="E125" i="37"/>
  <c r="M124" i="37" a="1"/>
  <c r="M124" i="37"/>
  <c r="K124" i="37"/>
  <c r="D124" i="37"/>
  <c r="D125" i="37"/>
  <c r="B125" i="37"/>
  <c r="A125" i="37"/>
  <c r="S124" i="37" a="1"/>
  <c r="S124" i="37"/>
  <c r="R124" i="37" a="1"/>
  <c r="R124" i="37"/>
  <c r="Q124" i="37" a="1"/>
  <c r="Q124" i="37"/>
  <c r="P124" i="37" a="1"/>
  <c r="P124" i="37"/>
  <c r="O124" i="37" a="1"/>
  <c r="O124" i="37"/>
  <c r="N124" i="37" a="1"/>
  <c r="N124" i="37"/>
  <c r="J124" i="37"/>
  <c r="I124" i="37"/>
  <c r="H124" i="37"/>
  <c r="G124" i="37"/>
  <c r="F124" i="37"/>
  <c r="E124" i="37"/>
  <c r="B124" i="37"/>
  <c r="A124" i="37"/>
  <c r="S123" i="37" a="1"/>
  <c r="S123" i="37"/>
  <c r="R123" i="37" a="1"/>
  <c r="R123" i="37"/>
  <c r="Q123" i="37" a="1"/>
  <c r="Q123" i="37"/>
  <c r="P123" i="37" a="1"/>
  <c r="P123" i="37"/>
  <c r="O123" i="37" a="1"/>
  <c r="O123" i="37"/>
  <c r="N123" i="37" a="1"/>
  <c r="N123" i="37"/>
  <c r="M123" i="37" a="1"/>
  <c r="M123" i="37"/>
  <c r="K123" i="37"/>
  <c r="J123" i="37"/>
  <c r="I123" i="37"/>
  <c r="H123" i="37"/>
  <c r="G123" i="37"/>
  <c r="F123" i="37"/>
  <c r="E123" i="37"/>
  <c r="K122" i="37"/>
  <c r="D122" i="37"/>
  <c r="D123" i="37"/>
  <c r="B123" i="37"/>
  <c r="A123" i="37"/>
  <c r="S122" i="37" a="1"/>
  <c r="S122" i="37"/>
  <c r="R122" i="37" a="1"/>
  <c r="R122" i="37"/>
  <c r="Q122" i="37" a="1"/>
  <c r="Q122" i="37"/>
  <c r="P122" i="37" a="1"/>
  <c r="P122" i="37"/>
  <c r="O122" i="37" a="1"/>
  <c r="O122" i="37"/>
  <c r="N122" i="37" a="1"/>
  <c r="N122" i="37"/>
  <c r="M122" i="37" a="1"/>
  <c r="M122" i="37"/>
  <c r="J122" i="37"/>
  <c r="I122" i="37"/>
  <c r="H122" i="37"/>
  <c r="G122" i="37"/>
  <c r="F122" i="37"/>
  <c r="E122" i="37"/>
  <c r="B122" i="37"/>
  <c r="A122" i="37"/>
  <c r="S121" i="37" a="1"/>
  <c r="S121" i="37"/>
  <c r="R121" i="37" a="1"/>
  <c r="R121" i="37"/>
  <c r="Q121" i="37" a="1"/>
  <c r="Q121" i="37"/>
  <c r="P121" i="37" a="1"/>
  <c r="P121" i="37"/>
  <c r="O121" i="37" a="1"/>
  <c r="O121" i="37"/>
  <c r="N121" i="37" a="1"/>
  <c r="N121" i="37"/>
  <c r="M121" i="37" a="1"/>
  <c r="M121" i="37"/>
  <c r="K121" i="37"/>
  <c r="J121" i="37"/>
  <c r="I121" i="37"/>
  <c r="H121" i="37"/>
  <c r="G121" i="37"/>
  <c r="F121" i="37"/>
  <c r="E121" i="37"/>
  <c r="K120" i="37"/>
  <c r="D120" i="37"/>
  <c r="D121" i="37"/>
  <c r="B121" i="37"/>
  <c r="A121" i="37"/>
  <c r="S120" i="37" a="1"/>
  <c r="S120" i="37"/>
  <c r="R120" i="37" a="1"/>
  <c r="R120" i="37"/>
  <c r="Q120" i="37" a="1"/>
  <c r="Q120" i="37"/>
  <c r="P120" i="37" a="1"/>
  <c r="P120" i="37"/>
  <c r="O120" i="37" a="1"/>
  <c r="O120" i="37"/>
  <c r="N120" i="37" a="1"/>
  <c r="N120" i="37"/>
  <c r="M120" i="37" a="1"/>
  <c r="M120" i="37"/>
  <c r="J120" i="37"/>
  <c r="I120" i="37"/>
  <c r="H120" i="37"/>
  <c r="G120" i="37"/>
  <c r="F120" i="37"/>
  <c r="E120" i="37"/>
  <c r="M119" i="37" a="1"/>
  <c r="M119" i="37"/>
  <c r="K119" i="37"/>
  <c r="D119" i="37"/>
  <c r="B120" i="37"/>
  <c r="A120" i="37"/>
  <c r="S119" i="37" a="1"/>
  <c r="S119" i="37"/>
  <c r="R119" i="37" a="1"/>
  <c r="R119" i="37"/>
  <c r="Q119" i="37" a="1"/>
  <c r="Q119" i="37"/>
  <c r="P119" i="37" a="1"/>
  <c r="P119" i="37"/>
  <c r="O119" i="37" a="1"/>
  <c r="O119" i="37"/>
  <c r="N119" i="37" a="1"/>
  <c r="N119" i="37"/>
  <c r="J119" i="37"/>
  <c r="I119" i="37"/>
  <c r="H119" i="37"/>
  <c r="G119" i="37"/>
  <c r="F119" i="37"/>
  <c r="E119" i="37"/>
  <c r="B119" i="37"/>
  <c r="A119" i="37"/>
  <c r="S118" i="37" a="1"/>
  <c r="S118" i="37"/>
  <c r="R118" i="37" a="1"/>
  <c r="R118" i="37"/>
  <c r="Q118" i="37" a="1"/>
  <c r="Q118" i="37"/>
  <c r="P118" i="37" a="1"/>
  <c r="P118" i="37"/>
  <c r="O118" i="37" a="1"/>
  <c r="O118" i="37"/>
  <c r="N118" i="37" a="1"/>
  <c r="N118" i="37"/>
  <c r="M118" i="37" a="1"/>
  <c r="M118" i="37"/>
  <c r="K118" i="37"/>
  <c r="J118" i="37"/>
  <c r="I118" i="37"/>
  <c r="H118" i="37"/>
  <c r="G118" i="37"/>
  <c r="F118" i="37"/>
  <c r="E118" i="37"/>
  <c r="M117" i="37" a="1"/>
  <c r="M117" i="37"/>
  <c r="K117" i="37"/>
  <c r="D117" i="37"/>
  <c r="D118" i="37"/>
  <c r="B118" i="37"/>
  <c r="A118" i="37"/>
  <c r="S117" i="37" a="1"/>
  <c r="S117" i="37"/>
  <c r="R117" i="37" a="1"/>
  <c r="R117" i="37"/>
  <c r="Q117" i="37" a="1"/>
  <c r="Q117" i="37"/>
  <c r="P117" i="37" a="1"/>
  <c r="P117" i="37"/>
  <c r="O117" i="37" a="1"/>
  <c r="O117" i="37"/>
  <c r="N117" i="37" a="1"/>
  <c r="N117" i="37"/>
  <c r="J117" i="37"/>
  <c r="I117" i="37"/>
  <c r="H117" i="37"/>
  <c r="G117" i="37"/>
  <c r="F117" i="37"/>
  <c r="E117" i="37"/>
  <c r="B117" i="37"/>
  <c r="A117" i="37"/>
  <c r="S116" i="37" a="1"/>
  <c r="S116" i="37"/>
  <c r="R116" i="37" a="1"/>
  <c r="R116" i="37"/>
  <c r="Q116" i="37" a="1"/>
  <c r="Q116" i="37"/>
  <c r="P116" i="37" a="1"/>
  <c r="P116" i="37"/>
  <c r="O116" i="37" a="1"/>
  <c r="O116" i="37"/>
  <c r="N116" i="37" a="1"/>
  <c r="N116" i="37"/>
  <c r="M116" i="37" a="1"/>
  <c r="M116" i="37"/>
  <c r="K116" i="37"/>
  <c r="J116" i="37"/>
  <c r="I116" i="37"/>
  <c r="H116" i="37"/>
  <c r="G116" i="37"/>
  <c r="F116" i="37"/>
  <c r="E116" i="37"/>
  <c r="M115" i="37" a="1"/>
  <c r="M115" i="37"/>
  <c r="K115" i="37"/>
  <c r="D115" i="37"/>
  <c r="D116" i="37"/>
  <c r="B116" i="37"/>
  <c r="A116" i="37"/>
  <c r="S115" i="37" a="1"/>
  <c r="S115" i="37"/>
  <c r="R115" i="37" a="1"/>
  <c r="R115" i="37"/>
  <c r="Q115" i="37" a="1"/>
  <c r="Q115" i="37"/>
  <c r="P115" i="37" a="1"/>
  <c r="P115" i="37"/>
  <c r="O115" i="37" a="1"/>
  <c r="O115" i="37"/>
  <c r="N115" i="37" a="1"/>
  <c r="N115" i="37"/>
  <c r="J115" i="37"/>
  <c r="I115" i="37"/>
  <c r="H115" i="37"/>
  <c r="G115" i="37"/>
  <c r="F115" i="37"/>
  <c r="E115" i="37"/>
  <c r="B115" i="37"/>
  <c r="A115" i="37"/>
  <c r="S114" i="37" a="1"/>
  <c r="S114" i="37"/>
  <c r="R114" i="37" a="1"/>
  <c r="R114" i="37"/>
  <c r="Q114" i="37" a="1"/>
  <c r="Q114" i="37"/>
  <c r="P114" i="37" a="1"/>
  <c r="P114" i="37"/>
  <c r="O114" i="37" a="1"/>
  <c r="O114" i="37"/>
  <c r="N114" i="37" a="1"/>
  <c r="N114" i="37"/>
  <c r="M114" i="37" a="1"/>
  <c r="M114" i="37"/>
  <c r="K114" i="37"/>
  <c r="J114" i="37"/>
  <c r="I114" i="37"/>
  <c r="H114" i="37"/>
  <c r="G114" i="37"/>
  <c r="F114" i="37"/>
  <c r="E114" i="37"/>
  <c r="D114" i="37"/>
  <c r="B114" i="37"/>
  <c r="A114" i="37"/>
  <c r="S113" i="37" a="1"/>
  <c r="S113" i="37"/>
  <c r="R113" i="37" a="1"/>
  <c r="R113" i="37"/>
  <c r="Q113" i="37" a="1"/>
  <c r="Q113" i="37"/>
  <c r="P113" i="37" a="1"/>
  <c r="P113" i="37"/>
  <c r="O113" i="37" a="1"/>
  <c r="O113" i="37"/>
  <c r="N113" i="37" a="1"/>
  <c r="N113" i="37"/>
  <c r="M113" i="37" a="1"/>
  <c r="M113" i="37"/>
  <c r="K113" i="37"/>
  <c r="J113" i="37"/>
  <c r="I113" i="37"/>
  <c r="H113" i="37"/>
  <c r="G113" i="37"/>
  <c r="F113" i="37"/>
  <c r="E113" i="37"/>
  <c r="D113" i="37"/>
  <c r="B113" i="37"/>
  <c r="A113" i="37"/>
  <c r="S112" i="37" a="1"/>
  <c r="S112" i="37"/>
  <c r="R112" i="37" a="1"/>
  <c r="R112" i="37"/>
  <c r="Q112" i="37" a="1"/>
  <c r="Q112" i="37"/>
  <c r="P112" i="37" a="1"/>
  <c r="P112" i="37"/>
  <c r="O112" i="37" a="1"/>
  <c r="O112" i="37"/>
  <c r="N112" i="37" a="1"/>
  <c r="N112" i="37"/>
  <c r="M112" i="37" a="1"/>
  <c r="M112" i="37"/>
  <c r="K112" i="37"/>
  <c r="J112" i="37"/>
  <c r="I112" i="37"/>
  <c r="H112" i="37"/>
  <c r="G112" i="37"/>
  <c r="F112" i="37"/>
  <c r="E112" i="37"/>
  <c r="D112" i="37"/>
  <c r="B112" i="37"/>
  <c r="A112" i="37"/>
  <c r="S111" i="37" a="1"/>
  <c r="S111" i="37"/>
  <c r="R111" i="37" a="1"/>
  <c r="R111" i="37"/>
  <c r="Q111" i="37" a="1"/>
  <c r="Q111" i="37"/>
  <c r="P111" i="37" a="1"/>
  <c r="P111" i="37"/>
  <c r="O111" i="37" a="1"/>
  <c r="O111" i="37"/>
  <c r="N111" i="37" a="1"/>
  <c r="N111" i="37"/>
  <c r="M111" i="37" a="1"/>
  <c r="M111" i="37"/>
  <c r="K111" i="37"/>
  <c r="J111" i="37"/>
  <c r="I111" i="37"/>
  <c r="H111" i="37"/>
  <c r="G111" i="37"/>
  <c r="F111" i="37"/>
  <c r="E111" i="37"/>
  <c r="D111" i="37"/>
  <c r="B111" i="37"/>
  <c r="A111" i="37"/>
  <c r="S110" i="37" a="1"/>
  <c r="S110" i="37"/>
  <c r="R110" i="37" a="1"/>
  <c r="R110" i="37"/>
  <c r="Q110" i="37" a="1"/>
  <c r="Q110" i="37"/>
  <c r="P110" i="37" a="1"/>
  <c r="P110" i="37"/>
  <c r="O110" i="37" a="1"/>
  <c r="O110" i="37"/>
  <c r="N110" i="37" a="1"/>
  <c r="N110" i="37"/>
  <c r="M110" i="37" a="1"/>
  <c r="M110" i="37"/>
  <c r="K110" i="37"/>
  <c r="J110" i="37"/>
  <c r="I110" i="37"/>
  <c r="H110" i="37"/>
  <c r="G110" i="37"/>
  <c r="F110" i="37"/>
  <c r="E110" i="37"/>
  <c r="D110" i="37"/>
  <c r="B110" i="37"/>
  <c r="A110" i="37"/>
  <c r="S109" i="37" a="1"/>
  <c r="S109" i="37"/>
  <c r="R109" i="37" a="1"/>
  <c r="R109" i="37"/>
  <c r="Q109" i="37" a="1"/>
  <c r="Q109" i="37"/>
  <c r="P109" i="37" a="1"/>
  <c r="P109" i="37"/>
  <c r="O109" i="37" a="1"/>
  <c r="O109" i="37"/>
  <c r="N109" i="37" a="1"/>
  <c r="N109" i="37"/>
  <c r="M109" i="37" a="1"/>
  <c r="M109" i="37"/>
  <c r="K109" i="37"/>
  <c r="J109" i="37"/>
  <c r="I109" i="37"/>
  <c r="H109" i="37"/>
  <c r="G109" i="37"/>
  <c r="F109" i="37"/>
  <c r="E109" i="37"/>
  <c r="D109" i="37"/>
  <c r="B109" i="37"/>
  <c r="A109" i="37"/>
  <c r="S108" i="37" a="1"/>
  <c r="S108" i="37"/>
  <c r="R108" i="37" a="1"/>
  <c r="R108" i="37"/>
  <c r="Q108" i="37" a="1"/>
  <c r="Q108" i="37"/>
  <c r="P108" i="37" a="1"/>
  <c r="P108" i="37"/>
  <c r="O108" i="37" a="1"/>
  <c r="O108" i="37"/>
  <c r="N108" i="37" a="1"/>
  <c r="N108" i="37"/>
  <c r="M108" i="37" a="1"/>
  <c r="M108" i="37"/>
  <c r="K108" i="37"/>
  <c r="J108" i="37"/>
  <c r="I108" i="37"/>
  <c r="H108" i="37"/>
  <c r="G108" i="37"/>
  <c r="F108" i="37"/>
  <c r="E108" i="37"/>
  <c r="D108" i="37"/>
  <c r="B108" i="37"/>
  <c r="A108" i="37"/>
  <c r="S107" i="37" a="1"/>
  <c r="S107" i="37"/>
  <c r="R107" i="37" a="1"/>
  <c r="R107" i="37"/>
  <c r="Q107" i="37" a="1"/>
  <c r="Q107" i="37"/>
  <c r="P107" i="37" a="1"/>
  <c r="P107" i="37"/>
  <c r="O107" i="37" a="1"/>
  <c r="O107" i="37"/>
  <c r="N107" i="37" a="1"/>
  <c r="N107" i="37"/>
  <c r="M107" i="37" a="1"/>
  <c r="M107" i="37"/>
  <c r="K107" i="37"/>
  <c r="J107" i="37"/>
  <c r="I107" i="37"/>
  <c r="H107" i="37"/>
  <c r="G107" i="37"/>
  <c r="F107" i="37"/>
  <c r="E107" i="37"/>
  <c r="D107" i="37"/>
  <c r="B107" i="37"/>
  <c r="A107" i="37"/>
  <c r="S106" i="37" a="1"/>
  <c r="S106" i="37"/>
  <c r="R106" i="37" a="1"/>
  <c r="R106" i="37"/>
  <c r="Q106" i="37" a="1"/>
  <c r="Q106" i="37"/>
  <c r="P106" i="37" a="1"/>
  <c r="P106" i="37"/>
  <c r="O106" i="37" a="1"/>
  <c r="O106" i="37"/>
  <c r="N106" i="37" a="1"/>
  <c r="N106" i="37"/>
  <c r="M106" i="37" a="1"/>
  <c r="M106" i="37"/>
  <c r="K106" i="37"/>
  <c r="J106" i="37"/>
  <c r="I106" i="37"/>
  <c r="H106" i="37"/>
  <c r="G106" i="37"/>
  <c r="F106" i="37"/>
  <c r="E106" i="37"/>
  <c r="D106" i="37"/>
  <c r="B106" i="37"/>
  <c r="A106" i="37"/>
  <c r="S105" i="37" a="1"/>
  <c r="S105" i="37"/>
  <c r="R105" i="37" a="1"/>
  <c r="R105" i="37"/>
  <c r="Q105" i="37" a="1"/>
  <c r="Q105" i="37"/>
  <c r="P105" i="37" a="1"/>
  <c r="P105" i="37"/>
  <c r="O105" i="37" a="1"/>
  <c r="O105" i="37"/>
  <c r="N105" i="37" a="1"/>
  <c r="N105" i="37"/>
  <c r="M105" i="37" a="1"/>
  <c r="M105" i="37"/>
  <c r="K105" i="37"/>
  <c r="J105" i="37"/>
  <c r="I105" i="37"/>
  <c r="H105" i="37"/>
  <c r="G105" i="37"/>
  <c r="F105" i="37"/>
  <c r="E105" i="37"/>
  <c r="D105" i="37"/>
  <c r="B105" i="37"/>
  <c r="A105" i="37"/>
  <c r="S104" i="37" a="1"/>
  <c r="S104" i="37"/>
  <c r="R104" i="37" a="1"/>
  <c r="R104" i="37"/>
  <c r="Q104" i="37" a="1"/>
  <c r="Q104" i="37"/>
  <c r="P104" i="37" a="1"/>
  <c r="P104" i="37"/>
  <c r="O104" i="37" a="1"/>
  <c r="O104" i="37"/>
  <c r="N104" i="37" a="1"/>
  <c r="N104" i="37"/>
  <c r="M104" i="37" a="1"/>
  <c r="M104" i="37"/>
  <c r="K104" i="37"/>
  <c r="J104" i="37"/>
  <c r="I104" i="37"/>
  <c r="H104" i="37"/>
  <c r="G104" i="37"/>
  <c r="F104" i="37"/>
  <c r="E104" i="37"/>
  <c r="D104" i="37"/>
  <c r="B104" i="37"/>
  <c r="A104" i="37"/>
  <c r="S103" i="37" a="1"/>
  <c r="S103" i="37"/>
  <c r="R103" i="37" a="1"/>
  <c r="R103" i="37"/>
  <c r="Q103" i="37" a="1"/>
  <c r="Q103" i="37"/>
  <c r="P103" i="37" a="1"/>
  <c r="P103" i="37"/>
  <c r="O103" i="37" a="1"/>
  <c r="O103" i="37"/>
  <c r="N103" i="37" a="1"/>
  <c r="N103" i="37"/>
  <c r="M103" i="37" a="1"/>
  <c r="M103" i="37"/>
  <c r="K103" i="37"/>
  <c r="J103" i="37"/>
  <c r="I103" i="37"/>
  <c r="H103" i="37"/>
  <c r="G103" i="37"/>
  <c r="F103" i="37"/>
  <c r="E103" i="37"/>
  <c r="D103" i="37"/>
  <c r="B103" i="37"/>
  <c r="A103" i="37"/>
  <c r="S102" i="37" a="1"/>
  <c r="S102" i="37"/>
  <c r="R102" i="37" a="1"/>
  <c r="R102" i="37"/>
  <c r="Q102" i="37" a="1"/>
  <c r="Q102" i="37"/>
  <c r="P102" i="37" a="1"/>
  <c r="P102" i="37"/>
  <c r="O102" i="37" a="1"/>
  <c r="O102" i="37"/>
  <c r="N102" i="37" a="1"/>
  <c r="N102" i="37"/>
  <c r="M102" i="37" a="1"/>
  <c r="M102" i="37"/>
  <c r="K102" i="37"/>
  <c r="J102" i="37"/>
  <c r="I102" i="37"/>
  <c r="H102" i="37"/>
  <c r="G102" i="37"/>
  <c r="F102" i="37"/>
  <c r="E102" i="37"/>
  <c r="D102" i="37"/>
  <c r="B102" i="37"/>
  <c r="A102" i="37"/>
  <c r="S101" i="37" a="1"/>
  <c r="S101" i="37"/>
  <c r="R101" i="37" a="1"/>
  <c r="R101" i="37"/>
  <c r="Q101" i="37" a="1"/>
  <c r="Q101" i="37"/>
  <c r="P101" i="37" a="1"/>
  <c r="P101" i="37"/>
  <c r="O101" i="37" a="1"/>
  <c r="O101" i="37"/>
  <c r="N101" i="37" a="1"/>
  <c r="N101" i="37"/>
  <c r="M101" i="37" a="1"/>
  <c r="M101" i="37"/>
  <c r="K101" i="37"/>
  <c r="J101" i="37"/>
  <c r="I101" i="37"/>
  <c r="H101" i="37"/>
  <c r="G101" i="37"/>
  <c r="F101" i="37"/>
  <c r="E101" i="37"/>
  <c r="D101" i="37"/>
  <c r="B101" i="37"/>
  <c r="A101" i="37"/>
  <c r="S100" i="37" a="1"/>
  <c r="S100" i="37"/>
  <c r="R100" i="37" a="1"/>
  <c r="R100" i="37"/>
  <c r="Q100" i="37" a="1"/>
  <c r="Q100" i="37"/>
  <c r="P100" i="37" a="1"/>
  <c r="P100" i="37"/>
  <c r="O100" i="37" a="1"/>
  <c r="O100" i="37"/>
  <c r="N100" i="37" a="1"/>
  <c r="N100" i="37"/>
  <c r="M100" i="37" a="1"/>
  <c r="M100" i="37"/>
  <c r="K100" i="37"/>
  <c r="J100" i="37"/>
  <c r="I100" i="37"/>
  <c r="H100" i="37"/>
  <c r="G100" i="37"/>
  <c r="F100" i="37"/>
  <c r="E100" i="37"/>
  <c r="K99" i="37"/>
  <c r="D99" i="37"/>
  <c r="D100" i="37"/>
  <c r="B100" i="37"/>
  <c r="A100" i="37"/>
  <c r="S99" i="37" a="1"/>
  <c r="S99" i="37"/>
  <c r="R99" i="37" a="1"/>
  <c r="R99" i="37"/>
  <c r="Q99" i="37" a="1"/>
  <c r="Q99" i="37"/>
  <c r="P99" i="37" a="1"/>
  <c r="P99" i="37"/>
  <c r="O99" i="37" a="1"/>
  <c r="O99" i="37"/>
  <c r="N99" i="37" a="1"/>
  <c r="N99" i="37"/>
  <c r="M99" i="37" a="1"/>
  <c r="M99" i="37"/>
  <c r="J99" i="37"/>
  <c r="I99" i="37"/>
  <c r="H99" i="37"/>
  <c r="G99" i="37"/>
  <c r="F99" i="37"/>
  <c r="E99" i="37"/>
  <c r="B99" i="37"/>
  <c r="A99" i="37"/>
  <c r="S98" i="37" a="1"/>
  <c r="S98" i="37"/>
  <c r="R98" i="37" a="1"/>
  <c r="R98" i="37"/>
  <c r="Q98" i="37" a="1"/>
  <c r="Q98" i="37"/>
  <c r="P98" i="37" a="1"/>
  <c r="P98" i="37"/>
  <c r="O98" i="37" a="1"/>
  <c r="O98" i="37"/>
  <c r="N98" i="37" a="1"/>
  <c r="N98" i="37"/>
  <c r="M98" i="37" a="1"/>
  <c r="M98" i="37"/>
  <c r="K98" i="37"/>
  <c r="J98" i="37"/>
  <c r="I98" i="37"/>
  <c r="H98" i="37"/>
  <c r="G98" i="37"/>
  <c r="F98" i="37"/>
  <c r="E98" i="37"/>
  <c r="K97" i="37"/>
  <c r="D97" i="37"/>
  <c r="D98" i="37"/>
  <c r="B98" i="37"/>
  <c r="A98" i="37"/>
  <c r="S97" i="37" a="1"/>
  <c r="S97" i="37"/>
  <c r="R97" i="37" a="1"/>
  <c r="R97" i="37"/>
  <c r="Q97" i="37" a="1"/>
  <c r="Q97" i="37"/>
  <c r="P97" i="37" a="1"/>
  <c r="P97" i="37"/>
  <c r="O97" i="37" a="1"/>
  <c r="O97" i="37"/>
  <c r="N97" i="37" a="1"/>
  <c r="N97" i="37"/>
  <c r="M97" i="37" a="1"/>
  <c r="M97" i="37"/>
  <c r="J97" i="37"/>
  <c r="I97" i="37"/>
  <c r="H97" i="37"/>
  <c r="G97" i="37"/>
  <c r="F97" i="37"/>
  <c r="E97" i="37"/>
  <c r="B97" i="37"/>
  <c r="A97" i="37"/>
  <c r="S96" i="37" a="1"/>
  <c r="S96" i="37"/>
  <c r="R96" i="37" a="1"/>
  <c r="R96" i="37"/>
  <c r="Q96" i="37" a="1"/>
  <c r="Q96" i="37"/>
  <c r="P96" i="37" a="1"/>
  <c r="P96" i="37"/>
  <c r="O96" i="37" a="1"/>
  <c r="O96" i="37"/>
  <c r="N96" i="37" a="1"/>
  <c r="N96" i="37"/>
  <c r="M96" i="37" a="1"/>
  <c r="M96" i="37"/>
  <c r="K96" i="37"/>
  <c r="J96" i="37"/>
  <c r="I96" i="37"/>
  <c r="H96" i="37"/>
  <c r="G96" i="37"/>
  <c r="F96" i="37"/>
  <c r="E96" i="37"/>
  <c r="D96" i="37"/>
  <c r="B96" i="37"/>
  <c r="A96" i="37"/>
  <c r="S95" i="37" a="1"/>
  <c r="S95" i="37"/>
  <c r="R95" i="37" a="1"/>
  <c r="R95" i="37"/>
  <c r="Q95" i="37" a="1"/>
  <c r="Q95" i="37"/>
  <c r="P95" i="37" a="1"/>
  <c r="P95" i="37"/>
  <c r="O95" i="37" a="1"/>
  <c r="O95" i="37"/>
  <c r="N95" i="37" a="1"/>
  <c r="N95" i="37"/>
  <c r="M95" i="37" a="1"/>
  <c r="M95" i="37"/>
  <c r="K95" i="37"/>
  <c r="J95" i="37"/>
  <c r="I95" i="37"/>
  <c r="H95" i="37"/>
  <c r="G95" i="37"/>
  <c r="F95" i="37"/>
  <c r="E95" i="37"/>
  <c r="M94" i="37" a="1"/>
  <c r="M94" i="37"/>
  <c r="K94" i="37"/>
  <c r="D94" i="37"/>
  <c r="D95" i="37"/>
  <c r="B95" i="37"/>
  <c r="A95" i="37"/>
  <c r="S94" i="37" a="1"/>
  <c r="S94" i="37"/>
  <c r="R94" i="37" a="1"/>
  <c r="R94" i="37"/>
  <c r="Q94" i="37" a="1"/>
  <c r="Q94" i="37"/>
  <c r="P94" i="37" a="1"/>
  <c r="P94" i="37"/>
  <c r="O94" i="37" a="1"/>
  <c r="O94" i="37"/>
  <c r="N94" i="37" a="1"/>
  <c r="N94" i="37"/>
  <c r="J94" i="37"/>
  <c r="I94" i="37"/>
  <c r="H94" i="37"/>
  <c r="G94" i="37"/>
  <c r="F94" i="37"/>
  <c r="E94" i="37"/>
  <c r="B94" i="37"/>
  <c r="A94" i="37"/>
  <c r="S93" i="37" a="1"/>
  <c r="S93" i="37"/>
  <c r="R93" i="37" a="1"/>
  <c r="R93" i="37"/>
  <c r="Q93" i="37" a="1"/>
  <c r="Q93" i="37"/>
  <c r="P93" i="37" a="1"/>
  <c r="P93" i="37"/>
  <c r="O93" i="37" a="1"/>
  <c r="O93" i="37"/>
  <c r="N93" i="37" a="1"/>
  <c r="N93" i="37"/>
  <c r="M93" i="37" a="1"/>
  <c r="M93" i="37"/>
  <c r="K93" i="37"/>
  <c r="J93" i="37"/>
  <c r="I93" i="37"/>
  <c r="H93" i="37"/>
  <c r="G93" i="37"/>
  <c r="F93" i="37"/>
  <c r="E93" i="37"/>
  <c r="M92" i="37" a="1"/>
  <c r="M92" i="37"/>
  <c r="K92" i="37"/>
  <c r="K91" i="37"/>
  <c r="D91" i="37"/>
  <c r="D92" i="37"/>
  <c r="D93" i="37"/>
  <c r="B93" i="37"/>
  <c r="A93" i="37"/>
  <c r="S92" i="37" a="1"/>
  <c r="S92" i="37"/>
  <c r="R92" i="37" a="1"/>
  <c r="R92" i="37"/>
  <c r="Q92" i="37" a="1"/>
  <c r="Q92" i="37"/>
  <c r="P92" i="37" a="1"/>
  <c r="P92" i="37"/>
  <c r="O92" i="37" a="1"/>
  <c r="O92" i="37"/>
  <c r="N92" i="37" a="1"/>
  <c r="N92" i="37"/>
  <c r="J92" i="37"/>
  <c r="I92" i="37"/>
  <c r="H92" i="37"/>
  <c r="G92" i="37"/>
  <c r="F92" i="37"/>
  <c r="E92" i="37"/>
  <c r="B92" i="37"/>
  <c r="A92" i="37"/>
  <c r="S91" i="37" a="1"/>
  <c r="S91" i="37"/>
  <c r="R91" i="37" a="1"/>
  <c r="R91" i="37"/>
  <c r="Q91" i="37" a="1"/>
  <c r="Q91" i="37"/>
  <c r="P91" i="37" a="1"/>
  <c r="P91" i="37"/>
  <c r="O91" i="37" a="1"/>
  <c r="O91" i="37"/>
  <c r="N91" i="37" a="1"/>
  <c r="N91" i="37"/>
  <c r="M91" i="37" a="1"/>
  <c r="M91" i="37"/>
  <c r="J91" i="37"/>
  <c r="I91" i="37"/>
  <c r="H91" i="37"/>
  <c r="G91" i="37"/>
  <c r="F91" i="37"/>
  <c r="E91" i="37"/>
  <c r="B91" i="37"/>
  <c r="A91" i="37"/>
  <c r="S90" i="37" a="1"/>
  <c r="S90" i="37"/>
  <c r="R90" i="37" a="1"/>
  <c r="R90" i="37"/>
  <c r="Q90" i="37" a="1"/>
  <c r="Q90" i="37"/>
  <c r="P90" i="37" a="1"/>
  <c r="P90" i="37"/>
  <c r="O90" i="37" a="1"/>
  <c r="O90" i="37"/>
  <c r="N90" i="37" a="1"/>
  <c r="N90" i="37"/>
  <c r="M90" i="37" a="1"/>
  <c r="M90" i="37"/>
  <c r="K90" i="37"/>
  <c r="J90" i="37"/>
  <c r="I90" i="37"/>
  <c r="H90" i="37"/>
  <c r="G90" i="37"/>
  <c r="F90" i="37"/>
  <c r="E90" i="37"/>
  <c r="M89" i="37" a="1"/>
  <c r="M89" i="37"/>
  <c r="K89" i="37"/>
  <c r="D89" i="37"/>
  <c r="D90" i="37"/>
  <c r="B90" i="37"/>
  <c r="A90" i="37"/>
  <c r="S89" i="37" a="1"/>
  <c r="S89" i="37"/>
  <c r="R89" i="37" a="1"/>
  <c r="R89" i="37"/>
  <c r="Q89" i="37" a="1"/>
  <c r="Q89" i="37"/>
  <c r="P89" i="37" a="1"/>
  <c r="P89" i="37"/>
  <c r="O89" i="37" a="1"/>
  <c r="O89" i="37"/>
  <c r="N89" i="37" a="1"/>
  <c r="N89" i="37"/>
  <c r="J89" i="37"/>
  <c r="I89" i="37"/>
  <c r="H89" i="37"/>
  <c r="G89" i="37"/>
  <c r="F89" i="37"/>
  <c r="E89" i="37"/>
  <c r="B89" i="37"/>
  <c r="A89" i="37"/>
  <c r="S88" i="37" a="1"/>
  <c r="S88" i="37"/>
  <c r="R88" i="37" a="1"/>
  <c r="R88" i="37"/>
  <c r="Q88" i="37" a="1"/>
  <c r="Q88" i="37"/>
  <c r="P88" i="37" a="1"/>
  <c r="P88" i="37"/>
  <c r="O88" i="37" a="1"/>
  <c r="O88" i="37"/>
  <c r="N88" i="37" a="1"/>
  <c r="N88" i="37"/>
  <c r="M88" i="37" a="1"/>
  <c r="M88" i="37"/>
  <c r="K88" i="37"/>
  <c r="J88" i="37"/>
  <c r="I88" i="37"/>
  <c r="H88" i="37"/>
  <c r="G88" i="37"/>
  <c r="F88" i="37"/>
  <c r="E88" i="37"/>
  <c r="D88" i="37"/>
  <c r="B88" i="37"/>
  <c r="A88" i="37"/>
  <c r="S87" i="37" a="1"/>
  <c r="S87" i="37"/>
  <c r="R87" i="37" a="1"/>
  <c r="R87" i="37"/>
  <c r="Q87" i="37" a="1"/>
  <c r="Q87" i="37"/>
  <c r="P87" i="37" a="1"/>
  <c r="P87" i="37"/>
  <c r="O87" i="37" a="1"/>
  <c r="O87" i="37"/>
  <c r="N87" i="37" a="1"/>
  <c r="N87" i="37"/>
  <c r="M87" i="37" a="1"/>
  <c r="M87" i="37"/>
  <c r="K87" i="37"/>
  <c r="J87" i="37"/>
  <c r="I87" i="37"/>
  <c r="H87" i="37"/>
  <c r="G87" i="37"/>
  <c r="F87" i="37"/>
  <c r="E87" i="37"/>
  <c r="M86" i="37" a="1"/>
  <c r="M86" i="37"/>
  <c r="K86" i="37"/>
  <c r="D86" i="37"/>
  <c r="D87" i="37"/>
  <c r="B87" i="37"/>
  <c r="A87" i="37"/>
  <c r="S86" i="37" a="1"/>
  <c r="S86" i="37"/>
  <c r="R86" i="37" a="1"/>
  <c r="R86" i="37"/>
  <c r="Q86" i="37" a="1"/>
  <c r="Q86" i="37"/>
  <c r="P86" i="37" a="1"/>
  <c r="P86" i="37"/>
  <c r="O86" i="37" a="1"/>
  <c r="O86" i="37"/>
  <c r="N86" i="37" a="1"/>
  <c r="N86" i="37"/>
  <c r="J86" i="37"/>
  <c r="I86" i="37"/>
  <c r="H86" i="37"/>
  <c r="G86" i="37"/>
  <c r="F86" i="37"/>
  <c r="E86" i="37"/>
  <c r="B86" i="37"/>
  <c r="A86" i="37"/>
  <c r="S85" i="37" a="1"/>
  <c r="S85" i="37"/>
  <c r="R85" i="37" a="1"/>
  <c r="R85" i="37"/>
  <c r="Q85" i="37" a="1"/>
  <c r="Q85" i="37"/>
  <c r="P85" i="37" a="1"/>
  <c r="P85" i="37"/>
  <c r="O85" i="37" a="1"/>
  <c r="O85" i="37"/>
  <c r="N85" i="37" a="1"/>
  <c r="N85" i="37"/>
  <c r="M85" i="37" a="1"/>
  <c r="M85" i="37"/>
  <c r="K85" i="37"/>
  <c r="J85" i="37"/>
  <c r="I85" i="37"/>
  <c r="H85" i="37"/>
  <c r="G85" i="37"/>
  <c r="F85" i="37"/>
  <c r="E85" i="37"/>
  <c r="K84" i="37"/>
  <c r="D84" i="37"/>
  <c r="D85" i="37"/>
  <c r="B85" i="37"/>
  <c r="A85" i="37"/>
  <c r="S84" i="37" a="1"/>
  <c r="S84" i="37"/>
  <c r="R84" i="37" a="1"/>
  <c r="R84" i="37"/>
  <c r="Q84" i="37" a="1"/>
  <c r="Q84" i="37"/>
  <c r="P84" i="37" a="1"/>
  <c r="P84" i="37"/>
  <c r="O84" i="37" a="1"/>
  <c r="O84" i="37"/>
  <c r="N84" i="37" a="1"/>
  <c r="N84" i="37"/>
  <c r="M84" i="37" a="1"/>
  <c r="M84" i="37"/>
  <c r="J84" i="37"/>
  <c r="I84" i="37"/>
  <c r="H84" i="37"/>
  <c r="G84" i="37"/>
  <c r="F84" i="37"/>
  <c r="E84" i="37"/>
  <c r="B84" i="37"/>
  <c r="A84" i="37"/>
  <c r="S83" i="37" a="1"/>
  <c r="S83" i="37"/>
  <c r="R83" i="37" a="1"/>
  <c r="R83" i="37"/>
  <c r="Q83" i="37" a="1"/>
  <c r="Q83" i="37"/>
  <c r="P83" i="37" a="1"/>
  <c r="P83" i="37"/>
  <c r="O83" i="37" a="1"/>
  <c r="O83" i="37"/>
  <c r="N83" i="37" a="1"/>
  <c r="N83" i="37"/>
  <c r="M83" i="37" a="1"/>
  <c r="M83" i="37"/>
  <c r="K83" i="37"/>
  <c r="J83" i="37"/>
  <c r="I83" i="37"/>
  <c r="H83" i="37"/>
  <c r="G83" i="37"/>
  <c r="F83" i="37"/>
  <c r="E83" i="37"/>
  <c r="K82" i="37"/>
  <c r="D82" i="37"/>
  <c r="D83" i="37"/>
  <c r="B83" i="37"/>
  <c r="A83" i="37"/>
  <c r="S82" i="37" a="1"/>
  <c r="S82" i="37"/>
  <c r="R82" i="37" a="1"/>
  <c r="R82" i="37"/>
  <c r="Q82" i="37" a="1"/>
  <c r="Q82" i="37"/>
  <c r="P82" i="37" a="1"/>
  <c r="P82" i="37"/>
  <c r="O82" i="37" a="1"/>
  <c r="O82" i="37"/>
  <c r="N82" i="37" a="1"/>
  <c r="N82" i="37"/>
  <c r="M82" i="37" a="1"/>
  <c r="M82" i="37"/>
  <c r="J82" i="37"/>
  <c r="I82" i="37"/>
  <c r="H82" i="37"/>
  <c r="G82" i="37"/>
  <c r="F82" i="37"/>
  <c r="E82" i="37"/>
  <c r="M81" i="37" a="1"/>
  <c r="M81" i="37"/>
  <c r="K81" i="37"/>
  <c r="D81" i="37"/>
  <c r="B82" i="37"/>
  <c r="A82" i="37"/>
  <c r="S81" i="37" a="1"/>
  <c r="S81" i="37"/>
  <c r="R81" i="37" a="1"/>
  <c r="R81" i="37"/>
  <c r="Q81" i="37" a="1"/>
  <c r="Q81" i="37"/>
  <c r="P81" i="37" a="1"/>
  <c r="P81" i="37"/>
  <c r="O81" i="37" a="1"/>
  <c r="O81" i="37"/>
  <c r="N81" i="37" a="1"/>
  <c r="N81" i="37"/>
  <c r="J81" i="37"/>
  <c r="I81" i="37"/>
  <c r="H81" i="37"/>
  <c r="G81" i="37"/>
  <c r="F81" i="37"/>
  <c r="E81" i="37"/>
  <c r="B81" i="37"/>
  <c r="A81" i="37"/>
  <c r="S80" i="37" a="1"/>
  <c r="S80" i="37"/>
  <c r="R80" i="37" a="1"/>
  <c r="R80" i="37"/>
  <c r="Q80" i="37" a="1"/>
  <c r="Q80" i="37"/>
  <c r="P80" i="37" a="1"/>
  <c r="P80" i="37"/>
  <c r="O80" i="37" a="1"/>
  <c r="O80" i="37"/>
  <c r="N80" i="37" a="1"/>
  <c r="N80" i="37"/>
  <c r="M80" i="37" a="1"/>
  <c r="M80" i="37"/>
  <c r="K80" i="37"/>
  <c r="J80" i="37"/>
  <c r="I80" i="37"/>
  <c r="H80" i="37"/>
  <c r="G80" i="37"/>
  <c r="F80" i="37"/>
  <c r="E80" i="37"/>
  <c r="M79" i="37" a="1"/>
  <c r="M79" i="37"/>
  <c r="K79" i="37"/>
  <c r="D79" i="37"/>
  <c r="D80" i="37"/>
  <c r="B80" i="37"/>
  <c r="A80" i="37"/>
  <c r="S79" i="37" a="1"/>
  <c r="S79" i="37"/>
  <c r="R79" i="37" a="1"/>
  <c r="R79" i="37"/>
  <c r="Q79" i="37" a="1"/>
  <c r="Q79" i="37"/>
  <c r="P79" i="37" a="1"/>
  <c r="P79" i="37"/>
  <c r="O79" i="37" a="1"/>
  <c r="O79" i="37"/>
  <c r="N79" i="37" a="1"/>
  <c r="N79" i="37"/>
  <c r="J79" i="37"/>
  <c r="I79" i="37"/>
  <c r="H79" i="37"/>
  <c r="G79" i="37"/>
  <c r="F79" i="37"/>
  <c r="E79" i="37"/>
  <c r="B79" i="37"/>
  <c r="A79" i="37"/>
  <c r="S78" i="37" a="1"/>
  <c r="S78" i="37"/>
  <c r="R78" i="37" a="1"/>
  <c r="R78" i="37"/>
  <c r="Q78" i="37" a="1"/>
  <c r="Q78" i="37"/>
  <c r="P78" i="37" a="1"/>
  <c r="P78" i="37"/>
  <c r="O78" i="37" a="1"/>
  <c r="O78" i="37"/>
  <c r="N78" i="37" a="1"/>
  <c r="N78" i="37"/>
  <c r="M78" i="37" a="1"/>
  <c r="M78" i="37"/>
  <c r="K78" i="37"/>
  <c r="J78" i="37"/>
  <c r="I78" i="37"/>
  <c r="H78" i="37"/>
  <c r="G78" i="37"/>
  <c r="F78" i="37"/>
  <c r="E78" i="37"/>
  <c r="M77" i="37" a="1"/>
  <c r="M77" i="37"/>
  <c r="K77" i="37"/>
  <c r="D77" i="37"/>
  <c r="D78" i="37"/>
  <c r="B78" i="37"/>
  <c r="A78" i="37"/>
  <c r="S77" i="37" a="1"/>
  <c r="S77" i="37"/>
  <c r="R77" i="37" a="1"/>
  <c r="R77" i="37"/>
  <c r="Q77" i="37" a="1"/>
  <c r="Q77" i="37"/>
  <c r="P77" i="37" a="1"/>
  <c r="P77" i="37"/>
  <c r="O77" i="37" a="1"/>
  <c r="O77" i="37"/>
  <c r="N77" i="37" a="1"/>
  <c r="N77" i="37"/>
  <c r="J77" i="37"/>
  <c r="I77" i="37"/>
  <c r="H77" i="37"/>
  <c r="G77" i="37"/>
  <c r="F77" i="37"/>
  <c r="E77" i="37"/>
  <c r="B77" i="37"/>
  <c r="A77" i="37"/>
  <c r="S76" i="37" a="1"/>
  <c r="S76" i="37"/>
  <c r="R76" i="37" a="1"/>
  <c r="R76" i="37"/>
  <c r="Q76" i="37" a="1"/>
  <c r="Q76" i="37"/>
  <c r="P76" i="37" a="1"/>
  <c r="P76" i="37"/>
  <c r="O76" i="37" a="1"/>
  <c r="O76" i="37"/>
  <c r="N76" i="37" a="1"/>
  <c r="N76" i="37"/>
  <c r="M76" i="37" a="1"/>
  <c r="M76" i="37"/>
  <c r="K76" i="37"/>
  <c r="J76" i="37"/>
  <c r="I76" i="37"/>
  <c r="H76" i="37"/>
  <c r="G76" i="37"/>
  <c r="F76" i="37"/>
  <c r="E76" i="37"/>
  <c r="D76" i="37"/>
  <c r="B76" i="37"/>
  <c r="A76" i="37"/>
  <c r="S75" i="37" a="1"/>
  <c r="S75" i="37"/>
  <c r="R75" i="37" a="1"/>
  <c r="R75" i="37"/>
  <c r="Q75" i="37" a="1"/>
  <c r="Q75" i="37"/>
  <c r="P75" i="37" a="1"/>
  <c r="P75" i="37"/>
  <c r="O75" i="37" a="1"/>
  <c r="O75" i="37"/>
  <c r="N75" i="37" a="1"/>
  <c r="N75" i="37"/>
  <c r="M75" i="37" a="1"/>
  <c r="M75" i="37"/>
  <c r="K75" i="37"/>
  <c r="J75" i="37"/>
  <c r="I75" i="37"/>
  <c r="H75" i="37"/>
  <c r="G75" i="37"/>
  <c r="F75" i="37"/>
  <c r="E75" i="37"/>
  <c r="D75" i="37"/>
  <c r="B75" i="37"/>
  <c r="A75" i="37"/>
  <c r="S74" i="37" a="1"/>
  <c r="S74" i="37"/>
  <c r="R74" i="37" a="1"/>
  <c r="R74" i="37"/>
  <c r="Q74" i="37" a="1"/>
  <c r="Q74" i="37"/>
  <c r="P74" i="37" a="1"/>
  <c r="P74" i="37"/>
  <c r="O74" i="37" a="1"/>
  <c r="O74" i="37"/>
  <c r="N74" i="37" a="1"/>
  <c r="N74" i="37"/>
  <c r="M74" i="37" a="1"/>
  <c r="M74" i="37"/>
  <c r="K74" i="37"/>
  <c r="J74" i="37"/>
  <c r="I74" i="37"/>
  <c r="H74" i="37"/>
  <c r="G74" i="37"/>
  <c r="F74" i="37"/>
  <c r="E74" i="37"/>
  <c r="D74" i="37"/>
  <c r="B74" i="37"/>
  <c r="A74" i="37"/>
  <c r="S73" i="37" a="1"/>
  <c r="S73" i="37"/>
  <c r="R73" i="37" a="1"/>
  <c r="R73" i="37"/>
  <c r="Q73" i="37" a="1"/>
  <c r="Q73" i="37"/>
  <c r="P73" i="37" a="1"/>
  <c r="P73" i="37"/>
  <c r="O73" i="37" a="1"/>
  <c r="O73" i="37"/>
  <c r="N73" i="37" a="1"/>
  <c r="N73" i="37"/>
  <c r="M73" i="37" a="1"/>
  <c r="M73" i="37"/>
  <c r="K73" i="37"/>
  <c r="J73" i="37"/>
  <c r="I73" i="37"/>
  <c r="H73" i="37"/>
  <c r="G73" i="37"/>
  <c r="F73" i="37"/>
  <c r="E73" i="37"/>
  <c r="D73" i="37"/>
  <c r="B73" i="37"/>
  <c r="A73" i="37"/>
  <c r="S72" i="37" a="1"/>
  <c r="S72" i="37"/>
  <c r="R72" i="37" a="1"/>
  <c r="R72" i="37"/>
  <c r="Q72" i="37" a="1"/>
  <c r="Q72" i="37"/>
  <c r="P72" i="37" a="1"/>
  <c r="P72" i="37"/>
  <c r="O72" i="37" a="1"/>
  <c r="O72" i="37"/>
  <c r="N72" i="37" a="1"/>
  <c r="N72" i="37"/>
  <c r="M72" i="37" a="1"/>
  <c r="M72" i="37"/>
  <c r="K72" i="37"/>
  <c r="J72" i="37"/>
  <c r="I72" i="37"/>
  <c r="H72" i="37"/>
  <c r="G72" i="37"/>
  <c r="F72" i="37"/>
  <c r="E72" i="37"/>
  <c r="D72" i="37"/>
  <c r="B72" i="37"/>
  <c r="A72" i="37"/>
  <c r="S71" i="37" a="1"/>
  <c r="S71" i="37"/>
  <c r="R71" i="37" a="1"/>
  <c r="R71" i="37"/>
  <c r="Q71" i="37" a="1"/>
  <c r="Q71" i="37"/>
  <c r="P71" i="37" a="1"/>
  <c r="P71" i="37"/>
  <c r="O71" i="37" a="1"/>
  <c r="O71" i="37"/>
  <c r="N71" i="37" a="1"/>
  <c r="N71" i="37"/>
  <c r="M71" i="37" a="1"/>
  <c r="M71" i="37"/>
  <c r="K71" i="37"/>
  <c r="J71" i="37"/>
  <c r="I71" i="37"/>
  <c r="H71" i="37"/>
  <c r="G71" i="37"/>
  <c r="F71" i="37"/>
  <c r="E71" i="37"/>
  <c r="D71" i="37"/>
  <c r="B71" i="37"/>
  <c r="A71" i="37"/>
  <c r="S70" i="37" a="1"/>
  <c r="S70" i="37"/>
  <c r="R70" i="37" a="1"/>
  <c r="R70" i="37"/>
  <c r="Q70" i="37" a="1"/>
  <c r="Q70" i="37"/>
  <c r="P70" i="37" a="1"/>
  <c r="P70" i="37"/>
  <c r="O70" i="37" a="1"/>
  <c r="O70" i="37"/>
  <c r="N70" i="37" a="1"/>
  <c r="N70" i="37"/>
  <c r="M70" i="37" a="1"/>
  <c r="M70" i="37"/>
  <c r="K70" i="37"/>
  <c r="J70" i="37"/>
  <c r="I70" i="37"/>
  <c r="H70" i="37"/>
  <c r="G70" i="37"/>
  <c r="F70" i="37"/>
  <c r="E70" i="37"/>
  <c r="D70" i="37"/>
  <c r="B70" i="37"/>
  <c r="A70" i="37"/>
  <c r="S69" i="37" a="1"/>
  <c r="S69" i="37"/>
  <c r="R69" i="37" a="1"/>
  <c r="R69" i="37"/>
  <c r="Q69" i="37" a="1"/>
  <c r="Q69" i="37"/>
  <c r="P69" i="37" a="1"/>
  <c r="P69" i="37"/>
  <c r="O69" i="37" a="1"/>
  <c r="O69" i="37"/>
  <c r="N69" i="37" a="1"/>
  <c r="N69" i="37"/>
  <c r="M69" i="37" a="1"/>
  <c r="M69" i="37"/>
  <c r="K69" i="37"/>
  <c r="J69" i="37"/>
  <c r="I69" i="37"/>
  <c r="H69" i="37"/>
  <c r="G69" i="37"/>
  <c r="F69" i="37"/>
  <c r="E69" i="37"/>
  <c r="D69" i="37"/>
  <c r="B69" i="37"/>
  <c r="A69" i="37"/>
  <c r="S68" i="37" a="1"/>
  <c r="S68" i="37"/>
  <c r="R68" i="37" a="1"/>
  <c r="R68" i="37"/>
  <c r="Q68" i="37" a="1"/>
  <c r="Q68" i="37"/>
  <c r="P68" i="37" a="1"/>
  <c r="P68" i="37"/>
  <c r="O68" i="37" a="1"/>
  <c r="O68" i="37"/>
  <c r="N68" i="37" a="1"/>
  <c r="N68" i="37"/>
  <c r="M68" i="37" a="1"/>
  <c r="M68" i="37"/>
  <c r="K68" i="37"/>
  <c r="J68" i="37"/>
  <c r="I68" i="37"/>
  <c r="H68" i="37"/>
  <c r="G68" i="37"/>
  <c r="F68" i="37"/>
  <c r="E68" i="37"/>
  <c r="D68" i="37"/>
  <c r="B68" i="37"/>
  <c r="A68" i="37"/>
  <c r="S67" i="37" a="1"/>
  <c r="S67" i="37"/>
  <c r="R67" i="37" a="1"/>
  <c r="R67" i="37"/>
  <c r="Q67" i="37" a="1"/>
  <c r="Q67" i="37"/>
  <c r="P67" i="37" a="1"/>
  <c r="P67" i="37"/>
  <c r="O67" i="37" a="1"/>
  <c r="O67" i="37"/>
  <c r="N67" i="37" a="1"/>
  <c r="N67" i="37"/>
  <c r="M67" i="37" a="1"/>
  <c r="M67" i="37"/>
  <c r="K67" i="37"/>
  <c r="J67" i="37"/>
  <c r="I67" i="37"/>
  <c r="H67" i="37"/>
  <c r="G67" i="37"/>
  <c r="F67" i="37"/>
  <c r="E67" i="37"/>
  <c r="D67" i="37"/>
  <c r="B67" i="37"/>
  <c r="A67" i="37"/>
  <c r="S66" i="37" a="1"/>
  <c r="S66" i="37"/>
  <c r="R66" i="37" a="1"/>
  <c r="R66" i="37"/>
  <c r="Q66" i="37" a="1"/>
  <c r="Q66" i="37"/>
  <c r="P66" i="37" a="1"/>
  <c r="P66" i="37"/>
  <c r="O66" i="37" a="1"/>
  <c r="O66" i="37"/>
  <c r="N66" i="37" a="1"/>
  <c r="N66" i="37"/>
  <c r="M66" i="37" a="1"/>
  <c r="M66" i="37"/>
  <c r="K66" i="37"/>
  <c r="J66" i="37"/>
  <c r="I66" i="37"/>
  <c r="H66" i="37"/>
  <c r="G66" i="37"/>
  <c r="F66" i="37"/>
  <c r="E66" i="37"/>
  <c r="D66" i="37"/>
  <c r="B66" i="37"/>
  <c r="A66" i="37"/>
  <c r="S65" i="37" a="1"/>
  <c r="S65" i="37"/>
  <c r="R65" i="37" a="1"/>
  <c r="R65" i="37"/>
  <c r="Q65" i="37" a="1"/>
  <c r="Q65" i="37"/>
  <c r="P65" i="37" a="1"/>
  <c r="P65" i="37"/>
  <c r="O65" i="37" a="1"/>
  <c r="O65" i="37"/>
  <c r="N65" i="37" a="1"/>
  <c r="N65" i="37"/>
  <c r="M65" i="37" a="1"/>
  <c r="M65" i="37"/>
  <c r="K65" i="37"/>
  <c r="J65" i="37"/>
  <c r="I65" i="37"/>
  <c r="H65" i="37"/>
  <c r="G65" i="37"/>
  <c r="F65" i="37"/>
  <c r="E65" i="37"/>
  <c r="D65" i="37"/>
  <c r="B65" i="37"/>
  <c r="A65" i="37"/>
  <c r="S64" i="37" a="1"/>
  <c r="S64" i="37"/>
  <c r="R64" i="37" a="1"/>
  <c r="R64" i="37"/>
  <c r="Q64" i="37" a="1"/>
  <c r="Q64" i="37"/>
  <c r="P64" i="37" a="1"/>
  <c r="P64" i="37"/>
  <c r="O64" i="37" a="1"/>
  <c r="O64" i="37"/>
  <c r="N64" i="37" a="1"/>
  <c r="N64" i="37"/>
  <c r="M64" i="37" a="1"/>
  <c r="M64" i="37"/>
  <c r="K64" i="37"/>
  <c r="J64" i="37"/>
  <c r="I64" i="37"/>
  <c r="H64" i="37"/>
  <c r="G64" i="37"/>
  <c r="F64" i="37"/>
  <c r="E64" i="37"/>
  <c r="D64" i="37"/>
  <c r="B64" i="37"/>
  <c r="A64" i="37"/>
  <c r="S63" i="37" a="1"/>
  <c r="S63" i="37"/>
  <c r="R63" i="37" a="1"/>
  <c r="R63" i="37"/>
  <c r="Q63" i="37" a="1"/>
  <c r="Q63" i="37"/>
  <c r="P63" i="37" a="1"/>
  <c r="P63" i="37"/>
  <c r="O63" i="37" a="1"/>
  <c r="O63" i="37"/>
  <c r="N63" i="37" a="1"/>
  <c r="N63" i="37"/>
  <c r="M63" i="37" a="1"/>
  <c r="M63" i="37"/>
  <c r="K63" i="37"/>
  <c r="J63" i="37"/>
  <c r="I63" i="37"/>
  <c r="H63" i="37"/>
  <c r="G63" i="37"/>
  <c r="F63" i="37"/>
  <c r="E63" i="37"/>
  <c r="D63" i="37"/>
  <c r="B63" i="37"/>
  <c r="A63" i="37"/>
  <c r="S62" i="37" a="1"/>
  <c r="S62" i="37"/>
  <c r="R62" i="37" a="1"/>
  <c r="R62" i="37"/>
  <c r="Q62" i="37" a="1"/>
  <c r="Q62" i="37"/>
  <c r="P62" i="37" a="1"/>
  <c r="P62" i="37"/>
  <c r="O62" i="37" a="1"/>
  <c r="O62" i="37"/>
  <c r="N62" i="37" a="1"/>
  <c r="N62" i="37"/>
  <c r="M62" i="37" a="1"/>
  <c r="M62" i="37"/>
  <c r="K62" i="37"/>
  <c r="J62" i="37"/>
  <c r="I62" i="37"/>
  <c r="H62" i="37"/>
  <c r="G62" i="37"/>
  <c r="F62" i="37"/>
  <c r="E62" i="37"/>
  <c r="D62" i="37"/>
  <c r="B62" i="37"/>
  <c r="A62" i="37"/>
  <c r="S61" i="37" a="1"/>
  <c r="S61" i="37"/>
  <c r="R61" i="37" a="1"/>
  <c r="R61" i="37"/>
  <c r="Q61" i="37" a="1"/>
  <c r="Q61" i="37"/>
  <c r="P61" i="37" a="1"/>
  <c r="P61" i="37"/>
  <c r="O61" i="37" a="1"/>
  <c r="O61" i="37"/>
  <c r="N61" i="37" a="1"/>
  <c r="N61" i="37"/>
  <c r="M61" i="37" a="1"/>
  <c r="M61" i="37"/>
  <c r="K61" i="37"/>
  <c r="J61" i="37"/>
  <c r="I61" i="37"/>
  <c r="H61" i="37"/>
  <c r="G61" i="37"/>
  <c r="F61" i="37"/>
  <c r="E61" i="37"/>
  <c r="D61" i="37"/>
  <c r="B61" i="37"/>
  <c r="A61" i="37"/>
  <c r="S60" i="37" a="1"/>
  <c r="S60" i="37"/>
  <c r="R60" i="37" a="1"/>
  <c r="R60" i="37"/>
  <c r="Q60" i="37" a="1"/>
  <c r="Q60" i="37"/>
  <c r="P60" i="37" a="1"/>
  <c r="P60" i="37"/>
  <c r="O60" i="37" a="1"/>
  <c r="O60" i="37"/>
  <c r="N60" i="37" a="1"/>
  <c r="N60" i="37"/>
  <c r="M60" i="37" a="1"/>
  <c r="M60" i="37"/>
  <c r="K60" i="37"/>
  <c r="J60" i="37"/>
  <c r="I60" i="37"/>
  <c r="H60" i="37"/>
  <c r="G60" i="37"/>
  <c r="F60" i="37"/>
  <c r="E60" i="37"/>
  <c r="D60" i="37"/>
  <c r="B60" i="37"/>
  <c r="A60" i="37"/>
  <c r="S59" i="37" a="1"/>
  <c r="S59" i="37"/>
  <c r="R59" i="37" a="1"/>
  <c r="R59" i="37"/>
  <c r="Q59" i="37" a="1"/>
  <c r="Q59" i="37"/>
  <c r="P59" i="37" a="1"/>
  <c r="P59" i="37"/>
  <c r="O59" i="37" a="1"/>
  <c r="O59" i="37"/>
  <c r="N59" i="37" a="1"/>
  <c r="N59" i="37"/>
  <c r="M59" i="37" a="1"/>
  <c r="M59" i="37"/>
  <c r="K59" i="37"/>
  <c r="J59" i="37"/>
  <c r="I59" i="37"/>
  <c r="H59" i="37"/>
  <c r="G59" i="37"/>
  <c r="F59" i="37"/>
  <c r="E59" i="37"/>
  <c r="M58" i="37" a="1"/>
  <c r="M58" i="37"/>
  <c r="K58" i="37"/>
  <c r="D58" i="37"/>
  <c r="D59" i="37"/>
  <c r="B59" i="37"/>
  <c r="A59" i="37"/>
  <c r="S58" i="37" a="1"/>
  <c r="S58" i="37"/>
  <c r="R58" i="37" a="1"/>
  <c r="R58" i="37"/>
  <c r="Q58" i="37" a="1"/>
  <c r="Q58" i="37"/>
  <c r="P58" i="37" a="1"/>
  <c r="P58" i="37"/>
  <c r="O58" i="37" a="1"/>
  <c r="O58" i="37"/>
  <c r="N58" i="37" a="1"/>
  <c r="N58" i="37"/>
  <c r="J58" i="37"/>
  <c r="I58" i="37"/>
  <c r="H58" i="37"/>
  <c r="G58" i="37"/>
  <c r="F58" i="37"/>
  <c r="E58" i="37"/>
  <c r="B58" i="37"/>
  <c r="A58" i="37"/>
  <c r="S57" i="37" a="1"/>
  <c r="S57" i="37"/>
  <c r="R57" i="37" a="1"/>
  <c r="R57" i="37"/>
  <c r="Q57" i="37" a="1"/>
  <c r="Q57" i="37"/>
  <c r="P57" i="37" a="1"/>
  <c r="P57" i="37"/>
  <c r="O57" i="37" a="1"/>
  <c r="O57" i="37"/>
  <c r="N57" i="37" a="1"/>
  <c r="N57" i="37"/>
  <c r="M57" i="37" a="1"/>
  <c r="M57" i="37"/>
  <c r="K57" i="37"/>
  <c r="J57" i="37"/>
  <c r="I57" i="37"/>
  <c r="H57" i="37"/>
  <c r="G57" i="37"/>
  <c r="F57" i="37"/>
  <c r="E57" i="37"/>
  <c r="D57" i="37"/>
  <c r="B57" i="37"/>
  <c r="A57" i="37"/>
  <c r="S56" i="37" a="1"/>
  <c r="S56" i="37"/>
  <c r="R56" i="37" a="1"/>
  <c r="R56" i="37"/>
  <c r="Q56" i="37" a="1"/>
  <c r="Q56" i="37"/>
  <c r="P56" i="37" a="1"/>
  <c r="P56" i="37"/>
  <c r="O56" i="37" a="1"/>
  <c r="O56" i="37"/>
  <c r="N56" i="37" a="1"/>
  <c r="N56" i="37"/>
  <c r="M56" i="37" a="1"/>
  <c r="M56" i="37"/>
  <c r="K56" i="37"/>
  <c r="J56" i="37"/>
  <c r="I56" i="37"/>
  <c r="H56" i="37"/>
  <c r="G56" i="37"/>
  <c r="F56" i="37"/>
  <c r="E56" i="37"/>
  <c r="D56" i="37"/>
  <c r="B56" i="37"/>
  <c r="A56" i="37"/>
  <c r="S55" i="37" a="1"/>
  <c r="S55" i="37"/>
  <c r="R55" i="37" a="1"/>
  <c r="R55" i="37"/>
  <c r="Q55" i="37" a="1"/>
  <c r="Q55" i="37"/>
  <c r="P55" i="37" a="1"/>
  <c r="P55" i="37"/>
  <c r="O55" i="37" a="1"/>
  <c r="O55" i="37"/>
  <c r="N55" i="37" a="1"/>
  <c r="N55" i="37"/>
  <c r="M55" i="37" a="1"/>
  <c r="M55" i="37"/>
  <c r="K55" i="37"/>
  <c r="J55" i="37"/>
  <c r="I55" i="37"/>
  <c r="H55" i="37"/>
  <c r="G55" i="37"/>
  <c r="F55" i="37"/>
  <c r="E55" i="37"/>
  <c r="D55" i="37"/>
  <c r="B55" i="37"/>
  <c r="A55" i="37"/>
  <c r="S54" i="37" a="1"/>
  <c r="S54" i="37"/>
  <c r="R54" i="37" a="1"/>
  <c r="R54" i="37"/>
  <c r="Q54" i="37" a="1"/>
  <c r="Q54" i="37"/>
  <c r="P54" i="37" a="1"/>
  <c r="P54" i="37"/>
  <c r="O54" i="37" a="1"/>
  <c r="O54" i="37"/>
  <c r="N54" i="37" a="1"/>
  <c r="N54" i="37"/>
  <c r="M54" i="37" a="1"/>
  <c r="M54" i="37"/>
  <c r="K54" i="37"/>
  <c r="J54" i="37"/>
  <c r="I54" i="37"/>
  <c r="H54" i="37"/>
  <c r="G54" i="37"/>
  <c r="F54" i="37"/>
  <c r="E54" i="37"/>
  <c r="D54" i="37"/>
  <c r="B54" i="37"/>
  <c r="A54" i="37"/>
  <c r="S53" i="37" a="1"/>
  <c r="S53" i="37"/>
  <c r="R53" i="37" a="1"/>
  <c r="R53" i="37"/>
  <c r="Q53" i="37" a="1"/>
  <c r="Q53" i="37"/>
  <c r="P53" i="37" a="1"/>
  <c r="P53" i="37"/>
  <c r="O53" i="37" a="1"/>
  <c r="O53" i="37"/>
  <c r="N53" i="37" a="1"/>
  <c r="N53" i="37"/>
  <c r="M53" i="37" a="1"/>
  <c r="M53" i="37"/>
  <c r="K53" i="37"/>
  <c r="J53" i="37"/>
  <c r="I53" i="37"/>
  <c r="H53" i="37"/>
  <c r="G53" i="37"/>
  <c r="F53" i="37"/>
  <c r="E53" i="37"/>
  <c r="D53" i="37"/>
  <c r="B53" i="37"/>
  <c r="A53" i="37"/>
  <c r="S52" i="37" a="1"/>
  <c r="S52" i="37"/>
  <c r="R52" i="37" a="1"/>
  <c r="R52" i="37"/>
  <c r="Q52" i="37" a="1"/>
  <c r="Q52" i="37"/>
  <c r="P52" i="37" a="1"/>
  <c r="P52" i="37"/>
  <c r="O52" i="37" a="1"/>
  <c r="O52" i="37"/>
  <c r="N52" i="37" a="1"/>
  <c r="N52" i="37"/>
  <c r="M52" i="37" a="1"/>
  <c r="M52" i="37"/>
  <c r="K52" i="37"/>
  <c r="J52" i="37"/>
  <c r="I52" i="37"/>
  <c r="H52" i="37"/>
  <c r="G52" i="37"/>
  <c r="F52" i="37"/>
  <c r="E52" i="37"/>
  <c r="D52" i="37"/>
  <c r="B52" i="37"/>
  <c r="A52" i="37"/>
  <c r="S51" i="37" a="1"/>
  <c r="S51" i="37"/>
  <c r="R51" i="37" a="1"/>
  <c r="R51" i="37"/>
  <c r="Q51" i="37" a="1"/>
  <c r="Q51" i="37"/>
  <c r="P51" i="37" a="1"/>
  <c r="P51" i="37"/>
  <c r="O51" i="37" a="1"/>
  <c r="O51" i="37"/>
  <c r="N51" i="37" a="1"/>
  <c r="N51" i="37"/>
  <c r="M51" i="37" a="1"/>
  <c r="M51" i="37"/>
  <c r="K51" i="37"/>
  <c r="J51" i="37"/>
  <c r="I51" i="37"/>
  <c r="H51" i="37"/>
  <c r="G51" i="37"/>
  <c r="F51" i="37"/>
  <c r="E51" i="37"/>
  <c r="D51" i="37"/>
  <c r="B51" i="37"/>
  <c r="A51" i="37"/>
  <c r="S50" i="37" a="1"/>
  <c r="S50" i="37"/>
  <c r="R50" i="37" a="1"/>
  <c r="R50" i="37"/>
  <c r="Q50" i="37" a="1"/>
  <c r="Q50" i="37"/>
  <c r="P50" i="37" a="1"/>
  <c r="P50" i="37"/>
  <c r="O50" i="37" a="1"/>
  <c r="O50" i="37"/>
  <c r="N50" i="37" a="1"/>
  <c r="N50" i="37"/>
  <c r="M50" i="37" a="1"/>
  <c r="M50" i="37"/>
  <c r="K50" i="37"/>
  <c r="J50" i="37"/>
  <c r="I50" i="37"/>
  <c r="H50" i="37"/>
  <c r="G50" i="37"/>
  <c r="F50" i="37"/>
  <c r="E50" i="37"/>
  <c r="D50" i="37"/>
  <c r="B50" i="37"/>
  <c r="A50" i="37"/>
  <c r="S49" i="37" a="1"/>
  <c r="S49" i="37"/>
  <c r="R49" i="37" a="1"/>
  <c r="R49" i="37"/>
  <c r="Q49" i="37" a="1"/>
  <c r="Q49" i="37"/>
  <c r="P49" i="37" a="1"/>
  <c r="P49" i="37"/>
  <c r="O49" i="37" a="1"/>
  <c r="O49" i="37"/>
  <c r="N49" i="37" a="1"/>
  <c r="N49" i="37"/>
  <c r="M49" i="37" a="1"/>
  <c r="M49" i="37"/>
  <c r="K49" i="37"/>
  <c r="J49" i="37"/>
  <c r="I49" i="37"/>
  <c r="H49" i="37"/>
  <c r="G49" i="37"/>
  <c r="F49" i="37"/>
  <c r="E49" i="37"/>
  <c r="D49" i="37"/>
  <c r="B49" i="37"/>
  <c r="A49" i="37"/>
  <c r="S48" i="37" a="1"/>
  <c r="S48" i="37"/>
  <c r="R48" i="37" a="1"/>
  <c r="R48" i="37"/>
  <c r="Q48" i="37" a="1"/>
  <c r="Q48" i="37"/>
  <c r="P48" i="37" a="1"/>
  <c r="P48" i="37"/>
  <c r="O48" i="37" a="1"/>
  <c r="O48" i="37"/>
  <c r="N48" i="37" a="1"/>
  <c r="N48" i="37"/>
  <c r="M48" i="37" a="1"/>
  <c r="M48" i="37"/>
  <c r="K48" i="37"/>
  <c r="J48" i="37"/>
  <c r="I48" i="37"/>
  <c r="H48" i="37"/>
  <c r="G48" i="37"/>
  <c r="F48" i="37"/>
  <c r="E48" i="37"/>
  <c r="D48" i="37"/>
  <c r="B48" i="37"/>
  <c r="A48" i="37"/>
  <c r="S47" i="37" a="1"/>
  <c r="S47" i="37"/>
  <c r="R47" i="37" a="1"/>
  <c r="R47" i="37"/>
  <c r="Q47" i="37" a="1"/>
  <c r="Q47" i="37"/>
  <c r="P47" i="37" a="1"/>
  <c r="P47" i="37"/>
  <c r="O47" i="37" a="1"/>
  <c r="O47" i="37"/>
  <c r="N47" i="37" a="1"/>
  <c r="N47" i="37"/>
  <c r="M47" i="37" a="1"/>
  <c r="M47" i="37"/>
  <c r="K47" i="37"/>
  <c r="J47" i="37"/>
  <c r="I47" i="37"/>
  <c r="H47" i="37"/>
  <c r="G47" i="37"/>
  <c r="F47" i="37"/>
  <c r="E47" i="37"/>
  <c r="D47" i="37"/>
  <c r="B47" i="37"/>
  <c r="A47" i="37"/>
  <c r="S46" i="37" a="1"/>
  <c r="S46" i="37"/>
  <c r="R46" i="37" a="1"/>
  <c r="R46" i="37"/>
  <c r="Q46" i="37" a="1"/>
  <c r="Q46" i="37"/>
  <c r="P46" i="37" a="1"/>
  <c r="P46" i="37"/>
  <c r="O46" i="37" a="1"/>
  <c r="O46" i="37"/>
  <c r="N46" i="37" a="1"/>
  <c r="N46" i="37"/>
  <c r="M46" i="37" a="1"/>
  <c r="M46" i="37"/>
  <c r="K46" i="37"/>
  <c r="J46" i="37"/>
  <c r="I46" i="37"/>
  <c r="H46" i="37"/>
  <c r="G46" i="37"/>
  <c r="F46" i="37"/>
  <c r="E46" i="37"/>
  <c r="M45" i="37" a="1"/>
  <c r="M45" i="37"/>
  <c r="K45" i="37"/>
  <c r="D45" i="37"/>
  <c r="D46" i="37"/>
  <c r="B46" i="37"/>
  <c r="A46" i="37"/>
  <c r="S45" i="37" a="1"/>
  <c r="S45" i="37"/>
  <c r="R45" i="37" a="1"/>
  <c r="R45" i="37"/>
  <c r="Q45" i="37" a="1"/>
  <c r="Q45" i="37"/>
  <c r="P45" i="37" a="1"/>
  <c r="P45" i="37"/>
  <c r="O45" i="37" a="1"/>
  <c r="O45" i="37"/>
  <c r="N45" i="37" a="1"/>
  <c r="N45" i="37"/>
  <c r="J45" i="37"/>
  <c r="I45" i="37"/>
  <c r="H45" i="37"/>
  <c r="G45" i="37"/>
  <c r="F45" i="37"/>
  <c r="E45" i="37"/>
  <c r="B45" i="37"/>
  <c r="A45" i="37"/>
  <c r="S44" i="37" a="1"/>
  <c r="S44" i="37"/>
  <c r="R44" i="37" a="1"/>
  <c r="R44" i="37"/>
  <c r="Q44" i="37" a="1"/>
  <c r="Q44" i="37"/>
  <c r="P44" i="37" a="1"/>
  <c r="P44" i="37"/>
  <c r="O44" i="37" a="1"/>
  <c r="O44" i="37"/>
  <c r="N44" i="37" a="1"/>
  <c r="N44" i="37"/>
  <c r="M44" i="37" a="1"/>
  <c r="M44" i="37"/>
  <c r="K44" i="37"/>
  <c r="J44" i="37"/>
  <c r="I44" i="37"/>
  <c r="H44" i="37"/>
  <c r="G44" i="37"/>
  <c r="F44" i="37"/>
  <c r="E44" i="37"/>
  <c r="D44" i="37"/>
  <c r="B44" i="37"/>
  <c r="A44" i="37"/>
  <c r="S43" i="37" a="1"/>
  <c r="S43" i="37"/>
  <c r="R43" i="37" a="1"/>
  <c r="R43" i="37"/>
  <c r="Q43" i="37" a="1"/>
  <c r="Q43" i="37"/>
  <c r="P43" i="37" a="1"/>
  <c r="P43" i="37"/>
  <c r="O43" i="37" a="1"/>
  <c r="O43" i="37"/>
  <c r="N43" i="37" a="1"/>
  <c r="N43" i="37"/>
  <c r="M43" i="37" a="1"/>
  <c r="M43" i="37"/>
  <c r="K43" i="37"/>
  <c r="J43" i="37"/>
  <c r="I43" i="37"/>
  <c r="H43" i="37"/>
  <c r="G43" i="37"/>
  <c r="F43" i="37"/>
  <c r="E43" i="37"/>
  <c r="D43" i="37"/>
  <c r="B43" i="37"/>
  <c r="A43" i="37"/>
  <c r="S42" i="37" a="1"/>
  <c r="S42" i="37"/>
  <c r="R42" i="37" a="1"/>
  <c r="R42" i="37"/>
  <c r="Q42" i="37" a="1"/>
  <c r="Q42" i="37"/>
  <c r="P42" i="37" a="1"/>
  <c r="P42" i="37"/>
  <c r="O42" i="37" a="1"/>
  <c r="O42" i="37"/>
  <c r="N42" i="37" a="1"/>
  <c r="N42" i="37"/>
  <c r="M42" i="37" a="1"/>
  <c r="M42" i="37"/>
  <c r="K42" i="37"/>
  <c r="J42" i="37"/>
  <c r="I42" i="37"/>
  <c r="H42" i="37"/>
  <c r="G42" i="37"/>
  <c r="F42" i="37"/>
  <c r="E42" i="37"/>
  <c r="D42" i="37"/>
  <c r="B42" i="37"/>
  <c r="A42" i="37"/>
  <c r="S41" i="37" a="1"/>
  <c r="S41" i="37"/>
  <c r="R41" i="37" a="1"/>
  <c r="R41" i="37"/>
  <c r="Q41" i="37" a="1"/>
  <c r="Q41" i="37"/>
  <c r="P41" i="37" a="1"/>
  <c r="P41" i="37"/>
  <c r="O41" i="37" a="1"/>
  <c r="O41" i="37"/>
  <c r="N41" i="37" a="1"/>
  <c r="N41" i="37"/>
  <c r="M41" i="37" a="1"/>
  <c r="M41" i="37"/>
  <c r="K41" i="37"/>
  <c r="J41" i="37"/>
  <c r="I41" i="37"/>
  <c r="H41" i="37"/>
  <c r="G41" i="37"/>
  <c r="F41" i="37"/>
  <c r="E41" i="37"/>
  <c r="D41" i="37"/>
  <c r="B41" i="37"/>
  <c r="A41" i="37"/>
  <c r="S40" i="37" a="1"/>
  <c r="S40" i="37"/>
  <c r="R40" i="37" a="1"/>
  <c r="R40" i="37"/>
  <c r="Q40" i="37" a="1"/>
  <c r="Q40" i="37"/>
  <c r="P40" i="37" a="1"/>
  <c r="P40" i="37"/>
  <c r="O40" i="37" a="1"/>
  <c r="O40" i="37"/>
  <c r="N40" i="37" a="1"/>
  <c r="N40" i="37"/>
  <c r="M40" i="37" a="1"/>
  <c r="M40" i="37"/>
  <c r="K40" i="37"/>
  <c r="J40" i="37"/>
  <c r="I40" i="37"/>
  <c r="H40" i="37"/>
  <c r="G40" i="37"/>
  <c r="F40" i="37"/>
  <c r="E40" i="37"/>
  <c r="D40" i="37"/>
  <c r="B40" i="37"/>
  <c r="A40" i="37"/>
  <c r="S39" i="37" a="1"/>
  <c r="S39" i="37"/>
  <c r="R39" i="37" a="1"/>
  <c r="R39" i="37"/>
  <c r="Q39" i="37" a="1"/>
  <c r="Q39" i="37"/>
  <c r="P39" i="37" a="1"/>
  <c r="P39" i="37"/>
  <c r="O39" i="37" a="1"/>
  <c r="O39" i="37"/>
  <c r="N39" i="37" a="1"/>
  <c r="N39" i="37"/>
  <c r="M39" i="37" a="1"/>
  <c r="M39" i="37"/>
  <c r="K39" i="37"/>
  <c r="J39" i="37"/>
  <c r="I39" i="37"/>
  <c r="H39" i="37"/>
  <c r="G39" i="37"/>
  <c r="F39" i="37"/>
  <c r="E39" i="37"/>
  <c r="D39" i="37"/>
  <c r="B39" i="37"/>
  <c r="A39" i="37"/>
  <c r="S38" i="37" a="1"/>
  <c r="S38" i="37"/>
  <c r="R38" i="37" a="1"/>
  <c r="R38" i="37"/>
  <c r="Q38" i="37" a="1"/>
  <c r="Q38" i="37"/>
  <c r="P38" i="37" a="1"/>
  <c r="P38" i="37"/>
  <c r="O38" i="37" a="1"/>
  <c r="O38" i="37"/>
  <c r="N38" i="37" a="1"/>
  <c r="N38" i="37"/>
  <c r="M38" i="37" a="1"/>
  <c r="M38" i="37"/>
  <c r="K38" i="37"/>
  <c r="J38" i="37"/>
  <c r="I38" i="37"/>
  <c r="H38" i="37"/>
  <c r="G38" i="37"/>
  <c r="F38" i="37"/>
  <c r="E38" i="37"/>
  <c r="D38" i="37"/>
  <c r="B38" i="37"/>
  <c r="A38" i="37"/>
  <c r="S37" i="37" a="1"/>
  <c r="S37" i="37"/>
  <c r="R37" i="37" a="1"/>
  <c r="R37" i="37"/>
  <c r="Q37" i="37" a="1"/>
  <c r="Q37" i="37"/>
  <c r="P37" i="37" a="1"/>
  <c r="P37" i="37"/>
  <c r="O37" i="37" a="1"/>
  <c r="O37" i="37"/>
  <c r="N37" i="37" a="1"/>
  <c r="N37" i="37"/>
  <c r="M37" i="37" a="1"/>
  <c r="M37" i="37"/>
  <c r="K37" i="37"/>
  <c r="J37" i="37"/>
  <c r="I37" i="37"/>
  <c r="H37" i="37"/>
  <c r="G37" i="37"/>
  <c r="F37" i="37"/>
  <c r="E37" i="37"/>
  <c r="D37" i="37"/>
  <c r="B37" i="37"/>
  <c r="A37" i="37"/>
  <c r="S36" i="37" a="1"/>
  <c r="S36" i="37"/>
  <c r="R36" i="37" a="1"/>
  <c r="R36" i="37"/>
  <c r="Q36" i="37" a="1"/>
  <c r="Q36" i="37"/>
  <c r="P36" i="37" a="1"/>
  <c r="P36" i="37"/>
  <c r="O36" i="37" a="1"/>
  <c r="O36" i="37"/>
  <c r="N36" i="37" a="1"/>
  <c r="N36" i="37"/>
  <c r="M36" i="37" a="1"/>
  <c r="M36" i="37"/>
  <c r="K36" i="37"/>
  <c r="J36" i="37"/>
  <c r="I36" i="37"/>
  <c r="H36" i="37"/>
  <c r="G36" i="37"/>
  <c r="F36" i="37"/>
  <c r="E36" i="37"/>
  <c r="D36" i="37"/>
  <c r="B36" i="37"/>
  <c r="A36" i="37"/>
  <c r="S35" i="37" a="1"/>
  <c r="S35" i="37"/>
  <c r="R35" i="37" a="1"/>
  <c r="R35" i="37"/>
  <c r="Q35" i="37" a="1"/>
  <c r="Q35" i="37"/>
  <c r="P35" i="37" a="1"/>
  <c r="P35" i="37"/>
  <c r="O35" i="37" a="1"/>
  <c r="O35" i="37"/>
  <c r="N35" i="37" a="1"/>
  <c r="N35" i="37"/>
  <c r="M35" i="37" a="1"/>
  <c r="M35" i="37"/>
  <c r="K35" i="37"/>
  <c r="J35" i="37"/>
  <c r="I35" i="37"/>
  <c r="H35" i="37"/>
  <c r="G35" i="37"/>
  <c r="F35" i="37"/>
  <c r="E35" i="37"/>
  <c r="D35" i="37"/>
  <c r="B35" i="37"/>
  <c r="A35" i="37"/>
  <c r="S34" i="37" a="1"/>
  <c r="S34" i="37"/>
  <c r="R34" i="37" a="1"/>
  <c r="R34" i="37"/>
  <c r="Q34" i="37" a="1"/>
  <c r="Q34" i="37"/>
  <c r="P34" i="37" a="1"/>
  <c r="P34" i="37"/>
  <c r="O34" i="37" a="1"/>
  <c r="O34" i="37"/>
  <c r="N34" i="37" a="1"/>
  <c r="N34" i="37"/>
  <c r="M34" i="37" a="1"/>
  <c r="M34" i="37"/>
  <c r="K34" i="37"/>
  <c r="J34" i="37"/>
  <c r="I34" i="37"/>
  <c r="H34" i="37"/>
  <c r="G34" i="37"/>
  <c r="F34" i="37"/>
  <c r="E34" i="37"/>
  <c r="D34" i="37"/>
  <c r="B34" i="37"/>
  <c r="A34" i="37"/>
  <c r="S33" i="37" a="1"/>
  <c r="S33" i="37"/>
  <c r="R33" i="37" a="1"/>
  <c r="R33" i="37"/>
  <c r="Q33" i="37" a="1"/>
  <c r="Q33" i="37"/>
  <c r="P33" i="37" a="1"/>
  <c r="P33" i="37"/>
  <c r="O33" i="37" a="1"/>
  <c r="O33" i="37"/>
  <c r="N33" i="37" a="1"/>
  <c r="N33" i="37"/>
  <c r="M33" i="37" a="1"/>
  <c r="M33" i="37"/>
  <c r="K33" i="37"/>
  <c r="J33" i="37"/>
  <c r="I33" i="37"/>
  <c r="H33" i="37"/>
  <c r="G33" i="37"/>
  <c r="F33" i="37"/>
  <c r="E33" i="37"/>
  <c r="D33" i="37"/>
  <c r="B33" i="37"/>
  <c r="A33" i="37"/>
  <c r="S32" i="37" a="1"/>
  <c r="S32" i="37"/>
  <c r="R32" i="37" a="1"/>
  <c r="R32" i="37"/>
  <c r="Q32" i="37" a="1"/>
  <c r="Q32" i="37"/>
  <c r="P32" i="37" a="1"/>
  <c r="P32" i="37"/>
  <c r="O32" i="37" a="1"/>
  <c r="O32" i="37"/>
  <c r="N32" i="37" a="1"/>
  <c r="N32" i="37"/>
  <c r="M32" i="37" a="1"/>
  <c r="M32" i="37"/>
  <c r="K32" i="37"/>
  <c r="J32" i="37"/>
  <c r="I32" i="37"/>
  <c r="H32" i="37"/>
  <c r="G32" i="37"/>
  <c r="F32" i="37"/>
  <c r="E32" i="37"/>
  <c r="D32" i="37"/>
  <c r="B32" i="37"/>
  <c r="A32" i="37"/>
  <c r="S31" i="37" a="1"/>
  <c r="S31" i="37"/>
  <c r="R31" i="37" a="1"/>
  <c r="R31" i="37"/>
  <c r="Q31" i="37" a="1"/>
  <c r="Q31" i="37"/>
  <c r="P31" i="37" a="1"/>
  <c r="P31" i="37"/>
  <c r="O31" i="37" a="1"/>
  <c r="O31" i="37"/>
  <c r="N31" i="37" a="1"/>
  <c r="N31" i="37"/>
  <c r="M31" i="37" a="1"/>
  <c r="M31" i="37"/>
  <c r="K31" i="37"/>
  <c r="J31" i="37"/>
  <c r="I31" i="37"/>
  <c r="H31" i="37"/>
  <c r="G31" i="37"/>
  <c r="F31" i="37"/>
  <c r="E31" i="37"/>
  <c r="D31" i="37"/>
  <c r="B31" i="37"/>
  <c r="A31" i="37"/>
  <c r="S30" i="37" a="1"/>
  <c r="S30" i="37"/>
  <c r="R30" i="37" a="1"/>
  <c r="R30" i="37"/>
  <c r="Q30" i="37" a="1"/>
  <c r="Q30" i="37"/>
  <c r="P30" i="37" a="1"/>
  <c r="P30" i="37"/>
  <c r="O30" i="37" a="1"/>
  <c r="O30" i="37"/>
  <c r="N30" i="37" a="1"/>
  <c r="N30" i="37"/>
  <c r="M30" i="37" a="1"/>
  <c r="M30" i="37"/>
  <c r="K30" i="37"/>
  <c r="J30" i="37"/>
  <c r="I30" i="37"/>
  <c r="H30" i="37"/>
  <c r="G30" i="37"/>
  <c r="F30" i="37"/>
  <c r="E30" i="37"/>
  <c r="D30" i="37"/>
  <c r="B30" i="37"/>
  <c r="A30" i="37"/>
  <c r="S29" i="37" a="1"/>
  <c r="S29" i="37"/>
  <c r="R29" i="37" a="1"/>
  <c r="R29" i="37"/>
  <c r="Q29" i="37" a="1"/>
  <c r="Q29" i="37"/>
  <c r="P29" i="37" a="1"/>
  <c r="P29" i="37"/>
  <c r="O29" i="37" a="1"/>
  <c r="O29" i="37"/>
  <c r="N29" i="37" a="1"/>
  <c r="N29" i="37"/>
  <c r="M29" i="37" a="1"/>
  <c r="M29" i="37"/>
  <c r="K29" i="37"/>
  <c r="J29" i="37"/>
  <c r="I29" i="37"/>
  <c r="H29" i="37"/>
  <c r="G29" i="37"/>
  <c r="F29" i="37"/>
  <c r="E29" i="37"/>
  <c r="D29" i="37"/>
  <c r="B29" i="37"/>
  <c r="A29" i="37"/>
  <c r="S28" i="37" a="1"/>
  <c r="S28" i="37"/>
  <c r="R28" i="37" a="1"/>
  <c r="R28" i="37"/>
  <c r="Q28" i="37" a="1"/>
  <c r="Q28" i="37"/>
  <c r="P28" i="37" a="1"/>
  <c r="P28" i="37"/>
  <c r="O28" i="37" a="1"/>
  <c r="O28" i="37"/>
  <c r="N28" i="37" a="1"/>
  <c r="N28" i="37"/>
  <c r="M28" i="37" a="1"/>
  <c r="M28" i="37"/>
  <c r="K28" i="37"/>
  <c r="J28" i="37"/>
  <c r="I28" i="37"/>
  <c r="H28" i="37"/>
  <c r="G28" i="37"/>
  <c r="F28" i="37"/>
  <c r="E28" i="37"/>
  <c r="D28" i="37"/>
  <c r="B28" i="37"/>
  <c r="A28" i="37"/>
  <c r="S27" i="37" a="1"/>
  <c r="S27" i="37"/>
  <c r="R27" i="37" a="1"/>
  <c r="R27" i="37"/>
  <c r="Q27" i="37" a="1"/>
  <c r="Q27" i="37"/>
  <c r="P27" i="37" a="1"/>
  <c r="P27" i="37"/>
  <c r="O27" i="37" a="1"/>
  <c r="O27" i="37"/>
  <c r="N27" i="37" a="1"/>
  <c r="N27" i="37"/>
  <c r="M27" i="37" a="1"/>
  <c r="M27" i="37"/>
  <c r="K27" i="37"/>
  <c r="J27" i="37"/>
  <c r="I27" i="37"/>
  <c r="H27" i="37"/>
  <c r="G27" i="37"/>
  <c r="F27" i="37"/>
  <c r="E27" i="37"/>
  <c r="D27" i="37"/>
  <c r="B27" i="37"/>
  <c r="A27" i="37"/>
  <c r="S26" i="37" a="1"/>
  <c r="S26" i="37"/>
  <c r="R26" i="37" a="1"/>
  <c r="R26" i="37"/>
  <c r="Q26" i="37" a="1"/>
  <c r="Q26" i="37"/>
  <c r="P26" i="37" a="1"/>
  <c r="P26" i="37"/>
  <c r="O26" i="37" a="1"/>
  <c r="O26" i="37"/>
  <c r="N26" i="37" a="1"/>
  <c r="N26" i="37"/>
  <c r="M26" i="37" a="1"/>
  <c r="M26" i="37"/>
  <c r="K26" i="37"/>
  <c r="J26" i="37"/>
  <c r="I26" i="37"/>
  <c r="H26" i="37"/>
  <c r="G26" i="37"/>
  <c r="F26" i="37"/>
  <c r="E26" i="37"/>
  <c r="D26" i="37"/>
  <c r="B26" i="37"/>
  <c r="A26" i="37"/>
  <c r="S25" i="37" a="1"/>
  <c r="S25" i="37"/>
  <c r="R25" i="37" a="1"/>
  <c r="R25" i="37"/>
  <c r="Q25" i="37" a="1"/>
  <c r="Q25" i="37"/>
  <c r="P25" i="37" a="1"/>
  <c r="P25" i="37"/>
  <c r="O25" i="37" a="1"/>
  <c r="O25" i="37"/>
  <c r="N25" i="37" a="1"/>
  <c r="N25" i="37"/>
  <c r="M25" i="37" a="1"/>
  <c r="M25" i="37"/>
  <c r="K25" i="37"/>
  <c r="J25" i="37"/>
  <c r="I25" i="37"/>
  <c r="H25" i="37"/>
  <c r="G25" i="37"/>
  <c r="F25" i="37"/>
  <c r="E25" i="37"/>
  <c r="D25" i="37"/>
  <c r="B25" i="37"/>
  <c r="A25" i="37"/>
  <c r="S24" i="37" a="1"/>
  <c r="S24" i="37"/>
  <c r="R24" i="37" a="1"/>
  <c r="R24" i="37"/>
  <c r="Q24" i="37" a="1"/>
  <c r="Q24" i="37"/>
  <c r="P24" i="37" a="1"/>
  <c r="P24" i="37"/>
  <c r="O24" i="37" a="1"/>
  <c r="O24" i="37"/>
  <c r="N24" i="37" a="1"/>
  <c r="N24" i="37"/>
  <c r="M24" i="37" a="1"/>
  <c r="M24" i="37"/>
  <c r="K24" i="37"/>
  <c r="J24" i="37"/>
  <c r="I24" i="37"/>
  <c r="H24" i="37"/>
  <c r="G24" i="37"/>
  <c r="F24" i="37"/>
  <c r="E24" i="37"/>
  <c r="D24" i="37"/>
  <c r="B24" i="37"/>
  <c r="A24" i="37"/>
  <c r="S23" i="37" a="1"/>
  <c r="S23" i="37"/>
  <c r="R23" i="37" a="1"/>
  <c r="R23" i="37"/>
  <c r="Q23" i="37" a="1"/>
  <c r="Q23" i="37"/>
  <c r="P23" i="37" a="1"/>
  <c r="P23" i="37"/>
  <c r="O23" i="37" a="1"/>
  <c r="O23" i="37"/>
  <c r="N23" i="37" a="1"/>
  <c r="N23" i="37"/>
  <c r="M23" i="37" a="1"/>
  <c r="M23" i="37"/>
  <c r="K23" i="37"/>
  <c r="J23" i="37"/>
  <c r="I23" i="37"/>
  <c r="H23" i="37"/>
  <c r="G23" i="37"/>
  <c r="F23" i="37"/>
  <c r="E23" i="37"/>
  <c r="D23" i="37"/>
  <c r="B23" i="37"/>
  <c r="A23" i="37"/>
  <c r="S22" i="37" a="1"/>
  <c r="S22" i="37"/>
  <c r="R22" i="37" a="1"/>
  <c r="R22" i="37"/>
  <c r="Q22" i="37" a="1"/>
  <c r="Q22" i="37"/>
  <c r="P22" i="37" a="1"/>
  <c r="P22" i="37"/>
  <c r="O22" i="37" a="1"/>
  <c r="O22" i="37"/>
  <c r="N22" i="37" a="1"/>
  <c r="N22" i="37"/>
  <c r="M22" i="37" a="1"/>
  <c r="M22" i="37"/>
  <c r="K22" i="37"/>
  <c r="J22" i="37"/>
  <c r="I22" i="37"/>
  <c r="H22" i="37"/>
  <c r="G22" i="37"/>
  <c r="F22" i="37"/>
  <c r="E22" i="37"/>
  <c r="D22" i="37"/>
  <c r="B22" i="37"/>
  <c r="A22" i="37"/>
  <c r="S21" i="37" a="1"/>
  <c r="S21" i="37"/>
  <c r="R21" i="37" a="1"/>
  <c r="R21" i="37"/>
  <c r="Q21" i="37" a="1"/>
  <c r="Q21" i="37"/>
  <c r="P21" i="37" a="1"/>
  <c r="P21" i="37"/>
  <c r="O21" i="37" a="1"/>
  <c r="O21" i="37"/>
  <c r="N21" i="37" a="1"/>
  <c r="N21" i="37"/>
  <c r="M21" i="37" a="1"/>
  <c r="M21" i="37"/>
  <c r="K21" i="37"/>
  <c r="J21" i="37"/>
  <c r="I21" i="37"/>
  <c r="H21" i="37"/>
  <c r="G21" i="37"/>
  <c r="F21" i="37"/>
  <c r="E21" i="37"/>
  <c r="M20" i="37" a="1"/>
  <c r="M20" i="37"/>
  <c r="K20" i="37"/>
  <c r="D20" i="37"/>
  <c r="D21" i="37"/>
  <c r="B21" i="37"/>
  <c r="A21" i="37"/>
  <c r="S20" i="37" a="1"/>
  <c r="S20" i="37"/>
  <c r="R20" i="37" a="1"/>
  <c r="R20" i="37"/>
  <c r="Q20" i="37" a="1"/>
  <c r="Q20" i="37"/>
  <c r="P20" i="37" a="1"/>
  <c r="P20" i="37"/>
  <c r="O20" i="37" a="1"/>
  <c r="O20" i="37"/>
  <c r="N20" i="37" a="1"/>
  <c r="N20" i="37"/>
  <c r="J20" i="37"/>
  <c r="I20" i="37"/>
  <c r="H20" i="37"/>
  <c r="G20" i="37"/>
  <c r="F20" i="37"/>
  <c r="E20" i="37"/>
  <c r="B20" i="37"/>
  <c r="A20" i="37"/>
  <c r="S19" i="37" a="1"/>
  <c r="S19" i="37"/>
  <c r="R19" i="37" a="1"/>
  <c r="R19" i="37"/>
  <c r="Q19" i="37" a="1"/>
  <c r="Q19" i="37"/>
  <c r="P19" i="37" a="1"/>
  <c r="P19" i="37"/>
  <c r="O19" i="37" a="1"/>
  <c r="O19" i="37"/>
  <c r="N19" i="37" a="1"/>
  <c r="N19" i="37"/>
  <c r="M19" i="37" a="1"/>
  <c r="M19" i="37"/>
  <c r="K19" i="37"/>
  <c r="J19" i="37"/>
  <c r="I19" i="37"/>
  <c r="H19" i="37"/>
  <c r="G19" i="37"/>
  <c r="F19" i="37"/>
  <c r="E19" i="37"/>
  <c r="D19" i="37"/>
  <c r="B19" i="37"/>
  <c r="A19" i="37"/>
  <c r="S18" i="37" a="1"/>
  <c r="S18" i="37"/>
  <c r="R18" i="37" a="1"/>
  <c r="R18" i="37"/>
  <c r="Q18" i="37" a="1"/>
  <c r="Q18" i="37"/>
  <c r="P18" i="37" a="1"/>
  <c r="P18" i="37"/>
  <c r="O18" i="37" a="1"/>
  <c r="O18" i="37"/>
  <c r="N18" i="37" a="1"/>
  <c r="N18" i="37"/>
  <c r="M18" i="37" a="1"/>
  <c r="M18" i="37"/>
  <c r="K18" i="37"/>
  <c r="J18" i="37"/>
  <c r="I18" i="37"/>
  <c r="H18" i="37"/>
  <c r="G18" i="37"/>
  <c r="F18" i="37"/>
  <c r="E18" i="37"/>
  <c r="D18" i="37"/>
  <c r="B18" i="37"/>
  <c r="A18" i="37"/>
  <c r="S17" i="37" a="1"/>
  <c r="S17" i="37"/>
  <c r="R17" i="37" a="1"/>
  <c r="R17" i="37"/>
  <c r="Q17" i="37" a="1"/>
  <c r="Q17" i="37"/>
  <c r="P17" i="37" a="1"/>
  <c r="P17" i="37"/>
  <c r="O17" i="37" a="1"/>
  <c r="O17" i="37"/>
  <c r="N17" i="37" a="1"/>
  <c r="N17" i="37"/>
  <c r="M17" i="37" a="1"/>
  <c r="M17" i="37"/>
  <c r="K17" i="37"/>
  <c r="J17" i="37"/>
  <c r="I17" i="37"/>
  <c r="H17" i="37"/>
  <c r="G17" i="37"/>
  <c r="F17" i="37"/>
  <c r="E17" i="37"/>
  <c r="D17" i="37"/>
  <c r="B17" i="37"/>
  <c r="A17" i="37"/>
  <c r="S16" i="37" a="1"/>
  <c r="S16" i="37"/>
  <c r="R16" i="37" a="1"/>
  <c r="R16" i="37"/>
  <c r="Q16" i="37" a="1"/>
  <c r="Q16" i="37"/>
  <c r="P16" i="37" a="1"/>
  <c r="P16" i="37"/>
  <c r="O16" i="37" a="1"/>
  <c r="O16" i="37"/>
  <c r="N16" i="37" a="1"/>
  <c r="N16" i="37"/>
  <c r="M16" i="37" a="1"/>
  <c r="M16" i="37"/>
  <c r="K16" i="37"/>
  <c r="J16" i="37"/>
  <c r="I16" i="37"/>
  <c r="H16" i="37"/>
  <c r="G16" i="37"/>
  <c r="F16" i="37"/>
  <c r="E16" i="37"/>
  <c r="D16" i="37"/>
  <c r="B16" i="37"/>
  <c r="A16" i="37"/>
  <c r="S15" i="37" a="1"/>
  <c r="S15" i="37"/>
  <c r="R15" i="37" a="1"/>
  <c r="R15" i="37"/>
  <c r="Q15" i="37" a="1"/>
  <c r="Q15" i="37"/>
  <c r="P15" i="37" a="1"/>
  <c r="P15" i="37"/>
  <c r="O15" i="37" a="1"/>
  <c r="O15" i="37"/>
  <c r="N15" i="37" a="1"/>
  <c r="N15" i="37"/>
  <c r="M15" i="37" a="1"/>
  <c r="M15" i="37"/>
  <c r="K15" i="37"/>
  <c r="J15" i="37"/>
  <c r="I15" i="37"/>
  <c r="H15" i="37"/>
  <c r="G15" i="37"/>
  <c r="F15" i="37"/>
  <c r="E15" i="37"/>
  <c r="D15" i="37"/>
  <c r="B15" i="37"/>
  <c r="A15" i="37"/>
  <c r="S14" i="37" a="1"/>
  <c r="S14" i="37"/>
  <c r="R14" i="37" a="1"/>
  <c r="R14" i="37"/>
  <c r="Q14" i="37" a="1"/>
  <c r="Q14" i="37"/>
  <c r="P14" i="37" a="1"/>
  <c r="P14" i="37"/>
  <c r="O14" i="37" a="1"/>
  <c r="O14" i="37"/>
  <c r="N14" i="37" a="1"/>
  <c r="N14" i="37"/>
  <c r="M14" i="37" a="1"/>
  <c r="M14" i="37"/>
  <c r="K14" i="37"/>
  <c r="J14" i="37"/>
  <c r="I14" i="37"/>
  <c r="H14" i="37"/>
  <c r="G14" i="37"/>
  <c r="F14" i="37"/>
  <c r="E14" i="37"/>
  <c r="D14" i="37"/>
  <c r="B14" i="37"/>
  <c r="A14" i="37"/>
  <c r="S13" i="37" a="1"/>
  <c r="S13" i="37"/>
  <c r="R13" i="37" a="1"/>
  <c r="R13" i="37"/>
  <c r="Q13" i="37" a="1"/>
  <c r="Q13" i="37"/>
  <c r="P13" i="37" a="1"/>
  <c r="P13" i="37"/>
  <c r="O13" i="37" a="1"/>
  <c r="O13" i="37"/>
  <c r="N13" i="37" a="1"/>
  <c r="N13" i="37"/>
  <c r="M13" i="37" a="1"/>
  <c r="M13" i="37"/>
  <c r="K13" i="37"/>
  <c r="J13" i="37"/>
  <c r="I13" i="37"/>
  <c r="H13" i="37"/>
  <c r="G13" i="37"/>
  <c r="F13" i="37"/>
  <c r="E13" i="37"/>
  <c r="D13" i="37"/>
  <c r="B13" i="37"/>
  <c r="A13" i="37"/>
  <c r="S12" i="37" a="1"/>
  <c r="S12" i="37"/>
  <c r="R12" i="37" a="1"/>
  <c r="R12" i="37"/>
  <c r="Q12" i="37" a="1"/>
  <c r="Q12" i="37"/>
  <c r="P12" i="37" a="1"/>
  <c r="P12" i="37"/>
  <c r="O12" i="37" a="1"/>
  <c r="O12" i="37"/>
  <c r="N12" i="37" a="1"/>
  <c r="N12" i="37"/>
  <c r="M12" i="37" a="1"/>
  <c r="M12" i="37"/>
  <c r="K12" i="37"/>
  <c r="J12" i="37"/>
  <c r="I12" i="37"/>
  <c r="H12" i="37"/>
  <c r="G12" i="37"/>
  <c r="F12" i="37"/>
  <c r="E12" i="37"/>
  <c r="D12" i="37"/>
  <c r="B12" i="37"/>
  <c r="A12" i="37"/>
  <c r="S11" i="37" a="1"/>
  <c r="S11" i="37"/>
  <c r="R11" i="37" a="1"/>
  <c r="R11" i="37"/>
  <c r="Q11" i="37" a="1"/>
  <c r="Q11" i="37"/>
  <c r="P11" i="37" a="1"/>
  <c r="P11" i="37"/>
  <c r="O11" i="37" a="1"/>
  <c r="O11" i="37"/>
  <c r="N11" i="37" a="1"/>
  <c r="N11" i="37"/>
  <c r="M11" i="37" a="1"/>
  <c r="M11" i="37"/>
  <c r="K11" i="37"/>
  <c r="J11" i="37"/>
  <c r="I11" i="37"/>
  <c r="H11" i="37"/>
  <c r="G11" i="37"/>
  <c r="F11" i="37"/>
  <c r="E11" i="37"/>
  <c r="D11" i="37"/>
  <c r="B11" i="37"/>
  <c r="A11" i="37"/>
  <c r="S10" i="37" a="1"/>
  <c r="S10" i="37"/>
  <c r="R10" i="37" a="1"/>
  <c r="R10" i="37"/>
  <c r="Q10" i="37" a="1"/>
  <c r="Q10" i="37"/>
  <c r="P10" i="37" a="1"/>
  <c r="P10" i="37"/>
  <c r="O10" i="37" a="1"/>
  <c r="O10" i="37"/>
  <c r="N10" i="37" a="1"/>
  <c r="N10" i="37"/>
  <c r="M10" i="37" a="1"/>
  <c r="M10" i="37"/>
  <c r="K10" i="37"/>
  <c r="J10" i="37"/>
  <c r="I10" i="37"/>
  <c r="H10" i="37"/>
  <c r="G10" i="37"/>
  <c r="F10" i="37"/>
  <c r="E10" i="37"/>
  <c r="D10" i="37"/>
  <c r="B10" i="37"/>
  <c r="A10" i="37"/>
  <c r="S9" i="37" a="1"/>
  <c r="S9" i="37"/>
  <c r="R9" i="37" a="1"/>
  <c r="R9" i="37"/>
  <c r="Q9" i="37" a="1"/>
  <c r="Q9" i="37"/>
  <c r="P9" i="37" a="1"/>
  <c r="P9" i="37"/>
  <c r="O9" i="37" a="1"/>
  <c r="O9" i="37"/>
  <c r="N9" i="37" a="1"/>
  <c r="N9" i="37"/>
  <c r="M9" i="37" a="1"/>
  <c r="M9" i="37"/>
  <c r="K9" i="37"/>
  <c r="J9" i="37"/>
  <c r="I9" i="37"/>
  <c r="H9" i="37"/>
  <c r="G9" i="37"/>
  <c r="F9" i="37"/>
  <c r="E9" i="37"/>
  <c r="D9" i="37"/>
  <c r="B9" i="37"/>
  <c r="A9" i="37"/>
  <c r="S8" i="37" a="1"/>
  <c r="S8" i="37"/>
  <c r="R8" i="37" a="1"/>
  <c r="R8" i="37"/>
  <c r="Q8" i="37" a="1"/>
  <c r="Q8" i="37"/>
  <c r="P8" i="37" a="1"/>
  <c r="P8" i="37"/>
  <c r="O8" i="37" a="1"/>
  <c r="O8" i="37"/>
  <c r="N8" i="37" a="1"/>
  <c r="N8" i="37"/>
  <c r="M8" i="37" a="1"/>
  <c r="M8" i="37"/>
  <c r="K8" i="37"/>
  <c r="J8" i="37"/>
  <c r="I8" i="37"/>
  <c r="H8" i="37"/>
  <c r="G8" i="37"/>
  <c r="F8" i="37"/>
  <c r="E8" i="37"/>
  <c r="M7" i="37" a="1"/>
  <c r="M7" i="37"/>
  <c r="K7" i="37"/>
  <c r="D7" i="37"/>
  <c r="D8" i="37"/>
  <c r="B8" i="37"/>
  <c r="A8" i="37"/>
  <c r="S7" i="37" a="1"/>
  <c r="S7" i="37"/>
  <c r="R7" i="37" a="1"/>
  <c r="R7" i="37"/>
  <c r="Q7" i="37" a="1"/>
  <c r="Q7" i="37"/>
  <c r="P7" i="37" a="1"/>
  <c r="P7" i="37"/>
  <c r="O7" i="37" a="1"/>
  <c r="O7" i="37"/>
  <c r="N7" i="37" a="1"/>
  <c r="N7" i="37"/>
  <c r="J7" i="37"/>
  <c r="I7" i="37"/>
  <c r="H7" i="37"/>
  <c r="G7" i="37"/>
  <c r="F7" i="37"/>
  <c r="E7" i="37"/>
  <c r="B7" i="37"/>
  <c r="A7" i="37"/>
  <c r="S6" i="37" a="1"/>
  <c r="S6" i="37"/>
  <c r="R6" i="37" a="1"/>
  <c r="R6" i="37"/>
  <c r="Q6" i="37" a="1"/>
  <c r="Q6" i="37"/>
  <c r="P6" i="37" a="1"/>
  <c r="P6" i="37"/>
  <c r="O6" i="37" a="1"/>
  <c r="O6" i="37"/>
  <c r="N6" i="37" a="1"/>
  <c r="N6" i="37"/>
  <c r="M6" i="37" a="1"/>
  <c r="M6" i="37"/>
  <c r="K6" i="37"/>
  <c r="J6" i="37"/>
  <c r="I6" i="37"/>
  <c r="H6" i="37"/>
  <c r="G6" i="37"/>
  <c r="F6" i="37"/>
  <c r="E6" i="37"/>
  <c r="D6" i="37"/>
  <c r="B6" i="37"/>
  <c r="A6" i="37"/>
  <c r="S5" i="37" a="1"/>
  <c r="S5" i="37"/>
  <c r="R5" i="37" a="1"/>
  <c r="R5" i="37"/>
  <c r="Q5" i="37" a="1"/>
  <c r="Q5" i="37"/>
  <c r="P5" i="37" a="1"/>
  <c r="P5" i="37"/>
  <c r="O5" i="37" a="1"/>
  <c r="O5" i="37"/>
  <c r="N5" i="37" a="1"/>
  <c r="N5" i="37"/>
  <c r="M5" i="37" a="1"/>
  <c r="M5" i="37"/>
  <c r="K5" i="37"/>
  <c r="J5" i="37"/>
  <c r="I5" i="37"/>
  <c r="H5" i="37"/>
  <c r="G5" i="37"/>
  <c r="F5" i="37"/>
  <c r="E5" i="37"/>
  <c r="D5" i="37"/>
  <c r="B5" i="37"/>
  <c r="A5" i="37"/>
  <c r="S4" i="37" a="1"/>
  <c r="S4" i="37"/>
  <c r="R4" i="37" a="1"/>
  <c r="R4" i="37"/>
  <c r="Q4" i="37" a="1"/>
  <c r="Q4" i="37"/>
  <c r="P4" i="37" a="1"/>
  <c r="P4" i="37"/>
  <c r="O4" i="37" a="1"/>
  <c r="O4" i="37"/>
  <c r="N4" i="37" a="1"/>
  <c r="N4" i="37"/>
  <c r="M4" i="37" a="1"/>
  <c r="M4" i="37"/>
  <c r="K4" i="37"/>
  <c r="J4" i="37"/>
  <c r="I4" i="37"/>
  <c r="H4" i="37"/>
  <c r="G4" i="37"/>
  <c r="F4" i="37"/>
  <c r="E4" i="37"/>
  <c r="D4" i="37"/>
  <c r="B4" i="37"/>
  <c r="A4" i="37"/>
  <c r="S3" i="37" a="1"/>
  <c r="S3" i="37"/>
  <c r="R3" i="37" a="1"/>
  <c r="R3" i="37"/>
  <c r="Q3" i="37" a="1"/>
  <c r="Q3" i="37"/>
  <c r="P3" i="37" a="1"/>
  <c r="P3" i="37"/>
  <c r="O3" i="37" a="1"/>
  <c r="O3" i="37"/>
  <c r="N3" i="37" a="1"/>
  <c r="N3" i="37"/>
  <c r="M3" i="37" a="1"/>
  <c r="M3" i="37"/>
  <c r="K3" i="37"/>
  <c r="J3" i="37"/>
  <c r="I3" i="37"/>
  <c r="H3" i="37"/>
  <c r="G3" i="37"/>
  <c r="F3" i="37"/>
  <c r="E3" i="37"/>
  <c r="D3" i="37"/>
  <c r="B3" i="37"/>
  <c r="A3" i="37"/>
  <c r="S2" i="37" a="1"/>
  <c r="S2" i="37"/>
  <c r="R2" i="37" a="1"/>
  <c r="R2" i="37"/>
  <c r="Q2" i="37" a="1"/>
  <c r="Q2" i="37"/>
  <c r="P2" i="37" a="1"/>
  <c r="P2" i="37"/>
  <c r="O2" i="37" a="1"/>
  <c r="O2" i="37"/>
  <c r="N2" i="37" a="1"/>
  <c r="N2" i="37"/>
  <c r="M2" i="37" a="1"/>
  <c r="M2" i="37"/>
  <c r="K2" i="37"/>
  <c r="J2" i="37"/>
  <c r="I2" i="37"/>
  <c r="H2" i="37"/>
  <c r="G2" i="37"/>
  <c r="F2" i="37"/>
  <c r="E2" i="37"/>
  <c r="D2" i="37"/>
  <c r="B2" i="37"/>
  <c r="A2" i="37"/>
  <c r="C41" i="36"/>
  <c r="B41" i="36"/>
  <c r="A41" i="36"/>
  <c r="C40" i="36"/>
  <c r="B40" i="36"/>
  <c r="A40" i="36"/>
  <c r="C39" i="36"/>
  <c r="B39" i="36"/>
  <c r="A39" i="36"/>
  <c r="C38" i="36"/>
  <c r="B38" i="36"/>
  <c r="A38" i="36"/>
  <c r="C37" i="36"/>
  <c r="B37" i="36"/>
  <c r="A37" i="36"/>
  <c r="C36" i="36"/>
  <c r="B36" i="36"/>
  <c r="A36" i="36"/>
  <c r="C35" i="36"/>
  <c r="B35" i="36"/>
  <c r="A35" i="36"/>
  <c r="C34" i="36"/>
  <c r="B34" i="36"/>
  <c r="A34" i="36"/>
  <c r="C33" i="36"/>
  <c r="B33" i="36"/>
  <c r="A33" i="36"/>
  <c r="C32" i="36"/>
  <c r="B32" i="36"/>
  <c r="A32" i="36"/>
  <c r="C31" i="36"/>
  <c r="B31" i="36"/>
  <c r="A31" i="36"/>
  <c r="C30" i="36"/>
  <c r="B30" i="36"/>
  <c r="A30" i="36"/>
  <c r="C29" i="36"/>
  <c r="B29" i="36"/>
  <c r="A29" i="36"/>
  <c r="C28" i="36"/>
  <c r="B28" i="36"/>
  <c r="A28" i="36"/>
  <c r="C27" i="36"/>
  <c r="B27" i="36"/>
  <c r="A27" i="36"/>
  <c r="C26" i="36"/>
  <c r="B26" i="36"/>
  <c r="A26" i="36"/>
  <c r="C25" i="36"/>
  <c r="B25" i="36"/>
  <c r="A25" i="36"/>
  <c r="C24" i="36"/>
  <c r="B24" i="36"/>
  <c r="A24" i="36"/>
  <c r="C23" i="36"/>
  <c r="B23" i="36"/>
  <c r="A23" i="36"/>
  <c r="C22" i="36"/>
  <c r="B22" i="36"/>
  <c r="A22" i="36"/>
  <c r="C21" i="36"/>
  <c r="B21" i="36"/>
  <c r="A21" i="36"/>
  <c r="C20" i="36"/>
  <c r="B20" i="36"/>
  <c r="A20" i="36"/>
  <c r="C19" i="36"/>
  <c r="B19" i="36"/>
  <c r="A19" i="36"/>
  <c r="C18" i="36"/>
  <c r="B18" i="36"/>
  <c r="A18" i="36"/>
  <c r="C17" i="36"/>
  <c r="B17" i="36"/>
  <c r="A17" i="36"/>
  <c r="C16" i="36"/>
  <c r="B16" i="36"/>
  <c r="A16" i="36"/>
  <c r="C15" i="36"/>
  <c r="B15" i="36"/>
  <c r="A15" i="36"/>
  <c r="C14" i="36"/>
  <c r="B14" i="36"/>
  <c r="A14" i="36"/>
  <c r="C13" i="36"/>
  <c r="B13" i="36"/>
  <c r="A13" i="36"/>
  <c r="C12" i="36"/>
  <c r="B12" i="36"/>
  <c r="A12" i="36"/>
  <c r="C11" i="36"/>
  <c r="B11" i="36"/>
  <c r="A11" i="36"/>
  <c r="C10" i="36"/>
  <c r="B10" i="36"/>
  <c r="A10" i="36"/>
  <c r="C9" i="36"/>
  <c r="B9" i="36"/>
  <c r="A9" i="36"/>
  <c r="C8" i="36"/>
  <c r="B8" i="36"/>
  <c r="A8" i="36"/>
  <c r="C7" i="36"/>
  <c r="B7" i="36"/>
  <c r="A7" i="36"/>
  <c r="C6" i="36"/>
  <c r="B6" i="36"/>
  <c r="A6" i="36"/>
  <c r="C5" i="36"/>
  <c r="B5" i="36"/>
  <c r="A5" i="36"/>
  <c r="C4" i="36"/>
  <c r="B4" i="36"/>
  <c r="A4" i="36"/>
  <c r="C3" i="36"/>
  <c r="B3" i="36"/>
  <c r="A3" i="36"/>
  <c r="C2" i="36"/>
  <c r="B2" i="36"/>
  <c r="A2" i="36"/>
  <c r="T1" i="20"/>
  <c r="R1" i="13"/>
  <c r="A1" i="20"/>
  <c r="A44" i="13"/>
  <c r="U28" i="17"/>
  <c r="U127" i="17"/>
  <c r="U150" i="17"/>
  <c r="AH150" i="17"/>
  <c r="U27" i="17"/>
  <c r="U126" i="17"/>
  <c r="U149" i="17"/>
  <c r="AH149" i="17"/>
  <c r="U26" i="17"/>
  <c r="U125" i="17"/>
  <c r="U148" i="17"/>
  <c r="AH148" i="17"/>
  <c r="U25" i="17"/>
  <c r="U124" i="17"/>
  <c r="U147" i="17"/>
  <c r="AH147" i="17"/>
  <c r="U24" i="17"/>
  <c r="U123" i="17"/>
  <c r="U146" i="17"/>
  <c r="U169" i="17"/>
  <c r="AH169" i="17"/>
  <c r="U192" i="17"/>
  <c r="AH192" i="17"/>
  <c r="AH146" i="17"/>
  <c r="U23" i="17"/>
  <c r="U122" i="17"/>
  <c r="U145" i="17"/>
  <c r="U168" i="17"/>
  <c r="AH168" i="17"/>
  <c r="U191" i="17"/>
  <c r="AH191" i="17"/>
  <c r="AH145" i="17"/>
  <c r="U22" i="17"/>
  <c r="U121" i="17"/>
  <c r="U144" i="17"/>
  <c r="U167" i="17"/>
  <c r="U190" i="17"/>
  <c r="U21" i="17"/>
  <c r="U120" i="17"/>
  <c r="U143" i="17"/>
  <c r="U166" i="17"/>
  <c r="U189" i="17"/>
  <c r="U20" i="17"/>
  <c r="U119" i="17"/>
  <c r="U142" i="17"/>
  <c r="U165" i="17"/>
  <c r="U188" i="17"/>
  <c r="U19" i="17"/>
  <c r="U118" i="17"/>
  <c r="U141" i="17"/>
  <c r="U164" i="17"/>
  <c r="U187" i="17"/>
  <c r="U18" i="17"/>
  <c r="U117" i="17"/>
  <c r="U140" i="17"/>
  <c r="U163" i="17"/>
  <c r="U186" i="17"/>
  <c r="U17" i="17"/>
  <c r="U116" i="17"/>
  <c r="U139" i="17"/>
  <c r="U162" i="17"/>
  <c r="U185" i="17"/>
  <c r="U16" i="17"/>
  <c r="U115" i="17"/>
  <c r="U138" i="17"/>
  <c r="U161" i="17"/>
  <c r="U184" i="17"/>
  <c r="U15" i="17"/>
  <c r="U114" i="17"/>
  <c r="U137" i="17"/>
  <c r="U160" i="17"/>
  <c r="U183" i="17"/>
  <c r="U14" i="17"/>
  <c r="U113" i="17"/>
  <c r="U136" i="17"/>
  <c r="U159" i="17"/>
  <c r="U182" i="17"/>
  <c r="U13" i="17"/>
  <c r="U112" i="17"/>
  <c r="U135" i="17"/>
  <c r="U158" i="17"/>
  <c r="U181" i="17"/>
  <c r="U12" i="17"/>
  <c r="U111" i="17"/>
  <c r="U134" i="17"/>
  <c r="U157" i="17"/>
  <c r="U180" i="17"/>
  <c r="U11" i="17"/>
  <c r="U110" i="17"/>
  <c r="U133" i="17"/>
  <c r="U156" i="17"/>
  <c r="U179" i="17"/>
  <c r="U10" i="17"/>
  <c r="U109" i="17"/>
  <c r="U132" i="17"/>
  <c r="U155" i="17"/>
  <c r="U178" i="17"/>
  <c r="U9" i="17"/>
  <c r="U108" i="17"/>
  <c r="U131" i="17"/>
  <c r="U154" i="17"/>
  <c r="U177" i="17"/>
  <c r="Y150" i="17"/>
  <c r="Y149" i="17"/>
  <c r="Y148" i="17"/>
  <c r="Y147" i="17"/>
  <c r="Y169" i="17"/>
  <c r="Y192" i="17"/>
  <c r="Y146" i="17"/>
  <c r="Y168" i="17"/>
  <c r="Y191" i="17"/>
  <c r="Y145" i="17"/>
  <c r="G1" i="14"/>
  <c r="B1" i="14"/>
  <c r="H44" i="13"/>
  <c r="Y44" i="13"/>
  <c r="D5" i="6"/>
  <c r="H1" i="13"/>
  <c r="Y1" i="13"/>
  <c r="E2" i="11"/>
  <c r="E53" i="11"/>
  <c r="E1" i="11"/>
  <c r="G25" i="14"/>
  <c r="B25" i="14"/>
  <c r="T84" i="20"/>
  <c r="AJ46" i="20"/>
  <c r="AK46" i="20"/>
  <c r="AJ47" i="20"/>
  <c r="AK47" i="20"/>
  <c r="AJ48" i="20"/>
  <c r="AK48" i="20"/>
  <c r="AJ49" i="20"/>
  <c r="AK49" i="20"/>
  <c r="AJ50" i="20"/>
  <c r="AK50" i="20"/>
  <c r="AJ51" i="20"/>
  <c r="AK51" i="20"/>
  <c r="AJ52" i="20"/>
  <c r="AK52" i="20"/>
  <c r="AJ53" i="20"/>
  <c r="AK53" i="20"/>
  <c r="AJ54" i="20"/>
  <c r="AK54" i="20"/>
  <c r="AJ55" i="20"/>
  <c r="AK55" i="20"/>
  <c r="AJ56" i="20"/>
  <c r="AK56" i="20"/>
  <c r="AJ57" i="20"/>
  <c r="AK57" i="20"/>
  <c r="AJ58" i="20"/>
  <c r="AK58" i="20"/>
  <c r="AJ59" i="20"/>
  <c r="AK59" i="20"/>
  <c r="AJ60" i="20"/>
  <c r="AK60" i="20"/>
  <c r="AJ61" i="20"/>
  <c r="AK61" i="20"/>
  <c r="AJ62" i="20"/>
  <c r="AK62" i="20"/>
  <c r="AJ63" i="20"/>
  <c r="AK63" i="20"/>
  <c r="AJ64" i="20"/>
  <c r="AK64" i="20"/>
  <c r="AJ65" i="20"/>
  <c r="AK65" i="20"/>
  <c r="AJ66" i="20"/>
  <c r="AK66" i="20"/>
  <c r="AJ67" i="20"/>
  <c r="AK67" i="20"/>
  <c r="AJ68" i="20"/>
  <c r="AK68" i="20"/>
  <c r="AJ69" i="20"/>
  <c r="AK69" i="20"/>
  <c r="AJ70" i="20"/>
  <c r="AK70" i="20"/>
  <c r="AK71" i="20"/>
  <c r="AK72" i="20"/>
  <c r="AK73" i="20"/>
  <c r="AK74" i="20"/>
  <c r="AK75" i="20"/>
  <c r="AK76" i="20"/>
  <c r="AK77" i="20"/>
  <c r="AK78" i="20"/>
  <c r="AK79" i="20"/>
  <c r="AK80" i="20"/>
  <c r="AK81" i="20"/>
  <c r="AK82" i="20"/>
  <c r="AK83" i="20"/>
  <c r="AK84" i="20"/>
  <c r="I37" i="2"/>
  <c r="A84" i="20"/>
  <c r="Q46" i="20"/>
  <c r="R46" i="20"/>
  <c r="Q47" i="20"/>
  <c r="R47" i="20"/>
  <c r="Q48" i="20"/>
  <c r="R48" i="20"/>
  <c r="Q49" i="20"/>
  <c r="R49" i="20"/>
  <c r="Q50" i="20"/>
  <c r="R50" i="20"/>
  <c r="Q51" i="20"/>
  <c r="R51" i="20"/>
  <c r="Q52" i="20"/>
  <c r="R52" i="20"/>
  <c r="Q53" i="20"/>
  <c r="R53" i="20"/>
  <c r="Q54" i="20"/>
  <c r="R54" i="20"/>
  <c r="Q55" i="20"/>
  <c r="R55" i="20"/>
  <c r="Q56" i="20"/>
  <c r="R56" i="20"/>
  <c r="Q57" i="20"/>
  <c r="R57" i="20"/>
  <c r="Q58" i="20"/>
  <c r="R58" i="20"/>
  <c r="Q59" i="20"/>
  <c r="R59" i="20"/>
  <c r="Q60" i="20"/>
  <c r="R60" i="20"/>
  <c r="Q61" i="20"/>
  <c r="R61" i="20"/>
  <c r="Q62" i="20"/>
  <c r="R62" i="20"/>
  <c r="Q63" i="20"/>
  <c r="R63" i="20"/>
  <c r="Q64" i="20"/>
  <c r="R64" i="20"/>
  <c r="Q65" i="20"/>
  <c r="R65" i="20"/>
  <c r="Q66" i="20"/>
  <c r="R66" i="20"/>
  <c r="Q67" i="20"/>
  <c r="R67" i="20"/>
  <c r="Q68" i="20"/>
  <c r="R68" i="20"/>
  <c r="Q69" i="20"/>
  <c r="R69" i="20"/>
  <c r="Q70" i="20"/>
  <c r="R70" i="20"/>
  <c r="R71" i="20"/>
  <c r="R72" i="20"/>
  <c r="R73" i="20"/>
  <c r="R74" i="20"/>
  <c r="R75" i="20"/>
  <c r="R76" i="20"/>
  <c r="R77" i="20"/>
  <c r="R78" i="20"/>
  <c r="R79" i="20"/>
  <c r="R80" i="20"/>
  <c r="R81" i="20"/>
  <c r="R82" i="20"/>
  <c r="R83" i="20"/>
  <c r="R84" i="20"/>
  <c r="C37" i="2"/>
  <c r="T42" i="20"/>
  <c r="AJ4" i="20"/>
  <c r="AK4" i="20"/>
  <c r="AJ5" i="20"/>
  <c r="AK5" i="20"/>
  <c r="AJ6" i="20"/>
  <c r="AK6" i="20"/>
  <c r="AJ7" i="20"/>
  <c r="AK7" i="20"/>
  <c r="AJ8" i="20"/>
  <c r="AK8" i="20"/>
  <c r="AJ9" i="20"/>
  <c r="AK9" i="20"/>
  <c r="AJ10" i="20"/>
  <c r="AK10" i="20"/>
  <c r="AJ11" i="20"/>
  <c r="AK11" i="20"/>
  <c r="AJ12" i="20"/>
  <c r="AK12" i="20"/>
  <c r="AJ13" i="20"/>
  <c r="AK13" i="20"/>
  <c r="AJ14" i="20"/>
  <c r="AK14" i="20"/>
  <c r="AJ15" i="20"/>
  <c r="AK15" i="20"/>
  <c r="AJ16" i="20"/>
  <c r="AK16" i="20"/>
  <c r="AJ17" i="20"/>
  <c r="AK17" i="20"/>
  <c r="AJ18" i="20"/>
  <c r="AK18" i="20"/>
  <c r="AJ19" i="20"/>
  <c r="AK19" i="20"/>
  <c r="AJ20" i="20"/>
  <c r="AK20" i="20"/>
  <c r="AJ21" i="20"/>
  <c r="AK21" i="20"/>
  <c r="AJ22" i="20"/>
  <c r="AK22" i="20"/>
  <c r="AJ23" i="20"/>
  <c r="AK23" i="20"/>
  <c r="AJ24" i="20"/>
  <c r="AK24" i="20"/>
  <c r="AK25" i="20"/>
  <c r="AK26" i="20"/>
  <c r="AK27" i="20"/>
  <c r="AK28" i="20"/>
  <c r="AK29" i="20"/>
  <c r="AK30" i="20"/>
  <c r="AK31" i="20"/>
  <c r="AK32" i="20"/>
  <c r="AK33" i="20"/>
  <c r="AK34" i="20"/>
  <c r="AK35" i="20"/>
  <c r="AK36" i="20"/>
  <c r="AK37" i="20"/>
  <c r="AK38" i="20"/>
  <c r="AK39" i="20"/>
  <c r="AK40" i="20"/>
  <c r="AK41" i="20"/>
  <c r="AK42" i="20"/>
  <c r="I36" i="2"/>
  <c r="A42" i="20"/>
  <c r="Q4" i="20"/>
  <c r="R4" i="20"/>
  <c r="Q5" i="20"/>
  <c r="R5" i="20"/>
  <c r="Q6" i="20"/>
  <c r="R6" i="20"/>
  <c r="Q7" i="20"/>
  <c r="R7" i="20"/>
  <c r="Q8" i="20"/>
  <c r="R8" i="20"/>
  <c r="Q9" i="20"/>
  <c r="R9" i="20"/>
  <c r="Q10" i="20"/>
  <c r="R10" i="20"/>
  <c r="Q11" i="20"/>
  <c r="R11" i="20"/>
  <c r="Q12" i="20"/>
  <c r="R12" i="20"/>
  <c r="Q13" i="20"/>
  <c r="R13" i="20"/>
  <c r="Q14" i="20"/>
  <c r="R14" i="20"/>
  <c r="Q15" i="20"/>
  <c r="R15" i="20"/>
  <c r="Q16" i="20"/>
  <c r="R16" i="20"/>
  <c r="Q17" i="20"/>
  <c r="R17" i="20"/>
  <c r="Q18" i="20"/>
  <c r="R18" i="20"/>
  <c r="Q19" i="20"/>
  <c r="R19" i="20"/>
  <c r="Q20" i="20"/>
  <c r="R20" i="20"/>
  <c r="Q21" i="20"/>
  <c r="R21" i="20"/>
  <c r="Q22" i="20"/>
  <c r="R22" i="20"/>
  <c r="Q23" i="20"/>
  <c r="R23" i="20"/>
  <c r="Q24" i="20"/>
  <c r="R24" i="20"/>
  <c r="R25" i="20"/>
  <c r="R26" i="20"/>
  <c r="R27" i="20"/>
  <c r="R28" i="20"/>
  <c r="R29" i="20"/>
  <c r="R30" i="20"/>
  <c r="R31" i="20"/>
  <c r="R32" i="20"/>
  <c r="R33" i="20"/>
  <c r="R34" i="20"/>
  <c r="R35" i="20"/>
  <c r="R36" i="20"/>
  <c r="R37" i="20"/>
  <c r="R38" i="20"/>
  <c r="R39" i="20"/>
  <c r="R40" i="20"/>
  <c r="R41" i="20"/>
  <c r="R42" i="20"/>
  <c r="C36" i="2"/>
  <c r="AK45" i="20"/>
  <c r="R45" i="20"/>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H83" i="35"/>
  <c r="H82" i="35"/>
  <c r="H81" i="35"/>
  <c r="H80" i="35"/>
  <c r="H79" i="35"/>
  <c r="H78" i="35"/>
  <c r="H77" i="35"/>
  <c r="H76" i="35"/>
  <c r="H75" i="35"/>
  <c r="H74" i="35"/>
  <c r="H73" i="35"/>
  <c r="H72" i="35"/>
  <c r="H71" i="35"/>
  <c r="H70" i="35"/>
  <c r="H69" i="35"/>
  <c r="H68" i="35"/>
  <c r="H67" i="35"/>
  <c r="H66" i="35"/>
  <c r="H65" i="35"/>
  <c r="H64" i="35"/>
  <c r="H63" i="35"/>
  <c r="H62" i="35"/>
  <c r="H61" i="35"/>
  <c r="H60" i="35"/>
  <c r="H59" i="35"/>
  <c r="H58" i="35"/>
  <c r="H57" i="35"/>
  <c r="H56" i="35"/>
  <c r="H55" i="35"/>
  <c r="H54" i="35"/>
  <c r="H53" i="35"/>
  <c r="H52" i="35"/>
  <c r="H51" i="35"/>
  <c r="H50" i="35"/>
  <c r="H49" i="35"/>
  <c r="H48" i="35"/>
  <c r="H47" i="35"/>
  <c r="H46" i="35"/>
  <c r="H41" i="35"/>
  <c r="H40" i="35"/>
  <c r="H39" i="35"/>
  <c r="H38" i="35"/>
  <c r="H37" i="35"/>
  <c r="H36" i="35"/>
  <c r="H35" i="35"/>
  <c r="H34" i="35"/>
  <c r="H33" i="35"/>
  <c r="H32" i="35"/>
  <c r="H31" i="35"/>
  <c r="H30" i="35"/>
  <c r="H29" i="35"/>
  <c r="H28" i="35"/>
  <c r="H27" i="35"/>
  <c r="H26" i="35"/>
  <c r="H25" i="35"/>
  <c r="H24" i="35"/>
  <c r="H23" i="35"/>
  <c r="H22" i="35"/>
  <c r="H21" i="35"/>
  <c r="H20" i="35"/>
  <c r="H19" i="35"/>
  <c r="H18" i="35"/>
  <c r="H17" i="35"/>
  <c r="H16" i="35"/>
  <c r="H15" i="35"/>
  <c r="H14" i="35"/>
  <c r="H13" i="35"/>
  <c r="H12" i="35"/>
  <c r="H11" i="35"/>
  <c r="H10" i="35"/>
  <c r="H9" i="35"/>
  <c r="H8" i="35"/>
  <c r="H7" i="35"/>
  <c r="H6" i="35"/>
  <c r="H5" i="35"/>
  <c r="H4" i="35"/>
  <c r="H84" i="35"/>
  <c r="A84" i="35"/>
  <c r="H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H1" i="35"/>
  <c r="H43" i="35"/>
  <c r="J1" i="35"/>
  <c r="A1" i="35"/>
  <c r="A43" i="35"/>
  <c r="I84" i="35"/>
  <c r="K45" i="35"/>
  <c r="J43" i="35"/>
  <c r="B84" i="35"/>
  <c r="D45" i="35"/>
  <c r="C43" i="35"/>
  <c r="I42" i="35"/>
  <c r="K3" i="35"/>
  <c r="C1" i="35"/>
  <c r="B42" i="35"/>
  <c r="D3" i="35"/>
  <c r="E52" i="11"/>
  <c r="A28" i="7"/>
  <c r="AC4" i="31"/>
  <c r="AC5" i="31"/>
  <c r="AC6" i="31"/>
  <c r="AC7" i="31"/>
  <c r="AC8" i="31"/>
  <c r="AC9" i="31"/>
  <c r="AC10" i="31"/>
  <c r="AC11" i="31"/>
  <c r="AC12" i="31"/>
  <c r="AC13" i="31"/>
  <c r="AC14" i="31"/>
  <c r="AC15" i="31"/>
  <c r="AC16" i="31"/>
  <c r="AC17" i="31"/>
  <c r="AC18" i="31"/>
  <c r="AC19" i="31"/>
  <c r="AC20" i="31"/>
  <c r="AC21" i="31"/>
  <c r="AC22" i="31"/>
  <c r="AC23" i="31"/>
  <c r="AC24" i="31"/>
  <c r="AH9" i="17"/>
  <c r="AC46" i="31"/>
  <c r="AC47" i="31"/>
  <c r="AC48" i="31"/>
  <c r="AC49" i="31"/>
  <c r="AC50" i="31"/>
  <c r="AC51" i="31"/>
  <c r="AC52" i="31"/>
  <c r="AC53" i="31"/>
  <c r="AC54" i="31"/>
  <c r="AC55" i="31"/>
  <c r="AC56" i="31"/>
  <c r="AC57" i="31"/>
  <c r="AC58" i="31"/>
  <c r="AC59" i="31"/>
  <c r="AC60" i="31"/>
  <c r="AC61" i="31"/>
  <c r="AC62" i="31"/>
  <c r="AC63" i="31"/>
  <c r="AC64" i="31"/>
  <c r="AC65" i="31"/>
  <c r="AC66" i="31"/>
  <c r="AC67" i="31"/>
  <c r="AC68" i="31"/>
  <c r="AC69" i="31"/>
  <c r="AC70" i="31"/>
  <c r="AH108" i="17"/>
  <c r="C28" i="7"/>
  <c r="U28" i="7"/>
  <c r="W9" i="17"/>
  <c r="W108" i="17"/>
  <c r="D28" i="7"/>
  <c r="Y9" i="17"/>
  <c r="AA4" i="31"/>
  <c r="AA5" i="31"/>
  <c r="AA6" i="31"/>
  <c r="AA7" i="31"/>
  <c r="AA8" i="31"/>
  <c r="AA9" i="31"/>
  <c r="AA10" i="31"/>
  <c r="AA11" i="31"/>
  <c r="AA12" i="31"/>
  <c r="AA13" i="31"/>
  <c r="AA14" i="31"/>
  <c r="AA15" i="31"/>
  <c r="AA16" i="31"/>
  <c r="AA17" i="31"/>
  <c r="AA18" i="31"/>
  <c r="AA19" i="31"/>
  <c r="AA20" i="31"/>
  <c r="AA21" i="31"/>
  <c r="AA22" i="31"/>
  <c r="AA23" i="31"/>
  <c r="AA24" i="31"/>
  <c r="Z9" i="17"/>
  <c r="AA9" i="17"/>
  <c r="AB9" i="17"/>
  <c r="AC9" i="17"/>
  <c r="Y108" i="17"/>
  <c r="AA46" i="31"/>
  <c r="AA47" i="31"/>
  <c r="AA48" i="31"/>
  <c r="AA49" i="31"/>
  <c r="AA50" i="31"/>
  <c r="AA51" i="31"/>
  <c r="AA52" i="31"/>
  <c r="AA53" i="31"/>
  <c r="AA54" i="31"/>
  <c r="AA55" i="31"/>
  <c r="AA56" i="31"/>
  <c r="AA57" i="31"/>
  <c r="AA58" i="31"/>
  <c r="AA59" i="31"/>
  <c r="AA60" i="31"/>
  <c r="AA61" i="31"/>
  <c r="AA62" i="31"/>
  <c r="AA63" i="31"/>
  <c r="AA64" i="31"/>
  <c r="AA65" i="31"/>
  <c r="AA66" i="31"/>
  <c r="AA67" i="31"/>
  <c r="AA68" i="31"/>
  <c r="AA69" i="31"/>
  <c r="AA70" i="31"/>
  <c r="Z108" i="17"/>
  <c r="AA108" i="17"/>
  <c r="AB108" i="17"/>
  <c r="AC108" i="17"/>
  <c r="E28" i="7"/>
  <c r="T3" i="15"/>
  <c r="R4" i="15"/>
  <c r="R6" i="15"/>
  <c r="R8" i="15"/>
  <c r="R10" i="15"/>
  <c r="R12" i="15"/>
  <c r="R14" i="15"/>
  <c r="R16" i="15"/>
  <c r="R18" i="15"/>
  <c r="R20" i="15"/>
  <c r="R22" i="15"/>
  <c r="R24" i="15"/>
  <c r="R26" i="15"/>
  <c r="R28" i="15"/>
  <c r="R30" i="15"/>
  <c r="R32" i="15"/>
  <c r="R34" i="15"/>
  <c r="R36" i="15"/>
  <c r="R38" i="15"/>
  <c r="R40" i="15"/>
  <c r="R42" i="15"/>
  <c r="R44" i="15"/>
  <c r="R46" i="15"/>
  <c r="R48" i="15"/>
  <c r="R50" i="15"/>
  <c r="R52" i="15"/>
  <c r="R54" i="15"/>
  <c r="R56" i="15"/>
  <c r="R58" i="15"/>
  <c r="R60" i="15"/>
  <c r="R62" i="15"/>
  <c r="R64" i="15"/>
  <c r="R66" i="15"/>
  <c r="R68" i="15"/>
  <c r="R70" i="15"/>
  <c r="R72" i="15"/>
  <c r="R74" i="15"/>
  <c r="R76" i="15"/>
  <c r="R78" i="15"/>
  <c r="T4" i="15"/>
  <c r="T5" i="15"/>
  <c r="T6" i="15"/>
  <c r="T7" i="15"/>
  <c r="T8" i="15"/>
  <c r="T9" i="15"/>
  <c r="T10" i="15"/>
  <c r="T11" i="15"/>
  <c r="T12" i="15"/>
  <c r="T13" i="15"/>
  <c r="T14" i="15"/>
  <c r="T15" i="15"/>
  <c r="T16" i="15"/>
  <c r="T17" i="15"/>
  <c r="T18" i="15"/>
  <c r="T19" i="15"/>
  <c r="T20" i="15"/>
  <c r="T21" i="15"/>
  <c r="T22" i="15"/>
  <c r="T23" i="15"/>
  <c r="T24" i="15"/>
  <c r="T25" i="15"/>
  <c r="T26" i="15"/>
  <c r="T27" i="15"/>
  <c r="T28" i="15"/>
  <c r="T29" i="15"/>
  <c r="T30" i="15"/>
  <c r="T31" i="15"/>
  <c r="T32" i="15"/>
  <c r="T33" i="15"/>
  <c r="T34" i="15"/>
  <c r="T35" i="15"/>
  <c r="T36" i="15"/>
  <c r="T37" i="15"/>
  <c r="T38" i="15"/>
  <c r="T39" i="15"/>
  <c r="T40" i="15"/>
  <c r="T41" i="15"/>
  <c r="T42" i="15"/>
  <c r="T43" i="15"/>
  <c r="T44" i="15"/>
  <c r="T45" i="15"/>
  <c r="T46" i="15"/>
  <c r="T47" i="15"/>
  <c r="T48" i="15"/>
  <c r="T49" i="15"/>
  <c r="T50" i="15"/>
  <c r="T51" i="15"/>
  <c r="T52" i="15"/>
  <c r="T53" i="15"/>
  <c r="T54" i="15"/>
  <c r="T55" i="15"/>
  <c r="T56" i="15"/>
  <c r="T57" i="15"/>
  <c r="T58" i="15"/>
  <c r="T59" i="15"/>
  <c r="T60" i="15"/>
  <c r="T61" i="15"/>
  <c r="T62" i="15"/>
  <c r="T63" i="15"/>
  <c r="T64" i="15"/>
  <c r="T65" i="15"/>
  <c r="T66" i="15"/>
  <c r="T67" i="15"/>
  <c r="T68" i="15"/>
  <c r="T69" i="15"/>
  <c r="T70" i="15"/>
  <c r="T71" i="15"/>
  <c r="T72" i="15"/>
  <c r="T73" i="15"/>
  <c r="T74" i="15"/>
  <c r="T75" i="15"/>
  <c r="T76" i="15"/>
  <c r="T77" i="15"/>
  <c r="T78" i="15"/>
  <c r="AW4" i="31"/>
  <c r="AW5" i="31"/>
  <c r="AW6" i="31"/>
  <c r="AW7" i="31"/>
  <c r="AW8" i="31"/>
  <c r="AW9" i="31"/>
  <c r="AW10" i="31"/>
  <c r="AW11" i="31"/>
  <c r="AW12" i="31"/>
  <c r="AW13" i="31"/>
  <c r="AW14" i="31"/>
  <c r="AW15" i="31"/>
  <c r="AW16" i="31"/>
  <c r="AW17" i="31"/>
  <c r="AW18" i="31"/>
  <c r="AW19" i="31"/>
  <c r="AW20" i="31"/>
  <c r="AW21" i="31"/>
  <c r="AW22" i="31"/>
  <c r="AW23" i="31"/>
  <c r="AW24" i="31"/>
  <c r="Y55" i="17"/>
  <c r="D3" i="15"/>
  <c r="B4" i="15"/>
  <c r="B6" i="15"/>
  <c r="B8" i="15"/>
  <c r="B10" i="15"/>
  <c r="B12" i="15"/>
  <c r="B14" i="15"/>
  <c r="B16" i="15"/>
  <c r="B18" i="15"/>
  <c r="B20" i="15"/>
  <c r="B22" i="15"/>
  <c r="B24" i="15"/>
  <c r="B26" i="15"/>
  <c r="B28" i="15"/>
  <c r="B30" i="15"/>
  <c r="B32" i="15"/>
  <c r="B34" i="15"/>
  <c r="B36" i="15"/>
  <c r="B38" i="15"/>
  <c r="B40" i="15"/>
  <c r="B42" i="15"/>
  <c r="B44" i="15"/>
  <c r="B46" i="15"/>
  <c r="B48" i="15"/>
  <c r="B50" i="15"/>
  <c r="B52" i="15"/>
  <c r="B54" i="15"/>
  <c r="B56" i="15"/>
  <c r="B58" i="15"/>
  <c r="B60" i="15"/>
  <c r="B62" i="15"/>
  <c r="B64" i="15"/>
  <c r="B66" i="15"/>
  <c r="B68" i="15"/>
  <c r="B70" i="15"/>
  <c r="B72" i="15"/>
  <c r="B74" i="15"/>
  <c r="B76" i="15"/>
  <c r="B78" i="15"/>
  <c r="D4" i="15"/>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W4" i="31"/>
  <c r="W5" i="31"/>
  <c r="W6" i="31"/>
  <c r="W7" i="31"/>
  <c r="W8" i="31"/>
  <c r="W9" i="31"/>
  <c r="W10" i="31"/>
  <c r="W11" i="31"/>
  <c r="W12" i="31"/>
  <c r="W13" i="31"/>
  <c r="W14" i="31"/>
  <c r="W15" i="31"/>
  <c r="W16" i="31"/>
  <c r="W17" i="31"/>
  <c r="W18" i="31"/>
  <c r="W19" i="31"/>
  <c r="W20" i="31"/>
  <c r="W21" i="31"/>
  <c r="W22" i="31"/>
  <c r="W23" i="31"/>
  <c r="W24" i="31"/>
  <c r="Y78" i="17"/>
  <c r="Y32" i="17"/>
  <c r="Z55" i="17"/>
  <c r="Z78" i="17"/>
  <c r="Z32" i="17"/>
  <c r="AA55" i="17"/>
  <c r="AA78" i="17"/>
  <c r="AA32" i="17"/>
  <c r="AB55" i="17"/>
  <c r="AB78" i="17"/>
  <c r="AB32" i="17"/>
  <c r="AC32" i="17"/>
  <c r="T88" i="15"/>
  <c r="R89" i="15"/>
  <c r="R91" i="15"/>
  <c r="R93" i="15"/>
  <c r="R95" i="15"/>
  <c r="R97" i="15"/>
  <c r="R99" i="15"/>
  <c r="R101" i="15"/>
  <c r="R103" i="15"/>
  <c r="R105" i="15"/>
  <c r="R107" i="15"/>
  <c r="R109" i="15"/>
  <c r="R111" i="15"/>
  <c r="R113" i="15"/>
  <c r="R115" i="15"/>
  <c r="R117" i="15"/>
  <c r="R119" i="15"/>
  <c r="R121" i="15"/>
  <c r="R123" i="15"/>
  <c r="R125" i="15"/>
  <c r="R127" i="15"/>
  <c r="R129" i="15"/>
  <c r="R131" i="15"/>
  <c r="R133" i="15"/>
  <c r="R135" i="15"/>
  <c r="R137" i="15"/>
  <c r="R139" i="15"/>
  <c r="R141" i="15"/>
  <c r="R143" i="15"/>
  <c r="R145" i="15"/>
  <c r="R147" i="15"/>
  <c r="R149" i="15"/>
  <c r="R151" i="15"/>
  <c r="R153" i="15"/>
  <c r="R155" i="15"/>
  <c r="R157" i="15"/>
  <c r="R159" i="15"/>
  <c r="R161" i="15"/>
  <c r="R163" i="15"/>
  <c r="T89" i="15"/>
  <c r="T90" i="15"/>
  <c r="T91" i="15"/>
  <c r="T92" i="15"/>
  <c r="T93" i="15"/>
  <c r="T94" i="15"/>
  <c r="T95" i="15"/>
  <c r="T96" i="15"/>
  <c r="T97" i="15"/>
  <c r="T98" i="15"/>
  <c r="T99" i="15"/>
  <c r="T100" i="15"/>
  <c r="T101" i="15"/>
  <c r="T102" i="15"/>
  <c r="T103" i="15"/>
  <c r="T104" i="15"/>
  <c r="T105" i="15"/>
  <c r="T106" i="15"/>
  <c r="T107" i="15"/>
  <c r="T108" i="15"/>
  <c r="T109" i="15"/>
  <c r="T110" i="15"/>
  <c r="T111" i="15"/>
  <c r="T112" i="15"/>
  <c r="T113" i="15"/>
  <c r="T114" i="15"/>
  <c r="T115" i="15"/>
  <c r="T116" i="15"/>
  <c r="T117" i="15"/>
  <c r="T118" i="15"/>
  <c r="T119" i="15"/>
  <c r="T120" i="15"/>
  <c r="T121" i="15"/>
  <c r="T122" i="15"/>
  <c r="T123" i="15"/>
  <c r="T124" i="15"/>
  <c r="T125" i="15"/>
  <c r="T126" i="15"/>
  <c r="T127" i="15"/>
  <c r="T128" i="15"/>
  <c r="T129" i="15"/>
  <c r="T130" i="15"/>
  <c r="T131" i="15"/>
  <c r="T132" i="15"/>
  <c r="T133" i="15"/>
  <c r="T134" i="15"/>
  <c r="T135" i="15"/>
  <c r="T136" i="15"/>
  <c r="T137" i="15"/>
  <c r="T138" i="15"/>
  <c r="T139" i="15"/>
  <c r="T140" i="15"/>
  <c r="T141" i="15"/>
  <c r="T142" i="15"/>
  <c r="T143" i="15"/>
  <c r="T144" i="15"/>
  <c r="T145" i="15"/>
  <c r="T146" i="15"/>
  <c r="T147" i="15"/>
  <c r="T148" i="15"/>
  <c r="T149" i="15"/>
  <c r="T150" i="15"/>
  <c r="T151" i="15"/>
  <c r="T152" i="15"/>
  <c r="T153" i="15"/>
  <c r="T154" i="15"/>
  <c r="T155" i="15"/>
  <c r="T156" i="15"/>
  <c r="T157" i="15"/>
  <c r="T158" i="15"/>
  <c r="T159" i="15"/>
  <c r="T160" i="15"/>
  <c r="T161" i="15"/>
  <c r="T162" i="15"/>
  <c r="T163" i="15"/>
  <c r="AW46" i="31"/>
  <c r="AW47" i="31"/>
  <c r="AW48" i="31"/>
  <c r="AW49" i="31"/>
  <c r="AW50" i="31"/>
  <c r="AW51" i="31"/>
  <c r="AW52" i="31"/>
  <c r="AW53" i="31"/>
  <c r="AW54" i="31"/>
  <c r="AW55" i="31"/>
  <c r="AW56" i="31"/>
  <c r="AW57" i="31"/>
  <c r="AW58" i="31"/>
  <c r="AW59" i="31"/>
  <c r="AW60" i="31"/>
  <c r="AW61" i="31"/>
  <c r="AW62" i="31"/>
  <c r="AW63" i="31"/>
  <c r="AW64" i="31"/>
  <c r="AW65" i="31"/>
  <c r="AW66" i="31"/>
  <c r="AW67" i="31"/>
  <c r="AW68" i="31"/>
  <c r="AW69" i="31"/>
  <c r="AW70" i="31"/>
  <c r="Y154" i="17"/>
  <c r="D88" i="15"/>
  <c r="B89" i="15"/>
  <c r="B91" i="15"/>
  <c r="B93" i="15"/>
  <c r="B95" i="15"/>
  <c r="B97" i="15"/>
  <c r="B99" i="15"/>
  <c r="B101" i="15"/>
  <c r="B103" i="15"/>
  <c r="B105" i="15"/>
  <c r="B107" i="15"/>
  <c r="B109" i="15"/>
  <c r="B111" i="15"/>
  <c r="B113" i="15"/>
  <c r="B115" i="15"/>
  <c r="B117" i="15"/>
  <c r="B119" i="15"/>
  <c r="B121" i="15"/>
  <c r="B123" i="15"/>
  <c r="B125" i="15"/>
  <c r="B127" i="15"/>
  <c r="B129" i="15"/>
  <c r="B131" i="15"/>
  <c r="B133" i="15"/>
  <c r="B135" i="15"/>
  <c r="B137" i="15"/>
  <c r="B139" i="15"/>
  <c r="B141" i="15"/>
  <c r="B143" i="15"/>
  <c r="B145" i="15"/>
  <c r="B147" i="15"/>
  <c r="B149" i="15"/>
  <c r="B151" i="15"/>
  <c r="B153" i="15"/>
  <c r="B155" i="15"/>
  <c r="B157" i="15"/>
  <c r="B159" i="15"/>
  <c r="B161" i="15"/>
  <c r="B163"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W46" i="31"/>
  <c r="W47" i="31"/>
  <c r="W48" i="31"/>
  <c r="W49" i="31"/>
  <c r="W50" i="31"/>
  <c r="W51" i="31"/>
  <c r="W52" i="31"/>
  <c r="W53" i="31"/>
  <c r="W54" i="31"/>
  <c r="W55" i="31"/>
  <c r="W56" i="31"/>
  <c r="W57" i="31"/>
  <c r="W58" i="31"/>
  <c r="W59" i="31"/>
  <c r="W60" i="31"/>
  <c r="W61" i="31"/>
  <c r="W62" i="31"/>
  <c r="W63" i="31"/>
  <c r="W64" i="31"/>
  <c r="W65" i="31"/>
  <c r="W66" i="31"/>
  <c r="W67" i="31"/>
  <c r="W68" i="31"/>
  <c r="W69" i="31"/>
  <c r="W70" i="31"/>
  <c r="Y177" i="17"/>
  <c r="Y131" i="17"/>
  <c r="Z154" i="17"/>
  <c r="Z177" i="17"/>
  <c r="Z131" i="17"/>
  <c r="AA154" i="17"/>
  <c r="AA177" i="17"/>
  <c r="AA131" i="17"/>
  <c r="AB154" i="17"/>
  <c r="AB177" i="17"/>
  <c r="AB131" i="17"/>
  <c r="AC131" i="17"/>
  <c r="X28" i="7"/>
  <c r="Y28" i="7"/>
  <c r="F28" i="7"/>
  <c r="W55" i="17"/>
  <c r="W78" i="17"/>
  <c r="W32" i="17"/>
  <c r="AE32" i="17"/>
  <c r="AH55" i="17"/>
  <c r="AH78" i="17"/>
  <c r="AH32" i="17"/>
  <c r="AJ32" i="17"/>
  <c r="W154" i="17"/>
  <c r="W177" i="17"/>
  <c r="W131" i="17"/>
  <c r="AE131" i="17"/>
  <c r="AH154" i="17"/>
  <c r="AH177" i="17"/>
  <c r="AH131" i="17"/>
  <c r="AJ131" i="17"/>
  <c r="S28" i="7"/>
  <c r="Z28" i="7"/>
  <c r="A29" i="7"/>
  <c r="AH10" i="17"/>
  <c r="AH109" i="17"/>
  <c r="C29" i="7"/>
  <c r="R3" i="15"/>
  <c r="R5" i="15"/>
  <c r="R7" i="15"/>
  <c r="R9" i="15"/>
  <c r="R11" i="15"/>
  <c r="R13" i="15"/>
  <c r="R15" i="15"/>
  <c r="R17" i="15"/>
  <c r="R19" i="15"/>
  <c r="R21" i="15"/>
  <c r="R23" i="15"/>
  <c r="R25" i="15"/>
  <c r="R27" i="15"/>
  <c r="R29" i="15"/>
  <c r="R31" i="15"/>
  <c r="R33" i="15"/>
  <c r="R35" i="15"/>
  <c r="R37" i="15"/>
  <c r="R39" i="15"/>
  <c r="R41" i="15"/>
  <c r="R43" i="15"/>
  <c r="R45" i="15"/>
  <c r="R47" i="15"/>
  <c r="R49" i="15"/>
  <c r="R51" i="15"/>
  <c r="R53" i="15"/>
  <c r="R55" i="15"/>
  <c r="R57" i="15"/>
  <c r="R59" i="15"/>
  <c r="R61" i="15"/>
  <c r="R63" i="15"/>
  <c r="R65" i="15"/>
  <c r="R67" i="15"/>
  <c r="R69" i="15"/>
  <c r="R71" i="15"/>
  <c r="R73" i="15"/>
  <c r="R75" i="15"/>
  <c r="R77" i="15"/>
  <c r="AW25" i="31"/>
  <c r="AW26" i="31"/>
  <c r="AW27" i="31"/>
  <c r="AW28" i="31"/>
  <c r="AW29" i="31"/>
  <c r="AW30" i="31"/>
  <c r="AW31" i="31"/>
  <c r="AW32" i="31"/>
  <c r="AW33" i="31"/>
  <c r="AW34" i="31"/>
  <c r="AW35" i="31"/>
  <c r="AW36" i="31"/>
  <c r="AW37" i="31"/>
  <c r="AW38" i="31"/>
  <c r="AW39" i="31"/>
  <c r="AW40" i="31"/>
  <c r="AW41" i="31"/>
  <c r="AH56" i="17"/>
  <c r="AH79" i="17"/>
  <c r="AH33" i="17"/>
  <c r="AH178" i="17"/>
  <c r="W10" i="17"/>
  <c r="W109" i="17"/>
  <c r="D29" i="7"/>
  <c r="Y10" i="17"/>
  <c r="AA10" i="17"/>
  <c r="Z109" i="17"/>
  <c r="Z10" i="17"/>
  <c r="AB10" i="17"/>
  <c r="AC10" i="17"/>
  <c r="Y109" i="17"/>
  <c r="AA109" i="17"/>
  <c r="AB109" i="17"/>
  <c r="AC109" i="17"/>
  <c r="E29" i="7"/>
  <c r="F29" i="7"/>
  <c r="W56" i="17"/>
  <c r="W79" i="17"/>
  <c r="W33" i="17"/>
  <c r="Y56" i="17"/>
  <c r="Y79" i="17"/>
  <c r="Y33" i="17"/>
  <c r="Z56" i="17"/>
  <c r="Z79" i="17"/>
  <c r="Z33" i="17"/>
  <c r="AA56" i="17"/>
  <c r="AA79" i="17"/>
  <c r="AA33" i="17"/>
  <c r="AB56" i="17"/>
  <c r="AB79" i="17"/>
  <c r="AB33" i="17"/>
  <c r="AC33" i="17"/>
  <c r="AE33" i="17"/>
  <c r="AJ33" i="17"/>
  <c r="W178" i="17"/>
  <c r="Y178" i="17"/>
  <c r="Z178" i="17"/>
  <c r="AA178" i="17"/>
  <c r="AB178" i="17"/>
  <c r="A30" i="7"/>
  <c r="AH11" i="17"/>
  <c r="AH110" i="17"/>
  <c r="C30" i="7"/>
  <c r="W11" i="17"/>
  <c r="W110" i="17"/>
  <c r="D30" i="7"/>
  <c r="AA11" i="17"/>
  <c r="Y11" i="17"/>
  <c r="Z11" i="17"/>
  <c r="AB11" i="17"/>
  <c r="AC11" i="17"/>
  <c r="Y110" i="17"/>
  <c r="Z110" i="17"/>
  <c r="AA110" i="17"/>
  <c r="AB110" i="17"/>
  <c r="AC110" i="17"/>
  <c r="E30" i="7"/>
  <c r="F30" i="7"/>
  <c r="W57" i="17"/>
  <c r="W80" i="17"/>
  <c r="W34" i="17"/>
  <c r="Y57" i="17"/>
  <c r="Y80" i="17"/>
  <c r="Y34" i="17"/>
  <c r="Z57" i="17"/>
  <c r="Z80" i="17"/>
  <c r="Z34" i="17"/>
  <c r="AA57" i="17"/>
  <c r="AA80" i="17"/>
  <c r="AA34" i="17"/>
  <c r="AB57" i="17"/>
  <c r="AB80" i="17"/>
  <c r="AB34" i="17"/>
  <c r="AC34" i="17"/>
  <c r="AE34" i="17"/>
  <c r="AH57" i="17"/>
  <c r="AH80" i="17"/>
  <c r="AH34" i="17"/>
  <c r="AJ34" i="17"/>
  <c r="W156" i="17"/>
  <c r="W179" i="17"/>
  <c r="W133" i="17"/>
  <c r="Y156" i="17"/>
  <c r="Y179" i="17"/>
  <c r="Y133" i="17"/>
  <c r="Z156" i="17"/>
  <c r="Z179" i="17"/>
  <c r="Z133" i="17"/>
  <c r="AA156" i="17"/>
  <c r="AA179" i="17"/>
  <c r="AA133" i="17"/>
  <c r="AB156" i="17"/>
  <c r="AB179" i="17"/>
  <c r="AB133" i="17"/>
  <c r="AC133" i="17"/>
  <c r="AE133" i="17"/>
  <c r="AH156" i="17"/>
  <c r="AH179" i="17"/>
  <c r="AH133" i="17"/>
  <c r="AJ133" i="17"/>
  <c r="S30" i="7"/>
  <c r="Z30" i="7"/>
  <c r="A31" i="7"/>
  <c r="AH12" i="17"/>
  <c r="AH111" i="17"/>
  <c r="C31" i="7"/>
  <c r="W12" i="17"/>
  <c r="W111" i="17"/>
  <c r="D31" i="7"/>
  <c r="Y12" i="17"/>
  <c r="AA12" i="17"/>
  <c r="Z111" i="17"/>
  <c r="AB111" i="17"/>
  <c r="Z12" i="17"/>
  <c r="AB12" i="17"/>
  <c r="AC12" i="17"/>
  <c r="Y111" i="17"/>
  <c r="AA111" i="17"/>
  <c r="AC111" i="17"/>
  <c r="E31" i="7"/>
  <c r="F31" i="7"/>
  <c r="Z31" i="7"/>
  <c r="A32" i="7"/>
  <c r="AH13" i="17"/>
  <c r="AH112" i="17"/>
  <c r="C32" i="7"/>
  <c r="AH59" i="17"/>
  <c r="AH82" i="17"/>
  <c r="AH36" i="17"/>
  <c r="AH181" i="17"/>
  <c r="W13" i="17"/>
  <c r="W112" i="17"/>
  <c r="D32" i="7"/>
  <c r="AA13" i="17"/>
  <c r="AB13" i="17"/>
  <c r="Y13" i="17"/>
  <c r="Z13" i="17"/>
  <c r="AC13" i="17"/>
  <c r="Y112" i="17"/>
  <c r="Z112" i="17"/>
  <c r="AA112" i="17"/>
  <c r="AB112" i="17"/>
  <c r="AC112" i="17"/>
  <c r="E32" i="7"/>
  <c r="F32" i="7"/>
  <c r="W59" i="17"/>
  <c r="W82" i="17"/>
  <c r="W36" i="17"/>
  <c r="Y59" i="17"/>
  <c r="Y82" i="17"/>
  <c r="Y36" i="17"/>
  <c r="Z59" i="17"/>
  <c r="Z82" i="17"/>
  <c r="Z36" i="17"/>
  <c r="AA59" i="17"/>
  <c r="AA82" i="17"/>
  <c r="AA36" i="17"/>
  <c r="AB59" i="17"/>
  <c r="AB82" i="17"/>
  <c r="AB36" i="17"/>
  <c r="AC36" i="17"/>
  <c r="AE36" i="17"/>
  <c r="AJ36" i="17"/>
  <c r="R88" i="15"/>
  <c r="R90" i="15"/>
  <c r="R92" i="15"/>
  <c r="R94" i="15"/>
  <c r="R96" i="15"/>
  <c r="R98" i="15"/>
  <c r="R100" i="15"/>
  <c r="R102" i="15"/>
  <c r="R104" i="15"/>
  <c r="R106" i="15"/>
  <c r="R108" i="15"/>
  <c r="R110" i="15"/>
  <c r="R112" i="15"/>
  <c r="R114" i="15"/>
  <c r="R116" i="15"/>
  <c r="R118" i="15"/>
  <c r="R120" i="15"/>
  <c r="R122" i="15"/>
  <c r="R124" i="15"/>
  <c r="R126" i="15"/>
  <c r="R128" i="15"/>
  <c r="R130" i="15"/>
  <c r="R132" i="15"/>
  <c r="R134" i="15"/>
  <c r="R136" i="15"/>
  <c r="R138" i="15"/>
  <c r="R140" i="15"/>
  <c r="R142" i="15"/>
  <c r="R144" i="15"/>
  <c r="R146" i="15"/>
  <c r="R148" i="15"/>
  <c r="R150" i="15"/>
  <c r="R152" i="15"/>
  <c r="R154" i="15"/>
  <c r="R156" i="15"/>
  <c r="R158" i="15"/>
  <c r="R160" i="15"/>
  <c r="R162" i="15"/>
  <c r="AW71" i="31"/>
  <c r="AW72" i="31"/>
  <c r="AW73" i="31"/>
  <c r="AW74" i="31"/>
  <c r="AW75" i="31"/>
  <c r="AW76" i="31"/>
  <c r="AW77" i="31"/>
  <c r="AW78" i="31"/>
  <c r="AW79" i="31"/>
  <c r="AW80" i="31"/>
  <c r="AW81" i="31"/>
  <c r="AW82" i="31"/>
  <c r="AW83" i="31"/>
  <c r="W158" i="17"/>
  <c r="W181" i="17"/>
  <c r="W135" i="17"/>
  <c r="Y158" i="17"/>
  <c r="Y181" i="17"/>
  <c r="Y135" i="17"/>
  <c r="Z158" i="17"/>
  <c r="Z181" i="17"/>
  <c r="Z135" i="17"/>
  <c r="AA158" i="17"/>
  <c r="AA181" i="17"/>
  <c r="AA135" i="17"/>
  <c r="AB158" i="17"/>
  <c r="AB181" i="17"/>
  <c r="AB135" i="17"/>
  <c r="AC135" i="17"/>
  <c r="AE135" i="17"/>
  <c r="AH158" i="17"/>
  <c r="AH135" i="17"/>
  <c r="AJ135" i="17"/>
  <c r="S32" i="7"/>
  <c r="Z32" i="7"/>
  <c r="A33" i="7"/>
  <c r="AH14" i="17"/>
  <c r="AH113" i="17"/>
  <c r="C33" i="7"/>
  <c r="W14" i="17"/>
  <c r="W113" i="17"/>
  <c r="D33" i="7"/>
  <c r="Y14" i="17"/>
  <c r="Y113" i="17"/>
  <c r="Z113" i="17"/>
  <c r="AA113" i="17"/>
  <c r="AB113" i="17"/>
  <c r="AC113" i="17"/>
  <c r="Z14" i="17"/>
  <c r="AA14" i="17"/>
  <c r="AB14" i="17"/>
  <c r="AC14" i="17"/>
  <c r="E33" i="7"/>
  <c r="F33" i="7"/>
  <c r="W60" i="17"/>
  <c r="W83" i="17"/>
  <c r="W37" i="17"/>
  <c r="Y60" i="17"/>
  <c r="Y83" i="17"/>
  <c r="Y37" i="17"/>
  <c r="Z60" i="17"/>
  <c r="Z83" i="17"/>
  <c r="Z37" i="17"/>
  <c r="AA60" i="17"/>
  <c r="AA83" i="17"/>
  <c r="AA37" i="17"/>
  <c r="AB60" i="17"/>
  <c r="AB83" i="17"/>
  <c r="AB37" i="17"/>
  <c r="AC37" i="17"/>
  <c r="AE37" i="17"/>
  <c r="AH60" i="17"/>
  <c r="AH83" i="17"/>
  <c r="AH37" i="17"/>
  <c r="AJ37" i="17"/>
  <c r="W159" i="17"/>
  <c r="W182" i="17"/>
  <c r="W136" i="17"/>
  <c r="Y159" i="17"/>
  <c r="Y182" i="17"/>
  <c r="Y136" i="17"/>
  <c r="Z159" i="17"/>
  <c r="Z182" i="17"/>
  <c r="Z136" i="17"/>
  <c r="AA159" i="17"/>
  <c r="AA182" i="17"/>
  <c r="AA136" i="17"/>
  <c r="AB159" i="17"/>
  <c r="AB182" i="17"/>
  <c r="AB136" i="17"/>
  <c r="AC136" i="17"/>
  <c r="AE136" i="17"/>
  <c r="AH159" i="17"/>
  <c r="AH182" i="17"/>
  <c r="AH136" i="17"/>
  <c r="AJ136" i="17"/>
  <c r="S33" i="7"/>
  <c r="Z33" i="7"/>
  <c r="A34" i="7"/>
  <c r="W114" i="17"/>
  <c r="AA15" i="17"/>
  <c r="AB15" i="17"/>
  <c r="Y15" i="17"/>
  <c r="Z15" i="17"/>
  <c r="AC15" i="17"/>
  <c r="AB114" i="17"/>
  <c r="Y114" i="17"/>
  <c r="Z114" i="17"/>
  <c r="AA114" i="17"/>
  <c r="AC114" i="17"/>
  <c r="E34" i="7"/>
  <c r="A35" i="7"/>
  <c r="AH16" i="17"/>
  <c r="AH115" i="17"/>
  <c r="C35" i="7"/>
  <c r="W16" i="17"/>
  <c r="W115" i="17"/>
  <c r="D35" i="7"/>
  <c r="Y16" i="17"/>
  <c r="Y115" i="17"/>
  <c r="Z115" i="17"/>
  <c r="AA115" i="17"/>
  <c r="AB115" i="17"/>
  <c r="AC115" i="17"/>
  <c r="Z16" i="17"/>
  <c r="AA16" i="17"/>
  <c r="AB16" i="17"/>
  <c r="AC16" i="17"/>
  <c r="E35" i="7"/>
  <c r="F35" i="7"/>
  <c r="W62" i="17"/>
  <c r="W85" i="17"/>
  <c r="W39" i="17"/>
  <c r="Y62" i="17"/>
  <c r="Y85" i="17"/>
  <c r="Y39" i="17"/>
  <c r="Z62" i="17"/>
  <c r="Z85" i="17"/>
  <c r="Z39" i="17"/>
  <c r="AA62" i="17"/>
  <c r="AA85" i="17"/>
  <c r="AA39" i="17"/>
  <c r="AB62" i="17"/>
  <c r="AB85" i="17"/>
  <c r="AB39" i="17"/>
  <c r="AC39" i="17"/>
  <c r="AE39" i="17"/>
  <c r="AH62" i="17"/>
  <c r="AH85" i="17"/>
  <c r="AH39" i="17"/>
  <c r="AJ39" i="17"/>
  <c r="W184" i="17"/>
  <c r="Y184" i="17"/>
  <c r="Z184" i="17"/>
  <c r="AA184" i="17"/>
  <c r="AB184" i="17"/>
  <c r="AH184" i="17"/>
  <c r="A36" i="7"/>
  <c r="W116" i="17"/>
  <c r="AA17" i="17"/>
  <c r="AB17" i="17"/>
  <c r="Y17" i="17"/>
  <c r="Z17" i="17"/>
  <c r="AC17" i="17"/>
  <c r="AB116" i="17"/>
  <c r="Y116" i="17"/>
  <c r="Z116" i="17"/>
  <c r="AA116" i="17"/>
  <c r="AC116" i="17"/>
  <c r="E36" i="7"/>
  <c r="A37" i="7"/>
  <c r="AH18" i="17"/>
  <c r="AH117" i="17"/>
  <c r="C37" i="7"/>
  <c r="AH64" i="17"/>
  <c r="AH87" i="17"/>
  <c r="AH41" i="17"/>
  <c r="AH163" i="17"/>
  <c r="AH186" i="17"/>
  <c r="AH140" i="17"/>
  <c r="T37" i="7"/>
  <c r="U37" i="7"/>
  <c r="W18" i="17"/>
  <c r="W117" i="17"/>
  <c r="D37" i="7"/>
  <c r="Y18" i="17"/>
  <c r="Y117" i="17"/>
  <c r="Z117" i="17"/>
  <c r="AA117" i="17"/>
  <c r="AB117" i="17"/>
  <c r="AC117" i="17"/>
  <c r="Z18" i="17"/>
  <c r="AA18" i="17"/>
  <c r="AB18" i="17"/>
  <c r="AC18" i="17"/>
  <c r="E37" i="7"/>
  <c r="F37" i="7"/>
  <c r="W64" i="17"/>
  <c r="W87" i="17"/>
  <c r="W41" i="17"/>
  <c r="Y64" i="17"/>
  <c r="Y87" i="17"/>
  <c r="Y41" i="17"/>
  <c r="Z64" i="17"/>
  <c r="Z87" i="17"/>
  <c r="Z41" i="17"/>
  <c r="AA64" i="17"/>
  <c r="AA87" i="17"/>
  <c r="AA41" i="17"/>
  <c r="AB64" i="17"/>
  <c r="AB87" i="17"/>
  <c r="AB41" i="17"/>
  <c r="AC41" i="17"/>
  <c r="AE41" i="17"/>
  <c r="AJ41" i="17"/>
  <c r="W163" i="17"/>
  <c r="W186" i="17"/>
  <c r="W140" i="17"/>
  <c r="Y163" i="17"/>
  <c r="Y186" i="17"/>
  <c r="Y140" i="17"/>
  <c r="Z163" i="17"/>
  <c r="Z186" i="17"/>
  <c r="Z140" i="17"/>
  <c r="AA163" i="17"/>
  <c r="AA186" i="17"/>
  <c r="AA140" i="17"/>
  <c r="AB163" i="17"/>
  <c r="AB186" i="17"/>
  <c r="AB140" i="17"/>
  <c r="AC140" i="17"/>
  <c r="AE140" i="17"/>
  <c r="AJ140" i="17"/>
  <c r="S37" i="7"/>
  <c r="Z37" i="7"/>
  <c r="A38" i="7"/>
  <c r="W118" i="17"/>
  <c r="Z19" i="17"/>
  <c r="AA19" i="17"/>
  <c r="AB19" i="17"/>
  <c r="Z118" i="17"/>
  <c r="AA118" i="17"/>
  <c r="Y118" i="17"/>
  <c r="AB118" i="17"/>
  <c r="AC118" i="17"/>
  <c r="A39" i="7"/>
  <c r="W20" i="17"/>
  <c r="Y20" i="17"/>
  <c r="A40" i="7"/>
  <c r="AH21" i="17"/>
  <c r="AH120" i="17"/>
  <c r="W21" i="17"/>
  <c r="Y21" i="17"/>
  <c r="Z21" i="17"/>
  <c r="AA21" i="17"/>
  <c r="AB21" i="17"/>
  <c r="AC21" i="17"/>
  <c r="Y120" i="17"/>
  <c r="Z120" i="17"/>
  <c r="AA120" i="17"/>
  <c r="AB120" i="17"/>
  <c r="AC120" i="17"/>
  <c r="A41" i="7"/>
  <c r="AH22" i="17"/>
  <c r="AH121" i="17"/>
  <c r="C41" i="7"/>
  <c r="AH68" i="17"/>
  <c r="AH91" i="17"/>
  <c r="AH45" i="17"/>
  <c r="AH190" i="17"/>
  <c r="W22" i="17"/>
  <c r="Y22" i="17"/>
  <c r="Z22" i="17"/>
  <c r="AB22" i="17"/>
  <c r="W121" i="17"/>
  <c r="D41" i="7"/>
  <c r="AA22" i="17"/>
  <c r="AC22" i="17"/>
  <c r="Y121" i="17"/>
  <c r="Z121" i="17"/>
  <c r="AA121" i="17"/>
  <c r="AB121" i="17"/>
  <c r="AC121" i="17"/>
  <c r="E41" i="7"/>
  <c r="F41" i="7"/>
  <c r="A42" i="7"/>
  <c r="AH23" i="17"/>
  <c r="AH122" i="17"/>
  <c r="W23" i="17"/>
  <c r="W122" i="17"/>
  <c r="D42" i="7"/>
  <c r="V42" i="7"/>
  <c r="Y23" i="17"/>
  <c r="Z23" i="17"/>
  <c r="AA23" i="17"/>
  <c r="AB23" i="17"/>
  <c r="AC23" i="17"/>
  <c r="Z122" i="17"/>
  <c r="AA122" i="17"/>
  <c r="Y122" i="17"/>
  <c r="AB122" i="17"/>
  <c r="AC122" i="17"/>
  <c r="C42" i="7"/>
  <c r="E42" i="7"/>
  <c r="F42" i="7"/>
  <c r="A43" i="7"/>
  <c r="W24" i="17"/>
  <c r="Y24" i="17"/>
  <c r="A44" i="7"/>
  <c r="AH25" i="17"/>
  <c r="AH124" i="17"/>
  <c r="W25" i="17"/>
  <c r="Y25" i="17"/>
  <c r="Z25" i="17"/>
  <c r="AA25" i="17"/>
  <c r="AB25" i="17"/>
  <c r="AC25" i="17"/>
  <c r="AC124" i="17"/>
  <c r="F44" i="7"/>
  <c r="A45" i="7"/>
  <c r="C45" i="7"/>
  <c r="W26" i="17"/>
  <c r="Y26" i="17"/>
  <c r="Z26" i="17"/>
  <c r="AB26" i="17"/>
  <c r="F45" i="7"/>
  <c r="Z45" i="7"/>
  <c r="A46" i="7"/>
  <c r="AH27" i="17"/>
  <c r="AB126" i="17"/>
  <c r="W27" i="17"/>
  <c r="W126" i="17"/>
  <c r="D46" i="7"/>
  <c r="Y27" i="17"/>
  <c r="Z27" i="17"/>
  <c r="AA27" i="17"/>
  <c r="AB27" i="17"/>
  <c r="AC27" i="17"/>
  <c r="Y126" i="17"/>
  <c r="Z126" i="17"/>
  <c r="AA126" i="17"/>
  <c r="E46" i="7"/>
  <c r="X46" i="7"/>
  <c r="F46" i="7"/>
  <c r="A47" i="7"/>
  <c r="D47" i="7"/>
  <c r="V47" i="7"/>
  <c r="AH28" i="17"/>
  <c r="C47" i="7"/>
  <c r="W28" i="17"/>
  <c r="Y28" i="17"/>
  <c r="Z28" i="17"/>
  <c r="AB28" i="17"/>
  <c r="AC28" i="17"/>
  <c r="F47" i="7"/>
  <c r="Z47" i="7"/>
  <c r="Y29" i="7"/>
  <c r="X30" i="7"/>
  <c r="Y30" i="7"/>
  <c r="Y31" i="7"/>
  <c r="X33" i="7"/>
  <c r="Y33" i="7"/>
  <c r="Y161" i="17"/>
  <c r="Y138" i="17"/>
  <c r="Z161" i="17"/>
  <c r="Z138" i="17"/>
  <c r="AA161" i="17"/>
  <c r="AA138" i="17"/>
  <c r="AB161" i="17"/>
  <c r="AB138" i="17"/>
  <c r="AC138" i="17"/>
  <c r="X35" i="7"/>
  <c r="Y35" i="7"/>
  <c r="X37" i="7"/>
  <c r="Y37" i="7"/>
  <c r="Y46" i="7"/>
  <c r="X29" i="7"/>
  <c r="X31" i="7"/>
  <c r="W28" i="7"/>
  <c r="W155" i="17"/>
  <c r="W132" i="17"/>
  <c r="V29" i="7"/>
  <c r="W29" i="7"/>
  <c r="W30" i="7"/>
  <c r="W31" i="7"/>
  <c r="V32" i="7"/>
  <c r="W32" i="7"/>
  <c r="W33" i="7"/>
  <c r="W161" i="17"/>
  <c r="W138" i="17"/>
  <c r="V35" i="7"/>
  <c r="W35" i="7"/>
  <c r="V37" i="7"/>
  <c r="W37" i="7"/>
  <c r="W47" i="7"/>
  <c r="V28" i="7"/>
  <c r="V30" i="7"/>
  <c r="V31" i="7"/>
  <c r="V33" i="7"/>
  <c r="V46" i="7"/>
  <c r="U30" i="7"/>
  <c r="U31" i="7"/>
  <c r="U33" i="7"/>
  <c r="U45" i="7"/>
  <c r="T28" i="7"/>
  <c r="T30" i="7"/>
  <c r="T33" i="7"/>
  <c r="S31" i="7"/>
  <c r="S45" i="7"/>
  <c r="AC78" i="17"/>
  <c r="AE78" i="17"/>
  <c r="AJ78" i="17"/>
  <c r="AC177" i="17"/>
  <c r="AE177" i="17"/>
  <c r="AJ177" i="17"/>
  <c r="R28" i="7"/>
  <c r="AC79" i="17"/>
  <c r="AE79" i="17"/>
  <c r="AJ79" i="17"/>
  <c r="AC178" i="17"/>
  <c r="AE178" i="17"/>
  <c r="AJ178" i="17"/>
  <c r="R29" i="7"/>
  <c r="AC80" i="17"/>
  <c r="AE80" i="17"/>
  <c r="AJ80" i="17"/>
  <c r="AC179" i="17"/>
  <c r="AE179" i="17"/>
  <c r="AJ179" i="17"/>
  <c r="R30" i="7"/>
  <c r="R31" i="7"/>
  <c r="AC82" i="17"/>
  <c r="AE82" i="17"/>
  <c r="AJ82" i="17"/>
  <c r="AC181" i="17"/>
  <c r="AE181" i="17"/>
  <c r="AJ181" i="17"/>
  <c r="R32" i="7"/>
  <c r="AC83" i="17"/>
  <c r="AE83" i="17"/>
  <c r="AJ83" i="17"/>
  <c r="AC182" i="17"/>
  <c r="AE182" i="17"/>
  <c r="AJ182" i="17"/>
  <c r="R33" i="7"/>
  <c r="AC85" i="17"/>
  <c r="AE85" i="17"/>
  <c r="AJ85" i="17"/>
  <c r="AC184" i="17"/>
  <c r="AE184" i="17"/>
  <c r="AJ184" i="17"/>
  <c r="R35" i="7"/>
  <c r="AC87" i="17"/>
  <c r="AE87" i="17"/>
  <c r="AJ87" i="17"/>
  <c r="AC186" i="17"/>
  <c r="AE186" i="17"/>
  <c r="AJ186" i="17"/>
  <c r="R37" i="7"/>
  <c r="R42" i="7"/>
  <c r="R44" i="7"/>
  <c r="AC55" i="17"/>
  <c r="AE55" i="17"/>
  <c r="AJ55" i="17"/>
  <c r="AC154" i="17"/>
  <c r="AE154" i="17"/>
  <c r="AJ154" i="17"/>
  <c r="Q28" i="7"/>
  <c r="AC56" i="17"/>
  <c r="AE56" i="17"/>
  <c r="AJ56" i="17"/>
  <c r="AC57" i="17"/>
  <c r="AE57" i="17"/>
  <c r="AJ57" i="17"/>
  <c r="AC156" i="17"/>
  <c r="AE156" i="17"/>
  <c r="AJ156" i="17"/>
  <c r="Q30" i="7"/>
  <c r="Q31" i="7"/>
  <c r="AC59" i="17"/>
  <c r="AE59" i="17"/>
  <c r="AJ59" i="17"/>
  <c r="AC158" i="17"/>
  <c r="AE158" i="17"/>
  <c r="AJ158" i="17"/>
  <c r="Q32" i="7"/>
  <c r="AC60" i="17"/>
  <c r="AE60" i="17"/>
  <c r="AJ60" i="17"/>
  <c r="AC159" i="17"/>
  <c r="AE159" i="17"/>
  <c r="AJ159" i="17"/>
  <c r="Q33" i="7"/>
  <c r="AC62" i="17"/>
  <c r="AE62" i="17"/>
  <c r="AJ62" i="17"/>
  <c r="AC64" i="17"/>
  <c r="AE64" i="17"/>
  <c r="AJ64" i="17"/>
  <c r="AC163" i="17"/>
  <c r="AE163" i="17"/>
  <c r="AJ163" i="17"/>
  <c r="Q37" i="7"/>
  <c r="Q42" i="7"/>
  <c r="Q45" i="7"/>
  <c r="Q47" i="7"/>
  <c r="K28" i="7"/>
  <c r="P28" i="7"/>
  <c r="K30" i="7"/>
  <c r="P30" i="7"/>
  <c r="K31" i="7"/>
  <c r="K33" i="7"/>
  <c r="K47" i="7"/>
  <c r="D3" i="17"/>
  <c r="D102" i="17"/>
  <c r="G31" i="7"/>
  <c r="G33" i="7"/>
  <c r="G44" i="7"/>
  <c r="A6" i="7"/>
  <c r="B9" i="17"/>
  <c r="C4" i="31"/>
  <c r="C5" i="31"/>
  <c r="C6" i="31"/>
  <c r="C7" i="31"/>
  <c r="C8" i="31"/>
  <c r="C9" i="31"/>
  <c r="C11" i="31"/>
  <c r="C12" i="31"/>
  <c r="C13" i="31"/>
  <c r="C14" i="31"/>
  <c r="C15" i="31"/>
  <c r="C16" i="31"/>
  <c r="C17" i="31"/>
  <c r="C18" i="31"/>
  <c r="C19" i="31"/>
  <c r="C20" i="31"/>
  <c r="C21" i="31"/>
  <c r="C22" i="31"/>
  <c r="C24" i="31"/>
  <c r="O9" i="17"/>
  <c r="B108" i="17"/>
  <c r="A46" i="31"/>
  <c r="A47" i="31"/>
  <c r="A48" i="31"/>
  <c r="A49" i="31"/>
  <c r="A50" i="31"/>
  <c r="A51" i="31"/>
  <c r="A52" i="31"/>
  <c r="A53" i="31"/>
  <c r="A54" i="31"/>
  <c r="A55" i="31"/>
  <c r="A56" i="31"/>
  <c r="A57" i="31"/>
  <c r="A58" i="31"/>
  <c r="A59" i="31"/>
  <c r="A60" i="31"/>
  <c r="A61" i="31"/>
  <c r="A62" i="31"/>
  <c r="A63" i="31"/>
  <c r="A64" i="31"/>
  <c r="A65" i="31"/>
  <c r="A66" i="31"/>
  <c r="A67" i="31"/>
  <c r="A68" i="31"/>
  <c r="A69" i="31"/>
  <c r="A70" i="31"/>
  <c r="I108" i="17"/>
  <c r="C46" i="31"/>
  <c r="C47" i="31"/>
  <c r="C48" i="31"/>
  <c r="C49" i="31"/>
  <c r="C50" i="31"/>
  <c r="C52" i="31"/>
  <c r="C54" i="31"/>
  <c r="C56" i="31"/>
  <c r="C57" i="31"/>
  <c r="C58" i="31"/>
  <c r="C59" i="31"/>
  <c r="C61" i="31"/>
  <c r="C62" i="31"/>
  <c r="C64" i="31"/>
  <c r="C65" i="31"/>
  <c r="C67" i="31"/>
  <c r="C69" i="31"/>
  <c r="C70" i="31"/>
  <c r="O108" i="17"/>
  <c r="D9" i="17"/>
  <c r="D108" i="17"/>
  <c r="F9" i="17"/>
  <c r="A4" i="31"/>
  <c r="A5" i="31"/>
  <c r="A6" i="31"/>
  <c r="A7" i="31"/>
  <c r="A8" i="31"/>
  <c r="A9" i="31"/>
  <c r="A10" i="31"/>
  <c r="A11" i="31"/>
  <c r="A12" i="31"/>
  <c r="A13" i="31"/>
  <c r="A14" i="31"/>
  <c r="A15" i="31"/>
  <c r="A16" i="31"/>
  <c r="A17" i="31"/>
  <c r="A18" i="31"/>
  <c r="A19" i="31"/>
  <c r="A20" i="31"/>
  <c r="A21" i="31"/>
  <c r="A22" i="31"/>
  <c r="A23" i="31"/>
  <c r="A24" i="31"/>
  <c r="G9" i="17"/>
  <c r="H9" i="17"/>
  <c r="I9" i="17"/>
  <c r="J9" i="17"/>
  <c r="F108" i="17"/>
  <c r="G108" i="17"/>
  <c r="H108" i="17"/>
  <c r="J108" i="17"/>
  <c r="E6" i="7"/>
  <c r="C6" i="7"/>
  <c r="D6" i="7"/>
  <c r="F6" i="7"/>
  <c r="D55" i="17"/>
  <c r="D78" i="17"/>
  <c r="D32" i="17"/>
  <c r="F55" i="17"/>
  <c r="F78" i="17"/>
  <c r="F32" i="17"/>
  <c r="G55" i="17"/>
  <c r="G78" i="17"/>
  <c r="G32" i="17"/>
  <c r="H55" i="17"/>
  <c r="H78" i="17"/>
  <c r="H32" i="17"/>
  <c r="I55" i="17"/>
  <c r="I78" i="17"/>
  <c r="I32" i="17"/>
  <c r="J32" i="17"/>
  <c r="L32" i="17"/>
  <c r="O55" i="17"/>
  <c r="A7" i="7"/>
  <c r="B10" i="17"/>
  <c r="F10" i="17"/>
  <c r="G10" i="17"/>
  <c r="H10" i="17"/>
  <c r="I10" i="17"/>
  <c r="J10" i="17"/>
  <c r="B109" i="17"/>
  <c r="F109" i="17"/>
  <c r="G109" i="17"/>
  <c r="H109" i="17"/>
  <c r="I109" i="17"/>
  <c r="J109" i="17"/>
  <c r="E7" i="7"/>
  <c r="O10" i="17"/>
  <c r="O109" i="17"/>
  <c r="C7" i="7"/>
  <c r="D10" i="17"/>
  <c r="D109" i="17"/>
  <c r="D7" i="7"/>
  <c r="F7" i="7"/>
  <c r="A8" i="7"/>
  <c r="B11" i="17"/>
  <c r="O11" i="17"/>
  <c r="B110" i="17"/>
  <c r="I110" i="17"/>
  <c r="O110" i="17"/>
  <c r="D11" i="17"/>
  <c r="D110" i="17"/>
  <c r="F11" i="17"/>
  <c r="G11" i="17"/>
  <c r="H11" i="17"/>
  <c r="I11" i="17"/>
  <c r="J11" i="17"/>
  <c r="F110" i="17"/>
  <c r="G110" i="17"/>
  <c r="H110" i="17"/>
  <c r="J110" i="17"/>
  <c r="E8" i="7"/>
  <c r="C8" i="7"/>
  <c r="D8" i="7"/>
  <c r="F8" i="7"/>
  <c r="D80" i="17"/>
  <c r="F80" i="17"/>
  <c r="G80" i="17"/>
  <c r="H80" i="17"/>
  <c r="I80" i="17"/>
  <c r="J80" i="17"/>
  <c r="L80" i="17"/>
  <c r="A9" i="7"/>
  <c r="B12" i="17"/>
  <c r="F12" i="17"/>
  <c r="G12" i="17"/>
  <c r="H12" i="17"/>
  <c r="I12" i="17"/>
  <c r="J12" i="17"/>
  <c r="B111" i="17"/>
  <c r="F111" i="17"/>
  <c r="G111" i="17"/>
  <c r="H111" i="17"/>
  <c r="I111" i="17"/>
  <c r="J111" i="17"/>
  <c r="E9" i="7"/>
  <c r="O12" i="17"/>
  <c r="O111" i="17"/>
  <c r="C9" i="7"/>
  <c r="D12" i="17"/>
  <c r="D111" i="17"/>
  <c r="D9" i="7"/>
  <c r="F9" i="7"/>
  <c r="A10" i="7"/>
  <c r="B13" i="17"/>
  <c r="O13" i="17"/>
  <c r="B112" i="17"/>
  <c r="I112" i="17"/>
  <c r="O112" i="17"/>
  <c r="D13" i="17"/>
  <c r="D112" i="17"/>
  <c r="F13" i="17"/>
  <c r="G13" i="17"/>
  <c r="H13" i="17"/>
  <c r="I13" i="17"/>
  <c r="J13" i="17"/>
  <c r="F112" i="17"/>
  <c r="G112" i="17"/>
  <c r="H112" i="17"/>
  <c r="J112" i="17"/>
  <c r="E10" i="7"/>
  <c r="C10" i="7"/>
  <c r="D10" i="7"/>
  <c r="F10" i="7"/>
  <c r="A11" i="7"/>
  <c r="B14" i="17"/>
  <c r="F14" i="17"/>
  <c r="G14" i="17"/>
  <c r="H14" i="17"/>
  <c r="I14" i="17"/>
  <c r="J14" i="17"/>
  <c r="B113" i="17"/>
  <c r="F113" i="17"/>
  <c r="G113" i="17"/>
  <c r="H113" i="17"/>
  <c r="I113" i="17"/>
  <c r="J113" i="17"/>
  <c r="E11" i="7"/>
  <c r="O14" i="17"/>
  <c r="O113" i="17"/>
  <c r="C11" i="7"/>
  <c r="D14" i="17"/>
  <c r="D113" i="17"/>
  <c r="D11" i="7"/>
  <c r="F11" i="7"/>
  <c r="A12" i="7"/>
  <c r="B15" i="17"/>
  <c r="O15" i="17"/>
  <c r="B114" i="17"/>
  <c r="I114" i="17"/>
  <c r="O114" i="17"/>
  <c r="D15" i="17"/>
  <c r="D114" i="17"/>
  <c r="F15" i="17"/>
  <c r="G15" i="17"/>
  <c r="H15" i="17"/>
  <c r="I15" i="17"/>
  <c r="J15" i="17"/>
  <c r="F114" i="17"/>
  <c r="G114" i="17"/>
  <c r="H114" i="17"/>
  <c r="J114" i="17"/>
  <c r="E12" i="7"/>
  <c r="C12" i="7"/>
  <c r="D12" i="7"/>
  <c r="F12" i="7"/>
  <c r="A13" i="7"/>
  <c r="B16" i="17"/>
  <c r="F16" i="17"/>
  <c r="G16" i="17"/>
  <c r="H16" i="17"/>
  <c r="I16" i="17"/>
  <c r="J16" i="17"/>
  <c r="B115" i="17"/>
  <c r="F115" i="17"/>
  <c r="G115" i="17"/>
  <c r="H115" i="17"/>
  <c r="I115" i="17"/>
  <c r="J115" i="17"/>
  <c r="E13" i="7"/>
  <c r="O16" i="17"/>
  <c r="O115" i="17"/>
  <c r="C13" i="7"/>
  <c r="D16" i="17"/>
  <c r="D115" i="17"/>
  <c r="D13" i="7"/>
  <c r="F13" i="7"/>
  <c r="A14" i="7"/>
  <c r="B17" i="17"/>
  <c r="O17" i="17"/>
  <c r="B116" i="17"/>
  <c r="I116" i="17"/>
  <c r="O116" i="17"/>
  <c r="D17" i="17"/>
  <c r="D116" i="17"/>
  <c r="F17" i="17"/>
  <c r="G17" i="17"/>
  <c r="H17" i="17"/>
  <c r="I17" i="17"/>
  <c r="J17" i="17"/>
  <c r="F116" i="17"/>
  <c r="G116" i="17"/>
  <c r="H116" i="17"/>
  <c r="J116" i="17"/>
  <c r="E14" i="7"/>
  <c r="C14" i="7"/>
  <c r="D14" i="7"/>
  <c r="F14" i="7"/>
  <c r="G14" i="7"/>
  <c r="A15" i="7"/>
  <c r="B18" i="17"/>
  <c r="F18" i="17"/>
  <c r="G18" i="17"/>
  <c r="H18" i="17"/>
  <c r="I18" i="17"/>
  <c r="J18" i="17"/>
  <c r="B117" i="17"/>
  <c r="F117" i="17"/>
  <c r="G117" i="17"/>
  <c r="H117" i="17"/>
  <c r="I117" i="17"/>
  <c r="J117" i="17"/>
  <c r="E15" i="7"/>
  <c r="O18" i="17"/>
  <c r="O117" i="17"/>
  <c r="C15" i="7"/>
  <c r="D18" i="17"/>
  <c r="D117" i="17"/>
  <c r="D15" i="7"/>
  <c r="V15" i="7"/>
  <c r="F15" i="7"/>
  <c r="A16" i="7"/>
  <c r="B19" i="17"/>
  <c r="O19" i="17"/>
  <c r="B118" i="17"/>
  <c r="I118" i="17"/>
  <c r="O118" i="17"/>
  <c r="D19" i="17"/>
  <c r="D118" i="17"/>
  <c r="F19" i="17"/>
  <c r="G19" i="17"/>
  <c r="H19" i="17"/>
  <c r="I19" i="17"/>
  <c r="J19" i="17"/>
  <c r="F118" i="17"/>
  <c r="G118" i="17"/>
  <c r="H118" i="17"/>
  <c r="J118" i="17"/>
  <c r="E16" i="7"/>
  <c r="A17" i="7"/>
  <c r="B20" i="17"/>
  <c r="F20" i="17"/>
  <c r="G20" i="17"/>
  <c r="H20" i="17"/>
  <c r="I20" i="17"/>
  <c r="J20" i="17"/>
  <c r="B119" i="17"/>
  <c r="F119" i="17"/>
  <c r="G119" i="17"/>
  <c r="H119" i="17"/>
  <c r="I119" i="17"/>
  <c r="J119" i="17"/>
  <c r="E17" i="7"/>
  <c r="O20" i="17"/>
  <c r="O119" i="17"/>
  <c r="C17" i="7"/>
  <c r="D20" i="17"/>
  <c r="D119" i="17"/>
  <c r="D17" i="7"/>
  <c r="F17" i="7"/>
  <c r="A18" i="7"/>
  <c r="B21" i="17"/>
  <c r="O21" i="17"/>
  <c r="B120" i="17"/>
  <c r="I120" i="17"/>
  <c r="O120" i="17"/>
  <c r="D21" i="17"/>
  <c r="D120" i="17"/>
  <c r="F21" i="17"/>
  <c r="G21" i="17"/>
  <c r="H21" i="17"/>
  <c r="I21" i="17"/>
  <c r="J21" i="17"/>
  <c r="F120" i="17"/>
  <c r="G120" i="17"/>
  <c r="H120" i="17"/>
  <c r="J120" i="17"/>
  <c r="E18" i="7"/>
  <c r="C18" i="7"/>
  <c r="D18" i="7"/>
  <c r="F18" i="7"/>
  <c r="A19" i="7"/>
  <c r="B22" i="17"/>
  <c r="F22" i="17"/>
  <c r="G22" i="17"/>
  <c r="H22" i="17"/>
  <c r="I22" i="17"/>
  <c r="J22" i="17"/>
  <c r="B121" i="17"/>
  <c r="F121" i="17"/>
  <c r="G121" i="17"/>
  <c r="H121" i="17"/>
  <c r="I121" i="17"/>
  <c r="J121" i="17"/>
  <c r="E19" i="7"/>
  <c r="O22" i="17"/>
  <c r="O121" i="17"/>
  <c r="C19" i="7"/>
  <c r="D22" i="17"/>
  <c r="D121" i="17"/>
  <c r="D19" i="7"/>
  <c r="F19" i="7"/>
  <c r="A20" i="7"/>
  <c r="B23" i="17"/>
  <c r="O23" i="17"/>
  <c r="B122" i="17"/>
  <c r="I122" i="17"/>
  <c r="O122" i="17"/>
  <c r="D23" i="17"/>
  <c r="D122" i="17"/>
  <c r="F23" i="17"/>
  <c r="G23" i="17"/>
  <c r="H23" i="17"/>
  <c r="I23" i="17"/>
  <c r="J23" i="17"/>
  <c r="F122" i="17"/>
  <c r="G122" i="17"/>
  <c r="H122" i="17"/>
  <c r="J122" i="17"/>
  <c r="E20" i="7"/>
  <c r="A21" i="7"/>
  <c r="B24" i="17"/>
  <c r="O24" i="17"/>
  <c r="B123" i="17"/>
  <c r="O123" i="17"/>
  <c r="C21" i="7"/>
  <c r="D24" i="17"/>
  <c r="D123" i="17"/>
  <c r="D21" i="7"/>
  <c r="F24" i="17"/>
  <c r="G24" i="17"/>
  <c r="H24" i="17"/>
  <c r="I24" i="17"/>
  <c r="J24" i="17"/>
  <c r="F123" i="17"/>
  <c r="G123" i="17"/>
  <c r="H123" i="17"/>
  <c r="I123" i="17"/>
  <c r="J123" i="17"/>
  <c r="E21" i="7"/>
  <c r="Y21" i="7"/>
  <c r="F21" i="7"/>
  <c r="Z21" i="7"/>
  <c r="A22" i="7"/>
  <c r="B25" i="17"/>
  <c r="B124" i="17"/>
  <c r="O124" i="17"/>
  <c r="C22" i="7"/>
  <c r="D22" i="7"/>
  <c r="F25" i="17"/>
  <c r="I25" i="17"/>
  <c r="J25" i="17"/>
  <c r="G124" i="17"/>
  <c r="E22" i="7"/>
  <c r="Y22" i="7"/>
  <c r="F22" i="7"/>
  <c r="A23" i="7"/>
  <c r="B26" i="17"/>
  <c r="O26" i="17"/>
  <c r="C23" i="7"/>
  <c r="U23" i="7"/>
  <c r="D26" i="17"/>
  <c r="D23" i="7"/>
  <c r="G26" i="17"/>
  <c r="H26" i="17"/>
  <c r="E23" i="7"/>
  <c r="Y23" i="7"/>
  <c r="F23" i="7"/>
  <c r="Z23" i="7"/>
  <c r="A24" i="7"/>
  <c r="B27" i="17"/>
  <c r="B126" i="17"/>
  <c r="C24" i="7"/>
  <c r="D24" i="7"/>
  <c r="W24" i="7"/>
  <c r="F27" i="17"/>
  <c r="I27" i="17"/>
  <c r="J27" i="17"/>
  <c r="G126" i="17"/>
  <c r="E24" i="7"/>
  <c r="F24" i="7"/>
  <c r="A25" i="7"/>
  <c r="B28" i="17"/>
  <c r="O28" i="17"/>
  <c r="C25" i="7"/>
  <c r="D25" i="7"/>
  <c r="E25" i="7"/>
  <c r="F25" i="7"/>
  <c r="Z25" i="7"/>
  <c r="F154" i="17"/>
  <c r="F177" i="17"/>
  <c r="F131" i="17"/>
  <c r="G154" i="17"/>
  <c r="G177" i="17"/>
  <c r="G131" i="17"/>
  <c r="H154" i="17"/>
  <c r="H177" i="17"/>
  <c r="H131" i="17"/>
  <c r="I154" i="17"/>
  <c r="I177" i="17"/>
  <c r="I131" i="17"/>
  <c r="J131" i="17"/>
  <c r="X6" i="7"/>
  <c r="Y6" i="7"/>
  <c r="F56" i="17"/>
  <c r="F79" i="17"/>
  <c r="F33" i="17"/>
  <c r="G56" i="17"/>
  <c r="G79" i="17"/>
  <c r="G33" i="17"/>
  <c r="H56" i="17"/>
  <c r="H79" i="17"/>
  <c r="H33" i="17"/>
  <c r="I56" i="17"/>
  <c r="I79" i="17"/>
  <c r="I33" i="17"/>
  <c r="J33" i="17"/>
  <c r="F155" i="17"/>
  <c r="F178" i="17"/>
  <c r="F132" i="17"/>
  <c r="G155" i="17"/>
  <c r="G178" i="17"/>
  <c r="G132" i="17"/>
  <c r="H155" i="17"/>
  <c r="H178" i="17"/>
  <c r="H132" i="17"/>
  <c r="I155" i="17"/>
  <c r="I178" i="17"/>
  <c r="I132" i="17"/>
  <c r="J132" i="17"/>
  <c r="X7" i="7"/>
  <c r="Y7" i="7"/>
  <c r="F57" i="17"/>
  <c r="F34" i="17"/>
  <c r="G57" i="17"/>
  <c r="G34" i="17"/>
  <c r="H57" i="17"/>
  <c r="H34" i="17"/>
  <c r="I57" i="17"/>
  <c r="I34" i="17"/>
  <c r="J34" i="17"/>
  <c r="F156" i="17"/>
  <c r="F179" i="17"/>
  <c r="F133" i="17"/>
  <c r="G156" i="17"/>
  <c r="G179" i="17"/>
  <c r="G133" i="17"/>
  <c r="H156" i="17"/>
  <c r="H179" i="17"/>
  <c r="H133" i="17"/>
  <c r="I156" i="17"/>
  <c r="I179" i="17"/>
  <c r="I133" i="17"/>
  <c r="J133" i="17"/>
  <c r="X8" i="7"/>
  <c r="Y8" i="7"/>
  <c r="F58" i="17"/>
  <c r="F81" i="17"/>
  <c r="F35" i="17"/>
  <c r="G58" i="17"/>
  <c r="G81" i="17"/>
  <c r="G35" i="17"/>
  <c r="H58" i="17"/>
  <c r="H81" i="17"/>
  <c r="H35" i="17"/>
  <c r="I58" i="17"/>
  <c r="I81" i="17"/>
  <c r="I35" i="17"/>
  <c r="J35" i="17"/>
  <c r="F157" i="17"/>
  <c r="F180" i="17"/>
  <c r="F134" i="17"/>
  <c r="G157" i="17"/>
  <c r="G180" i="17"/>
  <c r="G134" i="17"/>
  <c r="H157" i="17"/>
  <c r="H180" i="17"/>
  <c r="H134" i="17"/>
  <c r="I157" i="17"/>
  <c r="I180" i="17"/>
  <c r="I134" i="17"/>
  <c r="J134" i="17"/>
  <c r="X9" i="7"/>
  <c r="Y9" i="7"/>
  <c r="F59" i="17"/>
  <c r="F82" i="17"/>
  <c r="F36" i="17"/>
  <c r="G59" i="17"/>
  <c r="G82" i="17"/>
  <c r="G36" i="17"/>
  <c r="H59" i="17"/>
  <c r="H82" i="17"/>
  <c r="H36" i="17"/>
  <c r="I59" i="17"/>
  <c r="I82" i="17"/>
  <c r="I36" i="17"/>
  <c r="J36" i="17"/>
  <c r="F158" i="17"/>
  <c r="F181" i="17"/>
  <c r="F135" i="17"/>
  <c r="G158" i="17"/>
  <c r="G181" i="17"/>
  <c r="G135" i="17"/>
  <c r="H158" i="17"/>
  <c r="H181" i="17"/>
  <c r="H135" i="17"/>
  <c r="I158" i="17"/>
  <c r="I181" i="17"/>
  <c r="I135" i="17"/>
  <c r="J135" i="17"/>
  <c r="X10" i="7"/>
  <c r="Y10" i="7"/>
  <c r="F60" i="17"/>
  <c r="F83" i="17"/>
  <c r="F37" i="17"/>
  <c r="G60" i="17"/>
  <c r="G83" i="17"/>
  <c r="G37" i="17"/>
  <c r="H60" i="17"/>
  <c r="H83" i="17"/>
  <c r="H37" i="17"/>
  <c r="I60" i="17"/>
  <c r="I83" i="17"/>
  <c r="I37" i="17"/>
  <c r="J37" i="17"/>
  <c r="F159" i="17"/>
  <c r="F182" i="17"/>
  <c r="F136" i="17"/>
  <c r="G159" i="17"/>
  <c r="G182" i="17"/>
  <c r="G136" i="17"/>
  <c r="H159" i="17"/>
  <c r="H182" i="17"/>
  <c r="H136" i="17"/>
  <c r="I159" i="17"/>
  <c r="I182" i="17"/>
  <c r="I136" i="17"/>
  <c r="J136" i="17"/>
  <c r="X11" i="7"/>
  <c r="Y11" i="7"/>
  <c r="F61" i="17"/>
  <c r="F84" i="17"/>
  <c r="F38" i="17"/>
  <c r="G61" i="17"/>
  <c r="G84" i="17"/>
  <c r="G38" i="17"/>
  <c r="H61" i="17"/>
  <c r="H84" i="17"/>
  <c r="H38" i="17"/>
  <c r="I61" i="17"/>
  <c r="I84" i="17"/>
  <c r="I38" i="17"/>
  <c r="J38" i="17"/>
  <c r="F160" i="17"/>
  <c r="F183" i="17"/>
  <c r="F137" i="17"/>
  <c r="G160" i="17"/>
  <c r="G183" i="17"/>
  <c r="G137" i="17"/>
  <c r="H160" i="17"/>
  <c r="H183" i="17"/>
  <c r="H137" i="17"/>
  <c r="I160" i="17"/>
  <c r="I183" i="17"/>
  <c r="I137" i="17"/>
  <c r="J137" i="17"/>
  <c r="X12" i="7"/>
  <c r="Y12" i="7"/>
  <c r="Y13" i="7"/>
  <c r="F64" i="17"/>
  <c r="F87" i="17"/>
  <c r="F41" i="17"/>
  <c r="G64" i="17"/>
  <c r="G87" i="17"/>
  <c r="G41" i="17"/>
  <c r="H64" i="17"/>
  <c r="H87" i="17"/>
  <c r="H41" i="17"/>
  <c r="I64" i="17"/>
  <c r="I87" i="17"/>
  <c r="I41" i="17"/>
  <c r="J41" i="17"/>
  <c r="F163" i="17"/>
  <c r="F186" i="17"/>
  <c r="F140" i="17"/>
  <c r="G163" i="17"/>
  <c r="G186" i="17"/>
  <c r="G140" i="17"/>
  <c r="H163" i="17"/>
  <c r="H186" i="17"/>
  <c r="H140" i="17"/>
  <c r="I163" i="17"/>
  <c r="I186" i="17"/>
  <c r="I140" i="17"/>
  <c r="J140" i="17"/>
  <c r="X15" i="7"/>
  <c r="Y15" i="7"/>
  <c r="F66" i="17"/>
  <c r="F89" i="17"/>
  <c r="F43" i="17"/>
  <c r="G66" i="17"/>
  <c r="G89" i="17"/>
  <c r="G43" i="17"/>
  <c r="H66" i="17"/>
  <c r="H89" i="17"/>
  <c r="H43" i="17"/>
  <c r="I66" i="17"/>
  <c r="I89" i="17"/>
  <c r="I43" i="17"/>
  <c r="J43" i="17"/>
  <c r="F165" i="17"/>
  <c r="F188" i="17"/>
  <c r="F142" i="17"/>
  <c r="G165" i="17"/>
  <c r="G188" i="17"/>
  <c r="G142" i="17"/>
  <c r="H165" i="17"/>
  <c r="H188" i="17"/>
  <c r="H142" i="17"/>
  <c r="I165" i="17"/>
  <c r="I188" i="17"/>
  <c r="I142" i="17"/>
  <c r="J142" i="17"/>
  <c r="X17" i="7"/>
  <c r="Y17" i="7"/>
  <c r="F68" i="17"/>
  <c r="F91" i="17"/>
  <c r="F45" i="17"/>
  <c r="G68" i="17"/>
  <c r="G91" i="17"/>
  <c r="G45" i="17"/>
  <c r="H68" i="17"/>
  <c r="H91" i="17"/>
  <c r="H45" i="17"/>
  <c r="I68" i="17"/>
  <c r="I91" i="17"/>
  <c r="I45" i="17"/>
  <c r="J45" i="17"/>
  <c r="F167" i="17"/>
  <c r="F190" i="17"/>
  <c r="F144" i="17"/>
  <c r="G167" i="17"/>
  <c r="G190" i="17"/>
  <c r="G144" i="17"/>
  <c r="H167" i="17"/>
  <c r="H190" i="17"/>
  <c r="H144" i="17"/>
  <c r="I167" i="17"/>
  <c r="I190" i="17"/>
  <c r="I144" i="17"/>
  <c r="J144" i="17"/>
  <c r="X19" i="7"/>
  <c r="Y19" i="7"/>
  <c r="Y20" i="7"/>
  <c r="Y25" i="7"/>
  <c r="X13" i="7"/>
  <c r="F65" i="17"/>
  <c r="F88" i="17"/>
  <c r="F42" i="17"/>
  <c r="G65" i="17"/>
  <c r="G88" i="17"/>
  <c r="G42" i="17"/>
  <c r="H65" i="17"/>
  <c r="H88" i="17"/>
  <c r="H42" i="17"/>
  <c r="I65" i="17"/>
  <c r="I88" i="17"/>
  <c r="I42" i="17"/>
  <c r="J42" i="17"/>
  <c r="F164" i="17"/>
  <c r="F187" i="17"/>
  <c r="F141" i="17"/>
  <c r="G164" i="17"/>
  <c r="G187" i="17"/>
  <c r="G141" i="17"/>
  <c r="H164" i="17"/>
  <c r="H187" i="17"/>
  <c r="H141" i="17"/>
  <c r="I164" i="17"/>
  <c r="I187" i="17"/>
  <c r="I141" i="17"/>
  <c r="J141" i="17"/>
  <c r="X16" i="7"/>
  <c r="X21" i="7"/>
  <c r="X23" i="7"/>
  <c r="X25" i="7"/>
  <c r="W7" i="7"/>
  <c r="W9" i="7"/>
  <c r="W11" i="7"/>
  <c r="W13" i="7"/>
  <c r="W15" i="7"/>
  <c r="D68" i="17"/>
  <c r="D91" i="17"/>
  <c r="D45" i="17"/>
  <c r="D167" i="17"/>
  <c r="D190" i="17"/>
  <c r="D144" i="17"/>
  <c r="V19" i="7"/>
  <c r="W19" i="7"/>
  <c r="W23" i="7"/>
  <c r="W25" i="7"/>
  <c r="V7" i="7"/>
  <c r="V9" i="7"/>
  <c r="V11" i="7"/>
  <c r="V13" i="7"/>
  <c r="V23" i="7"/>
  <c r="V25" i="7"/>
  <c r="B3" i="15"/>
  <c r="B5" i="15"/>
  <c r="B7" i="15"/>
  <c r="B9" i="15"/>
  <c r="B11" i="15"/>
  <c r="B13" i="15"/>
  <c r="B15" i="15"/>
  <c r="B17" i="15"/>
  <c r="B19" i="15"/>
  <c r="B21" i="15"/>
  <c r="B23" i="15"/>
  <c r="B25" i="15"/>
  <c r="B27" i="15"/>
  <c r="B29" i="15"/>
  <c r="B31" i="15"/>
  <c r="B33" i="15"/>
  <c r="B35" i="15"/>
  <c r="B37" i="15"/>
  <c r="B39" i="15"/>
  <c r="B41" i="15"/>
  <c r="B43" i="15"/>
  <c r="B45" i="15"/>
  <c r="B47" i="15"/>
  <c r="B49" i="15"/>
  <c r="B51" i="15"/>
  <c r="B53" i="15"/>
  <c r="B55" i="15"/>
  <c r="B57" i="15"/>
  <c r="B59" i="15"/>
  <c r="B61" i="15"/>
  <c r="B63" i="15"/>
  <c r="B65" i="15"/>
  <c r="B67" i="15"/>
  <c r="B69" i="15"/>
  <c r="B71" i="15"/>
  <c r="B73" i="15"/>
  <c r="B75" i="15"/>
  <c r="B77" i="15"/>
  <c r="W25" i="31"/>
  <c r="W26" i="31"/>
  <c r="W27" i="31"/>
  <c r="W28" i="31"/>
  <c r="W29" i="31"/>
  <c r="W30" i="31"/>
  <c r="W31" i="31"/>
  <c r="W32" i="31"/>
  <c r="W33" i="31"/>
  <c r="W34" i="31"/>
  <c r="W35" i="31"/>
  <c r="W36" i="31"/>
  <c r="W37" i="31"/>
  <c r="W38" i="31"/>
  <c r="W39" i="31"/>
  <c r="W40" i="31"/>
  <c r="W41" i="31"/>
  <c r="O56" i="17"/>
  <c r="O58" i="17"/>
  <c r="U11" i="7"/>
  <c r="O62" i="17"/>
  <c r="U15" i="7"/>
  <c r="U17" i="7"/>
  <c r="U19" i="7"/>
  <c r="U21" i="7"/>
  <c r="U22" i="7"/>
  <c r="U24" i="7"/>
  <c r="U25" i="7"/>
  <c r="T11" i="7"/>
  <c r="T15" i="7"/>
  <c r="T17" i="7"/>
  <c r="T19" i="7"/>
  <c r="T21" i="7"/>
  <c r="T23" i="7"/>
  <c r="T24" i="7"/>
  <c r="T25" i="7"/>
  <c r="D57" i="17"/>
  <c r="D34" i="17"/>
  <c r="L34" i="17"/>
  <c r="O57" i="17"/>
  <c r="D59" i="17"/>
  <c r="O59" i="17"/>
  <c r="D61" i="17"/>
  <c r="O61" i="17"/>
  <c r="D64" i="17"/>
  <c r="D87" i="17"/>
  <c r="D41" i="17"/>
  <c r="L41" i="17"/>
  <c r="O64" i="17"/>
  <c r="L45" i="17"/>
  <c r="O68" i="17"/>
  <c r="S21" i="7"/>
  <c r="S23" i="7"/>
  <c r="S24" i="7"/>
  <c r="S25" i="7"/>
  <c r="J78" i="17"/>
  <c r="L78" i="17"/>
  <c r="J87" i="17"/>
  <c r="L87" i="17"/>
  <c r="D89" i="17"/>
  <c r="J89" i="17"/>
  <c r="L89" i="17"/>
  <c r="R21" i="7"/>
  <c r="R23" i="7"/>
  <c r="R25" i="7"/>
  <c r="J55" i="17"/>
  <c r="L55" i="17"/>
  <c r="Q55" i="17"/>
  <c r="D154" i="17"/>
  <c r="J154" i="17"/>
  <c r="L154" i="17"/>
  <c r="O154" i="17"/>
  <c r="Q154" i="17"/>
  <c r="Q6" i="7"/>
  <c r="J57" i="17"/>
  <c r="L57" i="17"/>
  <c r="Q57" i="17"/>
  <c r="D156" i="17"/>
  <c r="J156" i="17"/>
  <c r="L156" i="17"/>
  <c r="O156" i="17"/>
  <c r="Q156" i="17"/>
  <c r="Q8" i="7"/>
  <c r="J59" i="17"/>
  <c r="L59" i="17"/>
  <c r="Q59" i="17"/>
  <c r="J61" i="17"/>
  <c r="L61" i="17"/>
  <c r="Q61" i="17"/>
  <c r="B88" i="15"/>
  <c r="B90" i="15"/>
  <c r="B92" i="15"/>
  <c r="B94" i="15"/>
  <c r="B96" i="15"/>
  <c r="B98" i="15"/>
  <c r="B100" i="15"/>
  <c r="B102" i="15"/>
  <c r="B104" i="15"/>
  <c r="B106" i="15"/>
  <c r="B108" i="15"/>
  <c r="B110" i="15"/>
  <c r="B112" i="15"/>
  <c r="B114" i="15"/>
  <c r="B116" i="15"/>
  <c r="B118" i="15"/>
  <c r="B120" i="15"/>
  <c r="B122" i="15"/>
  <c r="B124" i="15"/>
  <c r="B126" i="15"/>
  <c r="B128" i="15"/>
  <c r="B130" i="15"/>
  <c r="B132" i="15"/>
  <c r="B134" i="15"/>
  <c r="B136" i="15"/>
  <c r="B138" i="15"/>
  <c r="B140" i="15"/>
  <c r="B142" i="15"/>
  <c r="B144" i="15"/>
  <c r="B146" i="15"/>
  <c r="B148" i="15"/>
  <c r="B150" i="15"/>
  <c r="B152" i="15"/>
  <c r="B154" i="15"/>
  <c r="B156" i="15"/>
  <c r="B158" i="15"/>
  <c r="B160" i="15"/>
  <c r="B162" i="15"/>
  <c r="W71" i="31"/>
  <c r="W72" i="31"/>
  <c r="W73" i="31"/>
  <c r="W74" i="31"/>
  <c r="W75" i="31"/>
  <c r="W76" i="31"/>
  <c r="W77" i="31"/>
  <c r="W78" i="31"/>
  <c r="W79" i="31"/>
  <c r="W80" i="31"/>
  <c r="W81" i="31"/>
  <c r="W82" i="31"/>
  <c r="W83" i="31"/>
  <c r="D160" i="17"/>
  <c r="J160" i="17"/>
  <c r="L160" i="17"/>
  <c r="O160" i="17"/>
  <c r="Q160" i="17"/>
  <c r="Q12" i="7"/>
  <c r="D62" i="17"/>
  <c r="F62" i="17"/>
  <c r="G62" i="17"/>
  <c r="H62" i="17"/>
  <c r="I62" i="17"/>
  <c r="J62" i="17"/>
  <c r="L62" i="17"/>
  <c r="Q62" i="17"/>
  <c r="D66" i="17"/>
  <c r="J66" i="17"/>
  <c r="L66" i="17"/>
  <c r="O66" i="17"/>
  <c r="Q66" i="17"/>
  <c r="D165" i="17"/>
  <c r="J165" i="17"/>
  <c r="L165" i="17"/>
  <c r="O165" i="17"/>
  <c r="Q165" i="17"/>
  <c r="Q17" i="7"/>
  <c r="Q21" i="7"/>
  <c r="Q23" i="7"/>
  <c r="Q25" i="7"/>
  <c r="K11" i="7"/>
  <c r="P11" i="7"/>
  <c r="K15" i="7"/>
  <c r="P15" i="7"/>
  <c r="K17" i="7"/>
  <c r="P17" i="7"/>
  <c r="K19" i="7"/>
  <c r="P19" i="7"/>
  <c r="K21" i="7"/>
  <c r="P21" i="7"/>
  <c r="K25" i="7"/>
  <c r="G6" i="7"/>
  <c r="G7" i="7"/>
  <c r="G8" i="7"/>
  <c r="G11" i="7"/>
  <c r="G12" i="7"/>
  <c r="G19" i="7"/>
  <c r="G23" i="7"/>
  <c r="G24" i="7"/>
  <c r="A90" i="15"/>
  <c r="A62" i="11"/>
  <c r="A11" i="11"/>
  <c r="A5" i="15"/>
  <c r="A12" i="11"/>
  <c r="A7" i="15"/>
  <c r="A9" i="15"/>
  <c r="A11" i="15"/>
  <c r="A13" i="15"/>
  <c r="A14" i="11"/>
  <c r="A15" i="11"/>
  <c r="A15" i="15"/>
  <c r="AA71" i="31"/>
  <c r="AA72" i="31"/>
  <c r="AA73" i="31"/>
  <c r="AA74" i="31"/>
  <c r="AA75" i="31"/>
  <c r="AA76" i="31"/>
  <c r="AA77" i="31"/>
  <c r="AA78" i="31"/>
  <c r="AA79" i="31"/>
  <c r="AA80" i="31"/>
  <c r="AA81" i="31"/>
  <c r="AA82" i="31"/>
  <c r="AA83" i="31"/>
  <c r="A71" i="31"/>
  <c r="A72" i="31"/>
  <c r="A73" i="31"/>
  <c r="A74" i="31"/>
  <c r="A75" i="31"/>
  <c r="A76" i="31"/>
  <c r="A77" i="31"/>
  <c r="A78" i="31"/>
  <c r="A79" i="31"/>
  <c r="A80" i="31"/>
  <c r="A81" i="31"/>
  <c r="A82" i="31"/>
  <c r="A83" i="31"/>
  <c r="R229" i="15"/>
  <c r="R226" i="15"/>
  <c r="R223" i="15"/>
  <c r="R220" i="15"/>
  <c r="R217" i="15"/>
  <c r="AY6" i="31"/>
  <c r="AY48" i="31"/>
  <c r="AZ6" i="31"/>
  <c r="AZ48" i="31"/>
  <c r="AY8" i="31"/>
  <c r="AY50" i="31"/>
  <c r="AZ8" i="31"/>
  <c r="AZ50" i="31"/>
  <c r="AY10" i="31"/>
  <c r="AY52" i="31"/>
  <c r="AZ10" i="31"/>
  <c r="AZ52" i="31"/>
  <c r="AY12" i="31"/>
  <c r="AY54" i="31"/>
  <c r="AZ12" i="31"/>
  <c r="AZ54" i="31"/>
  <c r="AY14" i="31"/>
  <c r="AY56" i="31"/>
  <c r="AZ14" i="31"/>
  <c r="AZ56" i="31"/>
  <c r="AY16" i="31"/>
  <c r="AY58" i="31"/>
  <c r="AZ16" i="31"/>
  <c r="AZ58" i="31"/>
  <c r="AY18" i="31"/>
  <c r="AY60" i="31"/>
  <c r="AZ18" i="31"/>
  <c r="AZ60" i="31"/>
  <c r="AY20" i="31"/>
  <c r="AY62" i="31"/>
  <c r="AZ20" i="31"/>
  <c r="AZ62" i="31"/>
  <c r="AY22" i="31"/>
  <c r="AY64" i="31"/>
  <c r="AZ22" i="31"/>
  <c r="AZ64" i="31"/>
  <c r="AY24" i="31"/>
  <c r="AY66" i="31"/>
  <c r="AZ24" i="31"/>
  <c r="AZ66" i="31"/>
  <c r="AY26" i="31"/>
  <c r="AY68" i="31"/>
  <c r="AZ26" i="31"/>
  <c r="AZ68" i="31"/>
  <c r="AY28" i="31"/>
  <c r="AY70" i="31"/>
  <c r="AZ28" i="31"/>
  <c r="AZ70" i="31"/>
  <c r="AY30" i="31"/>
  <c r="AY72" i="31"/>
  <c r="AZ30" i="31"/>
  <c r="AZ72" i="31"/>
  <c r="AY32" i="31"/>
  <c r="AY74" i="31"/>
  <c r="AZ32" i="31"/>
  <c r="AZ74" i="31"/>
  <c r="AY34" i="31"/>
  <c r="AY76" i="31"/>
  <c r="AZ34" i="31"/>
  <c r="AZ76" i="31"/>
  <c r="AY36" i="31"/>
  <c r="AY78" i="31"/>
  <c r="AZ36" i="31"/>
  <c r="AZ78" i="31"/>
  <c r="AY38" i="31"/>
  <c r="AY80" i="31"/>
  <c r="AZ38" i="31"/>
  <c r="AZ80" i="31"/>
  <c r="AY40" i="31"/>
  <c r="AY82" i="31"/>
  <c r="AZ40" i="31"/>
  <c r="AZ82" i="31"/>
  <c r="AY41" i="31"/>
  <c r="AY83" i="31"/>
  <c r="AZ41" i="31"/>
  <c r="AZ83" i="31"/>
  <c r="Y6" i="31"/>
  <c r="Y48" i="31"/>
  <c r="Z6" i="31"/>
  <c r="Z48" i="31"/>
  <c r="Y8" i="31"/>
  <c r="Y50" i="31"/>
  <c r="Z8" i="31"/>
  <c r="Z50" i="31"/>
  <c r="Y10" i="31"/>
  <c r="Y52" i="31"/>
  <c r="Z10" i="31"/>
  <c r="Z52" i="31"/>
  <c r="Y12" i="31"/>
  <c r="Y54" i="31"/>
  <c r="Z12" i="31"/>
  <c r="Z54" i="31"/>
  <c r="Y14" i="31"/>
  <c r="Y56" i="31"/>
  <c r="Z14" i="31"/>
  <c r="Z56" i="31"/>
  <c r="Y16" i="31"/>
  <c r="Y58" i="31"/>
  <c r="Z16" i="31"/>
  <c r="Z58" i="31"/>
  <c r="Y18" i="31"/>
  <c r="Y60" i="31"/>
  <c r="Z18" i="31"/>
  <c r="Z60" i="31"/>
  <c r="Y20" i="31"/>
  <c r="Y62" i="31"/>
  <c r="Z20" i="31"/>
  <c r="Z62" i="31"/>
  <c r="Y22" i="31"/>
  <c r="Y64" i="31"/>
  <c r="Z22" i="31"/>
  <c r="Z64" i="31"/>
  <c r="Y24" i="31"/>
  <c r="Y66" i="31"/>
  <c r="Z24" i="31"/>
  <c r="Z66" i="31"/>
  <c r="Y26" i="31"/>
  <c r="Y68" i="31"/>
  <c r="Z26" i="31"/>
  <c r="Z68" i="31"/>
  <c r="Y28" i="31"/>
  <c r="Y70" i="31"/>
  <c r="Z28" i="31"/>
  <c r="Z70" i="31"/>
  <c r="Y30" i="31"/>
  <c r="Y72" i="31"/>
  <c r="Z30" i="31"/>
  <c r="Z72" i="31"/>
  <c r="Y32" i="31"/>
  <c r="Y74" i="31"/>
  <c r="Z32" i="31"/>
  <c r="Z74" i="31"/>
  <c r="Y34" i="31"/>
  <c r="Y76" i="31"/>
  <c r="Z34" i="31"/>
  <c r="Z76" i="31"/>
  <c r="Y36" i="31"/>
  <c r="Y78" i="31"/>
  <c r="Z36" i="31"/>
  <c r="Z78" i="31"/>
  <c r="Y38" i="31"/>
  <c r="Y80" i="31"/>
  <c r="Z38" i="31"/>
  <c r="Z80" i="31"/>
  <c r="Y40" i="31"/>
  <c r="Y82" i="31"/>
  <c r="Z40" i="31"/>
  <c r="Z82" i="31"/>
  <c r="Y41" i="31"/>
  <c r="Y83" i="31"/>
  <c r="Z41" i="31"/>
  <c r="Z83" i="31"/>
  <c r="B47" i="7"/>
  <c r="B46" i="7"/>
  <c r="B45" i="7"/>
  <c r="B44" i="7"/>
  <c r="B43" i="7"/>
  <c r="B42" i="7"/>
  <c r="B41" i="7"/>
  <c r="B40" i="7"/>
  <c r="B39" i="7"/>
  <c r="B38" i="7"/>
  <c r="B37" i="7"/>
  <c r="B36" i="7"/>
  <c r="B35" i="7"/>
  <c r="B34" i="7"/>
  <c r="B33" i="7"/>
  <c r="B32" i="7"/>
  <c r="B31" i="7"/>
  <c r="B30" i="7"/>
  <c r="B29" i="7"/>
  <c r="B28" i="7"/>
  <c r="B25" i="7"/>
  <c r="B24" i="7"/>
  <c r="B23" i="7"/>
  <c r="B22" i="7"/>
  <c r="B21" i="7"/>
  <c r="B20" i="7"/>
  <c r="B19" i="7"/>
  <c r="B18" i="7"/>
  <c r="B17" i="7"/>
  <c r="B16" i="7"/>
  <c r="B15" i="7"/>
  <c r="B14" i="7"/>
  <c r="B13" i="7"/>
  <c r="B12" i="7"/>
  <c r="B11" i="7"/>
  <c r="B10" i="7"/>
  <c r="B9" i="7"/>
  <c r="B8" i="7"/>
  <c r="B7" i="7"/>
  <c r="B6" i="7"/>
  <c r="B5" i="7"/>
  <c r="A3" i="7"/>
  <c r="A2" i="7"/>
  <c r="K29" i="14"/>
  <c r="L29" i="14"/>
  <c r="K30" i="14"/>
  <c r="L30" i="14"/>
  <c r="K31" i="14"/>
  <c r="L31" i="14"/>
  <c r="K32" i="14"/>
  <c r="L32" i="14"/>
  <c r="K33" i="14"/>
  <c r="L33" i="14"/>
  <c r="K34" i="14"/>
  <c r="L34" i="14"/>
  <c r="K35" i="14"/>
  <c r="L35" i="14"/>
  <c r="K36" i="14"/>
  <c r="L36" i="14"/>
  <c r="K37" i="14"/>
  <c r="L37" i="14"/>
  <c r="K38" i="14"/>
  <c r="L38" i="14"/>
  <c r="K39" i="14"/>
  <c r="L39" i="14"/>
  <c r="K40" i="14"/>
  <c r="L40" i="14"/>
  <c r="K41" i="14"/>
  <c r="L41" i="14"/>
  <c r="K42" i="14"/>
  <c r="L42" i="14"/>
  <c r="K43" i="14"/>
  <c r="L43" i="14"/>
  <c r="L28" i="14"/>
  <c r="K28" i="14"/>
  <c r="A19" i="26"/>
  <c r="A3" i="26"/>
  <c r="AH3" i="13"/>
  <c r="AH46" i="13"/>
  <c r="Q46" i="13"/>
  <c r="W31" i="33"/>
  <c r="D31" i="33"/>
  <c r="A33" i="33"/>
  <c r="B56" i="34"/>
  <c r="E56" i="34"/>
  <c r="F56" i="34"/>
  <c r="G56" i="34"/>
  <c r="H56" i="34"/>
  <c r="I56" i="34"/>
  <c r="J56" i="34"/>
  <c r="K56" i="34"/>
  <c r="L56" i="34"/>
  <c r="M56" i="34"/>
  <c r="N56" i="34"/>
  <c r="O56" i="34"/>
  <c r="P56" i="34"/>
  <c r="Q56" i="34"/>
  <c r="R56" i="34"/>
  <c r="S56" i="34"/>
  <c r="T56" i="34"/>
  <c r="U56" i="34"/>
  <c r="E57" i="34"/>
  <c r="F57" i="34"/>
  <c r="G57" i="34"/>
  <c r="H57" i="34"/>
  <c r="I57" i="34"/>
  <c r="J57" i="34"/>
  <c r="K57" i="34"/>
  <c r="L57" i="34"/>
  <c r="M57" i="34"/>
  <c r="N57" i="34"/>
  <c r="O57" i="34"/>
  <c r="P57" i="34"/>
  <c r="Q57" i="34"/>
  <c r="R57" i="34"/>
  <c r="S57" i="34"/>
  <c r="T57" i="34"/>
  <c r="U57" i="34"/>
  <c r="U33" i="33"/>
  <c r="A34" i="33"/>
  <c r="B58" i="34"/>
  <c r="E58" i="34"/>
  <c r="F58" i="34"/>
  <c r="G58" i="34"/>
  <c r="H58" i="34"/>
  <c r="I58" i="34"/>
  <c r="J58" i="34"/>
  <c r="K58" i="34"/>
  <c r="L58" i="34"/>
  <c r="M58" i="34"/>
  <c r="N58" i="34"/>
  <c r="O58" i="34"/>
  <c r="P58" i="34"/>
  <c r="Q58" i="34"/>
  <c r="R58" i="34"/>
  <c r="S58" i="34"/>
  <c r="T58" i="34"/>
  <c r="U58" i="34"/>
  <c r="E59" i="34"/>
  <c r="F59" i="34"/>
  <c r="G59" i="34"/>
  <c r="H59" i="34"/>
  <c r="I59" i="34"/>
  <c r="J59" i="34"/>
  <c r="K59" i="34"/>
  <c r="L59" i="34"/>
  <c r="M59" i="34"/>
  <c r="N59" i="34"/>
  <c r="O59" i="34"/>
  <c r="P59" i="34"/>
  <c r="Q59" i="34"/>
  <c r="R59" i="34"/>
  <c r="S59" i="34"/>
  <c r="T59" i="34"/>
  <c r="U59" i="34"/>
  <c r="U34" i="33"/>
  <c r="A35" i="33"/>
  <c r="B60" i="34"/>
  <c r="E60" i="34"/>
  <c r="F60" i="34"/>
  <c r="G60" i="34"/>
  <c r="H60" i="34"/>
  <c r="I60" i="34"/>
  <c r="J60" i="34"/>
  <c r="K60" i="34"/>
  <c r="L60" i="34"/>
  <c r="M60" i="34"/>
  <c r="N60" i="34"/>
  <c r="O60" i="34"/>
  <c r="P60" i="34"/>
  <c r="Q60" i="34"/>
  <c r="R60" i="34"/>
  <c r="S60" i="34"/>
  <c r="T60" i="34"/>
  <c r="U60" i="34"/>
  <c r="E61" i="34"/>
  <c r="F61" i="34"/>
  <c r="G61" i="34"/>
  <c r="H61" i="34"/>
  <c r="I61" i="34"/>
  <c r="J61" i="34"/>
  <c r="K61" i="34"/>
  <c r="L61" i="34"/>
  <c r="M61" i="34"/>
  <c r="N61" i="34"/>
  <c r="O61" i="34"/>
  <c r="P61" i="34"/>
  <c r="Q61" i="34"/>
  <c r="R61" i="34"/>
  <c r="S61" i="34"/>
  <c r="T61" i="34"/>
  <c r="U61" i="34"/>
  <c r="U35" i="33"/>
  <c r="A36" i="33"/>
  <c r="B62" i="34"/>
  <c r="L62" i="34"/>
  <c r="R62" i="34"/>
  <c r="H63" i="34"/>
  <c r="P63" i="34"/>
  <c r="E62" i="34"/>
  <c r="F62" i="34"/>
  <c r="G62" i="34"/>
  <c r="H62" i="34"/>
  <c r="I62" i="34"/>
  <c r="J62" i="34"/>
  <c r="K62" i="34"/>
  <c r="M62" i="34"/>
  <c r="N62" i="34"/>
  <c r="O62" i="34"/>
  <c r="P62" i="34"/>
  <c r="Q62" i="34"/>
  <c r="S62" i="34"/>
  <c r="T62" i="34"/>
  <c r="U62" i="34"/>
  <c r="E63" i="34"/>
  <c r="F63" i="34"/>
  <c r="G63" i="34"/>
  <c r="I63" i="34"/>
  <c r="J63" i="34"/>
  <c r="K63" i="34"/>
  <c r="L63" i="34"/>
  <c r="M63" i="34"/>
  <c r="N63" i="34"/>
  <c r="O63" i="34"/>
  <c r="Q63" i="34"/>
  <c r="R63" i="34"/>
  <c r="S63" i="34"/>
  <c r="T63" i="34"/>
  <c r="U63" i="34"/>
  <c r="U36" i="33"/>
  <c r="A37" i="33"/>
  <c r="B64" i="34"/>
  <c r="E64" i="34"/>
  <c r="G64" i="34"/>
  <c r="H64" i="34"/>
  <c r="I64" i="34"/>
  <c r="K64" i="34"/>
  <c r="L64" i="34"/>
  <c r="M64" i="34"/>
  <c r="O64" i="34"/>
  <c r="P64" i="34"/>
  <c r="Q64" i="34"/>
  <c r="S64" i="34"/>
  <c r="T64" i="34"/>
  <c r="F64" i="34"/>
  <c r="J64" i="34"/>
  <c r="N64" i="34"/>
  <c r="R64" i="34"/>
  <c r="U64" i="34"/>
  <c r="F65" i="34"/>
  <c r="G65" i="34"/>
  <c r="H65" i="34"/>
  <c r="J65" i="34"/>
  <c r="K65" i="34"/>
  <c r="L65" i="34"/>
  <c r="N65" i="34"/>
  <c r="O65" i="34"/>
  <c r="P65" i="34"/>
  <c r="R65" i="34"/>
  <c r="S65" i="34"/>
  <c r="T65" i="34"/>
  <c r="E65" i="34"/>
  <c r="I65" i="34"/>
  <c r="M65" i="34"/>
  <c r="Q65" i="34"/>
  <c r="U65" i="34"/>
  <c r="U37" i="33"/>
  <c r="A38" i="33"/>
  <c r="B66" i="34"/>
  <c r="F66" i="34"/>
  <c r="G66" i="34"/>
  <c r="H66" i="34"/>
  <c r="J66" i="34"/>
  <c r="K66" i="34"/>
  <c r="L66" i="34"/>
  <c r="N66" i="34"/>
  <c r="O66" i="34"/>
  <c r="P66" i="34"/>
  <c r="R66" i="34"/>
  <c r="S66" i="34"/>
  <c r="T66" i="34"/>
  <c r="E67" i="34"/>
  <c r="F67" i="34"/>
  <c r="G67" i="34"/>
  <c r="I67" i="34"/>
  <c r="J67" i="34"/>
  <c r="K67" i="34"/>
  <c r="M67" i="34"/>
  <c r="N67" i="34"/>
  <c r="O67" i="34"/>
  <c r="Q67" i="34"/>
  <c r="R67" i="34"/>
  <c r="S67" i="34"/>
  <c r="H67" i="34"/>
  <c r="L67" i="34"/>
  <c r="P67" i="34"/>
  <c r="T67" i="34"/>
  <c r="U67" i="34"/>
  <c r="E66" i="34"/>
  <c r="I66" i="34"/>
  <c r="M66" i="34"/>
  <c r="Q66" i="34"/>
  <c r="U66" i="34"/>
  <c r="U38" i="33"/>
  <c r="A39" i="33"/>
  <c r="B68" i="34"/>
  <c r="E68" i="34"/>
  <c r="F68" i="34"/>
  <c r="G68" i="34"/>
  <c r="H68" i="34"/>
  <c r="I68" i="34"/>
  <c r="J68" i="34"/>
  <c r="K68" i="34"/>
  <c r="L68" i="34"/>
  <c r="M68" i="34"/>
  <c r="N68" i="34"/>
  <c r="O68" i="34"/>
  <c r="P68" i="34"/>
  <c r="Q68" i="34"/>
  <c r="R68" i="34"/>
  <c r="S68" i="34"/>
  <c r="T68" i="34"/>
  <c r="U68" i="34"/>
  <c r="E69" i="34"/>
  <c r="F69" i="34"/>
  <c r="G69" i="34"/>
  <c r="H69" i="34"/>
  <c r="I69" i="34"/>
  <c r="J69" i="34"/>
  <c r="K69" i="34"/>
  <c r="L69" i="34"/>
  <c r="M69" i="34"/>
  <c r="N69" i="34"/>
  <c r="O69" i="34"/>
  <c r="P69" i="34"/>
  <c r="Q69" i="34"/>
  <c r="R69" i="34"/>
  <c r="S69" i="34"/>
  <c r="T69" i="34"/>
  <c r="U69" i="34"/>
  <c r="U39" i="33"/>
  <c r="A40" i="33"/>
  <c r="B70" i="34"/>
  <c r="E70" i="34"/>
  <c r="J70" i="34"/>
  <c r="L70" i="34"/>
  <c r="Q70" i="34"/>
  <c r="T70" i="34"/>
  <c r="H71" i="34"/>
  <c r="I71" i="34"/>
  <c r="O71" i="34"/>
  <c r="P71" i="34"/>
  <c r="E71" i="34"/>
  <c r="F71" i="34"/>
  <c r="G71" i="34"/>
  <c r="J71" i="34"/>
  <c r="K71" i="34"/>
  <c r="L71" i="34"/>
  <c r="M71" i="34"/>
  <c r="N71" i="34"/>
  <c r="Q71" i="34"/>
  <c r="R71" i="34"/>
  <c r="S71" i="34"/>
  <c r="T71" i="34"/>
  <c r="U71" i="34"/>
  <c r="F70" i="34"/>
  <c r="G70" i="34"/>
  <c r="H70" i="34"/>
  <c r="I70" i="34"/>
  <c r="K70" i="34"/>
  <c r="M70" i="34"/>
  <c r="N70" i="34"/>
  <c r="O70" i="34"/>
  <c r="P70" i="34"/>
  <c r="R70" i="34"/>
  <c r="S70" i="34"/>
  <c r="U70" i="34"/>
  <c r="U40" i="33"/>
  <c r="A41" i="33"/>
  <c r="B72" i="34"/>
  <c r="E72" i="34"/>
  <c r="F72" i="34"/>
  <c r="G72" i="34"/>
  <c r="H72" i="34"/>
  <c r="I72" i="34"/>
  <c r="J72" i="34"/>
  <c r="K72" i="34"/>
  <c r="L72" i="34"/>
  <c r="M72" i="34"/>
  <c r="N72" i="34"/>
  <c r="O72" i="34"/>
  <c r="P72" i="34"/>
  <c r="Q72" i="34"/>
  <c r="R72" i="34"/>
  <c r="S72" i="34"/>
  <c r="T72" i="34"/>
  <c r="U72" i="34"/>
  <c r="E73" i="34"/>
  <c r="F73" i="34"/>
  <c r="G73" i="34"/>
  <c r="H73" i="34"/>
  <c r="I73" i="34"/>
  <c r="J73" i="34"/>
  <c r="K73" i="34"/>
  <c r="L73" i="34"/>
  <c r="M73" i="34"/>
  <c r="N73" i="34"/>
  <c r="O73" i="34"/>
  <c r="P73" i="34"/>
  <c r="Q73" i="34"/>
  <c r="R73" i="34"/>
  <c r="S73" i="34"/>
  <c r="T73" i="34"/>
  <c r="U73" i="34"/>
  <c r="U41" i="33"/>
  <c r="A42" i="33"/>
  <c r="B74" i="34"/>
  <c r="E74" i="34"/>
  <c r="F74" i="34"/>
  <c r="G74" i="34"/>
  <c r="H74" i="34"/>
  <c r="I74" i="34"/>
  <c r="J74" i="34"/>
  <c r="K74" i="34"/>
  <c r="L74" i="34"/>
  <c r="M74" i="34"/>
  <c r="N74" i="34"/>
  <c r="O74" i="34"/>
  <c r="P74" i="34"/>
  <c r="Q74" i="34"/>
  <c r="R74" i="34"/>
  <c r="S74" i="34"/>
  <c r="T74" i="34"/>
  <c r="U74" i="34"/>
  <c r="E75" i="34"/>
  <c r="F75" i="34"/>
  <c r="G75" i="34"/>
  <c r="H75" i="34"/>
  <c r="I75" i="34"/>
  <c r="J75" i="34"/>
  <c r="K75" i="34"/>
  <c r="L75" i="34"/>
  <c r="M75" i="34"/>
  <c r="N75" i="34"/>
  <c r="O75" i="34"/>
  <c r="P75" i="34"/>
  <c r="Q75" i="34"/>
  <c r="R75" i="34"/>
  <c r="S75" i="34"/>
  <c r="T75" i="34"/>
  <c r="U75" i="34"/>
  <c r="U42" i="33"/>
  <c r="A43" i="33"/>
  <c r="B76" i="34"/>
  <c r="E76" i="34"/>
  <c r="F76" i="34"/>
  <c r="G76" i="34"/>
  <c r="H76" i="34"/>
  <c r="I76" i="34"/>
  <c r="J76" i="34"/>
  <c r="K76" i="34"/>
  <c r="L76" i="34"/>
  <c r="M76" i="34"/>
  <c r="N76" i="34"/>
  <c r="O76" i="34"/>
  <c r="P76" i="34"/>
  <c r="Q76" i="34"/>
  <c r="R76" i="34"/>
  <c r="S76" i="34"/>
  <c r="T76" i="34"/>
  <c r="U76" i="34"/>
  <c r="E77" i="34"/>
  <c r="F77" i="34"/>
  <c r="G77" i="34"/>
  <c r="H77" i="34"/>
  <c r="I77" i="34"/>
  <c r="J77" i="34"/>
  <c r="K77" i="34"/>
  <c r="L77" i="34"/>
  <c r="M77" i="34"/>
  <c r="N77" i="34"/>
  <c r="O77" i="34"/>
  <c r="P77" i="34"/>
  <c r="Q77" i="34"/>
  <c r="R77" i="34"/>
  <c r="S77" i="34"/>
  <c r="T77" i="34"/>
  <c r="U77" i="34"/>
  <c r="U43" i="33"/>
  <c r="A44" i="33"/>
  <c r="B78" i="34"/>
  <c r="F78" i="34"/>
  <c r="H78" i="34"/>
  <c r="I78" i="34"/>
  <c r="L78" i="34"/>
  <c r="M78" i="34"/>
  <c r="N78" i="34"/>
  <c r="Q78" i="34"/>
  <c r="R78" i="34"/>
  <c r="T78" i="34"/>
  <c r="E79" i="34"/>
  <c r="G79" i="34"/>
  <c r="H79" i="34"/>
  <c r="K79" i="34"/>
  <c r="L79" i="34"/>
  <c r="M79" i="34"/>
  <c r="P79" i="34"/>
  <c r="Q79" i="34"/>
  <c r="S79" i="34"/>
  <c r="F79" i="34"/>
  <c r="I79" i="34"/>
  <c r="J79" i="34"/>
  <c r="N79" i="34"/>
  <c r="O79" i="34"/>
  <c r="R79" i="34"/>
  <c r="T79" i="34"/>
  <c r="U79" i="34"/>
  <c r="E78" i="34"/>
  <c r="G78" i="34"/>
  <c r="J78" i="34"/>
  <c r="K78" i="34"/>
  <c r="O78" i="34"/>
  <c r="P78" i="34"/>
  <c r="S78" i="34"/>
  <c r="U78" i="34"/>
  <c r="U44" i="33"/>
  <c r="A45" i="33"/>
  <c r="B80" i="34"/>
  <c r="E80" i="34"/>
  <c r="F80" i="34"/>
  <c r="G80" i="34"/>
  <c r="H80" i="34"/>
  <c r="I80" i="34"/>
  <c r="J80" i="34"/>
  <c r="K80" i="34"/>
  <c r="L80" i="34"/>
  <c r="M80" i="34"/>
  <c r="N80" i="34"/>
  <c r="O80" i="34"/>
  <c r="P80" i="34"/>
  <c r="Q80" i="34"/>
  <c r="R80" i="34"/>
  <c r="S80" i="34"/>
  <c r="T80" i="34"/>
  <c r="U80" i="34"/>
  <c r="E81" i="34"/>
  <c r="F81" i="34"/>
  <c r="G81" i="34"/>
  <c r="H81" i="34"/>
  <c r="I81" i="34"/>
  <c r="J81" i="34"/>
  <c r="K81" i="34"/>
  <c r="L81" i="34"/>
  <c r="M81" i="34"/>
  <c r="N81" i="34"/>
  <c r="O81" i="34"/>
  <c r="P81" i="34"/>
  <c r="Q81" i="34"/>
  <c r="R81" i="34"/>
  <c r="S81" i="34"/>
  <c r="T81" i="34"/>
  <c r="U81" i="34"/>
  <c r="U45" i="33"/>
  <c r="A46" i="33"/>
  <c r="B82" i="34"/>
  <c r="F82" i="34"/>
  <c r="G82" i="34"/>
  <c r="H82" i="34"/>
  <c r="J82" i="34"/>
  <c r="K82" i="34"/>
  <c r="L82" i="34"/>
  <c r="M82" i="34"/>
  <c r="N82" i="34"/>
  <c r="O82" i="34"/>
  <c r="P82" i="34"/>
  <c r="Q82" i="34"/>
  <c r="R82" i="34"/>
  <c r="S82" i="34"/>
  <c r="T82" i="34"/>
  <c r="E82" i="34"/>
  <c r="I82" i="34"/>
  <c r="U82" i="34"/>
  <c r="E83" i="34"/>
  <c r="F83" i="34"/>
  <c r="G83" i="34"/>
  <c r="H83" i="34"/>
  <c r="I83" i="34"/>
  <c r="J83" i="34"/>
  <c r="K83" i="34"/>
  <c r="L83" i="34"/>
  <c r="M83" i="34"/>
  <c r="N83" i="34"/>
  <c r="O83" i="34"/>
  <c r="P83" i="34"/>
  <c r="Q83" i="34"/>
  <c r="R83" i="34"/>
  <c r="S83" i="34"/>
  <c r="T83" i="34"/>
  <c r="U83" i="34"/>
  <c r="U46" i="33"/>
  <c r="A47" i="33"/>
  <c r="B84" i="34"/>
  <c r="F84" i="34"/>
  <c r="G84" i="34"/>
  <c r="J84" i="34"/>
  <c r="K84" i="34"/>
  <c r="L84" i="34"/>
  <c r="O84" i="34"/>
  <c r="P84" i="34"/>
  <c r="R84" i="34"/>
  <c r="T84" i="34"/>
  <c r="E85" i="34"/>
  <c r="F85" i="34"/>
  <c r="I85" i="34"/>
  <c r="J85" i="34"/>
  <c r="K85" i="34"/>
  <c r="N85" i="34"/>
  <c r="O85" i="34"/>
  <c r="Q85" i="34"/>
  <c r="S85" i="34"/>
  <c r="G85" i="34"/>
  <c r="H85" i="34"/>
  <c r="L85" i="34"/>
  <c r="M85" i="34"/>
  <c r="P85" i="34"/>
  <c r="R85" i="34"/>
  <c r="T85" i="34"/>
  <c r="U85" i="34"/>
  <c r="E84" i="34"/>
  <c r="H84" i="34"/>
  <c r="I84" i="34"/>
  <c r="M84" i="34"/>
  <c r="N84" i="34"/>
  <c r="Q84" i="34"/>
  <c r="S84" i="34"/>
  <c r="U84" i="34"/>
  <c r="U47" i="33"/>
  <c r="A48" i="33"/>
  <c r="B86" i="34"/>
  <c r="E86" i="34"/>
  <c r="F86" i="34"/>
  <c r="G86" i="34"/>
  <c r="H86" i="34"/>
  <c r="I86" i="34"/>
  <c r="J86" i="34"/>
  <c r="K86" i="34"/>
  <c r="L86" i="34"/>
  <c r="M86" i="34"/>
  <c r="N86" i="34"/>
  <c r="O86" i="34"/>
  <c r="P86" i="34"/>
  <c r="Q86" i="34"/>
  <c r="R86" i="34"/>
  <c r="S86" i="34"/>
  <c r="T86" i="34"/>
  <c r="U86" i="34"/>
  <c r="E87" i="34"/>
  <c r="F87" i="34"/>
  <c r="G87" i="34"/>
  <c r="H87" i="34"/>
  <c r="I87" i="34"/>
  <c r="J87" i="34"/>
  <c r="K87" i="34"/>
  <c r="L87" i="34"/>
  <c r="M87" i="34"/>
  <c r="N87" i="34"/>
  <c r="O87" i="34"/>
  <c r="P87" i="34"/>
  <c r="Q87" i="34"/>
  <c r="R87" i="34"/>
  <c r="S87" i="34"/>
  <c r="T87" i="34"/>
  <c r="U87" i="34"/>
  <c r="U48" i="33"/>
  <c r="A49" i="33"/>
  <c r="B88" i="34"/>
  <c r="E88" i="34"/>
  <c r="I88" i="34"/>
  <c r="J88" i="34"/>
  <c r="N88" i="34"/>
  <c r="P88" i="34"/>
  <c r="T88" i="34"/>
  <c r="U88" i="34"/>
  <c r="H89" i="34"/>
  <c r="I89" i="34"/>
  <c r="M89" i="34"/>
  <c r="O89" i="34"/>
  <c r="S89" i="34"/>
  <c r="T89" i="34"/>
  <c r="U49" i="33"/>
  <c r="A50" i="33"/>
  <c r="U50" i="33"/>
  <c r="B90" i="34"/>
  <c r="I90" i="34"/>
  <c r="O90" i="34"/>
  <c r="T90" i="34"/>
  <c r="H91" i="34"/>
  <c r="N91" i="34"/>
  <c r="S91" i="34"/>
  <c r="A51" i="33"/>
  <c r="U51" i="33"/>
  <c r="B92" i="34"/>
  <c r="J92" i="34"/>
  <c r="O92" i="34"/>
  <c r="T92" i="34"/>
  <c r="I93" i="34"/>
  <c r="N93" i="34"/>
  <c r="S93" i="34"/>
  <c r="A52" i="33"/>
  <c r="B94" i="34"/>
  <c r="E94" i="34"/>
  <c r="F94" i="34"/>
  <c r="G94" i="34"/>
  <c r="H94" i="34"/>
  <c r="I94" i="34"/>
  <c r="J94" i="34"/>
  <c r="K94" i="34"/>
  <c r="L94" i="34"/>
  <c r="M94" i="34"/>
  <c r="N94" i="34"/>
  <c r="O94" i="34"/>
  <c r="P94" i="34"/>
  <c r="Q94" i="34"/>
  <c r="R94" i="34"/>
  <c r="S94" i="34"/>
  <c r="T94" i="34"/>
  <c r="U94" i="34"/>
  <c r="E95" i="34"/>
  <c r="F95" i="34"/>
  <c r="G95" i="34"/>
  <c r="H95" i="34"/>
  <c r="I95" i="34"/>
  <c r="J95" i="34"/>
  <c r="K95" i="34"/>
  <c r="L95" i="34"/>
  <c r="M95" i="34"/>
  <c r="N95" i="34"/>
  <c r="O95" i="34"/>
  <c r="P95" i="34"/>
  <c r="Q95" i="34"/>
  <c r="R95" i="34"/>
  <c r="S95" i="34"/>
  <c r="T95" i="34"/>
  <c r="U95" i="34"/>
  <c r="U52" i="33"/>
  <c r="AH96" i="34"/>
  <c r="AI96" i="34"/>
  <c r="AH97" i="34"/>
  <c r="AI97" i="34"/>
  <c r="AH98" i="34"/>
  <c r="AI98" i="34"/>
  <c r="AH99" i="34"/>
  <c r="AI99" i="34"/>
  <c r="AJ99" i="34"/>
  <c r="C54" i="33"/>
  <c r="X56" i="34"/>
  <c r="X58" i="34"/>
  <c r="X60" i="34"/>
  <c r="X64" i="34"/>
  <c r="X66" i="34"/>
  <c r="X68" i="34"/>
  <c r="X76" i="34"/>
  <c r="X80" i="34"/>
  <c r="X82" i="34"/>
  <c r="X84" i="34"/>
  <c r="X86" i="34"/>
  <c r="X88" i="34"/>
  <c r="X94" i="34"/>
  <c r="X57" i="34"/>
  <c r="X59" i="34"/>
  <c r="X61" i="34"/>
  <c r="X63" i="34"/>
  <c r="X65" i="34"/>
  <c r="X67" i="34"/>
  <c r="X69" i="34"/>
  <c r="X71" i="34"/>
  <c r="X77" i="34"/>
  <c r="X79" i="34"/>
  <c r="X81" i="34"/>
  <c r="X83" i="34"/>
  <c r="X87" i="34"/>
  <c r="X89" i="34"/>
  <c r="X95" i="34"/>
  <c r="Y60" i="34"/>
  <c r="Y64" i="34"/>
  <c r="Y66" i="34"/>
  <c r="Y68" i="34"/>
  <c r="Y70" i="34"/>
  <c r="Y74" i="34"/>
  <c r="Y76" i="34"/>
  <c r="Y78" i="34"/>
  <c r="Y80" i="34"/>
  <c r="Y82" i="34"/>
  <c r="Y86" i="34"/>
  <c r="Y92" i="34"/>
  <c r="Y94" i="34"/>
  <c r="Y57" i="34"/>
  <c r="Y59" i="34"/>
  <c r="Y61" i="34"/>
  <c r="Y65" i="34"/>
  <c r="Y67" i="34"/>
  <c r="Y69" i="34"/>
  <c r="Y73" i="34"/>
  <c r="Y77" i="34"/>
  <c r="Y81" i="34"/>
  <c r="Y83" i="34"/>
  <c r="Y87" i="34"/>
  <c r="Y89" i="34"/>
  <c r="Y91" i="34"/>
  <c r="Y95" i="34"/>
  <c r="Z56" i="34"/>
  <c r="Z60" i="34"/>
  <c r="Z64" i="34"/>
  <c r="Z66" i="34"/>
  <c r="Z68" i="34"/>
  <c r="Z70" i="34"/>
  <c r="Z72" i="34"/>
  <c r="Z76" i="34"/>
  <c r="Z78" i="34"/>
  <c r="Z80" i="34"/>
  <c r="Z82" i="34"/>
  <c r="Z86" i="34"/>
  <c r="Z88" i="34"/>
  <c r="Z92" i="34"/>
  <c r="Z94" i="34"/>
  <c r="Z59" i="34"/>
  <c r="Z61" i="34"/>
  <c r="Z65" i="34"/>
  <c r="Z67" i="34"/>
  <c r="Z69" i="34"/>
  <c r="Z77" i="34"/>
  <c r="Z79" i="34"/>
  <c r="Z81" i="34"/>
  <c r="Z83" i="34"/>
  <c r="Z85" i="34"/>
  <c r="Z87" i="34"/>
  <c r="Z95" i="34"/>
  <c r="AA56" i="34"/>
  <c r="AA58" i="34"/>
  <c r="AA60" i="34"/>
  <c r="AA62" i="34"/>
  <c r="AA64" i="34"/>
  <c r="AA66" i="34"/>
  <c r="AA68" i="34"/>
  <c r="AA70" i="34"/>
  <c r="AA76" i="34"/>
  <c r="AA78" i="34"/>
  <c r="AA80" i="34"/>
  <c r="AA82" i="34"/>
  <c r="AA86" i="34"/>
  <c r="AA88" i="34"/>
  <c r="AA94" i="34"/>
  <c r="AA57" i="34"/>
  <c r="AA61" i="34"/>
  <c r="AA65" i="34"/>
  <c r="AA67" i="34"/>
  <c r="AA69" i="34"/>
  <c r="AA73" i="34"/>
  <c r="AA77" i="34"/>
  <c r="AA79" i="34"/>
  <c r="AA81" i="34"/>
  <c r="AA83" i="34"/>
  <c r="AA85" i="34"/>
  <c r="AA87" i="34"/>
  <c r="AA95" i="34"/>
  <c r="AB56" i="34"/>
  <c r="AB58" i="34"/>
  <c r="AB60" i="34"/>
  <c r="AB64" i="34"/>
  <c r="AB66" i="34"/>
  <c r="AB68" i="34"/>
  <c r="AB72" i="34"/>
  <c r="AB76" i="34"/>
  <c r="AB80" i="34"/>
  <c r="AB82" i="34"/>
  <c r="AB86" i="34"/>
  <c r="AB88" i="34"/>
  <c r="AB90" i="34"/>
  <c r="AB94" i="34"/>
  <c r="AB57" i="34"/>
  <c r="AB61" i="34"/>
  <c r="AB65" i="34"/>
  <c r="AB67" i="34"/>
  <c r="AB69" i="34"/>
  <c r="AB71" i="34"/>
  <c r="AB73" i="34"/>
  <c r="AB77" i="34"/>
  <c r="AB79" i="34"/>
  <c r="AB81" i="34"/>
  <c r="AB83" i="34"/>
  <c r="AB87" i="34"/>
  <c r="AB89" i="34"/>
  <c r="AB91" i="34"/>
  <c r="AB95" i="34"/>
  <c r="AC58" i="34"/>
  <c r="AC60" i="34"/>
  <c r="AC64" i="34"/>
  <c r="AC66" i="34"/>
  <c r="AC68" i="34"/>
  <c r="AC74" i="34"/>
  <c r="AC76" i="34"/>
  <c r="AC78" i="34"/>
  <c r="AC80" i="34"/>
  <c r="AC82" i="34"/>
  <c r="AC84" i="34"/>
  <c r="AC86" i="34"/>
  <c r="AC94" i="34"/>
  <c r="AC57" i="34"/>
  <c r="AC59" i="34"/>
  <c r="AC61" i="34"/>
  <c r="AC65" i="34"/>
  <c r="AC67" i="34"/>
  <c r="AC69" i="34"/>
  <c r="AC73" i="34"/>
  <c r="AC75" i="34"/>
  <c r="AC77" i="34"/>
  <c r="AC81" i="34"/>
  <c r="AC83" i="34"/>
  <c r="AC85" i="34"/>
  <c r="AC87" i="34"/>
  <c r="AC93" i="34"/>
  <c r="AC95" i="34"/>
  <c r="AD56" i="34"/>
  <c r="AD60" i="34"/>
  <c r="AD64" i="34"/>
  <c r="AD66" i="34"/>
  <c r="AD68" i="34"/>
  <c r="AD72" i="34"/>
  <c r="AD76" i="34"/>
  <c r="AD78" i="34"/>
  <c r="AD80" i="34"/>
  <c r="AD82" i="34"/>
  <c r="AD84" i="34"/>
  <c r="AD86" i="34"/>
  <c r="AD94" i="34"/>
  <c r="AD59" i="34"/>
  <c r="AD61" i="34"/>
  <c r="AD63" i="34"/>
  <c r="AD65" i="34"/>
  <c r="AD67" i="34"/>
  <c r="AD69" i="34"/>
  <c r="AD71" i="34"/>
  <c r="AD77" i="34"/>
  <c r="AD79" i="34"/>
  <c r="AD81" i="34"/>
  <c r="AD83" i="34"/>
  <c r="AD85" i="34"/>
  <c r="AD87" i="34"/>
  <c r="AD91" i="34"/>
  <c r="AD95" i="34"/>
  <c r="AE56" i="34"/>
  <c r="AE60" i="34"/>
  <c r="AE64" i="34"/>
  <c r="AE66" i="34"/>
  <c r="AE68" i="34"/>
  <c r="AE70" i="34"/>
  <c r="AE72" i="34"/>
  <c r="AE76" i="34"/>
  <c r="AE78" i="34"/>
  <c r="AE80" i="34"/>
  <c r="AE82" i="34"/>
  <c r="AE86" i="34"/>
  <c r="AE88" i="34"/>
  <c r="AE90" i="34"/>
  <c r="AE94" i="34"/>
  <c r="AE57" i="34"/>
  <c r="AE61" i="34"/>
  <c r="AE65" i="34"/>
  <c r="AE67" i="34"/>
  <c r="AE69" i="34"/>
  <c r="AE73" i="34"/>
  <c r="AE77" i="34"/>
  <c r="AE79" i="34"/>
  <c r="AE81" i="34"/>
  <c r="AE83" i="34"/>
  <c r="AE85" i="34"/>
  <c r="AE87" i="34"/>
  <c r="AE95" i="34"/>
  <c r="AF56" i="34"/>
  <c r="AF58" i="34"/>
  <c r="AF60" i="34"/>
  <c r="AF64" i="34"/>
  <c r="AF66" i="34"/>
  <c r="AF68" i="34"/>
  <c r="AF72" i="34"/>
  <c r="AF74" i="34"/>
  <c r="AF76" i="34"/>
  <c r="AF80" i="34"/>
  <c r="AF82" i="34"/>
  <c r="AF84" i="34"/>
  <c r="AF86" i="34"/>
  <c r="AF92" i="34"/>
  <c r="AF94" i="34"/>
  <c r="AF57" i="34"/>
  <c r="AF59" i="34"/>
  <c r="AF61" i="34"/>
  <c r="AF65" i="34"/>
  <c r="AF67" i="34"/>
  <c r="AF69" i="34"/>
  <c r="AF73" i="34"/>
  <c r="AF75" i="34"/>
  <c r="AF77" i="34"/>
  <c r="AF79" i="34"/>
  <c r="AF81" i="34"/>
  <c r="AF83" i="34"/>
  <c r="AF87" i="34"/>
  <c r="AF95" i="34"/>
  <c r="AG58" i="34"/>
  <c r="AG60" i="34"/>
  <c r="AG64" i="34"/>
  <c r="AG66" i="34"/>
  <c r="AG68" i="34"/>
  <c r="AG76" i="34"/>
  <c r="AG78" i="34"/>
  <c r="AG80" i="34"/>
  <c r="AG82" i="34"/>
  <c r="AG84" i="34"/>
  <c r="AG86" i="34"/>
  <c r="AG94" i="34"/>
  <c r="AG57" i="34"/>
  <c r="AG61" i="34"/>
  <c r="AG65" i="34"/>
  <c r="AG67" i="34"/>
  <c r="AG69" i="34"/>
  <c r="AG73" i="34"/>
  <c r="AG75" i="34"/>
  <c r="AG77" i="34"/>
  <c r="AG81" i="34"/>
  <c r="AG83" i="34"/>
  <c r="AG85" i="34"/>
  <c r="AG87" i="34"/>
  <c r="AG95" i="34"/>
  <c r="AH56" i="34"/>
  <c r="AH60" i="34"/>
  <c r="AH64" i="34"/>
  <c r="AH66" i="34"/>
  <c r="AH68" i="34"/>
  <c r="AH72" i="34"/>
  <c r="AH76" i="34"/>
  <c r="AH78" i="34"/>
  <c r="AH80" i="34"/>
  <c r="AH82" i="34"/>
  <c r="AH84" i="34"/>
  <c r="AH86" i="34"/>
  <c r="AH94" i="34"/>
  <c r="AH61" i="34"/>
  <c r="AH65" i="34"/>
  <c r="AH67" i="34"/>
  <c r="AH69" i="34"/>
  <c r="AH71" i="34"/>
  <c r="AH75" i="34"/>
  <c r="AH77" i="34"/>
  <c r="AH79" i="34"/>
  <c r="AH81" i="34"/>
  <c r="AH83" i="34"/>
  <c r="AH87" i="34"/>
  <c r="AH93" i="34"/>
  <c r="AH95" i="34"/>
  <c r="AI56" i="34"/>
  <c r="AI58" i="34"/>
  <c r="AI60" i="34"/>
  <c r="AI64" i="34"/>
  <c r="AI66" i="34"/>
  <c r="AI68" i="34"/>
  <c r="AI72" i="34"/>
  <c r="AI74" i="34"/>
  <c r="AI76" i="34"/>
  <c r="AI78" i="34"/>
  <c r="AI80" i="34"/>
  <c r="AI82" i="34"/>
  <c r="AI86" i="34"/>
  <c r="AI94" i="34"/>
  <c r="AI57" i="34"/>
  <c r="AI61" i="34"/>
  <c r="AI63" i="34"/>
  <c r="AI65" i="34"/>
  <c r="AI67" i="34"/>
  <c r="AI69" i="34"/>
  <c r="AI71" i="34"/>
  <c r="AI77" i="34"/>
  <c r="AI79" i="34"/>
  <c r="AI81" i="34"/>
  <c r="AI83" i="34"/>
  <c r="AI85" i="34"/>
  <c r="AI87" i="34"/>
  <c r="AI89" i="34"/>
  <c r="AI95" i="34"/>
  <c r="B3" i="34"/>
  <c r="X3" i="34"/>
  <c r="B5" i="34"/>
  <c r="X5" i="34"/>
  <c r="B7" i="34"/>
  <c r="X7" i="34"/>
  <c r="B9" i="34"/>
  <c r="X9" i="34"/>
  <c r="B11" i="34"/>
  <c r="X11" i="34"/>
  <c r="B13" i="34"/>
  <c r="X13" i="34"/>
  <c r="B15" i="34"/>
  <c r="X15" i="34"/>
  <c r="B17" i="34"/>
  <c r="X17" i="34"/>
  <c r="B19" i="34"/>
  <c r="X19" i="34"/>
  <c r="B21" i="34"/>
  <c r="X21" i="34"/>
  <c r="B23" i="34"/>
  <c r="X23" i="34"/>
  <c r="B25" i="34"/>
  <c r="X25" i="34"/>
  <c r="B27" i="34"/>
  <c r="X27" i="34"/>
  <c r="B29" i="34"/>
  <c r="X29" i="34"/>
  <c r="B31" i="34"/>
  <c r="X31" i="34"/>
  <c r="B33" i="34"/>
  <c r="X33" i="34"/>
  <c r="B35" i="34"/>
  <c r="X35" i="34"/>
  <c r="B37" i="34"/>
  <c r="X37" i="34"/>
  <c r="B39" i="34"/>
  <c r="X39" i="34"/>
  <c r="B41" i="34"/>
  <c r="X41" i="34"/>
  <c r="X4" i="34"/>
  <c r="X6" i="34"/>
  <c r="X8" i="34"/>
  <c r="X10" i="34"/>
  <c r="X12" i="34"/>
  <c r="X14" i="34"/>
  <c r="X16" i="34"/>
  <c r="X18" i="34"/>
  <c r="X20" i="34"/>
  <c r="X22" i="34"/>
  <c r="X24" i="34"/>
  <c r="X26" i="34"/>
  <c r="X28" i="34"/>
  <c r="X30" i="34"/>
  <c r="X32" i="34"/>
  <c r="X34" i="34"/>
  <c r="X36" i="34"/>
  <c r="X38" i="34"/>
  <c r="X40" i="34"/>
  <c r="X42" i="34"/>
  <c r="Y3" i="34"/>
  <c r="Y5" i="34"/>
  <c r="Y7" i="34"/>
  <c r="Y9" i="34"/>
  <c r="Y11" i="34"/>
  <c r="Y13" i="34"/>
  <c r="Y15" i="34"/>
  <c r="Y17" i="34"/>
  <c r="Y19" i="34"/>
  <c r="Y21" i="34"/>
  <c r="Y23" i="34"/>
  <c r="Y25" i="34"/>
  <c r="Y27" i="34"/>
  <c r="Y29" i="34"/>
  <c r="Y31" i="34"/>
  <c r="Y33" i="34"/>
  <c r="Y35" i="34"/>
  <c r="Y37" i="34"/>
  <c r="Y39" i="34"/>
  <c r="Y41" i="34"/>
  <c r="Y4" i="34"/>
  <c r="Y6" i="34"/>
  <c r="Y10" i="34"/>
  <c r="Y12" i="34"/>
  <c r="Y14" i="34"/>
  <c r="Y18" i="34"/>
  <c r="Y20" i="34"/>
  <c r="Y22" i="34"/>
  <c r="Y26" i="34"/>
  <c r="Y28" i="34"/>
  <c r="Y30" i="34"/>
  <c r="Y34" i="34"/>
  <c r="Y36" i="34"/>
  <c r="Y38" i="34"/>
  <c r="Y42" i="34"/>
  <c r="Z5" i="34"/>
  <c r="Z7" i="34"/>
  <c r="Z9" i="34"/>
  <c r="Z13" i="34"/>
  <c r="Z15" i="34"/>
  <c r="Z17" i="34"/>
  <c r="Z21" i="34"/>
  <c r="Z23" i="34"/>
  <c r="Z25" i="34"/>
  <c r="Z29" i="34"/>
  <c r="Z31" i="34"/>
  <c r="Z33" i="34"/>
  <c r="Z37" i="34"/>
  <c r="Z39" i="34"/>
  <c r="Z41" i="34"/>
  <c r="Z4" i="34"/>
  <c r="Z6" i="34"/>
  <c r="Z8" i="34"/>
  <c r="Z10" i="34"/>
  <c r="Z12" i="34"/>
  <c r="Z14" i="34"/>
  <c r="Z16" i="34"/>
  <c r="Z18" i="34"/>
  <c r="Z20" i="34"/>
  <c r="Z22" i="34"/>
  <c r="Z24" i="34"/>
  <c r="Z26" i="34"/>
  <c r="Z28" i="34"/>
  <c r="Z30" i="34"/>
  <c r="Z32" i="34"/>
  <c r="Z34" i="34"/>
  <c r="Z36" i="34"/>
  <c r="Z38" i="34"/>
  <c r="Z40" i="34"/>
  <c r="Z42" i="34"/>
  <c r="Z48" i="34"/>
  <c r="AA3" i="34"/>
  <c r="AA5" i="34"/>
  <c r="AA7" i="34"/>
  <c r="AA9" i="34"/>
  <c r="AA11" i="34"/>
  <c r="AA13" i="34"/>
  <c r="AA15" i="34"/>
  <c r="AA17" i="34"/>
  <c r="AA19" i="34"/>
  <c r="AA21" i="34"/>
  <c r="AA23" i="34"/>
  <c r="AA25" i="34"/>
  <c r="AA27" i="34"/>
  <c r="AA29" i="34"/>
  <c r="AA31" i="34"/>
  <c r="AA33" i="34"/>
  <c r="AA35" i="34"/>
  <c r="AA37" i="34"/>
  <c r="AA39" i="34"/>
  <c r="AA41" i="34"/>
  <c r="AA6" i="34"/>
  <c r="AA8" i="34"/>
  <c r="AA10" i="34"/>
  <c r="AA14" i="34"/>
  <c r="AA16" i="34"/>
  <c r="AA18" i="34"/>
  <c r="AA22" i="34"/>
  <c r="AA24" i="34"/>
  <c r="AA26" i="34"/>
  <c r="AA30" i="34"/>
  <c r="AA32" i="34"/>
  <c r="AA34" i="34"/>
  <c r="AA38" i="34"/>
  <c r="AA40" i="34"/>
  <c r="AA42" i="34"/>
  <c r="AB3" i="34"/>
  <c r="AB5" i="34"/>
  <c r="AB9" i="34"/>
  <c r="AB11" i="34"/>
  <c r="AB13" i="34"/>
  <c r="AB17" i="34"/>
  <c r="AB19" i="34"/>
  <c r="AB21" i="34"/>
  <c r="AB25" i="34"/>
  <c r="AB27" i="34"/>
  <c r="AB29" i="34"/>
  <c r="AB33" i="34"/>
  <c r="AB35" i="34"/>
  <c r="AB37" i="34"/>
  <c r="AB41" i="34"/>
  <c r="AB4" i="34"/>
  <c r="AB6" i="34"/>
  <c r="AB8" i="34"/>
  <c r="AB10" i="34"/>
  <c r="AB12" i="34"/>
  <c r="AB14" i="34"/>
  <c r="AB16" i="34"/>
  <c r="AB18" i="34"/>
  <c r="AB20" i="34"/>
  <c r="AB22" i="34"/>
  <c r="AB24" i="34"/>
  <c r="AB26" i="34"/>
  <c r="AB28" i="34"/>
  <c r="AB30" i="34"/>
  <c r="AB32" i="34"/>
  <c r="AB34" i="34"/>
  <c r="AB36" i="34"/>
  <c r="AB38" i="34"/>
  <c r="AB40" i="34"/>
  <c r="AB42" i="34"/>
  <c r="AB48" i="34"/>
  <c r="AC3" i="34"/>
  <c r="AC5" i="34"/>
  <c r="AC7" i="34"/>
  <c r="AC9" i="34"/>
  <c r="AC11" i="34"/>
  <c r="AC13" i="34"/>
  <c r="AC15" i="34"/>
  <c r="AC17" i="34"/>
  <c r="AC19" i="34"/>
  <c r="AC21" i="34"/>
  <c r="AC23" i="34"/>
  <c r="AC25" i="34"/>
  <c r="AC27" i="34"/>
  <c r="AC29" i="34"/>
  <c r="AC31" i="34"/>
  <c r="AC33" i="34"/>
  <c r="AC35" i="34"/>
  <c r="AC37" i="34"/>
  <c r="AC39" i="34"/>
  <c r="AC41" i="34"/>
  <c r="AC47" i="34"/>
  <c r="AC4" i="34"/>
  <c r="AC6" i="34"/>
  <c r="AC10" i="34"/>
  <c r="AC12" i="34"/>
  <c r="AC14" i="34"/>
  <c r="AC18" i="34"/>
  <c r="AC20" i="34"/>
  <c r="AC22" i="34"/>
  <c r="AC26" i="34"/>
  <c r="AC28" i="34"/>
  <c r="AC30" i="34"/>
  <c r="AC34" i="34"/>
  <c r="AC36" i="34"/>
  <c r="AC38" i="34"/>
  <c r="AC42" i="34"/>
  <c r="AD5" i="34"/>
  <c r="AD7" i="34"/>
  <c r="AD9" i="34"/>
  <c r="AD13" i="34"/>
  <c r="AD15" i="34"/>
  <c r="AD17" i="34"/>
  <c r="AD21" i="34"/>
  <c r="AD23" i="34"/>
  <c r="AD25" i="34"/>
  <c r="AD29" i="34"/>
  <c r="AD31" i="34"/>
  <c r="AD33" i="34"/>
  <c r="AD37" i="34"/>
  <c r="AD39" i="34"/>
  <c r="AD41" i="34"/>
  <c r="AD4" i="34"/>
  <c r="AD6" i="34"/>
  <c r="AD8" i="34"/>
  <c r="AD10" i="34"/>
  <c r="AD12" i="34"/>
  <c r="AD14" i="34"/>
  <c r="AD16" i="34"/>
  <c r="AD18" i="34"/>
  <c r="AD20" i="34"/>
  <c r="AD22" i="34"/>
  <c r="AD24" i="34"/>
  <c r="AD26" i="34"/>
  <c r="AD28" i="34"/>
  <c r="AD30" i="34"/>
  <c r="AD32" i="34"/>
  <c r="AD34" i="34"/>
  <c r="AD36" i="34"/>
  <c r="AD38" i="34"/>
  <c r="AD40" i="34"/>
  <c r="AD42" i="34"/>
  <c r="AD48" i="34"/>
  <c r="AE3" i="34"/>
  <c r="AE5" i="34"/>
  <c r="AE7" i="34"/>
  <c r="AE9" i="34"/>
  <c r="AE11" i="34"/>
  <c r="AE13" i="34"/>
  <c r="AE15" i="34"/>
  <c r="AE17" i="34"/>
  <c r="AE19" i="34"/>
  <c r="AE21" i="34"/>
  <c r="AE23" i="34"/>
  <c r="AE25" i="34"/>
  <c r="AE27" i="34"/>
  <c r="AE29" i="34"/>
  <c r="AE31" i="34"/>
  <c r="AE33" i="34"/>
  <c r="AE35" i="34"/>
  <c r="AE37" i="34"/>
  <c r="AE39" i="34"/>
  <c r="AE41" i="34"/>
  <c r="AE47" i="34"/>
  <c r="AE6" i="34"/>
  <c r="AE8" i="34"/>
  <c r="AE10" i="34"/>
  <c r="AE14" i="34"/>
  <c r="AE16" i="34"/>
  <c r="AE18" i="34"/>
  <c r="AE22" i="34"/>
  <c r="AE24" i="34"/>
  <c r="AE26" i="34"/>
  <c r="AE30" i="34"/>
  <c r="AE32" i="34"/>
  <c r="AE34" i="34"/>
  <c r="AE38" i="34"/>
  <c r="AE40" i="34"/>
  <c r="AE42" i="34"/>
  <c r="AF3" i="34"/>
  <c r="AF5" i="34"/>
  <c r="AF9" i="34"/>
  <c r="AF11" i="34"/>
  <c r="AF13" i="34"/>
  <c r="AF17" i="34"/>
  <c r="AF19" i="34"/>
  <c r="AF21" i="34"/>
  <c r="AF25" i="34"/>
  <c r="AF27" i="34"/>
  <c r="AF29" i="34"/>
  <c r="AF31" i="34"/>
  <c r="AF33" i="34"/>
  <c r="AF35" i="34"/>
  <c r="AF37" i="34"/>
  <c r="AF39" i="34"/>
  <c r="AF41" i="34"/>
  <c r="AF4" i="34"/>
  <c r="AF6" i="34"/>
  <c r="AF8" i="34"/>
  <c r="AF10" i="34"/>
  <c r="AF12" i="34"/>
  <c r="AF14" i="34"/>
  <c r="AF16" i="34"/>
  <c r="AF18" i="34"/>
  <c r="AF20" i="34"/>
  <c r="AF22" i="34"/>
  <c r="AF24" i="34"/>
  <c r="AF26" i="34"/>
  <c r="AF28" i="34"/>
  <c r="AF30" i="34"/>
  <c r="AF32" i="34"/>
  <c r="AF34" i="34"/>
  <c r="AF36" i="34"/>
  <c r="AF38" i="34"/>
  <c r="AF40" i="34"/>
  <c r="AF42" i="34"/>
  <c r="AG3" i="34"/>
  <c r="AG5" i="34"/>
  <c r="AG7" i="34"/>
  <c r="AG9" i="34"/>
  <c r="AG11" i="34"/>
  <c r="AG13" i="34"/>
  <c r="AG15" i="34"/>
  <c r="AG17" i="34"/>
  <c r="AG19" i="34"/>
  <c r="AG21" i="34"/>
  <c r="AG23" i="34"/>
  <c r="AG25" i="34"/>
  <c r="AG27" i="34"/>
  <c r="AG29" i="34"/>
  <c r="AG31" i="34"/>
  <c r="AG33" i="34"/>
  <c r="AG35" i="34"/>
  <c r="AG37" i="34"/>
  <c r="AG39" i="34"/>
  <c r="AG41" i="34"/>
  <c r="AG47" i="34"/>
  <c r="AG4" i="34"/>
  <c r="AG6" i="34"/>
  <c r="AG8" i="34"/>
  <c r="AG10" i="34"/>
  <c r="AG12" i="34"/>
  <c r="AG14" i="34"/>
  <c r="AG16" i="34"/>
  <c r="AG18" i="34"/>
  <c r="AG20" i="34"/>
  <c r="AG22" i="34"/>
  <c r="AG24" i="34"/>
  <c r="AG26" i="34"/>
  <c r="AG28" i="34"/>
  <c r="AG30" i="34"/>
  <c r="AG32" i="34"/>
  <c r="AG34" i="34"/>
  <c r="AG36" i="34"/>
  <c r="AG38" i="34"/>
  <c r="AG40" i="34"/>
  <c r="AG42" i="34"/>
  <c r="AH3" i="34"/>
  <c r="AH5" i="34"/>
  <c r="AH7" i="34"/>
  <c r="AH9" i="34"/>
  <c r="AH11" i="34"/>
  <c r="AH13" i="34"/>
  <c r="AH15" i="34"/>
  <c r="AH17" i="34"/>
  <c r="AH19" i="34"/>
  <c r="AH21" i="34"/>
  <c r="AH23" i="34"/>
  <c r="AH25" i="34"/>
  <c r="AH27" i="34"/>
  <c r="AH29" i="34"/>
  <c r="AH31" i="34"/>
  <c r="AH33" i="34"/>
  <c r="AH35" i="34"/>
  <c r="AH37" i="34"/>
  <c r="AH39" i="34"/>
  <c r="AH41" i="34"/>
  <c r="AH43" i="34"/>
  <c r="AI43" i="34"/>
  <c r="AH44" i="34"/>
  <c r="AI44" i="34"/>
  <c r="AJ44" i="34"/>
  <c r="C24" i="33"/>
  <c r="AH45" i="34"/>
  <c r="AI45" i="34"/>
  <c r="AH46" i="34"/>
  <c r="AI46" i="34"/>
  <c r="AJ46" i="34"/>
  <c r="AH4" i="34"/>
  <c r="AH6" i="34"/>
  <c r="AH8" i="34"/>
  <c r="AH10" i="34"/>
  <c r="AH12" i="34"/>
  <c r="AH14" i="34"/>
  <c r="AH16" i="34"/>
  <c r="AH18" i="34"/>
  <c r="AH20" i="34"/>
  <c r="AH22" i="34"/>
  <c r="AH24" i="34"/>
  <c r="AH26" i="34"/>
  <c r="AH28" i="34"/>
  <c r="AH30" i="34"/>
  <c r="AH32" i="34"/>
  <c r="AH34" i="34"/>
  <c r="AH36" i="34"/>
  <c r="AH38" i="34"/>
  <c r="AH40" i="34"/>
  <c r="AH42" i="34"/>
  <c r="AH48" i="34"/>
  <c r="AI3" i="34"/>
  <c r="AI5" i="34"/>
  <c r="AI7" i="34"/>
  <c r="AI9" i="34"/>
  <c r="AI11" i="34"/>
  <c r="AI13" i="34"/>
  <c r="AI15" i="34"/>
  <c r="AI17" i="34"/>
  <c r="AI19" i="34"/>
  <c r="AI21" i="34"/>
  <c r="AI23" i="34"/>
  <c r="AI25" i="34"/>
  <c r="AI27" i="34"/>
  <c r="AI29" i="34"/>
  <c r="AI31" i="34"/>
  <c r="AI33" i="34"/>
  <c r="AI35" i="34"/>
  <c r="AI37" i="34"/>
  <c r="AI39" i="34"/>
  <c r="AI41" i="34"/>
  <c r="AI47" i="34"/>
  <c r="AI4" i="34"/>
  <c r="AI6" i="34"/>
  <c r="AI8" i="34"/>
  <c r="AI10" i="34"/>
  <c r="AI12" i="34"/>
  <c r="AI14" i="34"/>
  <c r="AI16" i="34"/>
  <c r="AI18" i="34"/>
  <c r="AI20" i="34"/>
  <c r="AI22" i="34"/>
  <c r="AI24" i="34"/>
  <c r="AI26" i="34"/>
  <c r="AI28" i="34"/>
  <c r="AI30" i="34"/>
  <c r="AI32" i="34"/>
  <c r="AI34" i="34"/>
  <c r="AI36" i="34"/>
  <c r="AI38" i="34"/>
  <c r="AI40" i="34"/>
  <c r="AI42" i="34"/>
  <c r="C25" i="33"/>
  <c r="A4" i="33"/>
  <c r="E3" i="34"/>
  <c r="F3" i="34"/>
  <c r="G3" i="34"/>
  <c r="H3" i="34"/>
  <c r="I3" i="34"/>
  <c r="J3" i="34"/>
  <c r="K3" i="34"/>
  <c r="L3" i="34"/>
  <c r="M3" i="34"/>
  <c r="N3" i="34"/>
  <c r="O3" i="34"/>
  <c r="P3" i="34"/>
  <c r="Q3" i="34"/>
  <c r="R3" i="34"/>
  <c r="S3" i="34"/>
  <c r="T3" i="34"/>
  <c r="U3" i="34"/>
  <c r="E4" i="34"/>
  <c r="F4" i="34"/>
  <c r="G4" i="34"/>
  <c r="H4" i="34"/>
  <c r="I4" i="34"/>
  <c r="J4" i="34"/>
  <c r="K4" i="34"/>
  <c r="L4" i="34"/>
  <c r="M4" i="34"/>
  <c r="N4" i="34"/>
  <c r="O4" i="34"/>
  <c r="P4" i="34"/>
  <c r="Q4" i="34"/>
  <c r="R4" i="34"/>
  <c r="S4" i="34"/>
  <c r="T4" i="34"/>
  <c r="U4" i="34"/>
  <c r="U4" i="33"/>
  <c r="A5" i="33"/>
  <c r="E5" i="34"/>
  <c r="F5" i="34"/>
  <c r="G5" i="34"/>
  <c r="H5" i="34"/>
  <c r="I5" i="34"/>
  <c r="J5" i="34"/>
  <c r="K5" i="34"/>
  <c r="L5" i="34"/>
  <c r="M5" i="34"/>
  <c r="N5" i="34"/>
  <c r="O5" i="34"/>
  <c r="P5" i="34"/>
  <c r="Q5" i="34"/>
  <c r="R5" i="34"/>
  <c r="S5" i="34"/>
  <c r="T5" i="34"/>
  <c r="U5" i="34"/>
  <c r="E6" i="34"/>
  <c r="F6" i="34"/>
  <c r="G6" i="34"/>
  <c r="H6" i="34"/>
  <c r="I6" i="34"/>
  <c r="J6" i="34"/>
  <c r="K6" i="34"/>
  <c r="L6" i="34"/>
  <c r="M6" i="34"/>
  <c r="N6" i="34"/>
  <c r="O6" i="34"/>
  <c r="P6" i="34"/>
  <c r="Q6" i="34"/>
  <c r="R6" i="34"/>
  <c r="S6" i="34"/>
  <c r="T6" i="34"/>
  <c r="U6" i="34"/>
  <c r="U5" i="33"/>
  <c r="A6" i="33"/>
  <c r="E7" i="34"/>
  <c r="F7" i="34"/>
  <c r="G7" i="34"/>
  <c r="H7" i="34"/>
  <c r="I7" i="34"/>
  <c r="J7" i="34"/>
  <c r="K7" i="34"/>
  <c r="L7" i="34"/>
  <c r="M7" i="34"/>
  <c r="N7" i="34"/>
  <c r="O7" i="34"/>
  <c r="P7" i="34"/>
  <c r="Q7" i="34"/>
  <c r="R7" i="34"/>
  <c r="S7" i="34"/>
  <c r="T7" i="34"/>
  <c r="U7" i="34"/>
  <c r="E8" i="34"/>
  <c r="F8" i="34"/>
  <c r="G8" i="34"/>
  <c r="H8" i="34"/>
  <c r="I8" i="34"/>
  <c r="J8" i="34"/>
  <c r="K8" i="34"/>
  <c r="L8" i="34"/>
  <c r="M8" i="34"/>
  <c r="N8" i="34"/>
  <c r="O8" i="34"/>
  <c r="P8" i="34"/>
  <c r="Q8" i="34"/>
  <c r="R8" i="34"/>
  <c r="S8" i="34"/>
  <c r="T8" i="34"/>
  <c r="U8" i="34"/>
  <c r="U6" i="33"/>
  <c r="A7" i="33"/>
  <c r="E9" i="34"/>
  <c r="F9" i="34"/>
  <c r="G9" i="34"/>
  <c r="H9" i="34"/>
  <c r="I9" i="34"/>
  <c r="J9" i="34"/>
  <c r="K9" i="34"/>
  <c r="L9" i="34"/>
  <c r="M9" i="34"/>
  <c r="N9" i="34"/>
  <c r="O9" i="34"/>
  <c r="P9" i="34"/>
  <c r="Q9" i="34"/>
  <c r="R9" i="34"/>
  <c r="S9" i="34"/>
  <c r="T9" i="34"/>
  <c r="U9" i="34"/>
  <c r="E10" i="34"/>
  <c r="F10" i="34"/>
  <c r="G10" i="34"/>
  <c r="H10" i="34"/>
  <c r="I10" i="34"/>
  <c r="J10" i="34"/>
  <c r="K10" i="34"/>
  <c r="L10" i="34"/>
  <c r="M10" i="34"/>
  <c r="N10" i="34"/>
  <c r="O10" i="34"/>
  <c r="P10" i="34"/>
  <c r="Q10" i="34"/>
  <c r="R10" i="34"/>
  <c r="S10" i="34"/>
  <c r="T10" i="34"/>
  <c r="U10" i="34"/>
  <c r="U7" i="33"/>
  <c r="A8" i="33"/>
  <c r="E11" i="34"/>
  <c r="F11" i="34"/>
  <c r="G11" i="34"/>
  <c r="H11" i="34"/>
  <c r="I11" i="34"/>
  <c r="J11" i="34"/>
  <c r="K11" i="34"/>
  <c r="L11" i="34"/>
  <c r="M11" i="34"/>
  <c r="N11" i="34"/>
  <c r="O11" i="34"/>
  <c r="P11" i="34"/>
  <c r="Q11" i="34"/>
  <c r="R11" i="34"/>
  <c r="S11" i="34"/>
  <c r="T11" i="34"/>
  <c r="U11" i="34"/>
  <c r="E12" i="34"/>
  <c r="F12" i="34"/>
  <c r="G12" i="34"/>
  <c r="H12" i="34"/>
  <c r="I12" i="34"/>
  <c r="J12" i="34"/>
  <c r="K12" i="34"/>
  <c r="L12" i="34"/>
  <c r="M12" i="34"/>
  <c r="N12" i="34"/>
  <c r="O12" i="34"/>
  <c r="P12" i="34"/>
  <c r="Q12" i="34"/>
  <c r="R12" i="34"/>
  <c r="S12" i="34"/>
  <c r="T12" i="34"/>
  <c r="U12" i="34"/>
  <c r="U8" i="33"/>
  <c r="A9" i="33"/>
  <c r="E13" i="34"/>
  <c r="F13" i="34"/>
  <c r="G13" i="34"/>
  <c r="H13" i="34"/>
  <c r="I13" i="34"/>
  <c r="J13" i="34"/>
  <c r="K13" i="34"/>
  <c r="L13" i="34"/>
  <c r="M13" i="34"/>
  <c r="N13" i="34"/>
  <c r="O13" i="34"/>
  <c r="P13" i="34"/>
  <c r="Q13" i="34"/>
  <c r="R13" i="34"/>
  <c r="S13" i="34"/>
  <c r="T13" i="34"/>
  <c r="U13" i="34"/>
  <c r="E14" i="34"/>
  <c r="F14" i="34"/>
  <c r="G14" i="34"/>
  <c r="H14" i="34"/>
  <c r="I14" i="34"/>
  <c r="J14" i="34"/>
  <c r="K14" i="34"/>
  <c r="L14" i="34"/>
  <c r="M14" i="34"/>
  <c r="N14" i="34"/>
  <c r="O14" i="34"/>
  <c r="P14" i="34"/>
  <c r="Q14" i="34"/>
  <c r="R14" i="34"/>
  <c r="S14" i="34"/>
  <c r="T14" i="34"/>
  <c r="U14" i="34"/>
  <c r="U9" i="33"/>
  <c r="A10" i="33"/>
  <c r="E15" i="34"/>
  <c r="F15" i="34"/>
  <c r="G15" i="34"/>
  <c r="H15" i="34"/>
  <c r="I15" i="34"/>
  <c r="J15" i="34"/>
  <c r="K15" i="34"/>
  <c r="L15" i="34"/>
  <c r="M15" i="34"/>
  <c r="N15" i="34"/>
  <c r="O15" i="34"/>
  <c r="P15" i="34"/>
  <c r="Q15" i="34"/>
  <c r="R15" i="34"/>
  <c r="S15" i="34"/>
  <c r="T15" i="34"/>
  <c r="U15" i="34"/>
  <c r="E16" i="34"/>
  <c r="F16" i="34"/>
  <c r="G16" i="34"/>
  <c r="H16" i="34"/>
  <c r="I16" i="34"/>
  <c r="J16" i="34"/>
  <c r="K16" i="34"/>
  <c r="L16" i="34"/>
  <c r="M16" i="34"/>
  <c r="N16" i="34"/>
  <c r="O16" i="34"/>
  <c r="P16" i="34"/>
  <c r="Q16" i="34"/>
  <c r="R16" i="34"/>
  <c r="S16" i="34"/>
  <c r="T16" i="34"/>
  <c r="U16" i="34"/>
  <c r="U10" i="33"/>
  <c r="A11" i="33"/>
  <c r="E17" i="34"/>
  <c r="F17" i="34"/>
  <c r="G17" i="34"/>
  <c r="H17" i="34"/>
  <c r="I17" i="34"/>
  <c r="J17" i="34"/>
  <c r="K17" i="34"/>
  <c r="L17" i="34"/>
  <c r="M17" i="34"/>
  <c r="N17" i="34"/>
  <c r="O17" i="34"/>
  <c r="P17" i="34"/>
  <c r="Q17" i="34"/>
  <c r="R17" i="34"/>
  <c r="S17" i="34"/>
  <c r="T17" i="34"/>
  <c r="U17" i="34"/>
  <c r="E18" i="34"/>
  <c r="F18" i="34"/>
  <c r="G18" i="34"/>
  <c r="H18" i="34"/>
  <c r="I18" i="34"/>
  <c r="J18" i="34"/>
  <c r="K18" i="34"/>
  <c r="L18" i="34"/>
  <c r="M18" i="34"/>
  <c r="N18" i="34"/>
  <c r="O18" i="34"/>
  <c r="P18" i="34"/>
  <c r="Q18" i="34"/>
  <c r="R18" i="34"/>
  <c r="S18" i="34"/>
  <c r="T18" i="34"/>
  <c r="U18" i="34"/>
  <c r="U11" i="33"/>
  <c r="A12" i="33"/>
  <c r="E19" i="34"/>
  <c r="F19" i="34"/>
  <c r="G19" i="34"/>
  <c r="H19" i="34"/>
  <c r="I19" i="34"/>
  <c r="J19" i="34"/>
  <c r="K19" i="34"/>
  <c r="L19" i="34"/>
  <c r="M19" i="34"/>
  <c r="N19" i="34"/>
  <c r="O19" i="34"/>
  <c r="P19" i="34"/>
  <c r="Q19" i="34"/>
  <c r="R19" i="34"/>
  <c r="S19" i="34"/>
  <c r="T19" i="34"/>
  <c r="U19" i="34"/>
  <c r="E20" i="34"/>
  <c r="F20" i="34"/>
  <c r="G20" i="34"/>
  <c r="H20" i="34"/>
  <c r="I20" i="34"/>
  <c r="J20" i="34"/>
  <c r="K20" i="34"/>
  <c r="L20" i="34"/>
  <c r="M20" i="34"/>
  <c r="N20" i="34"/>
  <c r="O20" i="34"/>
  <c r="P20" i="34"/>
  <c r="Q20" i="34"/>
  <c r="R20" i="34"/>
  <c r="S20" i="34"/>
  <c r="T20" i="34"/>
  <c r="U20" i="34"/>
  <c r="U12" i="33"/>
  <c r="A13" i="33"/>
  <c r="E21" i="34"/>
  <c r="F21" i="34"/>
  <c r="G21" i="34"/>
  <c r="H21" i="34"/>
  <c r="I21" i="34"/>
  <c r="J21" i="34"/>
  <c r="K21" i="34"/>
  <c r="L21" i="34"/>
  <c r="M21" i="34"/>
  <c r="N21" i="34"/>
  <c r="O21" i="34"/>
  <c r="P21" i="34"/>
  <c r="Q21" i="34"/>
  <c r="R21" i="34"/>
  <c r="S21" i="34"/>
  <c r="T21" i="34"/>
  <c r="U21" i="34"/>
  <c r="E22" i="34"/>
  <c r="F22" i="34"/>
  <c r="G22" i="34"/>
  <c r="H22" i="34"/>
  <c r="I22" i="34"/>
  <c r="J22" i="34"/>
  <c r="K22" i="34"/>
  <c r="L22" i="34"/>
  <c r="M22" i="34"/>
  <c r="N22" i="34"/>
  <c r="O22" i="34"/>
  <c r="P22" i="34"/>
  <c r="Q22" i="34"/>
  <c r="R22" i="34"/>
  <c r="S22" i="34"/>
  <c r="T22" i="34"/>
  <c r="U22" i="34"/>
  <c r="U13" i="33"/>
  <c r="A14" i="33"/>
  <c r="E23" i="34"/>
  <c r="F23" i="34"/>
  <c r="G23" i="34"/>
  <c r="H23" i="34"/>
  <c r="I23" i="34"/>
  <c r="J23" i="34"/>
  <c r="K23" i="34"/>
  <c r="L23" i="34"/>
  <c r="M23" i="34"/>
  <c r="N23" i="34"/>
  <c r="O23" i="34"/>
  <c r="P23" i="34"/>
  <c r="Q23" i="34"/>
  <c r="R23" i="34"/>
  <c r="S23" i="34"/>
  <c r="T23" i="34"/>
  <c r="U23" i="34"/>
  <c r="E24" i="34"/>
  <c r="F24" i="34"/>
  <c r="G24" i="34"/>
  <c r="H24" i="34"/>
  <c r="I24" i="34"/>
  <c r="J24" i="34"/>
  <c r="K24" i="34"/>
  <c r="L24" i="34"/>
  <c r="M24" i="34"/>
  <c r="N24" i="34"/>
  <c r="O24" i="34"/>
  <c r="P24" i="34"/>
  <c r="Q24" i="34"/>
  <c r="R24" i="34"/>
  <c r="S24" i="34"/>
  <c r="T24" i="34"/>
  <c r="U24" i="34"/>
  <c r="U14" i="33"/>
  <c r="A15" i="33"/>
  <c r="E25" i="34"/>
  <c r="F25" i="34"/>
  <c r="G25" i="34"/>
  <c r="H25" i="34"/>
  <c r="I25" i="34"/>
  <c r="J25" i="34"/>
  <c r="K25" i="34"/>
  <c r="L25" i="34"/>
  <c r="M25" i="34"/>
  <c r="N25" i="34"/>
  <c r="O25" i="34"/>
  <c r="P25" i="34"/>
  <c r="Q25" i="34"/>
  <c r="R25" i="34"/>
  <c r="S25" i="34"/>
  <c r="T25" i="34"/>
  <c r="U25" i="34"/>
  <c r="E26" i="34"/>
  <c r="F26" i="34"/>
  <c r="G26" i="34"/>
  <c r="H26" i="34"/>
  <c r="I26" i="34"/>
  <c r="J26" i="34"/>
  <c r="K26" i="34"/>
  <c r="L26" i="34"/>
  <c r="M26" i="34"/>
  <c r="N26" i="34"/>
  <c r="O26" i="34"/>
  <c r="P26" i="34"/>
  <c r="Q26" i="34"/>
  <c r="R26" i="34"/>
  <c r="S26" i="34"/>
  <c r="T26" i="34"/>
  <c r="U26" i="34"/>
  <c r="U15" i="33"/>
  <c r="A16" i="33"/>
  <c r="E27" i="34"/>
  <c r="F27" i="34"/>
  <c r="G27" i="34"/>
  <c r="H27" i="34"/>
  <c r="I27" i="34"/>
  <c r="J27" i="34"/>
  <c r="K27" i="34"/>
  <c r="L27" i="34"/>
  <c r="M27" i="34"/>
  <c r="N27" i="34"/>
  <c r="O27" i="34"/>
  <c r="P27" i="34"/>
  <c r="Q27" i="34"/>
  <c r="R27" i="34"/>
  <c r="S27" i="34"/>
  <c r="T27" i="34"/>
  <c r="U27" i="34"/>
  <c r="E28" i="34"/>
  <c r="F28" i="34"/>
  <c r="G28" i="34"/>
  <c r="H28" i="34"/>
  <c r="I28" i="34"/>
  <c r="J28" i="34"/>
  <c r="K28" i="34"/>
  <c r="L28" i="34"/>
  <c r="M28" i="34"/>
  <c r="N28" i="34"/>
  <c r="O28" i="34"/>
  <c r="P28" i="34"/>
  <c r="Q28" i="34"/>
  <c r="R28" i="34"/>
  <c r="S28" i="34"/>
  <c r="T28" i="34"/>
  <c r="U28" i="34"/>
  <c r="U16" i="33"/>
  <c r="A17" i="33"/>
  <c r="E29" i="34"/>
  <c r="F29" i="34"/>
  <c r="G29" i="34"/>
  <c r="H29" i="34"/>
  <c r="I29" i="34"/>
  <c r="J29" i="34"/>
  <c r="K29" i="34"/>
  <c r="L29" i="34"/>
  <c r="M29" i="34"/>
  <c r="N29" i="34"/>
  <c r="O29" i="34"/>
  <c r="P29" i="34"/>
  <c r="Q29" i="34"/>
  <c r="R29" i="34"/>
  <c r="S29" i="34"/>
  <c r="T29" i="34"/>
  <c r="U29" i="34"/>
  <c r="E30" i="34"/>
  <c r="F30" i="34"/>
  <c r="G30" i="34"/>
  <c r="H30" i="34"/>
  <c r="I30" i="34"/>
  <c r="J30" i="34"/>
  <c r="K30" i="34"/>
  <c r="L30" i="34"/>
  <c r="M30" i="34"/>
  <c r="N30" i="34"/>
  <c r="O30" i="34"/>
  <c r="P30" i="34"/>
  <c r="Q30" i="34"/>
  <c r="R30" i="34"/>
  <c r="S30" i="34"/>
  <c r="T30" i="34"/>
  <c r="U30" i="34"/>
  <c r="U17" i="33"/>
  <c r="A18" i="33"/>
  <c r="E31" i="34"/>
  <c r="F31" i="34"/>
  <c r="G31" i="34"/>
  <c r="H31" i="34"/>
  <c r="I31" i="34"/>
  <c r="J31" i="34"/>
  <c r="K31" i="34"/>
  <c r="L31" i="34"/>
  <c r="M31" i="34"/>
  <c r="N31" i="34"/>
  <c r="O31" i="34"/>
  <c r="P31" i="34"/>
  <c r="Q31" i="34"/>
  <c r="R31" i="34"/>
  <c r="S31" i="34"/>
  <c r="T31" i="34"/>
  <c r="U31" i="34"/>
  <c r="E32" i="34"/>
  <c r="F32" i="34"/>
  <c r="G32" i="34"/>
  <c r="H32" i="34"/>
  <c r="I32" i="34"/>
  <c r="J32" i="34"/>
  <c r="K32" i="34"/>
  <c r="L32" i="34"/>
  <c r="M32" i="34"/>
  <c r="N32" i="34"/>
  <c r="O32" i="34"/>
  <c r="P32" i="34"/>
  <c r="Q32" i="34"/>
  <c r="R32" i="34"/>
  <c r="S32" i="34"/>
  <c r="T32" i="34"/>
  <c r="U32" i="34"/>
  <c r="U18" i="33"/>
  <c r="A19" i="33"/>
  <c r="E33" i="34"/>
  <c r="F33" i="34"/>
  <c r="G33" i="34"/>
  <c r="H33" i="34"/>
  <c r="I33" i="34"/>
  <c r="J33" i="34"/>
  <c r="K33" i="34"/>
  <c r="L33" i="34"/>
  <c r="M33" i="34"/>
  <c r="N33" i="34"/>
  <c r="O33" i="34"/>
  <c r="P33" i="34"/>
  <c r="Q33" i="34"/>
  <c r="R33" i="34"/>
  <c r="S33" i="34"/>
  <c r="T33" i="34"/>
  <c r="U33" i="34"/>
  <c r="E34" i="34"/>
  <c r="F34" i="34"/>
  <c r="G34" i="34"/>
  <c r="H34" i="34"/>
  <c r="I34" i="34"/>
  <c r="J34" i="34"/>
  <c r="K34" i="34"/>
  <c r="L34" i="34"/>
  <c r="M34" i="34"/>
  <c r="N34" i="34"/>
  <c r="O34" i="34"/>
  <c r="P34" i="34"/>
  <c r="Q34" i="34"/>
  <c r="R34" i="34"/>
  <c r="S34" i="34"/>
  <c r="T34" i="34"/>
  <c r="U34" i="34"/>
  <c r="U19" i="33"/>
  <c r="A20" i="33"/>
  <c r="U20" i="33"/>
  <c r="E35" i="34"/>
  <c r="F35" i="34"/>
  <c r="G35" i="34"/>
  <c r="H35" i="34"/>
  <c r="I35" i="34"/>
  <c r="J35" i="34"/>
  <c r="K35" i="34"/>
  <c r="L35" i="34"/>
  <c r="M35" i="34"/>
  <c r="N35" i="34"/>
  <c r="O35" i="34"/>
  <c r="P35" i="34"/>
  <c r="Q35" i="34"/>
  <c r="R35" i="34"/>
  <c r="S35" i="34"/>
  <c r="T35" i="34"/>
  <c r="U35" i="34"/>
  <c r="E36" i="34"/>
  <c r="F36" i="34"/>
  <c r="G36" i="34"/>
  <c r="H36" i="34"/>
  <c r="I36" i="34"/>
  <c r="J36" i="34"/>
  <c r="K36" i="34"/>
  <c r="L36" i="34"/>
  <c r="M36" i="34"/>
  <c r="N36" i="34"/>
  <c r="O36" i="34"/>
  <c r="P36" i="34"/>
  <c r="Q36" i="34"/>
  <c r="R36" i="34"/>
  <c r="S36" i="34"/>
  <c r="T36" i="34"/>
  <c r="U36" i="34"/>
  <c r="A21" i="33"/>
  <c r="U21" i="33"/>
  <c r="E37" i="34"/>
  <c r="F37" i="34"/>
  <c r="G37" i="34"/>
  <c r="H37" i="34"/>
  <c r="I37" i="34"/>
  <c r="J37" i="34"/>
  <c r="K37" i="34"/>
  <c r="L37" i="34"/>
  <c r="M37" i="34"/>
  <c r="N37" i="34"/>
  <c r="O37" i="34"/>
  <c r="P37" i="34"/>
  <c r="Q37" i="34"/>
  <c r="R37" i="34"/>
  <c r="S37" i="34"/>
  <c r="T37" i="34"/>
  <c r="U37" i="34"/>
  <c r="E38" i="34"/>
  <c r="F38" i="34"/>
  <c r="G38" i="34"/>
  <c r="H38" i="34"/>
  <c r="I38" i="34"/>
  <c r="J38" i="34"/>
  <c r="K38" i="34"/>
  <c r="L38" i="34"/>
  <c r="M38" i="34"/>
  <c r="N38" i="34"/>
  <c r="O38" i="34"/>
  <c r="P38" i="34"/>
  <c r="Q38" i="34"/>
  <c r="R38" i="34"/>
  <c r="S38" i="34"/>
  <c r="T38" i="34"/>
  <c r="U38" i="34"/>
  <c r="A22" i="33"/>
  <c r="U22" i="33"/>
  <c r="E39" i="34"/>
  <c r="F39" i="34"/>
  <c r="G39" i="34"/>
  <c r="H39" i="34"/>
  <c r="I39" i="34"/>
  <c r="J39" i="34"/>
  <c r="K39" i="34"/>
  <c r="L39" i="34"/>
  <c r="M39" i="34"/>
  <c r="N39" i="34"/>
  <c r="O39" i="34"/>
  <c r="P39" i="34"/>
  <c r="Q39" i="34"/>
  <c r="R39" i="34"/>
  <c r="S39" i="34"/>
  <c r="T39" i="34"/>
  <c r="U39" i="34"/>
  <c r="E40" i="34"/>
  <c r="F40" i="34"/>
  <c r="G40" i="34"/>
  <c r="H40" i="34"/>
  <c r="I40" i="34"/>
  <c r="J40" i="34"/>
  <c r="K40" i="34"/>
  <c r="L40" i="34"/>
  <c r="M40" i="34"/>
  <c r="N40" i="34"/>
  <c r="O40" i="34"/>
  <c r="P40" i="34"/>
  <c r="Q40" i="34"/>
  <c r="R40" i="34"/>
  <c r="S40" i="34"/>
  <c r="T40" i="34"/>
  <c r="U40" i="34"/>
  <c r="A23" i="33"/>
  <c r="U23" i="33"/>
  <c r="E41" i="34"/>
  <c r="F41" i="34"/>
  <c r="G41" i="34"/>
  <c r="H41" i="34"/>
  <c r="I41" i="34"/>
  <c r="J41" i="34"/>
  <c r="K41" i="34"/>
  <c r="L41" i="34"/>
  <c r="M41" i="34"/>
  <c r="N41" i="34"/>
  <c r="O41" i="34"/>
  <c r="P41" i="34"/>
  <c r="Q41" i="34"/>
  <c r="R41" i="34"/>
  <c r="S41" i="34"/>
  <c r="T41" i="34"/>
  <c r="U41" i="34"/>
  <c r="E42" i="34"/>
  <c r="F42" i="34"/>
  <c r="G42" i="34"/>
  <c r="H42" i="34"/>
  <c r="I42" i="34"/>
  <c r="J42" i="34"/>
  <c r="K42" i="34"/>
  <c r="L42" i="34"/>
  <c r="M42" i="34"/>
  <c r="N42" i="34"/>
  <c r="O42" i="34"/>
  <c r="P42" i="34"/>
  <c r="Q42" i="34"/>
  <c r="R42" i="34"/>
  <c r="S42" i="34"/>
  <c r="T42" i="34"/>
  <c r="U42" i="34"/>
  <c r="Y42" i="20"/>
  <c r="X42" i="20"/>
  <c r="W42" i="20"/>
  <c r="V42" i="20"/>
  <c r="Z42" i="20"/>
  <c r="Y84" i="20"/>
  <c r="X84" i="20"/>
  <c r="W84" i="20"/>
  <c r="V84" i="20"/>
  <c r="Z84" i="20"/>
  <c r="F84" i="20"/>
  <c r="E84" i="20"/>
  <c r="D84" i="20"/>
  <c r="C84" i="20"/>
  <c r="G84" i="20"/>
  <c r="F42" i="20"/>
  <c r="E42" i="20"/>
  <c r="D42" i="20"/>
  <c r="C42" i="20"/>
  <c r="G42" i="20"/>
  <c r="Q83" i="20"/>
  <c r="AA41" i="31"/>
  <c r="A41" i="31"/>
  <c r="AA40" i="31"/>
  <c r="A40" i="31"/>
  <c r="AA39" i="31"/>
  <c r="A39" i="31"/>
  <c r="AA38" i="31"/>
  <c r="A38" i="31"/>
  <c r="AA37" i="31"/>
  <c r="A37" i="31"/>
  <c r="AA36" i="31"/>
  <c r="A36" i="31"/>
  <c r="AA35" i="31"/>
  <c r="A35" i="31"/>
  <c r="AA34" i="31"/>
  <c r="A34" i="31"/>
  <c r="AA33" i="31"/>
  <c r="A33" i="31"/>
  <c r="AA32" i="31"/>
  <c r="A32" i="31"/>
  <c r="AA31" i="31"/>
  <c r="A31" i="31"/>
  <c r="AA30" i="31"/>
  <c r="A30" i="31"/>
  <c r="AA29" i="31"/>
  <c r="A29" i="31"/>
  <c r="AA28" i="31"/>
  <c r="A28" i="31"/>
  <c r="AA27" i="31"/>
  <c r="A27" i="31"/>
  <c r="AA26" i="31"/>
  <c r="A26" i="31"/>
  <c r="AA25" i="31"/>
  <c r="A25" i="31"/>
  <c r="AB4" i="15"/>
  <c r="Q5" i="15"/>
  <c r="L6" i="15"/>
  <c r="X88" i="15"/>
  <c r="Y88" i="15"/>
  <c r="Q90" i="15"/>
  <c r="H88" i="15"/>
  <c r="E88" i="15"/>
  <c r="U88" i="15"/>
  <c r="F88" i="15"/>
  <c r="I88" i="15"/>
  <c r="X3" i="15"/>
  <c r="Y3" i="15"/>
  <c r="Q7" i="15"/>
  <c r="H3" i="15"/>
  <c r="E3" i="15"/>
  <c r="U3" i="15"/>
  <c r="F3" i="15"/>
  <c r="I3" i="15"/>
  <c r="H5" i="15"/>
  <c r="E5" i="15"/>
  <c r="U5" i="15"/>
  <c r="F5" i="15"/>
  <c r="I5" i="15"/>
  <c r="H9" i="15"/>
  <c r="E9" i="15"/>
  <c r="U9" i="15"/>
  <c r="F9" i="15"/>
  <c r="I9" i="15"/>
  <c r="H11" i="15"/>
  <c r="E11" i="15"/>
  <c r="U11" i="15"/>
  <c r="F11" i="15"/>
  <c r="I11" i="15"/>
  <c r="U97" i="17"/>
  <c r="AH97" i="17"/>
  <c r="U96" i="17"/>
  <c r="AH96" i="17"/>
  <c r="U95" i="17"/>
  <c r="AH95" i="17"/>
  <c r="U94" i="17"/>
  <c r="AH94" i="17"/>
  <c r="U93" i="17"/>
  <c r="AH93" i="17"/>
  <c r="U92" i="17"/>
  <c r="AH92" i="17"/>
  <c r="U91" i="17"/>
  <c r="U90" i="17"/>
  <c r="AH90" i="17"/>
  <c r="U89" i="17"/>
  <c r="AH89" i="17"/>
  <c r="U88" i="17"/>
  <c r="AH88" i="17"/>
  <c r="U87" i="17"/>
  <c r="U86" i="17"/>
  <c r="AH86" i="17"/>
  <c r="U85" i="17"/>
  <c r="U84" i="17"/>
  <c r="AH84" i="17"/>
  <c r="U83" i="17"/>
  <c r="U82" i="17"/>
  <c r="U81" i="17"/>
  <c r="AH81" i="17"/>
  <c r="U80" i="17"/>
  <c r="U79" i="17"/>
  <c r="U78" i="17"/>
  <c r="U74" i="17"/>
  <c r="AH74" i="17"/>
  <c r="U73" i="17"/>
  <c r="AH73" i="17"/>
  <c r="U72" i="17"/>
  <c r="AH72" i="17"/>
  <c r="U71" i="17"/>
  <c r="AH71" i="17"/>
  <c r="U70" i="17"/>
  <c r="AH70" i="17"/>
  <c r="U69" i="17"/>
  <c r="AH69" i="17"/>
  <c r="U68" i="17"/>
  <c r="U67" i="17"/>
  <c r="AH67" i="17"/>
  <c r="U66" i="17"/>
  <c r="AH66" i="17"/>
  <c r="U65" i="17"/>
  <c r="AH65" i="17"/>
  <c r="U64" i="17"/>
  <c r="U63" i="17"/>
  <c r="AH63" i="17"/>
  <c r="U62" i="17"/>
  <c r="U61" i="17"/>
  <c r="AH61" i="17"/>
  <c r="U60" i="17"/>
  <c r="U59" i="17"/>
  <c r="U58" i="17"/>
  <c r="AH58" i="17"/>
  <c r="U57" i="17"/>
  <c r="U56" i="17"/>
  <c r="U55" i="17"/>
  <c r="U172" i="17"/>
  <c r="AH172" i="17"/>
  <c r="U170" i="17"/>
  <c r="AH170" i="17"/>
  <c r="B195" i="17"/>
  <c r="O195" i="17"/>
  <c r="B193" i="17"/>
  <c r="O193" i="17"/>
  <c r="B191" i="17"/>
  <c r="O191" i="17"/>
  <c r="B189" i="17"/>
  <c r="O189" i="17"/>
  <c r="B187" i="17"/>
  <c r="O187" i="17"/>
  <c r="B185" i="17"/>
  <c r="O185" i="17"/>
  <c r="B183" i="17"/>
  <c r="O183" i="17"/>
  <c r="B181" i="17"/>
  <c r="O181" i="17"/>
  <c r="B179" i="17"/>
  <c r="O179" i="17"/>
  <c r="B177" i="17"/>
  <c r="O177" i="17"/>
  <c r="U195" i="17"/>
  <c r="AH195" i="17"/>
  <c r="U193" i="17"/>
  <c r="AH193" i="17"/>
  <c r="B172" i="17"/>
  <c r="O172" i="17"/>
  <c r="B170" i="17"/>
  <c r="O170" i="17"/>
  <c r="B168" i="17"/>
  <c r="O168" i="17"/>
  <c r="B166" i="17"/>
  <c r="O166" i="17"/>
  <c r="B164" i="17"/>
  <c r="O164" i="17"/>
  <c r="B162" i="17"/>
  <c r="O162" i="17"/>
  <c r="B160" i="17"/>
  <c r="B158" i="17"/>
  <c r="O158" i="17"/>
  <c r="B156" i="17"/>
  <c r="B154" i="17"/>
  <c r="BC4" i="32"/>
  <c r="BC6" i="32"/>
  <c r="BC8" i="32"/>
  <c r="BC10" i="32"/>
  <c r="BC12" i="32"/>
  <c r="BC14" i="32"/>
  <c r="BC16" i="32"/>
  <c r="BC18" i="32"/>
  <c r="BC20" i="32"/>
  <c r="BC22" i="32"/>
  <c r="BC24" i="32"/>
  <c r="BC26" i="32"/>
  <c r="BC28" i="32"/>
  <c r="BC30" i="32"/>
  <c r="BC32" i="32"/>
  <c r="BC34" i="32"/>
  <c r="BC36" i="32"/>
  <c r="BC38" i="32"/>
  <c r="BC40" i="32"/>
  <c r="BC42" i="32"/>
  <c r="AV44" i="32"/>
  <c r="AN4" i="32"/>
  <c r="AN6" i="32"/>
  <c r="AN8" i="32"/>
  <c r="AN10" i="32"/>
  <c r="AN12" i="32"/>
  <c r="AN14" i="32"/>
  <c r="AN16" i="32"/>
  <c r="AN18" i="32"/>
  <c r="AN20" i="32"/>
  <c r="AN22" i="32"/>
  <c r="AN24" i="32"/>
  <c r="AN26" i="32"/>
  <c r="AN28" i="32"/>
  <c r="AN30" i="32"/>
  <c r="AN32" i="32"/>
  <c r="AN34" i="32"/>
  <c r="AN36" i="32"/>
  <c r="AN38" i="32"/>
  <c r="AN40" i="32"/>
  <c r="AN42" i="32"/>
  <c r="AN44" i="32"/>
  <c r="AG44" i="32"/>
  <c r="AA4" i="32"/>
  <c r="AA6" i="32"/>
  <c r="AA8" i="32"/>
  <c r="AA10" i="32"/>
  <c r="AA12" i="32"/>
  <c r="AA14" i="32"/>
  <c r="AA16" i="32"/>
  <c r="AA18" i="32"/>
  <c r="AA20" i="32"/>
  <c r="AA22" i="32"/>
  <c r="AA24" i="32"/>
  <c r="AA26" i="32"/>
  <c r="AA28" i="32"/>
  <c r="AA30" i="32"/>
  <c r="AA32" i="32"/>
  <c r="AA34" i="32"/>
  <c r="AA36" i="32"/>
  <c r="AA38" i="32"/>
  <c r="AA40" i="32"/>
  <c r="AA42" i="32"/>
  <c r="T44" i="32"/>
  <c r="E44" i="32"/>
  <c r="L42" i="32"/>
  <c r="L4" i="32"/>
  <c r="L6" i="32"/>
  <c r="L8" i="32"/>
  <c r="L10" i="32"/>
  <c r="L12" i="32"/>
  <c r="L14" i="32"/>
  <c r="L16" i="32"/>
  <c r="L18" i="32"/>
  <c r="L20" i="32"/>
  <c r="L22" i="32"/>
  <c r="L24" i="32"/>
  <c r="L26" i="32"/>
  <c r="L28" i="32"/>
  <c r="L30" i="32"/>
  <c r="L32" i="32"/>
  <c r="L34" i="32"/>
  <c r="L36" i="32"/>
  <c r="L38" i="32"/>
  <c r="L40" i="32"/>
  <c r="L44" i="32"/>
  <c r="AH47" i="7"/>
  <c r="AH46" i="7"/>
  <c r="AH45" i="7"/>
  <c r="AH44" i="7"/>
  <c r="AH42" i="7"/>
  <c r="AH41" i="7"/>
  <c r="AH37" i="7"/>
  <c r="AH35" i="7"/>
  <c r="AH33" i="7"/>
  <c r="AH32" i="7"/>
  <c r="AH31" i="7"/>
  <c r="AH30" i="7"/>
  <c r="AH29" i="7"/>
  <c r="AH28" i="7"/>
  <c r="AH25" i="7"/>
  <c r="AH24" i="7"/>
  <c r="AH23" i="7"/>
  <c r="AH22" i="7"/>
  <c r="AH21" i="7"/>
  <c r="AH19" i="7"/>
  <c r="AH18" i="7"/>
  <c r="AH17" i="7"/>
  <c r="AH15" i="7"/>
  <c r="AH14" i="7"/>
  <c r="AH13" i="7"/>
  <c r="AH12" i="7"/>
  <c r="AH11" i="7"/>
  <c r="AH10" i="7"/>
  <c r="AH9" i="7"/>
  <c r="AH8" i="7"/>
  <c r="AH7" i="7"/>
  <c r="AH6" i="7"/>
  <c r="AF84" i="20"/>
  <c r="AG84" i="20"/>
  <c r="Q2" i="13"/>
  <c r="AH2" i="13"/>
  <c r="J3" i="11"/>
  <c r="J54" i="11"/>
  <c r="R2" i="20"/>
  <c r="T2" i="31"/>
  <c r="AB2" i="32"/>
  <c r="BD2" i="32"/>
  <c r="AK2" i="20"/>
  <c r="AK44" i="20"/>
  <c r="R44" i="20"/>
  <c r="BC44" i="32"/>
  <c r="K37" i="2"/>
  <c r="E37" i="2"/>
  <c r="AA44" i="32"/>
  <c r="K36" i="2"/>
  <c r="E36" i="2"/>
  <c r="Q85" i="13"/>
  <c r="AH85" i="13"/>
  <c r="Q83" i="13"/>
  <c r="AH83" i="13"/>
  <c r="Q81" i="13"/>
  <c r="AH81" i="13"/>
  <c r="Q79" i="13"/>
  <c r="AH79" i="13"/>
  <c r="Q77" i="13"/>
  <c r="AH77" i="13"/>
  <c r="Q75" i="13"/>
  <c r="AH75" i="13"/>
  <c r="Q73" i="13"/>
  <c r="AH73" i="13"/>
  <c r="Q71" i="13"/>
  <c r="AH71" i="13"/>
  <c r="Q69" i="13"/>
  <c r="AH69" i="13"/>
  <c r="Q67" i="13"/>
  <c r="AH67" i="13"/>
  <c r="Q65" i="13"/>
  <c r="AH65" i="13"/>
  <c r="Q63" i="13"/>
  <c r="AH63" i="13"/>
  <c r="Q61" i="13"/>
  <c r="AH61" i="13"/>
  <c r="Q59" i="13"/>
  <c r="AH59" i="13"/>
  <c r="Q57" i="13"/>
  <c r="AH57" i="13"/>
  <c r="Q55" i="13"/>
  <c r="AH55" i="13"/>
  <c r="Q53" i="13"/>
  <c r="AH53" i="13"/>
  <c r="Q51" i="13"/>
  <c r="AH51" i="13"/>
  <c r="Q49" i="13"/>
  <c r="AH49" i="13"/>
  <c r="Q47" i="13"/>
  <c r="AH47" i="13"/>
  <c r="Q42" i="13"/>
  <c r="AH42" i="13"/>
  <c r="Q40" i="13"/>
  <c r="AH40" i="13"/>
  <c r="Q38" i="13"/>
  <c r="AH38" i="13"/>
  <c r="Q36" i="13"/>
  <c r="AH36" i="13"/>
  <c r="Q34" i="13"/>
  <c r="AH34" i="13"/>
  <c r="Q32" i="13"/>
  <c r="AH32" i="13"/>
  <c r="Q30" i="13"/>
  <c r="AH30" i="13"/>
  <c r="Q28" i="13"/>
  <c r="AH28" i="13"/>
  <c r="Q26" i="13"/>
  <c r="AH26" i="13"/>
  <c r="Q24" i="13"/>
  <c r="AH24" i="13"/>
  <c r="Q22" i="13"/>
  <c r="AH22" i="13"/>
  <c r="Q20" i="13"/>
  <c r="AH20" i="13"/>
  <c r="Q18" i="13"/>
  <c r="AH18" i="13"/>
  <c r="Q16" i="13"/>
  <c r="AH16" i="13"/>
  <c r="Q14" i="13"/>
  <c r="AH14" i="13"/>
  <c r="Q12" i="13"/>
  <c r="AH12" i="13"/>
  <c r="Q10" i="13"/>
  <c r="AH10" i="13"/>
  <c r="Q8" i="13"/>
  <c r="AH8" i="13"/>
  <c r="Q6" i="13"/>
  <c r="AH6" i="13"/>
  <c r="Q4" i="13"/>
  <c r="AH4" i="13"/>
  <c r="AC83" i="31"/>
  <c r="AC82" i="31"/>
  <c r="AC81" i="31"/>
  <c r="AC80" i="31"/>
  <c r="AC79" i="31"/>
  <c r="AC78" i="31"/>
  <c r="AC77" i="31"/>
  <c r="AC76" i="31"/>
  <c r="AC75" i="31"/>
  <c r="AC74" i="31"/>
  <c r="AC73" i="31"/>
  <c r="AC72" i="31"/>
  <c r="AC71" i="31"/>
  <c r="AE9" i="17"/>
  <c r="AJ9" i="17"/>
  <c r="AE10" i="17"/>
  <c r="AJ10" i="17"/>
  <c r="AE11" i="17"/>
  <c r="AJ11" i="17"/>
  <c r="AE12" i="17"/>
  <c r="AJ12" i="17"/>
  <c r="AE13" i="17"/>
  <c r="AJ13" i="17"/>
  <c r="AE14" i="17"/>
  <c r="AJ14" i="17"/>
  <c r="W15" i="17"/>
  <c r="AE15" i="17"/>
  <c r="AH15" i="17"/>
  <c r="AJ15" i="17"/>
  <c r="AE16" i="17"/>
  <c r="AJ16" i="17"/>
  <c r="W17" i="17"/>
  <c r="AE17" i="17"/>
  <c r="AH17" i="17"/>
  <c r="AJ17" i="17"/>
  <c r="AE18" i="17"/>
  <c r="AJ18" i="17"/>
  <c r="W19" i="17"/>
  <c r="Y19" i="17"/>
  <c r="AC19" i="17"/>
  <c r="AE19" i="17"/>
  <c r="AH19" i="17"/>
  <c r="AJ19" i="17"/>
  <c r="Z20" i="17"/>
  <c r="AA20" i="17"/>
  <c r="AB20" i="17"/>
  <c r="AC20" i="17"/>
  <c r="AE20" i="17"/>
  <c r="AH20" i="17"/>
  <c r="AJ20" i="17"/>
  <c r="AE21" i="17"/>
  <c r="AJ21" i="17"/>
  <c r="AE22" i="17"/>
  <c r="AJ22" i="17"/>
  <c r="AE23" i="17"/>
  <c r="AJ23" i="17"/>
  <c r="Z24" i="17"/>
  <c r="AA24" i="17"/>
  <c r="AB24" i="17"/>
  <c r="AC24" i="17"/>
  <c r="AE24" i="17"/>
  <c r="AH24" i="17"/>
  <c r="AJ24" i="17"/>
  <c r="W5" i="17"/>
  <c r="O47" i="7"/>
  <c r="M47" i="7"/>
  <c r="L47" i="7"/>
  <c r="J47" i="7"/>
  <c r="H47" i="7"/>
  <c r="O45" i="7"/>
  <c r="M45" i="7"/>
  <c r="L45" i="7"/>
  <c r="J45" i="7"/>
  <c r="H45" i="7"/>
  <c r="R214" i="15"/>
  <c r="R211" i="15"/>
  <c r="R208" i="15"/>
  <c r="R205" i="15"/>
  <c r="R202" i="15"/>
  <c r="R199" i="15"/>
  <c r="R196" i="15"/>
  <c r="R193" i="15"/>
  <c r="R190" i="15"/>
  <c r="O33" i="7"/>
  <c r="M33" i="7"/>
  <c r="L33" i="7"/>
  <c r="J33" i="7"/>
  <c r="R187" i="15"/>
  <c r="H33" i="7"/>
  <c r="R184" i="15"/>
  <c r="O31" i="7"/>
  <c r="M31" i="7"/>
  <c r="L31" i="7"/>
  <c r="J31" i="7"/>
  <c r="R181" i="15"/>
  <c r="H31" i="7"/>
  <c r="O30" i="7"/>
  <c r="M30" i="7"/>
  <c r="L30" i="7"/>
  <c r="J30" i="7"/>
  <c r="R178" i="15"/>
  <c r="H30" i="7"/>
  <c r="R175" i="15"/>
  <c r="O28" i="7"/>
  <c r="M28" i="7"/>
  <c r="L28" i="7"/>
  <c r="J28" i="7"/>
  <c r="R172" i="15"/>
  <c r="H28" i="7"/>
  <c r="AE47" i="7"/>
  <c r="AD47" i="7"/>
  <c r="N47" i="7"/>
  <c r="AF46" i="7"/>
  <c r="AE46" i="7"/>
  <c r="AD45" i="7"/>
  <c r="N45" i="7"/>
  <c r="AE42" i="7"/>
  <c r="AH114" i="17"/>
  <c r="C34" i="7"/>
  <c r="AH38" i="17"/>
  <c r="AH160" i="17"/>
  <c r="AH183" i="17"/>
  <c r="AH137" i="17"/>
  <c r="T34" i="7"/>
  <c r="U34" i="7"/>
  <c r="AH116" i="17"/>
  <c r="C36" i="7"/>
  <c r="AH40" i="17"/>
  <c r="AH185" i="17"/>
  <c r="AH118" i="17"/>
  <c r="C38" i="7"/>
  <c r="AH42" i="17"/>
  <c r="AH187" i="17"/>
  <c r="AH119" i="17"/>
  <c r="C39" i="7"/>
  <c r="U39" i="7"/>
  <c r="C40" i="7"/>
  <c r="U40" i="7"/>
  <c r="U42" i="7"/>
  <c r="C43" i="7"/>
  <c r="U43" i="7"/>
  <c r="C44" i="7"/>
  <c r="U44" i="7"/>
  <c r="C46" i="7"/>
  <c r="U46" i="7"/>
  <c r="U47" i="7"/>
  <c r="X32" i="7"/>
  <c r="Y32" i="7"/>
  <c r="Y61" i="17"/>
  <c r="Y84" i="17"/>
  <c r="Y38" i="17"/>
  <c r="Z61" i="17"/>
  <c r="Z84" i="17"/>
  <c r="Z38" i="17"/>
  <c r="AA61" i="17"/>
  <c r="AA84" i="17"/>
  <c r="AA38" i="17"/>
  <c r="AB61" i="17"/>
  <c r="AB84" i="17"/>
  <c r="AB38" i="17"/>
  <c r="AC38" i="17"/>
  <c r="Y160" i="17"/>
  <c r="Y183" i="17"/>
  <c r="Y137" i="17"/>
  <c r="Z160" i="17"/>
  <c r="Z183" i="17"/>
  <c r="Z137" i="17"/>
  <c r="AA160" i="17"/>
  <c r="AA183" i="17"/>
  <c r="AA137" i="17"/>
  <c r="AB160" i="17"/>
  <c r="AB183" i="17"/>
  <c r="AB137" i="17"/>
  <c r="AC137" i="17"/>
  <c r="X34" i="7"/>
  <c r="Y34" i="7"/>
  <c r="Y63" i="17"/>
  <c r="Y86" i="17"/>
  <c r="Y40" i="17"/>
  <c r="Z63" i="17"/>
  <c r="Z86" i="17"/>
  <c r="Z40" i="17"/>
  <c r="AA63" i="17"/>
  <c r="AA86" i="17"/>
  <c r="AA40" i="17"/>
  <c r="AB63" i="17"/>
  <c r="AB86" i="17"/>
  <c r="AB40" i="17"/>
  <c r="AC40" i="17"/>
  <c r="Y162" i="17"/>
  <c r="Y185" i="17"/>
  <c r="Y139" i="17"/>
  <c r="Z162" i="17"/>
  <c r="Z185" i="17"/>
  <c r="Z139" i="17"/>
  <c r="AA162" i="17"/>
  <c r="AA185" i="17"/>
  <c r="AA139" i="17"/>
  <c r="AB162" i="17"/>
  <c r="AB185" i="17"/>
  <c r="AB139" i="17"/>
  <c r="AC139" i="17"/>
  <c r="X36" i="7"/>
  <c r="Y36" i="7"/>
  <c r="E38" i="7"/>
  <c r="Y65" i="17"/>
  <c r="Y88" i="17"/>
  <c r="Y42" i="17"/>
  <c r="Z65" i="17"/>
  <c r="Z88" i="17"/>
  <c r="Z42" i="17"/>
  <c r="AA65" i="17"/>
  <c r="AA88" i="17"/>
  <c r="AA42" i="17"/>
  <c r="AB65" i="17"/>
  <c r="AB88" i="17"/>
  <c r="AB42" i="17"/>
  <c r="AC42" i="17"/>
  <c r="Y164" i="17"/>
  <c r="Y187" i="17"/>
  <c r="Y141" i="17"/>
  <c r="Z164" i="17"/>
  <c r="Z187" i="17"/>
  <c r="Z141" i="17"/>
  <c r="AA164" i="17"/>
  <c r="AA187" i="17"/>
  <c r="AA141" i="17"/>
  <c r="AB164" i="17"/>
  <c r="AB187" i="17"/>
  <c r="AB141" i="17"/>
  <c r="AC141" i="17"/>
  <c r="X38" i="7"/>
  <c r="Y38" i="7"/>
  <c r="Y119" i="17"/>
  <c r="Z119" i="17"/>
  <c r="AA119" i="17"/>
  <c r="AB119" i="17"/>
  <c r="AC119" i="17"/>
  <c r="E39" i="7"/>
  <c r="Y66" i="17"/>
  <c r="Y89" i="17"/>
  <c r="Y43" i="17"/>
  <c r="Z66" i="17"/>
  <c r="Z89" i="17"/>
  <c r="Z43" i="17"/>
  <c r="AA66" i="17"/>
  <c r="AA89" i="17"/>
  <c r="AA43" i="17"/>
  <c r="AB66" i="17"/>
  <c r="AB89" i="17"/>
  <c r="AB43" i="17"/>
  <c r="AC43" i="17"/>
  <c r="Y165" i="17"/>
  <c r="Y188" i="17"/>
  <c r="Y142" i="17"/>
  <c r="Z165" i="17"/>
  <c r="Z188" i="17"/>
  <c r="Z142" i="17"/>
  <c r="AA165" i="17"/>
  <c r="AA188" i="17"/>
  <c r="AA142" i="17"/>
  <c r="AB165" i="17"/>
  <c r="AB188" i="17"/>
  <c r="AB142" i="17"/>
  <c r="AC142" i="17"/>
  <c r="X39" i="7"/>
  <c r="Y39" i="7"/>
  <c r="E40" i="7"/>
  <c r="Y67" i="17"/>
  <c r="Y90" i="17"/>
  <c r="Y44" i="17"/>
  <c r="Z67" i="17"/>
  <c r="Z90" i="17"/>
  <c r="Z44" i="17"/>
  <c r="AA67" i="17"/>
  <c r="AA90" i="17"/>
  <c r="AA44" i="17"/>
  <c r="AB67" i="17"/>
  <c r="AB90" i="17"/>
  <c r="AB44" i="17"/>
  <c r="AC44" i="17"/>
  <c r="Y166" i="17"/>
  <c r="Y189" i="17"/>
  <c r="Y143" i="17"/>
  <c r="Z166" i="17"/>
  <c r="Z189" i="17"/>
  <c r="Z143" i="17"/>
  <c r="AA166" i="17"/>
  <c r="AA189" i="17"/>
  <c r="AA143" i="17"/>
  <c r="AB166" i="17"/>
  <c r="AB189" i="17"/>
  <c r="AB143" i="17"/>
  <c r="AC143" i="17"/>
  <c r="X40" i="7"/>
  <c r="Y40" i="7"/>
  <c r="Y41" i="7"/>
  <c r="Y42" i="7"/>
  <c r="E43" i="7"/>
  <c r="Y43" i="7"/>
  <c r="E44" i="7"/>
  <c r="Y44" i="7"/>
  <c r="E45" i="7"/>
  <c r="Y45" i="7"/>
  <c r="E47" i="7"/>
  <c r="Y47" i="7"/>
  <c r="Y48" i="7"/>
  <c r="AF37" i="7"/>
  <c r="D34" i="7"/>
  <c r="W61" i="17"/>
  <c r="W84" i="17"/>
  <c r="W38" i="17"/>
  <c r="W160" i="17"/>
  <c r="W183" i="17"/>
  <c r="W137" i="17"/>
  <c r="V34" i="7"/>
  <c r="W34" i="7"/>
  <c r="D36" i="7"/>
  <c r="W63" i="17"/>
  <c r="W86" i="17"/>
  <c r="W40" i="17"/>
  <c r="W162" i="17"/>
  <c r="W185" i="17"/>
  <c r="W139" i="17"/>
  <c r="V36" i="7"/>
  <c r="W36" i="7"/>
  <c r="D38" i="7"/>
  <c r="W65" i="17"/>
  <c r="W88" i="17"/>
  <c r="W42" i="17"/>
  <c r="W164" i="17"/>
  <c r="W187" i="17"/>
  <c r="W141" i="17"/>
  <c r="V38" i="7"/>
  <c r="W38" i="7"/>
  <c r="W119" i="17"/>
  <c r="D39" i="7"/>
  <c r="W39" i="7"/>
  <c r="W120" i="17"/>
  <c r="D40" i="7"/>
  <c r="W40" i="7"/>
  <c r="W41" i="7"/>
  <c r="W42" i="7"/>
  <c r="D43" i="7"/>
  <c r="W43" i="7"/>
  <c r="D44" i="7"/>
  <c r="W44" i="7"/>
  <c r="D45" i="7"/>
  <c r="W45" i="7"/>
  <c r="W46" i="7"/>
  <c r="W48" i="7"/>
  <c r="AE37" i="7"/>
  <c r="AH155" i="17"/>
  <c r="AH132" i="17"/>
  <c r="T29" i="7"/>
  <c r="U29" i="7"/>
  <c r="T32" i="7"/>
  <c r="U32" i="7"/>
  <c r="AH161" i="17"/>
  <c r="AH138" i="17"/>
  <c r="T35" i="7"/>
  <c r="U35" i="7"/>
  <c r="AH162" i="17"/>
  <c r="AH139" i="17"/>
  <c r="T36" i="7"/>
  <c r="U36" i="7"/>
  <c r="AH164" i="17"/>
  <c r="AH141" i="17"/>
  <c r="T38" i="7"/>
  <c r="U38" i="7"/>
  <c r="AH167" i="17"/>
  <c r="AH144" i="17"/>
  <c r="T41" i="7"/>
  <c r="U41" i="7"/>
  <c r="U48" i="7"/>
  <c r="AD37" i="7"/>
  <c r="AF36" i="7"/>
  <c r="AF35" i="7"/>
  <c r="AE35" i="7"/>
  <c r="AF34" i="7"/>
  <c r="AF33" i="7"/>
  <c r="AE33" i="7"/>
  <c r="AD33" i="7"/>
  <c r="N33" i="7"/>
  <c r="AF32" i="7"/>
  <c r="AE32" i="7"/>
  <c r="AF31" i="7"/>
  <c r="AE31" i="7"/>
  <c r="AD31" i="7"/>
  <c r="N31" i="7"/>
  <c r="AF30" i="7"/>
  <c r="AE30" i="7"/>
  <c r="AD30" i="7"/>
  <c r="N30" i="7"/>
  <c r="AF29" i="7"/>
  <c r="AE29" i="7"/>
  <c r="AF28" i="7"/>
  <c r="AE28" i="7"/>
  <c r="AD28" i="7"/>
  <c r="N28" i="7"/>
  <c r="L9" i="17"/>
  <c r="Q9" i="17"/>
  <c r="L10" i="17"/>
  <c r="Q10" i="17"/>
  <c r="L11" i="17"/>
  <c r="Q11" i="17"/>
  <c r="L12" i="17"/>
  <c r="Q12" i="17"/>
  <c r="L13" i="17"/>
  <c r="Q13" i="17"/>
  <c r="L14" i="17"/>
  <c r="Q14" i="17"/>
  <c r="L15" i="17"/>
  <c r="Q15" i="17"/>
  <c r="L16" i="17"/>
  <c r="Q16" i="17"/>
  <c r="L17" i="17"/>
  <c r="Q17" i="17"/>
  <c r="L18" i="17"/>
  <c r="Q18" i="17"/>
  <c r="L19" i="17"/>
  <c r="Q19" i="17"/>
  <c r="L20" i="17"/>
  <c r="Q20" i="17"/>
  <c r="L21" i="17"/>
  <c r="Q21" i="17"/>
  <c r="L22" i="17"/>
  <c r="Q22" i="17"/>
  <c r="L23" i="17"/>
  <c r="Q23" i="17"/>
  <c r="L24" i="17"/>
  <c r="Q24" i="17"/>
  <c r="D5" i="17"/>
  <c r="O25" i="7"/>
  <c r="M25" i="7"/>
  <c r="L25" i="7"/>
  <c r="J25" i="7"/>
  <c r="B229" i="15"/>
  <c r="H25" i="7"/>
  <c r="O24" i="7"/>
  <c r="M24" i="7"/>
  <c r="L24" i="7"/>
  <c r="J24" i="7"/>
  <c r="B226" i="15"/>
  <c r="H24" i="7"/>
  <c r="O23" i="7"/>
  <c r="M23" i="7"/>
  <c r="L23" i="7"/>
  <c r="J23" i="7"/>
  <c r="B223" i="15"/>
  <c r="H23" i="7"/>
  <c r="O22" i="7"/>
  <c r="M22" i="7"/>
  <c r="L22" i="7"/>
  <c r="J22" i="7"/>
  <c r="B220" i="15"/>
  <c r="H22" i="7"/>
  <c r="O21" i="7"/>
  <c r="M21" i="7"/>
  <c r="L21" i="7"/>
  <c r="J21" i="7"/>
  <c r="B217" i="15"/>
  <c r="H21" i="7"/>
  <c r="B214" i="15"/>
  <c r="O19" i="7"/>
  <c r="M19" i="7"/>
  <c r="L19" i="7"/>
  <c r="J19" i="7"/>
  <c r="B211" i="15"/>
  <c r="H19" i="7"/>
  <c r="B208" i="15"/>
  <c r="O17" i="7"/>
  <c r="M17" i="7"/>
  <c r="L17" i="7"/>
  <c r="J17" i="7"/>
  <c r="B205" i="15"/>
  <c r="H17" i="7"/>
  <c r="B202" i="15"/>
  <c r="O15" i="7"/>
  <c r="M15" i="7"/>
  <c r="L15" i="7"/>
  <c r="J15" i="7"/>
  <c r="B199" i="15"/>
  <c r="H15" i="7"/>
  <c r="B196" i="15"/>
  <c r="B193" i="15"/>
  <c r="B190" i="15"/>
  <c r="O11" i="7"/>
  <c r="M11" i="7"/>
  <c r="L11" i="7"/>
  <c r="J11" i="7"/>
  <c r="B187" i="15"/>
  <c r="H11" i="7"/>
  <c r="B184" i="15"/>
  <c r="B181" i="15"/>
  <c r="B178" i="15"/>
  <c r="B175" i="15"/>
  <c r="B172" i="15"/>
  <c r="AF25" i="7"/>
  <c r="AE25" i="7"/>
  <c r="AD25" i="7"/>
  <c r="N25" i="7"/>
  <c r="AF24" i="7"/>
  <c r="AE24" i="7"/>
  <c r="AD24" i="7"/>
  <c r="N24" i="7"/>
  <c r="AF23" i="7"/>
  <c r="AE23" i="7"/>
  <c r="AD23" i="7"/>
  <c r="N23" i="7"/>
  <c r="AF22" i="7"/>
  <c r="AE22" i="7"/>
  <c r="AD22" i="7"/>
  <c r="N22" i="7"/>
  <c r="AF21" i="7"/>
  <c r="AE21" i="7"/>
  <c r="AD21" i="7"/>
  <c r="N21" i="7"/>
  <c r="AF20" i="7"/>
  <c r="F63" i="17"/>
  <c r="F86" i="17"/>
  <c r="F40" i="17"/>
  <c r="G63" i="17"/>
  <c r="G86" i="17"/>
  <c r="G40" i="17"/>
  <c r="H63" i="17"/>
  <c r="H86" i="17"/>
  <c r="H40" i="17"/>
  <c r="I63" i="17"/>
  <c r="I86" i="17"/>
  <c r="I40" i="17"/>
  <c r="J40" i="17"/>
  <c r="F162" i="17"/>
  <c r="F185" i="17"/>
  <c r="F139" i="17"/>
  <c r="G162" i="17"/>
  <c r="G185" i="17"/>
  <c r="G139" i="17"/>
  <c r="H162" i="17"/>
  <c r="H185" i="17"/>
  <c r="H139" i="17"/>
  <c r="I162" i="17"/>
  <c r="I185" i="17"/>
  <c r="I139" i="17"/>
  <c r="J139" i="17"/>
  <c r="X14" i="7"/>
  <c r="Y14" i="7"/>
  <c r="Y16" i="7"/>
  <c r="Y18" i="7"/>
  <c r="Y24" i="7"/>
  <c r="Y26" i="7"/>
  <c r="AF19" i="7"/>
  <c r="D177" i="17"/>
  <c r="D131" i="17"/>
  <c r="V6" i="7"/>
  <c r="W6" i="7"/>
  <c r="W8" i="7"/>
  <c r="W10" i="7"/>
  <c r="W12" i="7"/>
  <c r="W14" i="7"/>
  <c r="D16" i="7"/>
  <c r="W16" i="7"/>
  <c r="W17" i="7"/>
  <c r="D67" i="17"/>
  <c r="D90" i="17"/>
  <c r="D44" i="17"/>
  <c r="D166" i="17"/>
  <c r="D189" i="17"/>
  <c r="D143" i="17"/>
  <c r="V18" i="7"/>
  <c r="W18" i="7"/>
  <c r="D20" i="7"/>
  <c r="W20" i="7"/>
  <c r="W21" i="7"/>
  <c r="W22" i="7"/>
  <c r="W26" i="7"/>
  <c r="AE19" i="7"/>
  <c r="AD19" i="7"/>
  <c r="N19" i="7"/>
  <c r="AF18" i="7"/>
  <c r="AF17" i="7"/>
  <c r="AE17" i="7"/>
  <c r="AD17" i="7"/>
  <c r="N17" i="7"/>
  <c r="AF16" i="7"/>
  <c r="AF15" i="7"/>
  <c r="AE15" i="7"/>
  <c r="AD15" i="7"/>
  <c r="N15" i="7"/>
  <c r="AF14" i="7"/>
  <c r="AF13" i="7"/>
  <c r="AE13" i="7"/>
  <c r="AF12" i="7"/>
  <c r="AF11" i="7"/>
  <c r="AE11" i="7"/>
  <c r="AD11" i="7"/>
  <c r="N11" i="7"/>
  <c r="AF10" i="7"/>
  <c r="AF9" i="7"/>
  <c r="AE9" i="7"/>
  <c r="AF8" i="7"/>
  <c r="AF7" i="7"/>
  <c r="AE7" i="7"/>
  <c r="AF6" i="7"/>
  <c r="AJ95" i="34"/>
  <c r="V52" i="33"/>
  <c r="S52" i="33"/>
  <c r="R52" i="33"/>
  <c r="Q52" i="33"/>
  <c r="P52" i="33"/>
  <c r="O52" i="33"/>
  <c r="N52" i="33"/>
  <c r="M52" i="33"/>
  <c r="L52" i="33"/>
  <c r="K52" i="33"/>
  <c r="J52" i="33"/>
  <c r="I52" i="33"/>
  <c r="H52" i="33"/>
  <c r="G52" i="33"/>
  <c r="F52" i="33"/>
  <c r="E52" i="33"/>
  <c r="D52" i="33"/>
  <c r="V51" i="33"/>
  <c r="S51" i="33"/>
  <c r="R51" i="33"/>
  <c r="Q51" i="33"/>
  <c r="P51" i="33"/>
  <c r="O51" i="33"/>
  <c r="N51" i="33"/>
  <c r="M51" i="33"/>
  <c r="L51" i="33"/>
  <c r="K51" i="33"/>
  <c r="J51" i="33"/>
  <c r="I51" i="33"/>
  <c r="H51" i="33"/>
  <c r="G51" i="33"/>
  <c r="F51" i="33"/>
  <c r="E51" i="33"/>
  <c r="D51" i="33"/>
  <c r="V50" i="33"/>
  <c r="S50" i="33"/>
  <c r="R50" i="33"/>
  <c r="Q50" i="33"/>
  <c r="P50" i="33"/>
  <c r="O50" i="33"/>
  <c r="N50" i="33"/>
  <c r="M50" i="33"/>
  <c r="L50" i="33"/>
  <c r="K50" i="33"/>
  <c r="J50" i="33"/>
  <c r="I50" i="33"/>
  <c r="H50" i="33"/>
  <c r="G50" i="33"/>
  <c r="F50" i="33"/>
  <c r="E50" i="33"/>
  <c r="D50" i="33"/>
  <c r="V49" i="33"/>
  <c r="S49" i="33"/>
  <c r="R49" i="33"/>
  <c r="Q49" i="33"/>
  <c r="P49" i="33"/>
  <c r="O49" i="33"/>
  <c r="N49" i="33"/>
  <c r="M49" i="33"/>
  <c r="L49" i="33"/>
  <c r="K49" i="33"/>
  <c r="J49" i="33"/>
  <c r="I49" i="33"/>
  <c r="H49" i="33"/>
  <c r="G49" i="33"/>
  <c r="F49" i="33"/>
  <c r="E49" i="33"/>
  <c r="D49" i="33"/>
  <c r="AJ87" i="34"/>
  <c r="V48" i="33"/>
  <c r="S48" i="33"/>
  <c r="R48" i="33"/>
  <c r="Q48" i="33"/>
  <c r="P48" i="33"/>
  <c r="O48" i="33"/>
  <c r="N48" i="33"/>
  <c r="M48" i="33"/>
  <c r="L48" i="33"/>
  <c r="K48" i="33"/>
  <c r="J48" i="33"/>
  <c r="I48" i="33"/>
  <c r="H48" i="33"/>
  <c r="G48" i="33"/>
  <c r="F48" i="33"/>
  <c r="E48" i="33"/>
  <c r="D48" i="33"/>
  <c r="Y84" i="34"/>
  <c r="Z84" i="34"/>
  <c r="AA84" i="34"/>
  <c r="AB84" i="34"/>
  <c r="AE84" i="34"/>
  <c r="AI84" i="34"/>
  <c r="X85" i="34"/>
  <c r="Y85" i="34"/>
  <c r="AB85" i="34"/>
  <c r="AF85" i="34"/>
  <c r="AH85" i="34"/>
  <c r="AJ85" i="34"/>
  <c r="V47" i="33"/>
  <c r="S47" i="33"/>
  <c r="R47" i="33"/>
  <c r="Q47" i="33"/>
  <c r="P47" i="33"/>
  <c r="O47" i="33"/>
  <c r="N47" i="33"/>
  <c r="M47" i="33"/>
  <c r="L47" i="33"/>
  <c r="K47" i="33"/>
  <c r="J47" i="33"/>
  <c r="I47" i="33"/>
  <c r="H47" i="33"/>
  <c r="G47" i="33"/>
  <c r="F47" i="33"/>
  <c r="E47" i="33"/>
  <c r="D47" i="33"/>
  <c r="AJ83" i="34"/>
  <c r="V46" i="33"/>
  <c r="S46" i="33"/>
  <c r="R46" i="33"/>
  <c r="Q46" i="33"/>
  <c r="P46" i="33"/>
  <c r="O46" i="33"/>
  <c r="N46" i="33"/>
  <c r="M46" i="33"/>
  <c r="L46" i="33"/>
  <c r="K46" i="33"/>
  <c r="J46" i="33"/>
  <c r="I46" i="33"/>
  <c r="H46" i="33"/>
  <c r="G46" i="33"/>
  <c r="F46" i="33"/>
  <c r="E46" i="33"/>
  <c r="D46" i="33"/>
  <c r="AJ81" i="34"/>
  <c r="V45" i="33"/>
  <c r="S45" i="33"/>
  <c r="R45" i="33"/>
  <c r="Q45" i="33"/>
  <c r="P45" i="33"/>
  <c r="O45" i="33"/>
  <c r="N45" i="33"/>
  <c r="M45" i="33"/>
  <c r="L45" i="33"/>
  <c r="K45" i="33"/>
  <c r="J45" i="33"/>
  <c r="I45" i="33"/>
  <c r="H45" i="33"/>
  <c r="G45" i="33"/>
  <c r="F45" i="33"/>
  <c r="E45" i="33"/>
  <c r="D45" i="33"/>
  <c r="X78" i="34"/>
  <c r="AB78" i="34"/>
  <c r="AF78" i="34"/>
  <c r="Y79" i="34"/>
  <c r="AC79" i="34"/>
  <c r="AG79" i="34"/>
  <c r="AJ79" i="34"/>
  <c r="V44" i="33"/>
  <c r="S44" i="33"/>
  <c r="R44" i="33"/>
  <c r="Q44" i="33"/>
  <c r="P44" i="33"/>
  <c r="O44" i="33"/>
  <c r="N44" i="33"/>
  <c r="M44" i="33"/>
  <c r="L44" i="33"/>
  <c r="K44" i="33"/>
  <c r="J44" i="33"/>
  <c r="I44" i="33"/>
  <c r="H44" i="33"/>
  <c r="G44" i="33"/>
  <c r="F44" i="33"/>
  <c r="E44" i="33"/>
  <c r="D44" i="33"/>
  <c r="AJ77" i="34"/>
  <c r="V43" i="33"/>
  <c r="S43" i="33"/>
  <c r="R43" i="33"/>
  <c r="Q43" i="33"/>
  <c r="P43" i="33"/>
  <c r="O43" i="33"/>
  <c r="N43" i="33"/>
  <c r="M43" i="33"/>
  <c r="L43" i="33"/>
  <c r="K43" i="33"/>
  <c r="J43" i="33"/>
  <c r="I43" i="33"/>
  <c r="H43" i="33"/>
  <c r="G43" i="33"/>
  <c r="F43" i="33"/>
  <c r="E43" i="33"/>
  <c r="D43" i="33"/>
  <c r="X74" i="34"/>
  <c r="Z74" i="34"/>
  <c r="AA74" i="34"/>
  <c r="AB74" i="34"/>
  <c r="AD74" i="34"/>
  <c r="AE74" i="34"/>
  <c r="AG74" i="34"/>
  <c r="AH74" i="34"/>
  <c r="X75" i="34"/>
  <c r="Y75" i="34"/>
  <c r="Z75" i="34"/>
  <c r="AA75" i="34"/>
  <c r="AB75" i="34"/>
  <c r="AD75" i="34"/>
  <c r="AE75" i="34"/>
  <c r="AI75" i="34"/>
  <c r="AJ75" i="34"/>
  <c r="V42" i="33"/>
  <c r="S42" i="33"/>
  <c r="R42" i="33"/>
  <c r="Q42" i="33"/>
  <c r="P42" i="33"/>
  <c r="O42" i="33"/>
  <c r="N42" i="33"/>
  <c r="M42" i="33"/>
  <c r="L42" i="33"/>
  <c r="K42" i="33"/>
  <c r="J42" i="33"/>
  <c r="I42" i="33"/>
  <c r="H42" i="33"/>
  <c r="G42" i="33"/>
  <c r="F42" i="33"/>
  <c r="E42" i="33"/>
  <c r="D42" i="33"/>
  <c r="X72" i="34"/>
  <c r="Y72" i="34"/>
  <c r="AA72" i="34"/>
  <c r="AC72" i="34"/>
  <c r="AG72" i="34"/>
  <c r="X73" i="34"/>
  <c r="Z73" i="34"/>
  <c r="AD73" i="34"/>
  <c r="AH73" i="34"/>
  <c r="AI73" i="34"/>
  <c r="AJ73" i="34"/>
  <c r="V41" i="33"/>
  <c r="S41" i="33"/>
  <c r="R41" i="33"/>
  <c r="Q41" i="33"/>
  <c r="P41" i="33"/>
  <c r="O41" i="33"/>
  <c r="N41" i="33"/>
  <c r="M41" i="33"/>
  <c r="L41" i="33"/>
  <c r="K41" i="33"/>
  <c r="J41" i="33"/>
  <c r="I41" i="33"/>
  <c r="H41" i="33"/>
  <c r="G41" i="33"/>
  <c r="F41" i="33"/>
  <c r="E41" i="33"/>
  <c r="D41" i="33"/>
  <c r="X70" i="34"/>
  <c r="AB70" i="34"/>
  <c r="AC70" i="34"/>
  <c r="AD70" i="34"/>
  <c r="AF70" i="34"/>
  <c r="AG70" i="34"/>
  <c r="AH70" i="34"/>
  <c r="AI70" i="34"/>
  <c r="Y71" i="34"/>
  <c r="Z71" i="34"/>
  <c r="AA71" i="34"/>
  <c r="AC71" i="34"/>
  <c r="AE71" i="34"/>
  <c r="AF71" i="34"/>
  <c r="AG71" i="34"/>
  <c r="AJ71" i="34"/>
  <c r="V40" i="33"/>
  <c r="S40" i="33"/>
  <c r="R40" i="33"/>
  <c r="Q40" i="33"/>
  <c r="P40" i="33"/>
  <c r="O40" i="33"/>
  <c r="N40" i="33"/>
  <c r="M40" i="33"/>
  <c r="L40" i="33"/>
  <c r="K40" i="33"/>
  <c r="J40" i="33"/>
  <c r="I40" i="33"/>
  <c r="H40" i="33"/>
  <c r="G40" i="33"/>
  <c r="F40" i="33"/>
  <c r="E40" i="33"/>
  <c r="D40" i="33"/>
  <c r="AJ69" i="34"/>
  <c r="V39" i="33"/>
  <c r="S39" i="33"/>
  <c r="R39" i="33"/>
  <c r="Q39" i="33"/>
  <c r="P39" i="33"/>
  <c r="O39" i="33"/>
  <c r="N39" i="33"/>
  <c r="M39" i="33"/>
  <c r="L39" i="33"/>
  <c r="K39" i="33"/>
  <c r="J39" i="33"/>
  <c r="I39" i="33"/>
  <c r="H39" i="33"/>
  <c r="G39" i="33"/>
  <c r="F39" i="33"/>
  <c r="E39" i="33"/>
  <c r="D39" i="33"/>
  <c r="AJ67" i="34"/>
  <c r="V38" i="33"/>
  <c r="S38" i="33"/>
  <c r="R38" i="33"/>
  <c r="Q38" i="33"/>
  <c r="P38" i="33"/>
  <c r="O38" i="33"/>
  <c r="N38" i="33"/>
  <c r="M38" i="33"/>
  <c r="L38" i="33"/>
  <c r="K38" i="33"/>
  <c r="J38" i="33"/>
  <c r="I38" i="33"/>
  <c r="H38" i="33"/>
  <c r="G38" i="33"/>
  <c r="F38" i="33"/>
  <c r="E38" i="33"/>
  <c r="D38" i="33"/>
  <c r="AJ65" i="34"/>
  <c r="V37" i="33"/>
  <c r="S37" i="33"/>
  <c r="R37" i="33"/>
  <c r="Q37" i="33"/>
  <c r="P37" i="33"/>
  <c r="O37" i="33"/>
  <c r="N37" i="33"/>
  <c r="M37" i="33"/>
  <c r="L37" i="33"/>
  <c r="K37" i="33"/>
  <c r="J37" i="33"/>
  <c r="I37" i="33"/>
  <c r="H37" i="33"/>
  <c r="G37" i="33"/>
  <c r="F37" i="33"/>
  <c r="E37" i="33"/>
  <c r="D37" i="33"/>
  <c r="X62" i="34"/>
  <c r="Y62" i="34"/>
  <c r="Z62" i="34"/>
  <c r="AB62" i="34"/>
  <c r="AC62" i="34"/>
  <c r="AD62" i="34"/>
  <c r="AE62" i="34"/>
  <c r="AF62" i="34"/>
  <c r="AG62" i="34"/>
  <c r="AH62" i="34"/>
  <c r="AI62" i="34"/>
  <c r="Y63" i="34"/>
  <c r="Z63" i="34"/>
  <c r="AA63" i="34"/>
  <c r="AB63" i="34"/>
  <c r="AC63" i="34"/>
  <c r="AE63" i="34"/>
  <c r="AF63" i="34"/>
  <c r="AG63" i="34"/>
  <c r="AH63" i="34"/>
  <c r="AJ63" i="34"/>
  <c r="V36" i="33"/>
  <c r="S36" i="33"/>
  <c r="R36" i="33"/>
  <c r="Q36" i="33"/>
  <c r="P36" i="33"/>
  <c r="O36" i="33"/>
  <c r="N36" i="33"/>
  <c r="M36" i="33"/>
  <c r="L36" i="33"/>
  <c r="K36" i="33"/>
  <c r="J36" i="33"/>
  <c r="I36" i="33"/>
  <c r="H36" i="33"/>
  <c r="G36" i="33"/>
  <c r="F36" i="33"/>
  <c r="E36" i="33"/>
  <c r="D36" i="33"/>
  <c r="AJ61" i="34"/>
  <c r="V35" i="33"/>
  <c r="S35" i="33"/>
  <c r="R35" i="33"/>
  <c r="Q35" i="33"/>
  <c r="P35" i="33"/>
  <c r="O35" i="33"/>
  <c r="N35" i="33"/>
  <c r="M35" i="33"/>
  <c r="L35" i="33"/>
  <c r="K35" i="33"/>
  <c r="J35" i="33"/>
  <c r="I35" i="33"/>
  <c r="H35" i="33"/>
  <c r="G35" i="33"/>
  <c r="F35" i="33"/>
  <c r="E35" i="33"/>
  <c r="D35" i="33"/>
  <c r="Y58" i="34"/>
  <c r="Z58" i="34"/>
  <c r="AD58" i="34"/>
  <c r="AE58" i="34"/>
  <c r="AH58" i="34"/>
  <c r="AA59" i="34"/>
  <c r="AB59" i="34"/>
  <c r="AE59" i="34"/>
  <c r="AG59" i="34"/>
  <c r="AH59" i="34"/>
  <c r="AI59" i="34"/>
  <c r="AJ59" i="34"/>
  <c r="V34" i="33"/>
  <c r="S34" i="33"/>
  <c r="R34" i="33"/>
  <c r="Q34" i="33"/>
  <c r="P34" i="33"/>
  <c r="O34" i="33"/>
  <c r="N34" i="33"/>
  <c r="M34" i="33"/>
  <c r="L34" i="33"/>
  <c r="K34" i="33"/>
  <c r="J34" i="33"/>
  <c r="I34" i="33"/>
  <c r="H34" i="33"/>
  <c r="G34" i="33"/>
  <c r="F34" i="33"/>
  <c r="E34" i="33"/>
  <c r="D34" i="33"/>
  <c r="Y56" i="34"/>
  <c r="AC56" i="34"/>
  <c r="AG56" i="34"/>
  <c r="Z57" i="34"/>
  <c r="AD57" i="34"/>
  <c r="AH57" i="34"/>
  <c r="AJ57" i="34"/>
  <c r="V33" i="33"/>
  <c r="S33" i="33"/>
  <c r="R33" i="33"/>
  <c r="Q33" i="33"/>
  <c r="P33" i="33"/>
  <c r="O33" i="33"/>
  <c r="N33" i="33"/>
  <c r="M33" i="33"/>
  <c r="L33" i="33"/>
  <c r="K33" i="33"/>
  <c r="J33" i="33"/>
  <c r="I33" i="33"/>
  <c r="H33" i="33"/>
  <c r="G33" i="33"/>
  <c r="F33" i="33"/>
  <c r="E33" i="33"/>
  <c r="D33" i="33"/>
  <c r="AJ42" i="34"/>
  <c r="V23" i="33"/>
  <c r="S23" i="33"/>
  <c r="R23" i="33"/>
  <c r="Q23" i="33"/>
  <c r="P23" i="33"/>
  <c r="O23" i="33"/>
  <c r="N23" i="33"/>
  <c r="M23" i="33"/>
  <c r="L23" i="33"/>
  <c r="K23" i="33"/>
  <c r="J23" i="33"/>
  <c r="I23" i="33"/>
  <c r="H23" i="33"/>
  <c r="G23" i="33"/>
  <c r="F23" i="33"/>
  <c r="E23" i="33"/>
  <c r="D23" i="33"/>
  <c r="V22" i="33"/>
  <c r="S22" i="33"/>
  <c r="R22" i="33"/>
  <c r="Q22" i="33"/>
  <c r="P22" i="33"/>
  <c r="O22" i="33"/>
  <c r="N22" i="33"/>
  <c r="M22" i="33"/>
  <c r="L22" i="33"/>
  <c r="K22" i="33"/>
  <c r="J22" i="33"/>
  <c r="I22" i="33"/>
  <c r="H22" i="33"/>
  <c r="G22" i="33"/>
  <c r="F22" i="33"/>
  <c r="E22" i="33"/>
  <c r="D22" i="33"/>
  <c r="AJ38" i="34"/>
  <c r="V21" i="33"/>
  <c r="S21" i="33"/>
  <c r="R21" i="33"/>
  <c r="Q21" i="33"/>
  <c r="P21" i="33"/>
  <c r="O21" i="33"/>
  <c r="N21" i="33"/>
  <c r="M21" i="33"/>
  <c r="L21" i="33"/>
  <c r="K21" i="33"/>
  <c r="J21" i="33"/>
  <c r="I21" i="33"/>
  <c r="H21" i="33"/>
  <c r="G21" i="33"/>
  <c r="F21" i="33"/>
  <c r="E21" i="33"/>
  <c r="D21" i="33"/>
  <c r="V20" i="33"/>
  <c r="S20" i="33"/>
  <c r="R20" i="33"/>
  <c r="Q20" i="33"/>
  <c r="P20" i="33"/>
  <c r="O20" i="33"/>
  <c r="N20" i="33"/>
  <c r="M20" i="33"/>
  <c r="L20" i="33"/>
  <c r="K20" i="33"/>
  <c r="J20" i="33"/>
  <c r="I20" i="33"/>
  <c r="H20" i="33"/>
  <c r="G20" i="33"/>
  <c r="F20" i="33"/>
  <c r="E20" i="33"/>
  <c r="D20" i="33"/>
  <c r="AJ34" i="34"/>
  <c r="V19" i="33"/>
  <c r="S19" i="33"/>
  <c r="R19" i="33"/>
  <c r="Q19" i="33"/>
  <c r="P19" i="33"/>
  <c r="O19" i="33"/>
  <c r="N19" i="33"/>
  <c r="M19" i="33"/>
  <c r="L19" i="33"/>
  <c r="K19" i="33"/>
  <c r="J19" i="33"/>
  <c r="I19" i="33"/>
  <c r="H19" i="33"/>
  <c r="G19" i="33"/>
  <c r="F19" i="33"/>
  <c r="E19" i="33"/>
  <c r="D19" i="33"/>
  <c r="AB31" i="34"/>
  <c r="Y32" i="34"/>
  <c r="AC32" i="34"/>
  <c r="AJ32" i="34"/>
  <c r="V18" i="33"/>
  <c r="S18" i="33"/>
  <c r="R18" i="33"/>
  <c r="Q18" i="33"/>
  <c r="P18" i="33"/>
  <c r="O18" i="33"/>
  <c r="N18" i="33"/>
  <c r="M18" i="33"/>
  <c r="L18" i="33"/>
  <c r="K18" i="33"/>
  <c r="J18" i="33"/>
  <c r="I18" i="33"/>
  <c r="H18" i="33"/>
  <c r="G18" i="33"/>
  <c r="F18" i="33"/>
  <c r="E18" i="33"/>
  <c r="D18" i="33"/>
  <c r="AJ30" i="34"/>
  <c r="V17" i="33"/>
  <c r="S17" i="33"/>
  <c r="R17" i="33"/>
  <c r="Q17" i="33"/>
  <c r="P17" i="33"/>
  <c r="O17" i="33"/>
  <c r="N17" i="33"/>
  <c r="M17" i="33"/>
  <c r="L17" i="33"/>
  <c r="K17" i="33"/>
  <c r="J17" i="33"/>
  <c r="I17" i="33"/>
  <c r="H17" i="33"/>
  <c r="G17" i="33"/>
  <c r="F17" i="33"/>
  <c r="E17" i="33"/>
  <c r="D17" i="33"/>
  <c r="Z27" i="34"/>
  <c r="AD27" i="34"/>
  <c r="AA28" i="34"/>
  <c r="AE28" i="34"/>
  <c r="AJ28" i="34"/>
  <c r="V16" i="33"/>
  <c r="S16" i="33"/>
  <c r="R16" i="33"/>
  <c r="Q16" i="33"/>
  <c r="P16" i="33"/>
  <c r="O16" i="33"/>
  <c r="N16" i="33"/>
  <c r="M16" i="33"/>
  <c r="L16" i="33"/>
  <c r="K16" i="33"/>
  <c r="J16" i="33"/>
  <c r="I16" i="33"/>
  <c r="H16" i="33"/>
  <c r="G16" i="33"/>
  <c r="F16" i="33"/>
  <c r="E16" i="33"/>
  <c r="D16" i="33"/>
  <c r="AJ26" i="34"/>
  <c r="V15" i="33"/>
  <c r="S15" i="33"/>
  <c r="R15" i="33"/>
  <c r="Q15" i="33"/>
  <c r="P15" i="33"/>
  <c r="O15" i="33"/>
  <c r="N15" i="33"/>
  <c r="M15" i="33"/>
  <c r="L15" i="33"/>
  <c r="K15" i="33"/>
  <c r="J15" i="33"/>
  <c r="I15" i="33"/>
  <c r="H15" i="33"/>
  <c r="G15" i="33"/>
  <c r="F15" i="33"/>
  <c r="E15" i="33"/>
  <c r="D15" i="33"/>
  <c r="AB23" i="34"/>
  <c r="AF23" i="34"/>
  <c r="Y24" i="34"/>
  <c r="AC24" i="34"/>
  <c r="AJ24" i="34"/>
  <c r="V14" i="33"/>
  <c r="S14" i="33"/>
  <c r="R14" i="33"/>
  <c r="Q14" i="33"/>
  <c r="P14" i="33"/>
  <c r="O14" i="33"/>
  <c r="N14" i="33"/>
  <c r="M14" i="33"/>
  <c r="L14" i="33"/>
  <c r="K14" i="33"/>
  <c r="J14" i="33"/>
  <c r="I14" i="33"/>
  <c r="H14" i="33"/>
  <c r="G14" i="33"/>
  <c r="F14" i="33"/>
  <c r="E14" i="33"/>
  <c r="D14" i="33"/>
  <c r="AJ22" i="34"/>
  <c r="V13" i="33"/>
  <c r="S13" i="33"/>
  <c r="R13" i="33"/>
  <c r="Q13" i="33"/>
  <c r="P13" i="33"/>
  <c r="O13" i="33"/>
  <c r="N13" i="33"/>
  <c r="M13" i="33"/>
  <c r="L13" i="33"/>
  <c r="K13" i="33"/>
  <c r="J13" i="33"/>
  <c r="I13" i="33"/>
  <c r="H13" i="33"/>
  <c r="G13" i="33"/>
  <c r="F13" i="33"/>
  <c r="E13" i="33"/>
  <c r="D13" i="33"/>
  <c r="Z19" i="34"/>
  <c r="AD19" i="34"/>
  <c r="AA20" i="34"/>
  <c r="AE20" i="34"/>
  <c r="AJ20" i="34"/>
  <c r="V12" i="33"/>
  <c r="S12" i="33"/>
  <c r="R12" i="33"/>
  <c r="Q12" i="33"/>
  <c r="P12" i="33"/>
  <c r="O12" i="33"/>
  <c r="N12" i="33"/>
  <c r="M12" i="33"/>
  <c r="L12" i="33"/>
  <c r="K12" i="33"/>
  <c r="J12" i="33"/>
  <c r="I12" i="33"/>
  <c r="H12" i="33"/>
  <c r="G12" i="33"/>
  <c r="F12" i="33"/>
  <c r="E12" i="33"/>
  <c r="D12" i="33"/>
  <c r="AJ18" i="34"/>
  <c r="V11" i="33"/>
  <c r="S11" i="33"/>
  <c r="R11" i="33"/>
  <c r="Q11" i="33"/>
  <c r="P11" i="33"/>
  <c r="O11" i="33"/>
  <c r="N11" i="33"/>
  <c r="M11" i="33"/>
  <c r="L11" i="33"/>
  <c r="K11" i="33"/>
  <c r="J11" i="33"/>
  <c r="I11" i="33"/>
  <c r="H11" i="33"/>
  <c r="G11" i="33"/>
  <c r="F11" i="33"/>
  <c r="E11" i="33"/>
  <c r="D11" i="33"/>
  <c r="AB15" i="34"/>
  <c r="AF15" i="34"/>
  <c r="Y16" i="34"/>
  <c r="AC16" i="34"/>
  <c r="AJ16" i="34"/>
  <c r="V10" i="33"/>
  <c r="S10" i="33"/>
  <c r="R10" i="33"/>
  <c r="Q10" i="33"/>
  <c r="P10" i="33"/>
  <c r="O10" i="33"/>
  <c r="N10" i="33"/>
  <c r="M10" i="33"/>
  <c r="L10" i="33"/>
  <c r="K10" i="33"/>
  <c r="J10" i="33"/>
  <c r="I10" i="33"/>
  <c r="H10" i="33"/>
  <c r="G10" i="33"/>
  <c r="F10" i="33"/>
  <c r="E10" i="33"/>
  <c r="D10" i="33"/>
  <c r="AJ14" i="34"/>
  <c r="V9" i="33"/>
  <c r="S9" i="33"/>
  <c r="R9" i="33"/>
  <c r="Q9" i="33"/>
  <c r="P9" i="33"/>
  <c r="O9" i="33"/>
  <c r="N9" i="33"/>
  <c r="M9" i="33"/>
  <c r="L9" i="33"/>
  <c r="K9" i="33"/>
  <c r="J9" i="33"/>
  <c r="I9" i="33"/>
  <c r="H9" i="33"/>
  <c r="G9" i="33"/>
  <c r="F9" i="33"/>
  <c r="E9" i="33"/>
  <c r="D9" i="33"/>
  <c r="Z11" i="34"/>
  <c r="AD11" i="34"/>
  <c r="AA12" i="34"/>
  <c r="AE12" i="34"/>
  <c r="AJ12" i="34"/>
  <c r="V8" i="33"/>
  <c r="S8" i="33"/>
  <c r="R8" i="33"/>
  <c r="Q8" i="33"/>
  <c r="P8" i="33"/>
  <c r="O8" i="33"/>
  <c r="N8" i="33"/>
  <c r="M8" i="33"/>
  <c r="L8" i="33"/>
  <c r="K8" i="33"/>
  <c r="J8" i="33"/>
  <c r="I8" i="33"/>
  <c r="H8" i="33"/>
  <c r="G8" i="33"/>
  <c r="F8" i="33"/>
  <c r="E8" i="33"/>
  <c r="D8" i="33"/>
  <c r="AJ10" i="34"/>
  <c r="V7" i="33"/>
  <c r="S7" i="33"/>
  <c r="R7" i="33"/>
  <c r="Q7" i="33"/>
  <c r="P7" i="33"/>
  <c r="O7" i="33"/>
  <c r="N7" i="33"/>
  <c r="M7" i="33"/>
  <c r="L7" i="33"/>
  <c r="K7" i="33"/>
  <c r="J7" i="33"/>
  <c r="I7" i="33"/>
  <c r="H7" i="33"/>
  <c r="G7" i="33"/>
  <c r="F7" i="33"/>
  <c r="E7" i="33"/>
  <c r="D7" i="33"/>
  <c r="AB7" i="34"/>
  <c r="AF7" i="34"/>
  <c r="Y8" i="34"/>
  <c r="AC8" i="34"/>
  <c r="AJ8" i="34"/>
  <c r="V6" i="33"/>
  <c r="S6" i="33"/>
  <c r="R6" i="33"/>
  <c r="Q6" i="33"/>
  <c r="P6" i="33"/>
  <c r="O6" i="33"/>
  <c r="N6" i="33"/>
  <c r="M6" i="33"/>
  <c r="L6" i="33"/>
  <c r="K6" i="33"/>
  <c r="J6" i="33"/>
  <c r="I6" i="33"/>
  <c r="H6" i="33"/>
  <c r="G6" i="33"/>
  <c r="F6" i="33"/>
  <c r="E6" i="33"/>
  <c r="D6" i="33"/>
  <c r="AJ6" i="34"/>
  <c r="V5" i="33"/>
  <c r="S5" i="33"/>
  <c r="R5" i="33"/>
  <c r="Q5" i="33"/>
  <c r="P5" i="33"/>
  <c r="O5" i="33"/>
  <c r="N5" i="33"/>
  <c r="M5" i="33"/>
  <c r="L5" i="33"/>
  <c r="K5" i="33"/>
  <c r="J5" i="33"/>
  <c r="I5" i="33"/>
  <c r="H5" i="33"/>
  <c r="G5" i="33"/>
  <c r="F5" i="33"/>
  <c r="E5" i="33"/>
  <c r="D5" i="33"/>
  <c r="Z3" i="34"/>
  <c r="AD3" i="34"/>
  <c r="AA4" i="34"/>
  <c r="AE4" i="34"/>
  <c r="AJ4" i="34"/>
  <c r="V4" i="33"/>
  <c r="S4" i="33"/>
  <c r="R4" i="33"/>
  <c r="Q4" i="33"/>
  <c r="P4" i="33"/>
  <c r="O4" i="33"/>
  <c r="N4" i="33"/>
  <c r="M4" i="33"/>
  <c r="L4" i="33"/>
  <c r="K4" i="33"/>
  <c r="J4" i="33"/>
  <c r="I4" i="33"/>
  <c r="H4" i="33"/>
  <c r="G4" i="33"/>
  <c r="F4" i="33"/>
  <c r="E4" i="33"/>
  <c r="D4" i="33"/>
  <c r="W95" i="34"/>
  <c r="W94" i="34"/>
  <c r="C94" i="34"/>
  <c r="W93" i="34"/>
  <c r="W92" i="34"/>
  <c r="C92" i="34"/>
  <c r="W91" i="34"/>
  <c r="W90" i="34"/>
  <c r="C90" i="34"/>
  <c r="W89" i="34"/>
  <c r="W88" i="34"/>
  <c r="C88" i="34"/>
  <c r="W87" i="34"/>
  <c r="W86" i="34"/>
  <c r="C86" i="34"/>
  <c r="W85" i="34"/>
  <c r="W84" i="34"/>
  <c r="C84" i="34"/>
  <c r="W83" i="34"/>
  <c r="W82" i="34"/>
  <c r="C82" i="34"/>
  <c r="W81" i="34"/>
  <c r="W80" i="34"/>
  <c r="C80" i="34"/>
  <c r="W79" i="34"/>
  <c r="W78" i="34"/>
  <c r="C78" i="34"/>
  <c r="W77" i="34"/>
  <c r="W76" i="34"/>
  <c r="C76" i="34"/>
  <c r="W75" i="34"/>
  <c r="W74" i="34"/>
  <c r="C74" i="34"/>
  <c r="W73" i="34"/>
  <c r="W72" i="34"/>
  <c r="C72" i="34"/>
  <c r="W71" i="34"/>
  <c r="W70" i="34"/>
  <c r="C70" i="34"/>
  <c r="W69" i="34"/>
  <c r="W68" i="34"/>
  <c r="C68" i="34"/>
  <c r="W67" i="34"/>
  <c r="W66" i="34"/>
  <c r="C66" i="34"/>
  <c r="W65" i="34"/>
  <c r="W64" i="34"/>
  <c r="C64" i="34"/>
  <c r="W63" i="34"/>
  <c r="W62" i="34"/>
  <c r="C62" i="34"/>
  <c r="W61" i="34"/>
  <c r="W60" i="34"/>
  <c r="C60" i="34"/>
  <c r="W59" i="34"/>
  <c r="W57" i="34"/>
  <c r="W101" i="34"/>
  <c r="W58" i="34"/>
  <c r="C58" i="34"/>
  <c r="W56" i="34"/>
  <c r="W100" i="34"/>
  <c r="W102" i="34"/>
  <c r="C56" i="34"/>
  <c r="W42" i="34"/>
  <c r="W41" i="34"/>
  <c r="C41" i="34"/>
  <c r="W40" i="34"/>
  <c r="W39" i="34"/>
  <c r="C39" i="34"/>
  <c r="W38" i="34"/>
  <c r="W37" i="34"/>
  <c r="C37" i="34"/>
  <c r="W36" i="34"/>
  <c r="W35" i="34"/>
  <c r="C35" i="34"/>
  <c r="W34" i="34"/>
  <c r="W33" i="34"/>
  <c r="C33" i="34"/>
  <c r="W32" i="34"/>
  <c r="W31" i="34"/>
  <c r="C31" i="34"/>
  <c r="W30" i="34"/>
  <c r="W29" i="34"/>
  <c r="C29" i="34"/>
  <c r="W28" i="34"/>
  <c r="W27" i="34"/>
  <c r="C27" i="34"/>
  <c r="W26" i="34"/>
  <c r="W25" i="34"/>
  <c r="C25" i="34"/>
  <c r="W24" i="34"/>
  <c r="W23" i="34"/>
  <c r="C23" i="34"/>
  <c r="W22" i="34"/>
  <c r="W21" i="34"/>
  <c r="C21" i="34"/>
  <c r="W20" i="34"/>
  <c r="W19" i="34"/>
  <c r="C19" i="34"/>
  <c r="W18" i="34"/>
  <c r="W17" i="34"/>
  <c r="C17" i="34"/>
  <c r="W16" i="34"/>
  <c r="W15" i="34"/>
  <c r="C15" i="34"/>
  <c r="W14" i="34"/>
  <c r="W13" i="34"/>
  <c r="C13" i="34"/>
  <c r="W12" i="34"/>
  <c r="W11" i="34"/>
  <c r="C11" i="34"/>
  <c r="W10" i="34"/>
  <c r="W9" i="34"/>
  <c r="C9" i="34"/>
  <c r="W8" i="34"/>
  <c r="W7" i="34"/>
  <c r="C7" i="34"/>
  <c r="W6" i="34"/>
  <c r="W5" i="34"/>
  <c r="C5" i="34"/>
  <c r="W4" i="34"/>
  <c r="W3" i="34"/>
  <c r="W47" i="34"/>
  <c r="C3" i="34"/>
  <c r="V56" i="34"/>
  <c r="V58" i="34"/>
  <c r="V60" i="34"/>
  <c r="V62" i="34"/>
  <c r="V64" i="34"/>
  <c r="V66" i="34"/>
  <c r="V68" i="34"/>
  <c r="V70" i="34"/>
  <c r="V72" i="34"/>
  <c r="V74" i="34"/>
  <c r="V76" i="34"/>
  <c r="V78" i="34"/>
  <c r="V80" i="34"/>
  <c r="V82" i="34"/>
  <c r="V84" i="34"/>
  <c r="V86" i="34"/>
  <c r="V88" i="34"/>
  <c r="V90" i="34"/>
  <c r="V92" i="34"/>
  <c r="V94" i="34"/>
  <c r="V100" i="34"/>
  <c r="V57" i="34"/>
  <c r="V59" i="34"/>
  <c r="V61" i="34"/>
  <c r="V63" i="34"/>
  <c r="V65" i="34"/>
  <c r="V67" i="34"/>
  <c r="V69" i="34"/>
  <c r="V71" i="34"/>
  <c r="V73" i="34"/>
  <c r="V75" i="34"/>
  <c r="V77" i="34"/>
  <c r="V79" i="34"/>
  <c r="V81" i="34"/>
  <c r="V83" i="34"/>
  <c r="V85" i="34"/>
  <c r="V87" i="34"/>
  <c r="V89" i="34"/>
  <c r="V91" i="34"/>
  <c r="V93" i="34"/>
  <c r="V95" i="34"/>
  <c r="V101" i="34"/>
  <c r="A58" i="34"/>
  <c r="A60" i="34"/>
  <c r="A62" i="34"/>
  <c r="A64" i="34"/>
  <c r="A66" i="34"/>
  <c r="A68" i="34"/>
  <c r="A70" i="34"/>
  <c r="A72" i="34"/>
  <c r="A74" i="34"/>
  <c r="A76" i="34"/>
  <c r="A78" i="34"/>
  <c r="A80" i="34"/>
  <c r="A82" i="34"/>
  <c r="A84" i="34"/>
  <c r="A86" i="34"/>
  <c r="A88" i="34"/>
  <c r="A90" i="34"/>
  <c r="A92" i="34"/>
  <c r="A94" i="34"/>
  <c r="W48" i="34"/>
  <c r="W49" i="34"/>
  <c r="V3" i="34"/>
  <c r="V5" i="34"/>
  <c r="V7" i="34"/>
  <c r="V9" i="34"/>
  <c r="V11" i="34"/>
  <c r="V13" i="34"/>
  <c r="V15" i="34"/>
  <c r="V17" i="34"/>
  <c r="V19" i="34"/>
  <c r="V21" i="34"/>
  <c r="V23" i="34"/>
  <c r="V25" i="34"/>
  <c r="V27" i="34"/>
  <c r="V29" i="34"/>
  <c r="V31" i="34"/>
  <c r="V33" i="34"/>
  <c r="V35" i="34"/>
  <c r="V37" i="34"/>
  <c r="V39" i="34"/>
  <c r="V41" i="34"/>
  <c r="V4" i="34"/>
  <c r="V6" i="34"/>
  <c r="V8" i="34"/>
  <c r="V10" i="34"/>
  <c r="V12" i="34"/>
  <c r="V14" i="34"/>
  <c r="V16" i="34"/>
  <c r="V18" i="34"/>
  <c r="V20" i="34"/>
  <c r="V22" i="34"/>
  <c r="V24" i="34"/>
  <c r="V26" i="34"/>
  <c r="V28" i="34"/>
  <c r="V30" i="34"/>
  <c r="V32" i="34"/>
  <c r="V34" i="34"/>
  <c r="V36" i="34"/>
  <c r="V38" i="34"/>
  <c r="V40" i="34"/>
  <c r="V42" i="34"/>
  <c r="U47" i="34"/>
  <c r="U48" i="34"/>
  <c r="U49" i="34"/>
  <c r="T47" i="34"/>
  <c r="T48" i="34"/>
  <c r="S47" i="34"/>
  <c r="S48" i="34"/>
  <c r="S49" i="34"/>
  <c r="R47" i="34"/>
  <c r="R48" i="34"/>
  <c r="R49" i="34"/>
  <c r="Q47" i="34"/>
  <c r="Q48" i="34"/>
  <c r="Q49" i="34"/>
  <c r="P47" i="34"/>
  <c r="P48" i="34"/>
  <c r="P49" i="34"/>
  <c r="O47" i="34"/>
  <c r="O48" i="34"/>
  <c r="O49" i="34"/>
  <c r="N47" i="34"/>
  <c r="N48" i="34"/>
  <c r="N49" i="34"/>
  <c r="M47" i="34"/>
  <c r="M48" i="34"/>
  <c r="M49" i="34"/>
  <c r="L47" i="34"/>
  <c r="L48" i="34"/>
  <c r="K47" i="34"/>
  <c r="K48" i="34"/>
  <c r="K49" i="34"/>
  <c r="J47" i="34"/>
  <c r="J48" i="34"/>
  <c r="J49" i="34"/>
  <c r="I47" i="34"/>
  <c r="I48" i="34"/>
  <c r="I49" i="34"/>
  <c r="H47" i="34"/>
  <c r="H48" i="34"/>
  <c r="H49" i="34"/>
  <c r="G47" i="34"/>
  <c r="G48" i="34"/>
  <c r="G49" i="34"/>
  <c r="F47" i="34"/>
  <c r="F48" i="34"/>
  <c r="F49" i="34"/>
  <c r="E47" i="34"/>
  <c r="E48" i="34"/>
  <c r="E49" i="34"/>
  <c r="A5" i="34"/>
  <c r="A7" i="34"/>
  <c r="A9" i="34"/>
  <c r="A11" i="34"/>
  <c r="A13" i="34"/>
  <c r="A15" i="34"/>
  <c r="A17" i="34"/>
  <c r="A19" i="34"/>
  <c r="A21" i="34"/>
  <c r="A23" i="34"/>
  <c r="A25" i="34"/>
  <c r="A27" i="34"/>
  <c r="A29" i="34"/>
  <c r="A31" i="34"/>
  <c r="A33" i="34"/>
  <c r="A35" i="34"/>
  <c r="A37" i="34"/>
  <c r="A39" i="34"/>
  <c r="A41" i="34"/>
  <c r="AR42" i="32"/>
  <c r="AC42" i="32"/>
  <c r="P42" i="32"/>
  <c r="A42" i="32"/>
  <c r="AR40" i="32"/>
  <c r="AC40" i="32"/>
  <c r="P40" i="32"/>
  <c r="A40" i="32"/>
  <c r="AR38" i="32"/>
  <c r="AC38" i="32"/>
  <c r="P38" i="32"/>
  <c r="A38" i="32"/>
  <c r="AR36" i="32"/>
  <c r="AC36" i="32"/>
  <c r="P36" i="32"/>
  <c r="A36" i="32"/>
  <c r="AR34" i="32"/>
  <c r="AC34" i="32"/>
  <c r="P34" i="32"/>
  <c r="A34" i="32"/>
  <c r="AR32" i="32"/>
  <c r="AC32" i="32"/>
  <c r="P32" i="32"/>
  <c r="A32" i="32"/>
  <c r="AR30" i="32"/>
  <c r="AC30" i="32"/>
  <c r="P30" i="32"/>
  <c r="A30" i="32"/>
  <c r="AR28" i="32"/>
  <c r="AC28" i="32"/>
  <c r="P28" i="32"/>
  <c r="A28" i="32"/>
  <c r="AR26" i="32"/>
  <c r="AC26" i="32"/>
  <c r="P26" i="32"/>
  <c r="A26" i="32"/>
  <c r="AR24" i="32"/>
  <c r="AC24" i="32"/>
  <c r="P24" i="32"/>
  <c r="A24" i="32"/>
  <c r="AR22" i="32"/>
  <c r="AC22" i="32"/>
  <c r="P22" i="32"/>
  <c r="A22" i="32"/>
  <c r="AR20" i="32"/>
  <c r="AC20" i="32"/>
  <c r="P20" i="32"/>
  <c r="A20" i="32"/>
  <c r="AR18" i="32"/>
  <c r="AC18" i="32"/>
  <c r="P18" i="32"/>
  <c r="A18" i="32"/>
  <c r="AR16" i="32"/>
  <c r="AC16" i="32"/>
  <c r="P16" i="32"/>
  <c r="A16" i="32"/>
  <c r="AR14" i="32"/>
  <c r="AC14" i="32"/>
  <c r="P14" i="32"/>
  <c r="A14" i="32"/>
  <c r="AR12" i="32"/>
  <c r="AC12" i="32"/>
  <c r="P12" i="32"/>
  <c r="A12" i="32"/>
  <c r="AR10" i="32"/>
  <c r="AC10" i="32"/>
  <c r="P10" i="32"/>
  <c r="A10" i="32"/>
  <c r="AR8" i="32"/>
  <c r="AC8" i="32"/>
  <c r="P8" i="32"/>
  <c r="A8" i="32"/>
  <c r="AR6" i="32"/>
  <c r="AC6" i="32"/>
  <c r="P6" i="32"/>
  <c r="A6" i="32"/>
  <c r="AR4" i="32"/>
  <c r="AC4" i="32"/>
  <c r="P4" i="32"/>
  <c r="A4" i="32"/>
  <c r="BB1" i="32"/>
  <c r="AK1" i="32"/>
  <c r="L1" i="32"/>
  <c r="AN1" i="32"/>
  <c r="W3" i="17"/>
  <c r="W102" i="17"/>
  <c r="T33" i="33"/>
  <c r="T34" i="33"/>
  <c r="T41" i="33"/>
  <c r="T42" i="33"/>
  <c r="T43" i="33"/>
  <c r="T38" i="33"/>
  <c r="T35" i="33"/>
  <c r="T37" i="33"/>
  <c r="T39" i="33"/>
  <c r="T40" i="33"/>
  <c r="T45" i="33"/>
  <c r="T46" i="33"/>
  <c r="T56" i="33"/>
  <c r="J57" i="33"/>
  <c r="T4" i="33"/>
  <c r="T6" i="33"/>
  <c r="T8" i="33"/>
  <c r="T9" i="33"/>
  <c r="T11" i="33"/>
  <c r="T14" i="33"/>
  <c r="T15" i="33"/>
  <c r="T16" i="33"/>
  <c r="T17" i="33"/>
  <c r="T7" i="33"/>
  <c r="T10" i="33"/>
  <c r="T12" i="33"/>
  <c r="T27" i="33"/>
  <c r="J28" i="33"/>
  <c r="J58" i="33"/>
  <c r="W52" i="33"/>
  <c r="B52" i="33"/>
  <c r="W51" i="33"/>
  <c r="B51" i="33"/>
  <c r="W50" i="33"/>
  <c r="B50" i="33"/>
  <c r="W49" i="33"/>
  <c r="X49" i="33"/>
  <c r="B49" i="33"/>
  <c r="B48" i="33"/>
  <c r="W47" i="33"/>
  <c r="B47" i="33"/>
  <c r="W46" i="33"/>
  <c r="B46" i="33"/>
  <c r="B45" i="33"/>
  <c r="B44" i="33"/>
  <c r="B43" i="33"/>
  <c r="W42" i="33"/>
  <c r="B42" i="33"/>
  <c r="B41" i="33"/>
  <c r="W40" i="33"/>
  <c r="B40" i="33"/>
  <c r="B39" i="33"/>
  <c r="W38" i="33"/>
  <c r="B38" i="33"/>
  <c r="W37" i="33"/>
  <c r="B37" i="33"/>
  <c r="W36" i="33"/>
  <c r="B36" i="33"/>
  <c r="W35" i="33"/>
  <c r="B35" i="33"/>
  <c r="W34" i="33"/>
  <c r="B34" i="33"/>
  <c r="W33" i="33"/>
  <c r="B33" i="33"/>
  <c r="A30" i="33"/>
  <c r="W23" i="33"/>
  <c r="B23" i="33"/>
  <c r="W22" i="33"/>
  <c r="B22" i="33"/>
  <c r="W21" i="33"/>
  <c r="B21" i="33"/>
  <c r="W20" i="33"/>
  <c r="X20" i="33"/>
  <c r="B20" i="33"/>
  <c r="W19" i="33"/>
  <c r="B19" i="33"/>
  <c r="B18" i="33"/>
  <c r="W17" i="33"/>
  <c r="B17" i="33"/>
  <c r="W16" i="33"/>
  <c r="X16" i="33"/>
  <c r="B16" i="33"/>
  <c r="W15" i="33"/>
  <c r="B15" i="33"/>
  <c r="B14" i="33"/>
  <c r="W13" i="33"/>
  <c r="B13" i="33"/>
  <c r="W12" i="33"/>
  <c r="X12" i="33"/>
  <c r="B12" i="33"/>
  <c r="W11" i="33"/>
  <c r="B11" i="33"/>
  <c r="W10" i="33"/>
  <c r="B10" i="33"/>
  <c r="W9" i="33"/>
  <c r="B9" i="33"/>
  <c r="W8" i="33"/>
  <c r="X8" i="33"/>
  <c r="B8" i="33"/>
  <c r="W7" i="33"/>
  <c r="B7" i="33"/>
  <c r="W6" i="33"/>
  <c r="B6" i="33"/>
  <c r="W5" i="33"/>
  <c r="B5" i="33"/>
  <c r="W4" i="33"/>
  <c r="X4" i="33"/>
  <c r="B4" i="33"/>
  <c r="A2" i="33"/>
  <c r="A1" i="33"/>
  <c r="T5" i="33"/>
  <c r="T13" i="33"/>
  <c r="T18" i="33"/>
  <c r="T19" i="33"/>
  <c r="T20" i="33"/>
  <c r="T21" i="33"/>
  <c r="T22" i="33"/>
  <c r="T23" i="33"/>
  <c r="T36" i="33"/>
  <c r="T44" i="33"/>
  <c r="T47" i="33"/>
  <c r="T48" i="33"/>
  <c r="T49" i="33"/>
  <c r="T50" i="33"/>
  <c r="T51" i="33"/>
  <c r="T52" i="33"/>
  <c r="S56" i="33"/>
  <c r="R56" i="33"/>
  <c r="Q56" i="33"/>
  <c r="P56" i="33"/>
  <c r="O56" i="33"/>
  <c r="N56" i="33"/>
  <c r="M56" i="33"/>
  <c r="L56" i="33"/>
  <c r="K56" i="33"/>
  <c r="J56" i="33"/>
  <c r="I56" i="33"/>
  <c r="H56" i="33"/>
  <c r="G56" i="33"/>
  <c r="F56" i="33"/>
  <c r="E56" i="33"/>
  <c r="D56" i="33"/>
  <c r="X33" i="33"/>
  <c r="X34" i="33"/>
  <c r="X35" i="33"/>
  <c r="X36" i="33"/>
  <c r="X37" i="33"/>
  <c r="X38" i="33"/>
  <c r="X40" i="33"/>
  <c r="X42" i="33"/>
  <c r="X46" i="33"/>
  <c r="X47" i="33"/>
  <c r="X50" i="33"/>
  <c r="X51" i="33"/>
  <c r="X52" i="33"/>
  <c r="S32" i="33"/>
  <c r="R32" i="33"/>
  <c r="P32" i="33"/>
  <c r="O32" i="33"/>
  <c r="N32" i="33"/>
  <c r="M32" i="33"/>
  <c r="L32" i="33"/>
  <c r="K32" i="33"/>
  <c r="J32" i="33"/>
  <c r="I32" i="33"/>
  <c r="H32" i="33"/>
  <c r="G32" i="33"/>
  <c r="F32" i="33"/>
  <c r="E32" i="33"/>
  <c r="D32" i="33"/>
  <c r="S27" i="33"/>
  <c r="R27" i="33"/>
  <c r="Q27" i="33"/>
  <c r="P27" i="33"/>
  <c r="O27" i="33"/>
  <c r="N27" i="33"/>
  <c r="M27" i="33"/>
  <c r="L27" i="33"/>
  <c r="K27" i="33"/>
  <c r="J27" i="33"/>
  <c r="I27" i="33"/>
  <c r="H27" i="33"/>
  <c r="G27" i="33"/>
  <c r="F27" i="33"/>
  <c r="E27" i="33"/>
  <c r="D27" i="33"/>
  <c r="X5" i="33"/>
  <c r="X6" i="33"/>
  <c r="X7" i="33"/>
  <c r="X9" i="33"/>
  <c r="X10" i="33"/>
  <c r="X11" i="33"/>
  <c r="X13" i="33"/>
  <c r="X15" i="33"/>
  <c r="X17" i="33"/>
  <c r="X19" i="33"/>
  <c r="X21" i="33"/>
  <c r="X22" i="33"/>
  <c r="X23" i="33"/>
  <c r="F18" i="26"/>
  <c r="A17" i="26"/>
  <c r="AE48" i="13"/>
  <c r="AF48" i="13"/>
  <c r="AE49" i="13"/>
  <c r="AE50" i="13"/>
  <c r="AF47" i="13"/>
  <c r="AA44" i="13"/>
  <c r="R44" i="13"/>
  <c r="AE5" i="13"/>
  <c r="AF5" i="13"/>
  <c r="AE6" i="13"/>
  <c r="AE7" i="13"/>
  <c r="AF4" i="13"/>
  <c r="AA1" i="13"/>
  <c r="Q33" i="20"/>
  <c r="Q36" i="20"/>
  <c r="Q38" i="20"/>
  <c r="C3" i="15"/>
  <c r="C5" i="15"/>
  <c r="C9" i="15"/>
  <c r="C11" i="15"/>
  <c r="AJ33" i="20"/>
  <c r="B74" i="17"/>
  <c r="H74" i="17"/>
  <c r="I74" i="17"/>
  <c r="F74" i="17"/>
  <c r="D74" i="17"/>
  <c r="B73" i="17"/>
  <c r="I73" i="17"/>
  <c r="H73" i="17"/>
  <c r="G73" i="17"/>
  <c r="F73" i="17"/>
  <c r="B72" i="17"/>
  <c r="H72" i="17"/>
  <c r="I72" i="17"/>
  <c r="F72" i="17"/>
  <c r="D72" i="17"/>
  <c r="B71" i="17"/>
  <c r="I71" i="17"/>
  <c r="H71" i="17"/>
  <c r="G71" i="17"/>
  <c r="F71" i="17"/>
  <c r="B70" i="17"/>
  <c r="H70" i="17"/>
  <c r="I70" i="17"/>
  <c r="F70" i="17"/>
  <c r="D70" i="17"/>
  <c r="B69" i="17"/>
  <c r="I69" i="17"/>
  <c r="H69" i="17"/>
  <c r="G69" i="17"/>
  <c r="F69" i="17"/>
  <c r="B68" i="17"/>
  <c r="B67" i="17"/>
  <c r="I67" i="17"/>
  <c r="H67" i="17"/>
  <c r="G67" i="17"/>
  <c r="F67" i="17"/>
  <c r="B66" i="17"/>
  <c r="B65" i="17"/>
  <c r="B64" i="17"/>
  <c r="B63" i="17"/>
  <c r="B62" i="17"/>
  <c r="B61" i="17"/>
  <c r="B60" i="17"/>
  <c r="D60" i="17"/>
  <c r="B59" i="17"/>
  <c r="B58" i="17"/>
  <c r="D58" i="17"/>
  <c r="B57" i="17"/>
  <c r="B56" i="17"/>
  <c r="D56" i="17"/>
  <c r="B55" i="17"/>
  <c r="S3" i="15"/>
  <c r="S5" i="15"/>
  <c r="AB88" i="15"/>
  <c r="AB3" i="15"/>
  <c r="AB5" i="15"/>
  <c r="N1" i="15"/>
  <c r="B25" i="6"/>
  <c r="B21" i="6"/>
  <c r="B5" i="6"/>
  <c r="AY4" i="31"/>
  <c r="AY46" i="31"/>
  <c r="Z4" i="31"/>
  <c r="Z46" i="31"/>
  <c r="AZ4" i="31"/>
  <c r="AZ46" i="31"/>
  <c r="C83" i="31"/>
  <c r="C82" i="31"/>
  <c r="C81" i="31"/>
  <c r="C80" i="31"/>
  <c r="C79" i="31"/>
  <c r="C78" i="31"/>
  <c r="C77" i="31"/>
  <c r="C76" i="31"/>
  <c r="C75" i="31"/>
  <c r="C74" i="31"/>
  <c r="C73" i="31"/>
  <c r="C72" i="31"/>
  <c r="C71" i="31"/>
  <c r="C68" i="31"/>
  <c r="C66" i="31"/>
  <c r="C63" i="31"/>
  <c r="C60" i="31"/>
  <c r="C55" i="31"/>
  <c r="C53" i="31"/>
  <c r="C51" i="31"/>
  <c r="AC41" i="31"/>
  <c r="C41" i="31"/>
  <c r="AC40" i="31"/>
  <c r="C40" i="31"/>
  <c r="AC39" i="31"/>
  <c r="C39" i="31"/>
  <c r="AC38" i="31"/>
  <c r="C38" i="31"/>
  <c r="AC37" i="31"/>
  <c r="C37" i="31"/>
  <c r="AC36" i="31"/>
  <c r="C36" i="31"/>
  <c r="AC35" i="31"/>
  <c r="C35" i="31"/>
  <c r="AC34" i="31"/>
  <c r="C34" i="31"/>
  <c r="AC33" i="31"/>
  <c r="C33" i="31"/>
  <c r="AC32" i="31"/>
  <c r="C32" i="31"/>
  <c r="AC31" i="31"/>
  <c r="C31" i="31"/>
  <c r="AC30" i="31"/>
  <c r="C30" i="31"/>
  <c r="AC29" i="31"/>
  <c r="C29" i="31"/>
  <c r="AC28" i="31"/>
  <c r="C28" i="31"/>
  <c r="AC27" i="31"/>
  <c r="C27" i="31"/>
  <c r="AC26" i="31"/>
  <c r="C26" i="31"/>
  <c r="AC25" i="31"/>
  <c r="C25" i="31"/>
  <c r="C23" i="31"/>
  <c r="C10" i="31"/>
  <c r="Y4" i="31"/>
  <c r="Y46" i="31"/>
  <c r="AX43" i="31"/>
  <c r="X43" i="31"/>
  <c r="P1" i="31"/>
  <c r="AP43" i="31"/>
  <c r="AP1" i="31"/>
  <c r="AB43" i="20"/>
  <c r="I43" i="20"/>
  <c r="J44" i="13"/>
  <c r="I52" i="11"/>
  <c r="K43" i="20"/>
  <c r="AD43" i="20"/>
  <c r="AD1" i="20"/>
  <c r="A9" i="17"/>
  <c r="A10" i="17"/>
  <c r="A11" i="17"/>
  <c r="A12" i="17"/>
  <c r="A13" i="17"/>
  <c r="A14" i="17"/>
  <c r="A15" i="17"/>
  <c r="A16" i="17"/>
  <c r="A17" i="17"/>
  <c r="A18" i="17"/>
  <c r="A19" i="17"/>
  <c r="A20" i="17"/>
  <c r="A21" i="17"/>
  <c r="A22" i="17"/>
  <c r="A23" i="17"/>
  <c r="A24" i="17"/>
  <c r="A25" i="17"/>
  <c r="A26" i="17"/>
  <c r="A27" i="17"/>
  <c r="A28" i="17"/>
  <c r="B80" i="17"/>
  <c r="C11" i="17"/>
  <c r="C57" i="17"/>
  <c r="C12" i="17"/>
  <c r="C81" i="17"/>
  <c r="C13" i="17"/>
  <c r="C82" i="17"/>
  <c r="C14" i="17"/>
  <c r="C37" i="17"/>
  <c r="C15" i="17"/>
  <c r="C114" i="17"/>
  <c r="C137" i="17"/>
  <c r="C16" i="17"/>
  <c r="C17" i="17"/>
  <c r="C18" i="17"/>
  <c r="C117" i="17"/>
  <c r="C19" i="17"/>
  <c r="C42" i="17"/>
  <c r="C20" i="17"/>
  <c r="C21" i="17"/>
  <c r="C90" i="17"/>
  <c r="C22" i="17"/>
  <c r="C23" i="17"/>
  <c r="C24" i="17"/>
  <c r="C93" i="17"/>
  <c r="C25" i="17"/>
  <c r="B95" i="17"/>
  <c r="C26" i="17"/>
  <c r="C27" i="17"/>
  <c r="C28" i="17"/>
  <c r="C127" i="17"/>
  <c r="B32" i="17"/>
  <c r="A1" i="26"/>
  <c r="J1" i="13"/>
  <c r="I1" i="11"/>
  <c r="K1" i="20"/>
  <c r="N48" i="13"/>
  <c r="O48" i="13"/>
  <c r="N49" i="13"/>
  <c r="N50" i="13"/>
  <c r="O47" i="13"/>
  <c r="AJ41" i="20"/>
  <c r="AJ40" i="20"/>
  <c r="AJ39" i="20"/>
  <c r="AJ38" i="20"/>
  <c r="AJ37" i="20"/>
  <c r="AJ36" i="20"/>
  <c r="AJ35" i="20"/>
  <c r="AJ34" i="20"/>
  <c r="AJ32" i="20"/>
  <c r="AJ31" i="20"/>
  <c r="AJ30" i="20"/>
  <c r="AJ29" i="20"/>
  <c r="AJ28" i="20"/>
  <c r="AJ27" i="20"/>
  <c r="AJ26" i="20"/>
  <c r="AJ25" i="20"/>
  <c r="A90" i="2"/>
  <c r="AJ74" i="20"/>
  <c r="AL74" i="20"/>
  <c r="AJ75" i="20"/>
  <c r="AL75" i="20"/>
  <c r="AJ76" i="20"/>
  <c r="AL76" i="20"/>
  <c r="AJ77" i="20"/>
  <c r="AL77" i="20"/>
  <c r="AJ78" i="20"/>
  <c r="AL78" i="20"/>
  <c r="AJ79" i="20"/>
  <c r="AL79" i="20"/>
  <c r="AJ80" i="20"/>
  <c r="AL80" i="20"/>
  <c r="AJ81" i="20"/>
  <c r="AL81" i="20"/>
  <c r="Q74" i="20"/>
  <c r="S74" i="20"/>
  <c r="Q75" i="20"/>
  <c r="S75" i="20"/>
  <c r="Q76" i="20"/>
  <c r="S76" i="20"/>
  <c r="Q77" i="20"/>
  <c r="S77" i="20"/>
  <c r="Q78" i="20"/>
  <c r="S78" i="20"/>
  <c r="Q79" i="20"/>
  <c r="S79" i="20"/>
  <c r="Q80" i="20"/>
  <c r="S80" i="20"/>
  <c r="Q81" i="20"/>
  <c r="S81" i="20"/>
  <c r="S32" i="20"/>
  <c r="S33" i="20"/>
  <c r="S34" i="20"/>
  <c r="S35" i="20"/>
  <c r="S36" i="20"/>
  <c r="S37" i="20"/>
  <c r="S38" i="20"/>
  <c r="S39" i="20"/>
  <c r="AL32" i="20"/>
  <c r="AL33" i="20"/>
  <c r="AL34" i="20"/>
  <c r="AL35" i="20"/>
  <c r="AL36" i="20"/>
  <c r="AL37" i="20"/>
  <c r="AL38" i="20"/>
  <c r="AL39" i="20"/>
  <c r="Q32" i="20"/>
  <c r="Q34" i="20"/>
  <c r="Q35" i="20"/>
  <c r="Q37" i="20"/>
  <c r="Q39" i="20"/>
  <c r="V88" i="15"/>
  <c r="AC1" i="15"/>
  <c r="AB1" i="15"/>
  <c r="AA1" i="15"/>
  <c r="Z1" i="15"/>
  <c r="X1" i="15"/>
  <c r="W1" i="15"/>
  <c r="T1" i="15"/>
  <c r="S1" i="15"/>
  <c r="I62" i="11"/>
  <c r="M1" i="15"/>
  <c r="L1" i="15"/>
  <c r="K1" i="15"/>
  <c r="J1" i="15"/>
  <c r="H1" i="15"/>
  <c r="G1" i="15"/>
  <c r="C1" i="15"/>
  <c r="D1" i="15"/>
  <c r="AL47" i="20"/>
  <c r="AL48" i="20"/>
  <c r="AL49" i="20"/>
  <c r="AL50" i="20"/>
  <c r="AL51" i="20"/>
  <c r="AL52" i="20"/>
  <c r="AL53" i="20"/>
  <c r="AL54" i="20"/>
  <c r="AL55" i="20"/>
  <c r="AL56" i="20"/>
  <c r="AL57" i="20"/>
  <c r="AL58" i="20"/>
  <c r="AL59" i="20"/>
  <c r="AL60" i="20"/>
  <c r="AL61" i="20"/>
  <c r="AL62" i="20"/>
  <c r="AL63" i="20"/>
  <c r="AL64" i="20"/>
  <c r="AL65" i="20"/>
  <c r="AL66" i="20"/>
  <c r="AL67" i="20"/>
  <c r="AL68" i="20"/>
  <c r="AL69" i="20"/>
  <c r="AL70" i="20"/>
  <c r="AL71" i="20"/>
  <c r="AL72" i="20"/>
  <c r="AL73" i="20"/>
  <c r="AL82" i="20"/>
  <c r="AL83" i="20"/>
  <c r="AL46" i="20"/>
  <c r="AJ83" i="20"/>
  <c r="AJ82" i="20"/>
  <c r="AJ73" i="20"/>
  <c r="AJ72" i="20"/>
  <c r="AJ71" i="20"/>
  <c r="AL5" i="20"/>
  <c r="AL6" i="20"/>
  <c r="AL7" i="20"/>
  <c r="AL8" i="20"/>
  <c r="AL9" i="20"/>
  <c r="AL10" i="20"/>
  <c r="AL11" i="20"/>
  <c r="AL12" i="20"/>
  <c r="AL13" i="20"/>
  <c r="AL14" i="20"/>
  <c r="AL15" i="20"/>
  <c r="AL16" i="20"/>
  <c r="AL17" i="20"/>
  <c r="AL18" i="20"/>
  <c r="AL19" i="20"/>
  <c r="AL20" i="20"/>
  <c r="AL21" i="20"/>
  <c r="AL22" i="20"/>
  <c r="AL23" i="20"/>
  <c r="AL24" i="20"/>
  <c r="AL25" i="20"/>
  <c r="AL26" i="20"/>
  <c r="AL27" i="20"/>
  <c r="AL28" i="20"/>
  <c r="AL29" i="20"/>
  <c r="AL30" i="20"/>
  <c r="AL31" i="20"/>
  <c r="AL40" i="20"/>
  <c r="AL41" i="20"/>
  <c r="AL4" i="20"/>
  <c r="S47" i="20"/>
  <c r="S48" i="20"/>
  <c r="S49" i="20"/>
  <c r="S50" i="20"/>
  <c r="S51" i="20"/>
  <c r="S52" i="20"/>
  <c r="S53" i="20"/>
  <c r="S54" i="20"/>
  <c r="S55" i="20"/>
  <c r="S56" i="20"/>
  <c r="S57" i="20"/>
  <c r="S58" i="20"/>
  <c r="S59" i="20"/>
  <c r="S60" i="20"/>
  <c r="S61" i="20"/>
  <c r="S62" i="20"/>
  <c r="S63" i="20"/>
  <c r="S64" i="20"/>
  <c r="S65" i="20"/>
  <c r="S66" i="20"/>
  <c r="S67" i="20"/>
  <c r="S68" i="20"/>
  <c r="S69" i="20"/>
  <c r="S70" i="20"/>
  <c r="S71" i="20"/>
  <c r="S72" i="20"/>
  <c r="S73" i="20"/>
  <c r="S82" i="20"/>
  <c r="S83" i="20"/>
  <c r="S46" i="20"/>
  <c r="Q82" i="20"/>
  <c r="Q73" i="20"/>
  <c r="Q72" i="20"/>
  <c r="Q71" i="20"/>
  <c r="S5" i="20"/>
  <c r="S6" i="20"/>
  <c r="S7" i="20"/>
  <c r="S8" i="20"/>
  <c r="S9" i="20"/>
  <c r="S10" i="20"/>
  <c r="S11" i="20"/>
  <c r="S12" i="20"/>
  <c r="S13" i="20"/>
  <c r="S14" i="20"/>
  <c r="S15" i="20"/>
  <c r="S16" i="20"/>
  <c r="S17" i="20"/>
  <c r="S18" i="20"/>
  <c r="S19" i="20"/>
  <c r="S20" i="20"/>
  <c r="S21" i="20"/>
  <c r="S22" i="20"/>
  <c r="S23" i="20"/>
  <c r="S24" i="20"/>
  <c r="S25" i="20"/>
  <c r="S26" i="20"/>
  <c r="S27" i="20"/>
  <c r="S28" i="20"/>
  <c r="S29" i="20"/>
  <c r="S30" i="20"/>
  <c r="S31" i="20"/>
  <c r="S40" i="20"/>
  <c r="S41" i="20"/>
  <c r="S4" i="20"/>
  <c r="Q41" i="20"/>
  <c r="Q40" i="20"/>
  <c r="Q31" i="20"/>
  <c r="Q30" i="20"/>
  <c r="Q29" i="20"/>
  <c r="Q28" i="20"/>
  <c r="Q27" i="20"/>
  <c r="Q26" i="20"/>
  <c r="Q25" i="20"/>
  <c r="AI84" i="20"/>
  <c r="AH84" i="20"/>
  <c r="AE84" i="20"/>
  <c r="AD84" i="20"/>
  <c r="AC84" i="20"/>
  <c r="AB84" i="20"/>
  <c r="AA84" i="20"/>
  <c r="P84" i="20"/>
  <c r="O84" i="20"/>
  <c r="N84" i="20"/>
  <c r="M84" i="20"/>
  <c r="L84" i="20"/>
  <c r="K84" i="20"/>
  <c r="J84" i="20"/>
  <c r="I84" i="20"/>
  <c r="H84" i="20"/>
  <c r="AI42" i="20"/>
  <c r="AH42" i="20"/>
  <c r="AG42" i="20"/>
  <c r="AF42" i="20"/>
  <c r="AE42" i="20"/>
  <c r="AD42" i="20"/>
  <c r="AC42" i="20"/>
  <c r="AB42" i="20"/>
  <c r="AA42" i="20"/>
  <c r="P42" i="20"/>
  <c r="O42" i="20"/>
  <c r="N42" i="20"/>
  <c r="M42" i="20"/>
  <c r="L42" i="20"/>
  <c r="K42" i="20"/>
  <c r="J42" i="20"/>
  <c r="I42" i="20"/>
  <c r="H42" i="20"/>
  <c r="B56" i="11"/>
  <c r="B57" i="11"/>
  <c r="B58" i="11"/>
  <c r="B59" i="11"/>
  <c r="O4" i="13"/>
  <c r="N5" i="13"/>
  <c r="O5" i="13"/>
  <c r="B4" i="14"/>
  <c r="B28" i="14"/>
  <c r="C4" i="14"/>
  <c r="C28" i="14"/>
  <c r="G4" i="14"/>
  <c r="G28" i="14"/>
  <c r="H4" i="14"/>
  <c r="H28" i="14"/>
  <c r="B5" i="14"/>
  <c r="B29" i="14"/>
  <c r="C5" i="14"/>
  <c r="C29" i="14"/>
  <c r="G5" i="14"/>
  <c r="G29" i="14"/>
  <c r="H5" i="14"/>
  <c r="H29" i="14"/>
  <c r="B6" i="14"/>
  <c r="B30" i="14"/>
  <c r="C6" i="14"/>
  <c r="C30" i="14"/>
  <c r="G6" i="14"/>
  <c r="G30" i="14"/>
  <c r="H6" i="14"/>
  <c r="H30" i="14"/>
  <c r="B7" i="14"/>
  <c r="B31" i="14"/>
  <c r="C7" i="14"/>
  <c r="C31" i="14"/>
  <c r="G7" i="14"/>
  <c r="G31" i="14"/>
  <c r="H7" i="14"/>
  <c r="H31" i="14"/>
  <c r="B8" i="14"/>
  <c r="B32" i="14"/>
  <c r="C8" i="14"/>
  <c r="C32" i="14"/>
  <c r="G8" i="14"/>
  <c r="G32" i="14"/>
  <c r="H8" i="14"/>
  <c r="H32" i="14"/>
  <c r="B9" i="14"/>
  <c r="B33" i="14"/>
  <c r="C9" i="14"/>
  <c r="C33" i="14"/>
  <c r="G9" i="14"/>
  <c r="G33" i="14"/>
  <c r="H9" i="14"/>
  <c r="H33" i="14"/>
  <c r="B10" i="14"/>
  <c r="B34" i="14"/>
  <c r="C10" i="14"/>
  <c r="C34" i="14"/>
  <c r="G10" i="14"/>
  <c r="G34" i="14"/>
  <c r="H10" i="14"/>
  <c r="H34" i="14"/>
  <c r="B11" i="14"/>
  <c r="B35" i="14"/>
  <c r="C11" i="14"/>
  <c r="C35" i="14"/>
  <c r="G11" i="14"/>
  <c r="G35" i="14"/>
  <c r="H11" i="14"/>
  <c r="H35" i="14"/>
  <c r="B12" i="14"/>
  <c r="B36" i="14"/>
  <c r="C12" i="14"/>
  <c r="C36" i="14"/>
  <c r="G12" i="14"/>
  <c r="G36" i="14"/>
  <c r="H12" i="14"/>
  <c r="H36" i="14"/>
  <c r="B13" i="14"/>
  <c r="B37" i="14"/>
  <c r="C13" i="14"/>
  <c r="C37" i="14"/>
  <c r="G13" i="14"/>
  <c r="G37" i="14"/>
  <c r="H13" i="14"/>
  <c r="H37" i="14"/>
  <c r="B14" i="14"/>
  <c r="B38" i="14"/>
  <c r="C14" i="14"/>
  <c r="C38" i="14"/>
  <c r="G14" i="14"/>
  <c r="G38" i="14"/>
  <c r="H14" i="14"/>
  <c r="H38" i="14"/>
  <c r="B15" i="14"/>
  <c r="B39" i="14"/>
  <c r="C15" i="14"/>
  <c r="C39" i="14"/>
  <c r="G15" i="14"/>
  <c r="G39" i="14"/>
  <c r="H15" i="14"/>
  <c r="H39" i="14"/>
  <c r="B16" i="14"/>
  <c r="B40" i="14"/>
  <c r="C16" i="14"/>
  <c r="C40" i="14"/>
  <c r="G16" i="14"/>
  <c r="G40" i="14"/>
  <c r="H16" i="14"/>
  <c r="H40" i="14"/>
  <c r="B17" i="14"/>
  <c r="B41" i="14"/>
  <c r="C17" i="14"/>
  <c r="C41" i="14"/>
  <c r="G17" i="14"/>
  <c r="G41" i="14"/>
  <c r="H17" i="14"/>
  <c r="H41" i="14"/>
  <c r="B18" i="14"/>
  <c r="B42" i="14"/>
  <c r="C18" i="14"/>
  <c r="C42" i="14"/>
  <c r="G18" i="14"/>
  <c r="G42" i="14"/>
  <c r="H18" i="14"/>
  <c r="H42" i="14"/>
  <c r="B19" i="14"/>
  <c r="B43" i="14"/>
  <c r="C19" i="14"/>
  <c r="C43" i="14"/>
  <c r="G19" i="14"/>
  <c r="G43" i="14"/>
  <c r="H19" i="14"/>
  <c r="H43" i="14"/>
  <c r="B20" i="14"/>
  <c r="B44" i="14"/>
  <c r="C20" i="14"/>
  <c r="C44" i="14"/>
  <c r="G20" i="14"/>
  <c r="G44" i="14"/>
  <c r="H20" i="14"/>
  <c r="H44" i="14"/>
  <c r="B21" i="14"/>
  <c r="B45" i="14"/>
  <c r="C21" i="14"/>
  <c r="C45" i="14"/>
  <c r="G21" i="14"/>
  <c r="G45" i="14"/>
  <c r="H21" i="14"/>
  <c r="H45" i="14"/>
  <c r="B22" i="14"/>
  <c r="B46" i="14"/>
  <c r="C22" i="14"/>
  <c r="C46" i="14"/>
  <c r="G22" i="14"/>
  <c r="G46" i="14"/>
  <c r="H22" i="14"/>
  <c r="H46" i="14"/>
  <c r="B23" i="14"/>
  <c r="B47" i="14"/>
  <c r="C23" i="14"/>
  <c r="C47" i="14"/>
  <c r="G23" i="14"/>
  <c r="G47" i="14"/>
  <c r="H23" i="14"/>
  <c r="H47" i="14"/>
  <c r="A175" i="15"/>
  <c r="A178" i="15"/>
  <c r="A181" i="15"/>
  <c r="A184" i="15"/>
  <c r="A187" i="15"/>
  <c r="A190" i="15"/>
  <c r="A193" i="15"/>
  <c r="A196" i="15"/>
  <c r="A199" i="15"/>
  <c r="A202" i="15"/>
  <c r="A205" i="15"/>
  <c r="A208" i="15"/>
  <c r="A211" i="15"/>
  <c r="A214" i="15"/>
  <c r="A217" i="15"/>
  <c r="A220" i="15"/>
  <c r="A223" i="15"/>
  <c r="A226" i="15"/>
  <c r="Q175" i="15"/>
  <c r="Q178" i="15"/>
  <c r="Q181" i="15"/>
  <c r="Q184" i="15"/>
  <c r="Q187" i="15"/>
  <c r="Q190" i="15"/>
  <c r="Q193" i="15"/>
  <c r="Q196" i="15"/>
  <c r="Q199" i="15"/>
  <c r="Q202" i="15"/>
  <c r="Q205" i="15"/>
  <c r="Q208" i="15"/>
  <c r="Q211" i="15"/>
  <c r="Q214" i="15"/>
  <c r="Q217" i="15"/>
  <c r="Q220" i="15"/>
  <c r="Q223" i="15"/>
  <c r="Q226" i="15"/>
  <c r="C9" i="17"/>
  <c r="C108" i="17"/>
  <c r="C177" i="17"/>
  <c r="T9" i="17"/>
  <c r="T10" i="17"/>
  <c r="T11" i="17"/>
  <c r="T12" i="17"/>
  <c r="T13" i="17"/>
  <c r="T14" i="17"/>
  <c r="T15" i="17"/>
  <c r="T16" i="17"/>
  <c r="T17" i="17"/>
  <c r="T18" i="17"/>
  <c r="T19" i="17"/>
  <c r="T20" i="17"/>
  <c r="T21" i="17"/>
  <c r="T22" i="17"/>
  <c r="T23" i="17"/>
  <c r="T24" i="17"/>
  <c r="T25" i="17"/>
  <c r="T26" i="17"/>
  <c r="T27" i="17"/>
  <c r="T28" i="17"/>
  <c r="V9" i="17"/>
  <c r="V55" i="17"/>
  <c r="C10" i="17"/>
  <c r="C109" i="17"/>
  <c r="V10" i="17"/>
  <c r="V33" i="17"/>
  <c r="V11" i="17"/>
  <c r="V80" i="17"/>
  <c r="V12" i="17"/>
  <c r="V58" i="17"/>
  <c r="C112" i="17"/>
  <c r="C158" i="17"/>
  <c r="V13" i="17"/>
  <c r="V82" i="17"/>
  <c r="V14" i="17"/>
  <c r="V60" i="17"/>
  <c r="V15" i="17"/>
  <c r="V61" i="17"/>
  <c r="C62" i="17"/>
  <c r="V16" i="17"/>
  <c r="V39" i="17"/>
  <c r="V115" i="17"/>
  <c r="V138" i="17"/>
  <c r="C116" i="17"/>
  <c r="C185" i="17"/>
  <c r="V17" i="17"/>
  <c r="V86" i="17"/>
  <c r="V18" i="17"/>
  <c r="V41" i="17"/>
  <c r="V87" i="17"/>
  <c r="U42" i="17"/>
  <c r="V19" i="17"/>
  <c r="V118" i="17"/>
  <c r="C89" i="17"/>
  <c r="V20" i="17"/>
  <c r="V89" i="17"/>
  <c r="V21" i="17"/>
  <c r="V44" i="17"/>
  <c r="C91" i="17"/>
  <c r="V22" i="17"/>
  <c r="C69" i="17"/>
  <c r="V23" i="17"/>
  <c r="V122" i="17"/>
  <c r="C70" i="17"/>
  <c r="V24" i="17"/>
  <c r="V93" i="17"/>
  <c r="C71" i="17"/>
  <c r="V25" i="17"/>
  <c r="V71" i="17"/>
  <c r="C49" i="17"/>
  <c r="V26" i="17"/>
  <c r="V95" i="17"/>
  <c r="C73" i="17"/>
  <c r="U50" i="17"/>
  <c r="V27" i="17"/>
  <c r="V96" i="17"/>
  <c r="C97" i="17"/>
  <c r="V28" i="17"/>
  <c r="V97" i="17"/>
  <c r="A32" i="17"/>
  <c r="A33" i="17"/>
  <c r="A34" i="17"/>
  <c r="A35" i="17"/>
  <c r="A36" i="17"/>
  <c r="A37" i="17"/>
  <c r="A38" i="17"/>
  <c r="A39" i="17"/>
  <c r="A40" i="17"/>
  <c r="A41" i="17"/>
  <c r="A42" i="17"/>
  <c r="A43" i="17"/>
  <c r="A44" i="17"/>
  <c r="A45" i="17"/>
  <c r="A46" i="17"/>
  <c r="A47" i="17"/>
  <c r="A48" i="17"/>
  <c r="A49" i="17"/>
  <c r="A50" i="17"/>
  <c r="A51" i="17"/>
  <c r="T32" i="17"/>
  <c r="T33" i="17"/>
  <c r="T34" i="17"/>
  <c r="T35" i="17"/>
  <c r="T36" i="17"/>
  <c r="T37" i="17"/>
  <c r="T38" i="17"/>
  <c r="T39" i="17"/>
  <c r="T40" i="17"/>
  <c r="T41" i="17"/>
  <c r="T42" i="17"/>
  <c r="T43" i="17"/>
  <c r="T44" i="17"/>
  <c r="T45" i="17"/>
  <c r="T46" i="17"/>
  <c r="T47" i="17"/>
  <c r="T48" i="17"/>
  <c r="T49" i="17"/>
  <c r="T50" i="17"/>
  <c r="T51" i="17"/>
  <c r="A55" i="17"/>
  <c r="A56" i="17"/>
  <c r="A57" i="17"/>
  <c r="A58" i="17"/>
  <c r="A59" i="17"/>
  <c r="A60" i="17"/>
  <c r="A61" i="17"/>
  <c r="A62" i="17"/>
  <c r="A63" i="17"/>
  <c r="A64" i="17"/>
  <c r="A65" i="17"/>
  <c r="A66" i="17"/>
  <c r="A67" i="17"/>
  <c r="A68" i="17"/>
  <c r="A69" i="17"/>
  <c r="A70" i="17"/>
  <c r="A71" i="17"/>
  <c r="A72" i="17"/>
  <c r="A73" i="17"/>
  <c r="A74" i="17"/>
  <c r="T55" i="17"/>
  <c r="T56" i="17"/>
  <c r="T57" i="17"/>
  <c r="T58" i="17"/>
  <c r="T59" i="17"/>
  <c r="T60" i="17"/>
  <c r="T61" i="17"/>
  <c r="T62" i="17"/>
  <c r="T63" i="17"/>
  <c r="T64" i="17"/>
  <c r="T65" i="17"/>
  <c r="T66" i="17"/>
  <c r="T67" i="17"/>
  <c r="T68" i="17"/>
  <c r="T69" i="17"/>
  <c r="T70" i="17"/>
  <c r="T71" i="17"/>
  <c r="T72" i="17"/>
  <c r="T73" i="17"/>
  <c r="T74" i="17"/>
  <c r="A78" i="17"/>
  <c r="A79" i="17"/>
  <c r="A80" i="17"/>
  <c r="A81" i="17"/>
  <c r="A82" i="17"/>
  <c r="A83" i="17"/>
  <c r="A84" i="17"/>
  <c r="A85" i="17"/>
  <c r="A86" i="17"/>
  <c r="A87" i="17"/>
  <c r="A88" i="17"/>
  <c r="A89" i="17"/>
  <c r="A90" i="17"/>
  <c r="A91" i="17"/>
  <c r="A92" i="17"/>
  <c r="A93" i="17"/>
  <c r="A94" i="17"/>
  <c r="A95" i="17"/>
  <c r="A96" i="17"/>
  <c r="A97" i="17"/>
  <c r="T78" i="17"/>
  <c r="T79" i="17"/>
  <c r="T80" i="17"/>
  <c r="T81" i="17"/>
  <c r="T82" i="17"/>
  <c r="T83" i="17"/>
  <c r="T84" i="17"/>
  <c r="T85" i="17"/>
  <c r="T86" i="17"/>
  <c r="T87" i="17"/>
  <c r="T88" i="17"/>
  <c r="T89" i="17"/>
  <c r="T90" i="17"/>
  <c r="T91" i="17"/>
  <c r="T92" i="17"/>
  <c r="T93" i="17"/>
  <c r="T94" i="17"/>
  <c r="T95" i="17"/>
  <c r="T96" i="17"/>
  <c r="T97" i="17"/>
  <c r="A108" i="17"/>
  <c r="A109" i="17"/>
  <c r="A110" i="17"/>
  <c r="A111" i="17"/>
  <c r="A112" i="17"/>
  <c r="A113" i="17"/>
  <c r="A114" i="17"/>
  <c r="A115" i="17"/>
  <c r="A116" i="17"/>
  <c r="A117" i="17"/>
  <c r="A118" i="17"/>
  <c r="A119" i="17"/>
  <c r="A120" i="17"/>
  <c r="A121" i="17"/>
  <c r="A122" i="17"/>
  <c r="A123" i="17"/>
  <c r="A124" i="17"/>
  <c r="A125" i="17"/>
  <c r="A126" i="17"/>
  <c r="A127" i="17"/>
  <c r="T108" i="17"/>
  <c r="T109" i="17"/>
  <c r="T110" i="17"/>
  <c r="T111" i="17"/>
  <c r="T112" i="17"/>
  <c r="T113" i="17"/>
  <c r="T114" i="17"/>
  <c r="T115" i="17"/>
  <c r="T116" i="17"/>
  <c r="T117" i="17"/>
  <c r="T118" i="17"/>
  <c r="T119" i="17"/>
  <c r="T120" i="17"/>
  <c r="T121" i="17"/>
  <c r="T122" i="17"/>
  <c r="T123" i="17"/>
  <c r="T124" i="17"/>
  <c r="T125" i="17"/>
  <c r="T126" i="17"/>
  <c r="T127" i="17"/>
  <c r="A131" i="17"/>
  <c r="A132" i="17"/>
  <c r="A133" i="17"/>
  <c r="A134" i="17"/>
  <c r="A135" i="17"/>
  <c r="A136" i="17"/>
  <c r="A137" i="17"/>
  <c r="A138" i="17"/>
  <c r="A139" i="17"/>
  <c r="A140" i="17"/>
  <c r="A141" i="17"/>
  <c r="A142" i="17"/>
  <c r="A143" i="17"/>
  <c r="A144" i="17"/>
  <c r="A145" i="17"/>
  <c r="A146" i="17"/>
  <c r="A147" i="17"/>
  <c r="A148" i="17"/>
  <c r="A149" i="17"/>
  <c r="A150" i="17"/>
  <c r="T131" i="17"/>
  <c r="T132" i="17"/>
  <c r="T133" i="17"/>
  <c r="T134" i="17"/>
  <c r="T135" i="17"/>
  <c r="T136" i="17"/>
  <c r="T137" i="17"/>
  <c r="T138" i="17"/>
  <c r="T139" i="17"/>
  <c r="T140" i="17"/>
  <c r="T141" i="17"/>
  <c r="T142" i="17"/>
  <c r="T143" i="17"/>
  <c r="T144" i="17"/>
  <c r="T145" i="17"/>
  <c r="T146" i="17"/>
  <c r="T147" i="17"/>
  <c r="T148" i="17"/>
  <c r="T149" i="17"/>
  <c r="T150" i="17"/>
  <c r="A154" i="17"/>
  <c r="A155" i="17"/>
  <c r="A156" i="17"/>
  <c r="A157" i="17"/>
  <c r="A158" i="17"/>
  <c r="A159" i="17"/>
  <c r="A160" i="17"/>
  <c r="A161" i="17"/>
  <c r="A162" i="17"/>
  <c r="A163" i="17"/>
  <c r="A164" i="17"/>
  <c r="A165" i="17"/>
  <c r="A166" i="17"/>
  <c r="A167" i="17"/>
  <c r="A168" i="17"/>
  <c r="A169" i="17"/>
  <c r="A170" i="17"/>
  <c r="A171" i="17"/>
  <c r="A172" i="17"/>
  <c r="A173" i="17"/>
  <c r="T154" i="17"/>
  <c r="T155" i="17"/>
  <c r="T156" i="17"/>
  <c r="T157" i="17"/>
  <c r="T158" i="17"/>
  <c r="T159" i="17"/>
  <c r="T160" i="17"/>
  <c r="T161" i="17"/>
  <c r="T162" i="17"/>
  <c r="T163" i="17"/>
  <c r="T164" i="17"/>
  <c r="T165" i="17"/>
  <c r="T166" i="17"/>
  <c r="T167" i="17"/>
  <c r="T168" i="17"/>
  <c r="T169" i="17"/>
  <c r="T170" i="17"/>
  <c r="T171" i="17"/>
  <c r="T172" i="17"/>
  <c r="T173" i="17"/>
  <c r="A177" i="17"/>
  <c r="A178" i="17"/>
  <c r="A179" i="17"/>
  <c r="A180" i="17"/>
  <c r="A181" i="17"/>
  <c r="A182" i="17"/>
  <c r="A183" i="17"/>
  <c r="A184" i="17"/>
  <c r="A185" i="17"/>
  <c r="A186" i="17"/>
  <c r="A187" i="17"/>
  <c r="A188" i="17"/>
  <c r="A189" i="17"/>
  <c r="A190" i="17"/>
  <c r="A191" i="17"/>
  <c r="A192" i="17"/>
  <c r="A193" i="17"/>
  <c r="A194" i="17"/>
  <c r="A195" i="17"/>
  <c r="A196" i="17"/>
  <c r="T177" i="17"/>
  <c r="T178" i="17"/>
  <c r="T179" i="17"/>
  <c r="T180" i="17"/>
  <c r="T181" i="17"/>
  <c r="T182" i="17"/>
  <c r="T183" i="17"/>
  <c r="T184" i="17"/>
  <c r="T185" i="17"/>
  <c r="T186" i="17"/>
  <c r="T187" i="17"/>
  <c r="T188" i="17"/>
  <c r="T189" i="17"/>
  <c r="T190" i="17"/>
  <c r="T191" i="17"/>
  <c r="T192" i="17"/>
  <c r="T193" i="17"/>
  <c r="T194" i="17"/>
  <c r="T195" i="17"/>
  <c r="T196" i="17"/>
  <c r="C63" i="17"/>
  <c r="C65" i="17"/>
  <c r="C36" i="17"/>
  <c r="C59" i="17"/>
  <c r="C92" i="17"/>
  <c r="C181" i="17"/>
  <c r="C48" i="17"/>
  <c r="C87" i="17"/>
  <c r="B97" i="17"/>
  <c r="B45" i="17"/>
  <c r="V126" i="17"/>
  <c r="V195" i="17"/>
  <c r="C119" i="17"/>
  <c r="C142" i="17"/>
  <c r="V47" i="17"/>
  <c r="V62" i="17"/>
  <c r="C40" i="17"/>
  <c r="C43" i="17"/>
  <c r="C45" i="17"/>
  <c r="C95" i="17"/>
  <c r="C66" i="17"/>
  <c r="V43" i="17"/>
  <c r="C120" i="17"/>
  <c r="C143" i="17"/>
  <c r="V79" i="17"/>
  <c r="C124" i="17"/>
  <c r="C193" i="17"/>
  <c r="C86" i="17"/>
  <c r="N6" i="13"/>
  <c r="O6" i="13"/>
  <c r="C94" i="17"/>
  <c r="C41" i="17"/>
  <c r="B78" i="17"/>
  <c r="C162" i="17"/>
  <c r="C72" i="17"/>
  <c r="C125" i="17"/>
  <c r="C148" i="17"/>
  <c r="C194" i="17"/>
  <c r="V59" i="17"/>
  <c r="V36" i="17"/>
  <c r="V70" i="17"/>
  <c r="V94" i="17"/>
  <c r="V48" i="17"/>
  <c r="V65" i="17"/>
  <c r="V40" i="17"/>
  <c r="V123" i="17"/>
  <c r="V146" i="17"/>
  <c r="V88" i="17"/>
  <c r="V56" i="17"/>
  <c r="V42" i="17"/>
  <c r="C188" i="17"/>
  <c r="B51" i="17"/>
  <c r="B47" i="17"/>
  <c r="B91" i="17"/>
  <c r="B39" i="17"/>
  <c r="B38" i="17"/>
  <c r="U34" i="17"/>
  <c r="U35" i="17"/>
  <c r="C51" i="17"/>
  <c r="C74" i="17"/>
  <c r="C96" i="17"/>
  <c r="C126" i="17"/>
  <c r="C172" i="17"/>
  <c r="C50" i="17"/>
  <c r="U48" i="17"/>
  <c r="C58" i="17"/>
  <c r="U36" i="17"/>
  <c r="V45" i="17"/>
  <c r="V68" i="17"/>
  <c r="V91" i="17"/>
  <c r="V121" i="17"/>
  <c r="V167" i="17"/>
  <c r="B90" i="17"/>
  <c r="B44" i="17"/>
  <c r="C39" i="17"/>
  <c r="C115" i="17"/>
  <c r="C161" i="17"/>
  <c r="C85" i="17"/>
  <c r="C84" i="17"/>
  <c r="U37" i="17"/>
  <c r="V50" i="17"/>
  <c r="V73" i="17"/>
  <c r="B93" i="17"/>
  <c r="V34" i="17"/>
  <c r="V110" i="17"/>
  <c r="V156" i="17"/>
  <c r="V57" i="17"/>
  <c r="V108" i="17"/>
  <c r="V131" i="17"/>
  <c r="V78" i="17"/>
  <c r="C122" i="17"/>
  <c r="C145" i="17"/>
  <c r="C46" i="17"/>
  <c r="C68" i="17"/>
  <c r="C121" i="17"/>
  <c r="C190" i="17"/>
  <c r="V38" i="17"/>
  <c r="V84" i="17"/>
  <c r="B82" i="17"/>
  <c r="C32" i="17"/>
  <c r="C113" i="17"/>
  <c r="C136" i="17"/>
  <c r="C123" i="17"/>
  <c r="C146" i="17"/>
  <c r="C55" i="17"/>
  <c r="B50" i="17"/>
  <c r="V149" i="17"/>
  <c r="V172" i="17"/>
  <c r="V169" i="17"/>
  <c r="V192" i="17"/>
  <c r="C147" i="17"/>
  <c r="C170" i="17"/>
  <c r="N7" i="13"/>
  <c r="O7" i="13"/>
  <c r="C195" i="17"/>
  <c r="C149" i="17"/>
  <c r="B131" i="17"/>
  <c r="C138" i="17"/>
  <c r="C184" i="17"/>
  <c r="C159" i="17"/>
  <c r="C182" i="17"/>
  <c r="B149" i="17"/>
  <c r="N8" i="13"/>
  <c r="N9" i="13"/>
  <c r="K38" i="2"/>
  <c r="V109" i="17"/>
  <c r="V178" i="17"/>
  <c r="V187" i="17"/>
  <c r="V141" i="17"/>
  <c r="V164" i="17"/>
  <c r="V117" i="17"/>
  <c r="V140" i="17"/>
  <c r="V32" i="17"/>
  <c r="V113" i="17"/>
  <c r="V159" i="17"/>
  <c r="V120" i="17"/>
  <c r="V143" i="17"/>
  <c r="U40" i="17"/>
  <c r="V81" i="17"/>
  <c r="V35" i="17"/>
  <c r="V111" i="17"/>
  <c r="V134" i="17"/>
  <c r="U51" i="17"/>
  <c r="U49" i="17"/>
  <c r="U39" i="17"/>
  <c r="O50" i="13"/>
  <c r="N51" i="13"/>
  <c r="V155" i="17"/>
  <c r="V132" i="17"/>
  <c r="N52" i="13"/>
  <c r="N53" i="13"/>
  <c r="O51" i="13"/>
  <c r="V157" i="17"/>
  <c r="J5" i="15"/>
  <c r="M5" i="15"/>
  <c r="B41" i="17"/>
  <c r="B87" i="17"/>
  <c r="B86" i="17"/>
  <c r="P15" i="17"/>
  <c r="B84" i="17"/>
  <c r="B83" i="17"/>
  <c r="P13" i="17"/>
  <c r="B34" i="17"/>
  <c r="B33" i="17"/>
  <c r="E9" i="17"/>
  <c r="C78" i="17"/>
  <c r="Z88" i="15"/>
  <c r="AJ42" i="20"/>
  <c r="AJ84" i="20"/>
  <c r="S88" i="15"/>
  <c r="AC88" i="15"/>
  <c r="W88" i="15"/>
  <c r="AA88" i="15"/>
  <c r="V83" i="17"/>
  <c r="V186" i="17"/>
  <c r="V184" i="17"/>
  <c r="V166" i="17"/>
  <c r="V189" i="17"/>
  <c r="V90" i="17"/>
  <c r="V114" i="17"/>
  <c r="V64" i="17"/>
  <c r="V72" i="17"/>
  <c r="V119" i="17"/>
  <c r="V182" i="17"/>
  <c r="V66" i="17"/>
  <c r="V124" i="17"/>
  <c r="V147" i="17"/>
  <c r="V92" i="17"/>
  <c r="V67" i="17"/>
  <c r="V85" i="17"/>
  <c r="V125" i="17"/>
  <c r="V171" i="17"/>
  <c r="V112" i="17"/>
  <c r="V49" i="17"/>
  <c r="V127" i="17"/>
  <c r="V173" i="17"/>
  <c r="V37" i="17"/>
  <c r="U47" i="17"/>
  <c r="U46" i="17"/>
  <c r="U45" i="17"/>
  <c r="U44" i="17"/>
  <c r="U43" i="17"/>
  <c r="U41" i="17"/>
  <c r="U38" i="17"/>
  <c r="U33" i="17"/>
  <c r="U32" i="17"/>
  <c r="AA1" i="31"/>
  <c r="AA43" i="31"/>
  <c r="P14" i="17"/>
  <c r="K88" i="15"/>
  <c r="J62" i="11"/>
  <c r="M88" i="15"/>
  <c r="Q84" i="20"/>
  <c r="G88" i="15"/>
  <c r="L88" i="15"/>
  <c r="C88" i="15"/>
  <c r="J88" i="15"/>
  <c r="Q42" i="20"/>
  <c r="C163" i="17"/>
  <c r="C140" i="17"/>
  <c r="C186" i="17"/>
  <c r="C196" i="17"/>
  <c r="C173" i="17"/>
  <c r="C150" i="17"/>
  <c r="C191" i="17"/>
  <c r="C189" i="17"/>
  <c r="C139" i="17"/>
  <c r="C44" i="17"/>
  <c r="C118" i="17"/>
  <c r="C47" i="17"/>
  <c r="C67" i="17"/>
  <c r="C169" i="17"/>
  <c r="C168" i="17"/>
  <c r="C171" i="17"/>
  <c r="C166" i="17"/>
  <c r="C64" i="17"/>
  <c r="C88" i="17"/>
  <c r="C60" i="17"/>
  <c r="C61" i="17"/>
  <c r="C38" i="17"/>
  <c r="C135" i="17"/>
  <c r="C83" i="17"/>
  <c r="B96" i="17"/>
  <c r="B94" i="17"/>
  <c r="B48" i="17"/>
  <c r="B46" i="17"/>
  <c r="B42" i="17"/>
  <c r="P17" i="17"/>
  <c r="B40" i="17"/>
  <c r="B85" i="17"/>
  <c r="B37" i="17"/>
  <c r="C35" i="17"/>
  <c r="C111" i="17"/>
  <c r="C110" i="17"/>
  <c r="C80" i="17"/>
  <c r="C34" i="17"/>
  <c r="B49" i="17"/>
  <c r="B92" i="17"/>
  <c r="B143" i="17"/>
  <c r="B43" i="17"/>
  <c r="B89" i="17"/>
  <c r="B88" i="17"/>
  <c r="B36" i="17"/>
  <c r="E12" i="17"/>
  <c r="B35" i="17"/>
  <c r="B81" i="17"/>
  <c r="B79" i="17"/>
  <c r="B2" i="14"/>
  <c r="B26" i="14"/>
  <c r="G2" i="14"/>
  <c r="G26" i="14"/>
  <c r="T43" i="20"/>
  <c r="B52" i="11"/>
  <c r="B53" i="11"/>
  <c r="B135" i="17"/>
  <c r="C144" i="17"/>
  <c r="C167" i="17"/>
  <c r="V177" i="17"/>
  <c r="V133" i="17"/>
  <c r="V179" i="17"/>
  <c r="C160" i="17"/>
  <c r="C183" i="17"/>
  <c r="V193" i="17"/>
  <c r="V154" i="17"/>
  <c r="B145" i="17"/>
  <c r="C154" i="17"/>
  <c r="O49" i="13"/>
  <c r="E21" i="17"/>
  <c r="E19" i="17"/>
  <c r="AC5" i="15"/>
  <c r="AC3" i="15"/>
  <c r="Z3" i="15"/>
  <c r="AA5" i="15"/>
  <c r="Z5" i="15"/>
  <c r="AA3" i="15"/>
  <c r="W5" i="15"/>
  <c r="W3" i="15"/>
  <c r="G5" i="15"/>
  <c r="K5" i="15"/>
  <c r="L5" i="15"/>
  <c r="M3" i="15"/>
  <c r="L3" i="15"/>
  <c r="J3" i="15"/>
  <c r="G3" i="15"/>
  <c r="K3" i="15"/>
  <c r="E116" i="17"/>
  <c r="B139" i="17"/>
  <c r="P114" i="17"/>
  <c r="B137" i="17"/>
  <c r="E13" i="17"/>
  <c r="L110" i="17"/>
  <c r="Q110" i="17"/>
  <c r="R110" i="17"/>
  <c r="B133" i="17"/>
  <c r="E11" i="17"/>
  <c r="I38" i="2"/>
  <c r="P12" i="17"/>
  <c r="E25" i="17"/>
  <c r="E28" i="17"/>
  <c r="E22" i="17"/>
  <c r="E16" i="17"/>
  <c r="P16" i="17"/>
  <c r="E15" i="17"/>
  <c r="E18" i="17"/>
  <c r="E10" i="17"/>
  <c r="E20" i="17"/>
  <c r="E17" i="17"/>
  <c r="E27" i="17"/>
  <c r="E24" i="17"/>
  <c r="E23" i="17"/>
  <c r="E26" i="17"/>
  <c r="E14" i="17"/>
  <c r="P18" i="17"/>
  <c r="AT44" i="31"/>
  <c r="T44" i="31"/>
  <c r="AT2" i="31"/>
  <c r="V194" i="17"/>
  <c r="V181" i="17"/>
  <c r="V158" i="17"/>
  <c r="V135" i="17"/>
  <c r="V188" i="17"/>
  <c r="V165" i="17"/>
  <c r="V142" i="17"/>
  <c r="V137" i="17"/>
  <c r="V183" i="17"/>
  <c r="V160" i="17"/>
  <c r="V170" i="17"/>
  <c r="P10" i="17"/>
  <c r="P9" i="17"/>
  <c r="P11" i="17"/>
  <c r="L112" i="17"/>
  <c r="Q112" i="17"/>
  <c r="R112" i="17"/>
  <c r="E126" i="17"/>
  <c r="E122" i="17"/>
  <c r="C38" i="2"/>
  <c r="L108" i="17"/>
  <c r="Q108" i="17"/>
  <c r="R108" i="17"/>
  <c r="K114" i="17"/>
  <c r="P112" i="17"/>
  <c r="E108" i="17"/>
  <c r="P108" i="17"/>
  <c r="E112" i="17"/>
  <c r="P116" i="17"/>
  <c r="E120" i="17"/>
  <c r="R10" i="17"/>
  <c r="K14" i="17"/>
  <c r="K15" i="17"/>
  <c r="K16" i="17"/>
  <c r="K12" i="17"/>
  <c r="K18" i="17"/>
  <c r="K17" i="17"/>
  <c r="K9" i="17"/>
  <c r="J12" i="11"/>
  <c r="I12" i="11"/>
  <c r="I11" i="11"/>
  <c r="J11" i="11"/>
  <c r="C141" i="17"/>
  <c r="C164" i="17"/>
  <c r="C187" i="17"/>
  <c r="B147" i="17"/>
  <c r="B141" i="17"/>
  <c r="C134" i="17"/>
  <c r="C157" i="17"/>
  <c r="C180" i="17"/>
  <c r="C156" i="17"/>
  <c r="C133" i="17"/>
  <c r="C179" i="17"/>
  <c r="E114" i="17"/>
  <c r="E110" i="17"/>
  <c r="P110" i="17"/>
  <c r="E124" i="17"/>
  <c r="E118" i="17"/>
  <c r="V3" i="15"/>
  <c r="V5" i="15"/>
  <c r="X24" i="17"/>
  <c r="X13" i="17"/>
  <c r="X12" i="17"/>
  <c r="X28" i="17"/>
  <c r="X16" i="17"/>
  <c r="X25" i="17"/>
  <c r="X11" i="17"/>
  <c r="X10" i="17"/>
  <c r="X21" i="17"/>
  <c r="X26" i="17"/>
  <c r="X27" i="17"/>
  <c r="X17" i="17"/>
  <c r="X14" i="17"/>
  <c r="X15" i="17"/>
  <c r="X9" i="17"/>
  <c r="X20" i="17"/>
  <c r="M110" i="17"/>
  <c r="X18" i="17"/>
  <c r="X22" i="17"/>
  <c r="X19" i="17"/>
  <c r="X23" i="17"/>
  <c r="X113" i="17"/>
  <c r="X124" i="17"/>
  <c r="X117" i="17"/>
  <c r="X122" i="17"/>
  <c r="X118" i="17"/>
  <c r="X111" i="17"/>
  <c r="X126" i="17"/>
  <c r="X116" i="17"/>
  <c r="X114" i="17"/>
  <c r="X109" i="17"/>
  <c r="X115" i="17"/>
  <c r="X120" i="17"/>
  <c r="K110" i="17"/>
  <c r="K112" i="17"/>
  <c r="M112" i="17"/>
  <c r="K108" i="17"/>
  <c r="M108" i="17"/>
  <c r="L114" i="17"/>
  <c r="L116" i="17"/>
  <c r="K116" i="17"/>
  <c r="K11" i="17"/>
  <c r="R11" i="17"/>
  <c r="R16" i="17"/>
  <c r="M18" i="17"/>
  <c r="K10" i="17"/>
  <c r="M14" i="17"/>
  <c r="M10" i="17"/>
  <c r="K13" i="17"/>
  <c r="M13" i="17"/>
  <c r="M17" i="17"/>
  <c r="R15" i="17"/>
  <c r="M12" i="17"/>
  <c r="J9" i="15"/>
  <c r="M9" i="15"/>
  <c r="G9" i="15"/>
  <c r="L9" i="15"/>
  <c r="K9" i="15"/>
  <c r="E38" i="2"/>
  <c r="Q114" i="17"/>
  <c r="R114" i="17"/>
  <c r="M114" i="17"/>
  <c r="Q116" i="17"/>
  <c r="R116" i="17"/>
  <c r="M116" i="17"/>
  <c r="M16" i="17"/>
  <c r="M11" i="17"/>
  <c r="R18" i="17"/>
  <c r="R14" i="17"/>
  <c r="R13" i="17"/>
  <c r="R17" i="17"/>
  <c r="M15" i="17"/>
  <c r="R12" i="17"/>
  <c r="M9" i="17"/>
  <c r="J14" i="11"/>
  <c r="I14" i="11"/>
  <c r="J11" i="15"/>
  <c r="G11" i="15"/>
  <c r="K11" i="15"/>
  <c r="L11" i="15"/>
  <c r="M11" i="15"/>
  <c r="R9" i="17"/>
  <c r="I15" i="11"/>
  <c r="J15" i="11"/>
  <c r="S89" i="15"/>
  <c r="S90" i="15"/>
  <c r="S91" i="15"/>
  <c r="S92" i="15"/>
  <c r="S93" i="15"/>
  <c r="S94" i="15"/>
  <c r="S95" i="15"/>
  <c r="S96" i="15"/>
  <c r="S97" i="15"/>
  <c r="S98" i="15"/>
  <c r="S99" i="15"/>
  <c r="S100" i="15"/>
  <c r="S101" i="15"/>
  <c r="S102" i="15"/>
  <c r="S103" i="15"/>
  <c r="S104" i="15"/>
  <c r="S105" i="15"/>
  <c r="S106" i="15"/>
  <c r="S107" i="15"/>
  <c r="S108" i="15"/>
  <c r="S109" i="15"/>
  <c r="S110" i="15"/>
  <c r="S111" i="15"/>
  <c r="S112" i="15"/>
  <c r="S113" i="15"/>
  <c r="S114" i="15"/>
  <c r="S115" i="15"/>
  <c r="S116" i="15"/>
  <c r="S117" i="15"/>
  <c r="S118" i="15"/>
  <c r="S119" i="15"/>
  <c r="S120" i="15"/>
  <c r="S121" i="15"/>
  <c r="S122" i="15"/>
  <c r="S123" i="15"/>
  <c r="S124" i="15"/>
  <c r="S125" i="15"/>
  <c r="S126" i="15"/>
  <c r="S127" i="15"/>
  <c r="S128" i="15"/>
  <c r="S129" i="15"/>
  <c r="S130" i="15"/>
  <c r="S131" i="15"/>
  <c r="S132" i="15"/>
  <c r="S133" i="15"/>
  <c r="S134" i="15"/>
  <c r="S135" i="15"/>
  <c r="S136" i="15"/>
  <c r="S137" i="15"/>
  <c r="S138" i="15"/>
  <c r="S139" i="15"/>
  <c r="S140" i="15"/>
  <c r="S141" i="15"/>
  <c r="S142" i="15"/>
  <c r="S143" i="15"/>
  <c r="S144" i="15"/>
  <c r="S145" i="15"/>
  <c r="S146" i="15"/>
  <c r="S147" i="15"/>
  <c r="S148" i="15"/>
  <c r="S149" i="15"/>
  <c r="S150" i="15"/>
  <c r="S151" i="15"/>
  <c r="S152" i="15"/>
  <c r="S153" i="15"/>
  <c r="S154" i="15"/>
  <c r="S155" i="15"/>
  <c r="S156" i="15"/>
  <c r="S157" i="15"/>
  <c r="S158" i="15"/>
  <c r="S159" i="15"/>
  <c r="S160" i="15"/>
  <c r="S161" i="15"/>
  <c r="S162" i="15"/>
  <c r="S163" i="15"/>
  <c r="U212" i="15"/>
  <c r="U90" i="15"/>
  <c r="E90" i="15"/>
  <c r="V90" i="15"/>
  <c r="U92" i="15"/>
  <c r="E92" i="15"/>
  <c r="V92" i="15"/>
  <c r="U94" i="15"/>
  <c r="E94" i="15"/>
  <c r="V94" i="15"/>
  <c r="U96" i="15"/>
  <c r="E96" i="15"/>
  <c r="V96" i="15"/>
  <c r="U98" i="15"/>
  <c r="E98" i="15"/>
  <c r="V98" i="15"/>
  <c r="U100" i="15"/>
  <c r="E100" i="15"/>
  <c r="V100" i="15"/>
  <c r="U102" i="15"/>
  <c r="E102" i="15"/>
  <c r="V102" i="15"/>
  <c r="U104" i="15"/>
  <c r="E104" i="15"/>
  <c r="V104" i="15"/>
  <c r="U106" i="15"/>
  <c r="E106" i="15"/>
  <c r="V106" i="15"/>
  <c r="U108" i="15"/>
  <c r="E108" i="15"/>
  <c r="V108" i="15"/>
  <c r="U110" i="15"/>
  <c r="E110" i="15"/>
  <c r="V110" i="15"/>
  <c r="U112" i="15"/>
  <c r="E112" i="15"/>
  <c r="V112" i="15"/>
  <c r="U114" i="15"/>
  <c r="E114" i="15"/>
  <c r="V114" i="15"/>
  <c r="U116" i="15"/>
  <c r="E116" i="15"/>
  <c r="V116" i="15"/>
  <c r="U118" i="15"/>
  <c r="E118" i="15"/>
  <c r="V118" i="15"/>
  <c r="U120" i="15"/>
  <c r="E120" i="15"/>
  <c r="V120" i="15"/>
  <c r="U122" i="15"/>
  <c r="E122" i="15"/>
  <c r="V122" i="15"/>
  <c r="V124" i="15"/>
  <c r="V126" i="15"/>
  <c r="V128" i="15"/>
  <c r="V130" i="15"/>
  <c r="V132" i="15"/>
  <c r="V134" i="15"/>
  <c r="V136" i="15"/>
  <c r="V138" i="15"/>
  <c r="V140" i="15"/>
  <c r="V142" i="15"/>
  <c r="V144" i="15"/>
  <c r="V146" i="15"/>
  <c r="V148" i="15"/>
  <c r="V150" i="15"/>
  <c r="V152" i="15"/>
  <c r="V154" i="15"/>
  <c r="V156" i="15"/>
  <c r="V158" i="15"/>
  <c r="V160" i="15"/>
  <c r="V162" i="15"/>
  <c r="V212" i="15"/>
  <c r="U215" i="15"/>
  <c r="AC215" i="15"/>
  <c r="U206" i="15"/>
  <c r="AB206" i="15"/>
  <c r="U209" i="15"/>
  <c r="U203" i="15"/>
  <c r="U200" i="15"/>
  <c r="U194" i="15"/>
  <c r="AA89" i="15"/>
  <c r="AA90" i="15"/>
  <c r="AA91" i="15"/>
  <c r="AA92" i="15"/>
  <c r="AA93" i="15"/>
  <c r="AA94" i="15"/>
  <c r="AA95" i="15"/>
  <c r="AA96" i="15"/>
  <c r="AA97" i="15"/>
  <c r="AA98" i="15"/>
  <c r="AA99" i="15"/>
  <c r="AA100" i="15"/>
  <c r="AA101" i="15"/>
  <c r="AA102" i="15"/>
  <c r="AA103" i="15"/>
  <c r="AA104" i="15"/>
  <c r="AA105" i="15"/>
  <c r="AA106" i="15"/>
  <c r="AA107" i="15"/>
  <c r="AA108" i="15"/>
  <c r="AA109" i="15"/>
  <c r="AA110" i="15"/>
  <c r="AA111" i="15"/>
  <c r="AA112" i="15"/>
  <c r="AA113" i="15"/>
  <c r="AA114" i="15"/>
  <c r="AA115" i="15"/>
  <c r="AA116" i="15"/>
  <c r="AA117" i="15"/>
  <c r="AA118" i="15"/>
  <c r="AA119" i="15"/>
  <c r="AA120" i="15"/>
  <c r="AA121" i="15"/>
  <c r="AA122" i="15"/>
  <c r="AA123" i="15"/>
  <c r="AA124" i="15"/>
  <c r="AA125" i="15"/>
  <c r="AA126" i="15"/>
  <c r="AA127" i="15"/>
  <c r="AA128" i="15"/>
  <c r="AA129" i="15"/>
  <c r="AA130" i="15"/>
  <c r="AA131" i="15"/>
  <c r="AA132" i="15"/>
  <c r="AA133" i="15"/>
  <c r="AA134" i="15"/>
  <c r="AA135" i="15"/>
  <c r="AA136" i="15"/>
  <c r="AA137" i="15"/>
  <c r="AA138" i="15"/>
  <c r="AA139" i="15"/>
  <c r="AA140" i="15"/>
  <c r="AA141" i="15"/>
  <c r="AA142" i="15"/>
  <c r="AA143" i="15"/>
  <c r="AA144" i="15"/>
  <c r="AA145" i="15"/>
  <c r="AA146" i="15"/>
  <c r="AA147" i="15"/>
  <c r="AA148" i="15"/>
  <c r="AA149" i="15"/>
  <c r="AA150" i="15"/>
  <c r="AA151" i="15"/>
  <c r="AA152" i="15"/>
  <c r="AA153" i="15"/>
  <c r="AA154" i="15"/>
  <c r="AA155" i="15"/>
  <c r="AA156" i="15"/>
  <c r="AA157" i="15"/>
  <c r="AA158" i="15"/>
  <c r="AA159" i="15"/>
  <c r="AA160" i="15"/>
  <c r="AA161" i="15"/>
  <c r="AA162" i="15"/>
  <c r="AA163" i="15"/>
  <c r="AA194" i="15"/>
  <c r="U197" i="15"/>
  <c r="U191" i="15"/>
  <c r="U185" i="15"/>
  <c r="T185" i="15"/>
  <c r="U188" i="15"/>
  <c r="U179" i="15"/>
  <c r="AB179" i="15"/>
  <c r="U182" i="15"/>
  <c r="U173" i="15"/>
  <c r="U176" i="15"/>
  <c r="T212" i="15"/>
  <c r="Z89" i="15"/>
  <c r="Z90" i="15"/>
  <c r="Z91" i="15"/>
  <c r="Z92" i="15"/>
  <c r="Z93" i="15"/>
  <c r="Z94" i="15"/>
  <c r="Z95" i="15"/>
  <c r="Z96" i="15"/>
  <c r="Z97" i="15"/>
  <c r="Z98" i="15"/>
  <c r="Z99" i="15"/>
  <c r="Z100" i="15"/>
  <c r="Z101" i="15"/>
  <c r="Z102" i="15"/>
  <c r="Z103" i="15"/>
  <c r="Z104" i="15"/>
  <c r="Z105" i="15"/>
  <c r="Z106" i="15"/>
  <c r="Z107" i="15"/>
  <c r="Z108" i="15"/>
  <c r="Z109" i="15"/>
  <c r="Z110" i="15"/>
  <c r="Z111" i="15"/>
  <c r="Z112" i="15"/>
  <c r="Z113" i="15"/>
  <c r="Z114" i="15"/>
  <c r="Z115" i="15"/>
  <c r="Z116" i="15"/>
  <c r="Z117" i="15"/>
  <c r="Z118" i="15"/>
  <c r="Z119" i="15"/>
  <c r="Z120" i="15"/>
  <c r="Z121" i="15"/>
  <c r="Z122" i="15"/>
  <c r="Z123" i="15"/>
  <c r="Z124" i="15"/>
  <c r="Z125" i="15"/>
  <c r="Z126" i="15"/>
  <c r="Z127" i="15"/>
  <c r="Z128" i="15"/>
  <c r="Z129" i="15"/>
  <c r="Z130" i="15"/>
  <c r="Z131" i="15"/>
  <c r="Z132" i="15"/>
  <c r="Z133" i="15"/>
  <c r="Z134" i="15"/>
  <c r="Z135" i="15"/>
  <c r="Z136" i="15"/>
  <c r="Z137" i="15"/>
  <c r="Z138" i="15"/>
  <c r="Z139" i="15"/>
  <c r="Z140" i="15"/>
  <c r="Z141" i="15"/>
  <c r="Z142" i="15"/>
  <c r="Z143" i="15"/>
  <c r="Z144" i="15"/>
  <c r="Z145" i="15"/>
  <c r="Z146" i="15"/>
  <c r="Z147" i="15"/>
  <c r="Z148" i="15"/>
  <c r="Z149" i="15"/>
  <c r="Z150" i="15"/>
  <c r="Z151" i="15"/>
  <c r="Z152" i="15"/>
  <c r="Z153" i="15"/>
  <c r="Z154" i="15"/>
  <c r="Z155" i="15"/>
  <c r="Z156" i="15"/>
  <c r="Z157" i="15"/>
  <c r="Z158" i="15"/>
  <c r="Z159" i="15"/>
  <c r="Z160" i="15"/>
  <c r="Z161" i="15"/>
  <c r="Z162" i="15"/>
  <c r="Z163" i="15"/>
  <c r="Z212" i="15"/>
  <c r="X206" i="15"/>
  <c r="AA212" i="15"/>
  <c r="V215" i="15"/>
  <c r="Y215" i="15"/>
  <c r="X215" i="15"/>
  <c r="W215" i="15"/>
  <c r="AB215" i="15"/>
  <c r="Z215" i="15"/>
  <c r="AG122" i="17"/>
  <c r="T206" i="15"/>
  <c r="W206" i="15"/>
  <c r="Z206" i="15"/>
  <c r="V206" i="15"/>
  <c r="AC206" i="15"/>
  <c r="AA206" i="15"/>
  <c r="Y206" i="15"/>
  <c r="X209" i="15"/>
  <c r="Z209" i="15"/>
  <c r="Y209" i="15"/>
  <c r="V209" i="15"/>
  <c r="AB209" i="15"/>
  <c r="AG120" i="17"/>
  <c r="AA209" i="15"/>
  <c r="T209" i="15"/>
  <c r="X90" i="15"/>
  <c r="X92" i="15"/>
  <c r="X94" i="15"/>
  <c r="X96" i="15"/>
  <c r="X98" i="15"/>
  <c r="X100" i="15"/>
  <c r="X102" i="15"/>
  <c r="X104" i="15"/>
  <c r="X106" i="15"/>
  <c r="X108" i="15"/>
  <c r="X110" i="15"/>
  <c r="X112" i="15"/>
  <c r="X114" i="15"/>
  <c r="X116" i="15"/>
  <c r="X118" i="15"/>
  <c r="X120" i="15"/>
  <c r="X122" i="15"/>
  <c r="X124" i="15"/>
  <c r="X126" i="15"/>
  <c r="X128" i="15"/>
  <c r="X130" i="15"/>
  <c r="X132" i="15"/>
  <c r="X134" i="15"/>
  <c r="X136" i="15"/>
  <c r="X138" i="15"/>
  <c r="X140" i="15"/>
  <c r="X142" i="15"/>
  <c r="X144" i="15"/>
  <c r="X146" i="15"/>
  <c r="X148" i="15"/>
  <c r="X150" i="15"/>
  <c r="X152" i="15"/>
  <c r="X154" i="15"/>
  <c r="X156" i="15"/>
  <c r="X158" i="15"/>
  <c r="X160" i="15"/>
  <c r="X162" i="15"/>
  <c r="X203" i="15"/>
  <c r="AA203" i="15"/>
  <c r="AG118" i="17"/>
  <c r="AB89" i="15"/>
  <c r="AB90" i="15"/>
  <c r="AB91" i="15"/>
  <c r="AB92" i="15"/>
  <c r="AB93" i="15"/>
  <c r="AB94" i="15"/>
  <c r="AB95" i="15"/>
  <c r="AB96" i="15"/>
  <c r="AB97" i="15"/>
  <c r="AB98" i="15"/>
  <c r="AB99" i="15"/>
  <c r="AB100" i="15"/>
  <c r="AB101" i="15"/>
  <c r="AB102" i="15"/>
  <c r="AB103" i="15"/>
  <c r="AB104" i="15"/>
  <c r="AB105" i="15"/>
  <c r="AB106" i="15"/>
  <c r="AB107" i="15"/>
  <c r="AB108" i="15"/>
  <c r="AB109" i="15"/>
  <c r="AB110" i="15"/>
  <c r="AB111" i="15"/>
  <c r="AB112" i="15"/>
  <c r="AB113" i="15"/>
  <c r="AB114" i="15"/>
  <c r="AB115" i="15"/>
  <c r="AB116" i="15"/>
  <c r="AB117" i="15"/>
  <c r="AB118" i="15"/>
  <c r="AB119" i="15"/>
  <c r="AB120" i="15"/>
  <c r="AB121" i="15"/>
  <c r="AB122" i="15"/>
  <c r="AB123" i="15"/>
  <c r="AB124" i="15"/>
  <c r="AB125" i="15"/>
  <c r="AB126" i="15"/>
  <c r="AB127" i="15"/>
  <c r="AB128" i="15"/>
  <c r="AB129" i="15"/>
  <c r="AB130" i="15"/>
  <c r="AB131" i="15"/>
  <c r="AB132" i="15"/>
  <c r="AB133" i="15"/>
  <c r="AB134" i="15"/>
  <c r="AB135" i="15"/>
  <c r="AB136" i="15"/>
  <c r="AB137" i="15"/>
  <c r="AB138" i="15"/>
  <c r="AB139" i="15"/>
  <c r="AB140" i="15"/>
  <c r="AB141" i="15"/>
  <c r="AB142" i="15"/>
  <c r="AB143" i="15"/>
  <c r="AB144" i="15"/>
  <c r="AB145" i="15"/>
  <c r="AB146" i="15"/>
  <c r="AB147" i="15"/>
  <c r="AB148" i="15"/>
  <c r="AB149" i="15"/>
  <c r="AB150" i="15"/>
  <c r="AB151" i="15"/>
  <c r="AB152" i="15"/>
  <c r="AB153" i="15"/>
  <c r="AB154" i="15"/>
  <c r="AB155" i="15"/>
  <c r="AB156" i="15"/>
  <c r="AB157" i="15"/>
  <c r="AB158" i="15"/>
  <c r="AB159" i="15"/>
  <c r="AB160" i="15"/>
  <c r="AB161" i="15"/>
  <c r="AB162" i="15"/>
  <c r="AB163" i="15"/>
  <c r="AB203" i="15"/>
  <c r="Z203" i="15"/>
  <c r="T203" i="15"/>
  <c r="V203" i="15"/>
  <c r="Y90" i="15"/>
  <c r="Y92" i="15"/>
  <c r="Y94" i="15"/>
  <c r="Y96" i="15"/>
  <c r="Y98" i="15"/>
  <c r="Y100" i="15"/>
  <c r="Y102" i="15"/>
  <c r="Y104" i="15"/>
  <c r="Y106" i="15"/>
  <c r="Y108" i="15"/>
  <c r="Y110" i="15"/>
  <c r="Y112" i="15"/>
  <c r="Y114" i="15"/>
  <c r="Y116" i="15"/>
  <c r="Y118" i="15"/>
  <c r="Y120" i="15"/>
  <c r="Y122" i="15"/>
  <c r="Y124" i="15"/>
  <c r="Y126" i="15"/>
  <c r="Y128" i="15"/>
  <c r="Y130" i="15"/>
  <c r="Y132" i="15"/>
  <c r="Y134" i="15"/>
  <c r="Y136" i="15"/>
  <c r="Y138" i="15"/>
  <c r="Y140" i="15"/>
  <c r="Y142" i="15"/>
  <c r="Y144" i="15"/>
  <c r="Y146" i="15"/>
  <c r="Y148" i="15"/>
  <c r="Y150" i="15"/>
  <c r="Y152" i="15"/>
  <c r="Y154" i="15"/>
  <c r="Y156" i="15"/>
  <c r="Y158" i="15"/>
  <c r="Y160" i="15"/>
  <c r="Y162" i="15"/>
  <c r="Y203" i="15"/>
  <c r="W90" i="15"/>
  <c r="W92" i="15"/>
  <c r="W94" i="15"/>
  <c r="W96" i="15"/>
  <c r="W98" i="15"/>
  <c r="W100" i="15"/>
  <c r="W102" i="15"/>
  <c r="W104" i="15"/>
  <c r="W106" i="15"/>
  <c r="W108" i="15"/>
  <c r="W110" i="15"/>
  <c r="W112" i="15"/>
  <c r="W114" i="15"/>
  <c r="W116" i="15"/>
  <c r="W118" i="15"/>
  <c r="W120" i="15"/>
  <c r="W122" i="15"/>
  <c r="W124" i="15"/>
  <c r="W126" i="15"/>
  <c r="W128" i="15"/>
  <c r="W130" i="15"/>
  <c r="W132" i="15"/>
  <c r="W134" i="15"/>
  <c r="W136" i="15"/>
  <c r="W138" i="15"/>
  <c r="W140" i="15"/>
  <c r="W142" i="15"/>
  <c r="W144" i="15"/>
  <c r="W146" i="15"/>
  <c r="W148" i="15"/>
  <c r="W150" i="15"/>
  <c r="W152" i="15"/>
  <c r="W154" i="15"/>
  <c r="W156" i="15"/>
  <c r="W158" i="15"/>
  <c r="W160" i="15"/>
  <c r="W162" i="15"/>
  <c r="W203" i="15"/>
  <c r="AC89" i="15"/>
  <c r="AC90" i="15"/>
  <c r="AC91" i="15"/>
  <c r="AC92" i="15"/>
  <c r="AC93" i="15"/>
  <c r="AC94" i="15"/>
  <c r="AC95" i="15"/>
  <c r="AC96" i="15"/>
  <c r="AC97" i="15"/>
  <c r="AC98" i="15"/>
  <c r="AC99" i="15"/>
  <c r="AC100" i="15"/>
  <c r="AC101" i="15"/>
  <c r="AC102" i="15"/>
  <c r="AC103" i="15"/>
  <c r="AC104" i="15"/>
  <c r="AC105" i="15"/>
  <c r="AC106" i="15"/>
  <c r="AC107" i="15"/>
  <c r="AC108" i="15"/>
  <c r="AC109" i="15"/>
  <c r="AC110" i="15"/>
  <c r="AC111" i="15"/>
  <c r="AC112" i="15"/>
  <c r="AC113" i="15"/>
  <c r="AC114" i="15"/>
  <c r="AC115" i="15"/>
  <c r="AC116" i="15"/>
  <c r="AC117" i="15"/>
  <c r="AC118" i="15"/>
  <c r="AC119" i="15"/>
  <c r="AC120" i="15"/>
  <c r="AC121" i="15"/>
  <c r="AC122" i="15"/>
  <c r="AC123" i="15"/>
  <c r="AC124" i="15"/>
  <c r="AC125" i="15"/>
  <c r="AC126" i="15"/>
  <c r="AC127" i="15"/>
  <c r="AC128" i="15"/>
  <c r="AC129" i="15"/>
  <c r="AC130" i="15"/>
  <c r="AC131" i="15"/>
  <c r="AC132" i="15"/>
  <c r="AC133" i="15"/>
  <c r="AC134" i="15"/>
  <c r="AC135" i="15"/>
  <c r="AC136" i="15"/>
  <c r="AC137" i="15"/>
  <c r="AC138" i="15"/>
  <c r="AC139" i="15"/>
  <c r="AC140" i="15"/>
  <c r="AC141" i="15"/>
  <c r="AC142" i="15"/>
  <c r="AC143" i="15"/>
  <c r="AC144" i="15"/>
  <c r="AC145" i="15"/>
  <c r="AC146" i="15"/>
  <c r="AC147" i="15"/>
  <c r="AC148" i="15"/>
  <c r="AC149" i="15"/>
  <c r="AC150" i="15"/>
  <c r="AC151" i="15"/>
  <c r="AC152" i="15"/>
  <c r="AC153" i="15"/>
  <c r="AC154" i="15"/>
  <c r="AC155" i="15"/>
  <c r="AC156" i="15"/>
  <c r="AC157" i="15"/>
  <c r="AC158" i="15"/>
  <c r="AC159" i="15"/>
  <c r="AC160" i="15"/>
  <c r="AC161" i="15"/>
  <c r="AC162" i="15"/>
  <c r="AC163" i="15"/>
  <c r="AC203" i="15"/>
  <c r="V194" i="15"/>
  <c r="Z200" i="15"/>
  <c r="AB200" i="15"/>
  <c r="T200" i="15"/>
  <c r="W200" i="15"/>
  <c r="V200" i="15"/>
  <c r="AA200" i="15"/>
  <c r="Y200" i="15"/>
  <c r="X200" i="15"/>
  <c r="AC200" i="15"/>
  <c r="AG117" i="17"/>
  <c r="AB194" i="15"/>
  <c r="X194" i="15"/>
  <c r="AG115" i="17"/>
  <c r="W194" i="15"/>
  <c r="AB197" i="15"/>
  <c r="AC197" i="15"/>
  <c r="Z197" i="15"/>
  <c r="Y197" i="15"/>
  <c r="V197" i="15"/>
  <c r="AA197" i="15"/>
  <c r="X197" i="15"/>
  <c r="T197" i="15"/>
  <c r="AG116" i="17"/>
  <c r="W197" i="15"/>
  <c r="AB185" i="15"/>
  <c r="W185" i="15"/>
  <c r="T179" i="15"/>
  <c r="AC179" i="15"/>
  <c r="Y185" i="15"/>
  <c r="Y179" i="15"/>
  <c r="Z191" i="15"/>
  <c r="V191" i="15"/>
  <c r="X191" i="15"/>
  <c r="AA191" i="15"/>
  <c r="W191" i="15"/>
  <c r="AB191" i="15"/>
  <c r="AC191" i="15"/>
  <c r="Y191" i="15"/>
  <c r="T191" i="15"/>
  <c r="AG114" i="17"/>
  <c r="Z185" i="15"/>
  <c r="V185" i="15"/>
  <c r="AC188" i="15"/>
  <c r="X188" i="15"/>
  <c r="Y188" i="15"/>
  <c r="V188" i="15"/>
  <c r="AA188" i="15"/>
  <c r="Z188" i="15"/>
  <c r="W188" i="15"/>
  <c r="T188" i="15"/>
  <c r="AB188" i="15"/>
  <c r="AG113" i="17"/>
  <c r="V179" i="15"/>
  <c r="AA179" i="15"/>
  <c r="Z179" i="15"/>
  <c r="X179" i="15"/>
  <c r="W179" i="15"/>
  <c r="W182" i="15"/>
  <c r="V182" i="15"/>
  <c r="Y182" i="15"/>
  <c r="AG111" i="17"/>
  <c r="T182" i="15"/>
  <c r="AC182" i="15"/>
  <c r="Z182" i="15"/>
  <c r="X182" i="15"/>
  <c r="AB182" i="15"/>
  <c r="AA182" i="15"/>
  <c r="T173" i="15"/>
  <c r="V176" i="15"/>
  <c r="Z176" i="15"/>
  <c r="W176" i="15"/>
  <c r="AC176" i="15"/>
  <c r="X176" i="15"/>
  <c r="AB176" i="15"/>
  <c r="AG109" i="17"/>
  <c r="Y176" i="15"/>
  <c r="T176" i="15"/>
  <c r="AA176" i="15"/>
  <c r="O131" i="17"/>
  <c r="O139" i="17"/>
  <c r="O137" i="17"/>
  <c r="O133" i="17"/>
  <c r="O135" i="17"/>
  <c r="E227" i="15"/>
  <c r="G227" i="15"/>
  <c r="E230" i="15"/>
  <c r="K230" i="15"/>
  <c r="E221" i="15"/>
  <c r="F221" i="15"/>
  <c r="J221" i="15"/>
  <c r="E224"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C129" i="15"/>
  <c r="C130" i="15"/>
  <c r="C131" i="15"/>
  <c r="C132" i="15"/>
  <c r="C133" i="15"/>
  <c r="C134" i="15"/>
  <c r="C135" i="15"/>
  <c r="C136" i="15"/>
  <c r="C137" i="15"/>
  <c r="C138" i="15"/>
  <c r="C139" i="15"/>
  <c r="C140" i="15"/>
  <c r="C141" i="15"/>
  <c r="C142" i="15"/>
  <c r="C143" i="15"/>
  <c r="C144" i="15"/>
  <c r="C145" i="15"/>
  <c r="C146" i="15"/>
  <c r="C147" i="15"/>
  <c r="C148" i="15"/>
  <c r="C149" i="15"/>
  <c r="C150" i="15"/>
  <c r="C151" i="15"/>
  <c r="C152" i="15"/>
  <c r="C153" i="15"/>
  <c r="C154" i="15"/>
  <c r="C155" i="15"/>
  <c r="C156" i="15"/>
  <c r="C157" i="15"/>
  <c r="C158" i="15"/>
  <c r="C159" i="15"/>
  <c r="C160" i="15"/>
  <c r="C161" i="15"/>
  <c r="C162" i="15"/>
  <c r="C163" i="15"/>
  <c r="E215" i="15"/>
  <c r="E218" i="15"/>
  <c r="G218" i="15"/>
  <c r="E209" i="15"/>
  <c r="M89" i="15"/>
  <c r="M90" i="15"/>
  <c r="M91" i="15"/>
  <c r="M92" i="15"/>
  <c r="M93" i="15"/>
  <c r="M94" i="15"/>
  <c r="M95" i="15"/>
  <c r="M96" i="15"/>
  <c r="M97" i="15"/>
  <c r="M98" i="15"/>
  <c r="M99" i="15"/>
  <c r="M100" i="15"/>
  <c r="M101" i="15"/>
  <c r="M102" i="15"/>
  <c r="M103" i="15"/>
  <c r="M104" i="15"/>
  <c r="M105" i="15"/>
  <c r="M106" i="15"/>
  <c r="M107" i="15"/>
  <c r="M108" i="15"/>
  <c r="M109" i="15"/>
  <c r="M110" i="15"/>
  <c r="M111" i="15"/>
  <c r="M112" i="15"/>
  <c r="M113" i="15"/>
  <c r="M114" i="15"/>
  <c r="M115" i="15"/>
  <c r="M116" i="15"/>
  <c r="M117" i="15"/>
  <c r="M118" i="15"/>
  <c r="M119" i="15"/>
  <c r="M120" i="15"/>
  <c r="M121" i="15"/>
  <c r="M122" i="15"/>
  <c r="M123" i="15"/>
  <c r="M124" i="15"/>
  <c r="M125" i="15"/>
  <c r="M126" i="15"/>
  <c r="M127" i="15"/>
  <c r="M128" i="15"/>
  <c r="M129" i="15"/>
  <c r="M130" i="15"/>
  <c r="M131" i="15"/>
  <c r="M132" i="15"/>
  <c r="M133" i="15"/>
  <c r="M134" i="15"/>
  <c r="M135" i="15"/>
  <c r="M136" i="15"/>
  <c r="M137" i="15"/>
  <c r="M138" i="15"/>
  <c r="M139" i="15"/>
  <c r="M140" i="15"/>
  <c r="M141" i="15"/>
  <c r="M142" i="15"/>
  <c r="M143" i="15"/>
  <c r="M144" i="15"/>
  <c r="M145" i="15"/>
  <c r="M146" i="15"/>
  <c r="M147" i="15"/>
  <c r="M148" i="15"/>
  <c r="M149" i="15"/>
  <c r="M150" i="15"/>
  <c r="M151" i="15"/>
  <c r="M152" i="15"/>
  <c r="M153" i="15"/>
  <c r="M154" i="15"/>
  <c r="M155" i="15"/>
  <c r="M156" i="15"/>
  <c r="M157" i="15"/>
  <c r="M158" i="15"/>
  <c r="M159" i="15"/>
  <c r="M160" i="15"/>
  <c r="M161" i="15"/>
  <c r="M162" i="15"/>
  <c r="M163" i="15"/>
  <c r="M209" i="15"/>
  <c r="E212" i="15"/>
  <c r="G212" i="15"/>
  <c r="E203" i="15"/>
  <c r="L203" i="15"/>
  <c r="E206" i="15"/>
  <c r="D206" i="15"/>
  <c r="E197" i="15"/>
  <c r="J197" i="15"/>
  <c r="N116" i="17"/>
  <c r="E200" i="15"/>
  <c r="E191" i="15"/>
  <c r="E194" i="15"/>
  <c r="M194" i="15"/>
  <c r="E185" i="15"/>
  <c r="D185" i="15"/>
  <c r="E188" i="15"/>
  <c r="K188" i="15"/>
  <c r="E179" i="15"/>
  <c r="F179" i="15"/>
  <c r="E182" i="15"/>
  <c r="E173" i="15"/>
  <c r="I173" i="15"/>
  <c r="L173" i="15"/>
  <c r="E176" i="15"/>
  <c r="J58" i="17"/>
  <c r="L58" i="17"/>
  <c r="J73" i="17"/>
  <c r="L73" i="17"/>
  <c r="J60" i="17"/>
  <c r="L60" i="17"/>
  <c r="G70" i="17"/>
  <c r="J70" i="17"/>
  <c r="L70" i="17"/>
  <c r="J67" i="17"/>
  <c r="L67" i="17"/>
  <c r="J63" i="17"/>
  <c r="D63" i="17"/>
  <c r="L63" i="17"/>
  <c r="J71" i="17"/>
  <c r="L71" i="17"/>
  <c r="J56" i="17"/>
  <c r="L56" i="17"/>
  <c r="J65" i="17"/>
  <c r="D65" i="17"/>
  <c r="L65" i="17"/>
  <c r="J68" i="17"/>
  <c r="L68" i="17"/>
  <c r="J74" i="17"/>
  <c r="L74" i="17"/>
  <c r="J72" i="17"/>
  <c r="L72" i="17"/>
  <c r="J64" i="17"/>
  <c r="L64" i="17"/>
  <c r="J69" i="17"/>
  <c r="D69" i="17"/>
  <c r="L69" i="17"/>
  <c r="N126" i="17"/>
  <c r="I227" i="15"/>
  <c r="K227" i="15"/>
  <c r="L227" i="15"/>
  <c r="J227" i="15"/>
  <c r="M221" i="15"/>
  <c r="K215" i="15"/>
  <c r="H230" i="15"/>
  <c r="N122" i="17"/>
  <c r="J215" i="15"/>
  <c r="N124" i="17"/>
  <c r="H221" i="15"/>
  <c r="L221" i="15"/>
  <c r="K221" i="15"/>
  <c r="G221" i="15"/>
  <c r="L224" i="15"/>
  <c r="K224" i="15"/>
  <c r="I224" i="15"/>
  <c r="M224" i="15"/>
  <c r="H224" i="15"/>
  <c r="J224" i="15"/>
  <c r="D224" i="15"/>
  <c r="G224" i="15"/>
  <c r="F224" i="15"/>
  <c r="I221" i="15"/>
  <c r="D209"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209" i="15"/>
  <c r="M215" i="15"/>
  <c r="I218" i="15"/>
  <c r="H218" i="15"/>
  <c r="F218" i="15"/>
  <c r="D218" i="15"/>
  <c r="F92" i="15"/>
  <c r="F100" i="15"/>
  <c r="F114" i="15"/>
  <c r="F209" i="15"/>
  <c r="H90" i="15"/>
  <c r="H92" i="15"/>
  <c r="H94" i="15"/>
  <c r="H96" i="15"/>
  <c r="H98" i="15"/>
  <c r="H100" i="15"/>
  <c r="H102" i="15"/>
  <c r="H104" i="15"/>
  <c r="H106" i="15"/>
  <c r="H108" i="15"/>
  <c r="H110" i="15"/>
  <c r="H112" i="15"/>
  <c r="H114" i="15"/>
  <c r="H116" i="15"/>
  <c r="H118" i="15"/>
  <c r="H120" i="15"/>
  <c r="H122" i="15"/>
  <c r="H124" i="15"/>
  <c r="H126" i="15"/>
  <c r="H128" i="15"/>
  <c r="H130" i="15"/>
  <c r="H132" i="15"/>
  <c r="H134" i="15"/>
  <c r="H136" i="15"/>
  <c r="H138" i="15"/>
  <c r="H140" i="15"/>
  <c r="H142" i="15"/>
  <c r="H144" i="15"/>
  <c r="H146" i="15"/>
  <c r="H148" i="15"/>
  <c r="H150" i="15"/>
  <c r="H152" i="15"/>
  <c r="H154" i="15"/>
  <c r="H156" i="15"/>
  <c r="H158" i="15"/>
  <c r="H160" i="15"/>
  <c r="H162" i="15"/>
  <c r="H209" i="15"/>
  <c r="N120" i="17"/>
  <c r="G90" i="15"/>
  <c r="G92" i="15"/>
  <c r="G94" i="15"/>
  <c r="G96" i="15"/>
  <c r="G98" i="15"/>
  <c r="G100" i="15"/>
  <c r="G102" i="15"/>
  <c r="G104" i="15"/>
  <c r="G106" i="15"/>
  <c r="G108" i="15"/>
  <c r="G110" i="15"/>
  <c r="G112" i="15"/>
  <c r="G114" i="15"/>
  <c r="G116" i="15"/>
  <c r="G118" i="15"/>
  <c r="G120" i="15"/>
  <c r="G122" i="15"/>
  <c r="G124" i="15"/>
  <c r="G126" i="15"/>
  <c r="G128" i="15"/>
  <c r="G130" i="15"/>
  <c r="G132" i="15"/>
  <c r="G134" i="15"/>
  <c r="G136" i="15"/>
  <c r="G138" i="15"/>
  <c r="G140" i="15"/>
  <c r="G142" i="15"/>
  <c r="G144" i="15"/>
  <c r="G146" i="15"/>
  <c r="G148" i="15"/>
  <c r="G150" i="15"/>
  <c r="G152" i="15"/>
  <c r="G154" i="15"/>
  <c r="G156" i="15"/>
  <c r="G158" i="15"/>
  <c r="G160" i="15"/>
  <c r="G162" i="15"/>
  <c r="G209" i="15"/>
  <c r="F90" i="15"/>
  <c r="I90" i="15"/>
  <c r="I92" i="15"/>
  <c r="F94" i="15"/>
  <c r="I94" i="15"/>
  <c r="F96" i="15"/>
  <c r="I96" i="15"/>
  <c r="F98" i="15"/>
  <c r="I98" i="15"/>
  <c r="I100" i="15"/>
  <c r="I102" i="15"/>
  <c r="I104" i="15"/>
  <c r="I106" i="15"/>
  <c r="I108" i="15"/>
  <c r="I110" i="15"/>
  <c r="F112" i="15"/>
  <c r="I112" i="15"/>
  <c r="I114" i="15"/>
  <c r="F116" i="15"/>
  <c r="I116" i="15"/>
  <c r="F118" i="15"/>
  <c r="I118" i="15"/>
  <c r="F120" i="15"/>
  <c r="I120" i="15"/>
  <c r="F122" i="15"/>
  <c r="I122" i="15"/>
  <c r="I124" i="15"/>
  <c r="I126" i="15"/>
  <c r="I128" i="15"/>
  <c r="I130" i="15"/>
  <c r="I132" i="15"/>
  <c r="I134" i="15"/>
  <c r="I136" i="15"/>
  <c r="I138" i="15"/>
  <c r="I140" i="15"/>
  <c r="I142" i="15"/>
  <c r="I144" i="15"/>
  <c r="I146" i="15"/>
  <c r="I148" i="15"/>
  <c r="I150" i="15"/>
  <c r="I152" i="15"/>
  <c r="I154" i="15"/>
  <c r="I156" i="15"/>
  <c r="I158" i="15"/>
  <c r="I160" i="15"/>
  <c r="I162" i="15"/>
  <c r="I209" i="15"/>
  <c r="L89" i="15"/>
  <c r="L90" i="15"/>
  <c r="L91" i="15"/>
  <c r="L92" i="15"/>
  <c r="L93" i="15"/>
  <c r="L94" i="15"/>
  <c r="L95" i="15"/>
  <c r="L96" i="15"/>
  <c r="L97" i="15"/>
  <c r="L98" i="15"/>
  <c r="L99" i="15"/>
  <c r="L100" i="15"/>
  <c r="L101" i="15"/>
  <c r="L102" i="15"/>
  <c r="L103" i="15"/>
  <c r="L104" i="15"/>
  <c r="L105" i="15"/>
  <c r="L106" i="15"/>
  <c r="L107" i="15"/>
  <c r="L108" i="15"/>
  <c r="L109" i="15"/>
  <c r="L110" i="15"/>
  <c r="L111" i="15"/>
  <c r="L112" i="15"/>
  <c r="L113" i="15"/>
  <c r="L114" i="15"/>
  <c r="L115" i="15"/>
  <c r="L116" i="15"/>
  <c r="L117" i="15"/>
  <c r="L118" i="15"/>
  <c r="L119" i="15"/>
  <c r="L120" i="15"/>
  <c r="L121" i="15"/>
  <c r="L122" i="15"/>
  <c r="L123" i="15"/>
  <c r="L124" i="15"/>
  <c r="L125" i="15"/>
  <c r="L126" i="15"/>
  <c r="L127" i="15"/>
  <c r="L128" i="15"/>
  <c r="L129" i="15"/>
  <c r="L130" i="15"/>
  <c r="L131" i="15"/>
  <c r="L132" i="15"/>
  <c r="L133" i="15"/>
  <c r="L134" i="15"/>
  <c r="L135" i="15"/>
  <c r="L136" i="15"/>
  <c r="L137" i="15"/>
  <c r="L138" i="15"/>
  <c r="L139" i="15"/>
  <c r="L140" i="15"/>
  <c r="L141" i="15"/>
  <c r="L142" i="15"/>
  <c r="L143" i="15"/>
  <c r="L144" i="15"/>
  <c r="L145" i="15"/>
  <c r="L146" i="15"/>
  <c r="L147" i="15"/>
  <c r="L148" i="15"/>
  <c r="L149" i="15"/>
  <c r="L150" i="15"/>
  <c r="L151" i="15"/>
  <c r="L152" i="15"/>
  <c r="L153" i="15"/>
  <c r="L154" i="15"/>
  <c r="L155" i="15"/>
  <c r="L156" i="15"/>
  <c r="L157" i="15"/>
  <c r="L158" i="15"/>
  <c r="L159" i="15"/>
  <c r="L160" i="15"/>
  <c r="L161" i="15"/>
  <c r="L162" i="15"/>
  <c r="L163" i="15"/>
  <c r="L209" i="15"/>
  <c r="D212" i="15"/>
  <c r="I212" i="15"/>
  <c r="H212" i="15"/>
  <c r="F212" i="15"/>
  <c r="L212" i="15"/>
  <c r="K212" i="15"/>
  <c r="J212"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209" i="15"/>
  <c r="D203" i="15"/>
  <c r="F203" i="15"/>
  <c r="G203" i="15"/>
  <c r="N118" i="17"/>
  <c r="K203" i="15"/>
  <c r="L197" i="15"/>
  <c r="M197" i="15"/>
  <c r="I197" i="15"/>
  <c r="D197" i="15"/>
  <c r="K197" i="15"/>
  <c r="I200" i="15"/>
  <c r="L200" i="15"/>
  <c r="G200" i="15"/>
  <c r="H200" i="15"/>
  <c r="K200" i="15"/>
  <c r="M200" i="15"/>
  <c r="D200" i="15"/>
  <c r="J200" i="15"/>
  <c r="F200" i="15"/>
  <c r="G197" i="15"/>
  <c r="H191" i="15"/>
  <c r="N114" i="17"/>
  <c r="L194" i="15"/>
  <c r="D194" i="15"/>
  <c r="K194" i="15"/>
  <c r="G194" i="15"/>
  <c r="H194" i="15"/>
  <c r="G185" i="15"/>
  <c r="J185" i="15"/>
  <c r="H185" i="15"/>
  <c r="N112" i="17"/>
  <c r="F106" i="15"/>
  <c r="F185" i="15"/>
  <c r="K185" i="15"/>
  <c r="I185" i="15"/>
  <c r="L185" i="15"/>
  <c r="M185" i="15"/>
  <c r="J188" i="15"/>
  <c r="L188" i="15"/>
  <c r="I188" i="15"/>
  <c r="D188" i="15"/>
  <c r="M188" i="15"/>
  <c r="F188" i="15"/>
  <c r="M179" i="15"/>
  <c r="D179" i="15"/>
  <c r="I179" i="15"/>
  <c r="J182" i="15"/>
  <c r="L182" i="15"/>
  <c r="F104" i="15"/>
  <c r="F182" i="15"/>
  <c r="N110" i="17"/>
  <c r="N108" i="17"/>
  <c r="M173" i="15"/>
  <c r="J173" i="15"/>
  <c r="G173" i="15"/>
  <c r="H173" i="15"/>
  <c r="K173" i="15"/>
  <c r="D173" i="15"/>
  <c r="K176" i="15"/>
  <c r="J176" i="15"/>
  <c r="I176" i="15"/>
  <c r="H176" i="15"/>
  <c r="L176" i="15"/>
  <c r="D176" i="15"/>
  <c r="M176" i="15"/>
  <c r="F176" i="15"/>
  <c r="G176" i="15"/>
  <c r="AH35" i="17"/>
  <c r="AH43" i="17"/>
  <c r="AH44" i="17"/>
  <c r="AH46" i="17"/>
  <c r="AH47" i="17"/>
  <c r="AH48" i="17"/>
  <c r="AH49" i="17"/>
  <c r="AH50" i="17"/>
  <c r="AH51" i="17"/>
  <c r="O141" i="17"/>
  <c r="O143" i="17"/>
  <c r="O145" i="17"/>
  <c r="O147" i="17"/>
  <c r="O149" i="17"/>
  <c r="H6" i="7"/>
  <c r="H8" i="7"/>
  <c r="C4" i="15"/>
  <c r="C6" i="15"/>
  <c r="C7" i="15"/>
  <c r="C8" i="15"/>
  <c r="C10"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E184" i="15"/>
  <c r="D184" i="15"/>
  <c r="D186" i="15"/>
  <c r="H10" i="7"/>
  <c r="E190" i="15"/>
  <c r="D190" i="15"/>
  <c r="D191" i="15"/>
  <c r="D192" i="15"/>
  <c r="H12" i="7"/>
  <c r="H14" i="7"/>
  <c r="C16" i="7"/>
  <c r="E202" i="15"/>
  <c r="D202" i="15"/>
  <c r="D204" i="15"/>
  <c r="H16" i="7"/>
  <c r="E208" i="15"/>
  <c r="D208" i="15"/>
  <c r="D210" i="15"/>
  <c r="H18" i="7"/>
  <c r="C20" i="7"/>
  <c r="H20" i="7"/>
  <c r="L118" i="17"/>
  <c r="Q118" i="17"/>
  <c r="L120" i="17"/>
  <c r="Q120" i="17"/>
  <c r="L122" i="17"/>
  <c r="Q122" i="17"/>
  <c r="AE109" i="17"/>
  <c r="AJ109" i="17"/>
  <c r="AE111" i="17"/>
  <c r="AJ111" i="17"/>
  <c r="AE113" i="17"/>
  <c r="AJ113" i="17"/>
  <c r="AE114" i="17"/>
  <c r="AJ114" i="17"/>
  <c r="AE115" i="17"/>
  <c r="AJ115" i="17"/>
  <c r="AE116" i="17"/>
  <c r="AJ116" i="17"/>
  <c r="AE117" i="17"/>
  <c r="AJ117" i="17"/>
  <c r="AE118" i="17"/>
  <c r="AJ118" i="17"/>
  <c r="AE120" i="17"/>
  <c r="AJ120" i="17"/>
  <c r="AE122" i="17"/>
  <c r="AJ122" i="17"/>
  <c r="E26" i="7"/>
  <c r="L124" i="17"/>
  <c r="M124" i="17"/>
  <c r="Q124" i="17"/>
  <c r="R124" i="17"/>
  <c r="AF117" i="17"/>
  <c r="AK114" i="17"/>
  <c r="AK120" i="17"/>
  <c r="AF113" i="17"/>
  <c r="M23" i="17"/>
  <c r="L25" i="17"/>
  <c r="M25" i="17"/>
  <c r="R21" i="17"/>
  <c r="M24" i="17"/>
  <c r="M22" i="17"/>
  <c r="R19" i="17"/>
  <c r="M20" i="17"/>
  <c r="L26" i="17"/>
  <c r="M26" i="17"/>
  <c r="M118" i="17"/>
  <c r="R118" i="17"/>
  <c r="M122" i="17"/>
  <c r="R122" i="17"/>
  <c r="L126" i="17"/>
  <c r="M126" i="17"/>
  <c r="AK9" i="17"/>
  <c r="AF10" i="17"/>
  <c r="AK10" i="17"/>
  <c r="AK122" i="17"/>
  <c r="AF122" i="17"/>
  <c r="AE25" i="17"/>
  <c r="AF25" i="17"/>
  <c r="AJ25" i="17"/>
  <c r="AK25" i="17"/>
  <c r="AF114" i="17"/>
  <c r="AF11" i="17"/>
  <c r="AE28" i="17"/>
  <c r="AF28" i="17"/>
  <c r="AJ28" i="17"/>
  <c r="AK28" i="17"/>
  <c r="AK117" i="17"/>
  <c r="AD117" i="17"/>
  <c r="AE26" i="17"/>
  <c r="AF26" i="17"/>
  <c r="AJ26" i="17"/>
  <c r="AK26" i="17"/>
  <c r="AF118" i="17"/>
  <c r="AK24" i="17"/>
  <c r="AK21" i="17"/>
  <c r="AF19" i="17"/>
  <c r="AK19" i="17"/>
  <c r="AF12" i="17"/>
  <c r="AK12" i="17"/>
  <c r="AE126" i="17"/>
  <c r="AF126" i="17"/>
  <c r="AF22" i="17"/>
  <c r="AK113" i="17"/>
  <c r="AF120" i="17"/>
  <c r="AF16" i="17"/>
  <c r="R23" i="17"/>
  <c r="Q25" i="17"/>
  <c r="R25" i="17"/>
  <c r="Q26" i="17"/>
  <c r="R26" i="17"/>
  <c r="M21" i="17"/>
  <c r="R24" i="17"/>
  <c r="M19" i="17"/>
  <c r="K28" i="17"/>
  <c r="R20" i="17"/>
  <c r="L28" i="17"/>
  <c r="M28" i="17"/>
  <c r="R22" i="17"/>
  <c r="K27" i="17"/>
  <c r="K120" i="17"/>
  <c r="K122" i="17"/>
  <c r="K124" i="17"/>
  <c r="M120" i="17"/>
  <c r="R120" i="17"/>
  <c r="K118" i="17"/>
  <c r="Q126" i="17"/>
  <c r="R126" i="17"/>
  <c r="P118" i="17"/>
  <c r="P124" i="17"/>
  <c r="AF9" i="17"/>
  <c r="AF109" i="17"/>
  <c r="AK109" i="17"/>
  <c r="AF14" i="17"/>
  <c r="AK14" i="17"/>
  <c r="AF15" i="17"/>
  <c r="AK15" i="17"/>
  <c r="AI114" i="17"/>
  <c r="AK115" i="17"/>
  <c r="AF115" i="17"/>
  <c r="AK17" i="17"/>
  <c r="AF17" i="17"/>
  <c r="AF18" i="17"/>
  <c r="AK20" i="17"/>
  <c r="AF20" i="17"/>
  <c r="AF23" i="17"/>
  <c r="AK23" i="17"/>
  <c r="AD25" i="17"/>
  <c r="AD116" i="17"/>
  <c r="AE124" i="17"/>
  <c r="AF124" i="17"/>
  <c r="AI122" i="17"/>
  <c r="AD120" i="17"/>
  <c r="AI113" i="17"/>
  <c r="AK11" i="17"/>
  <c r="AK118" i="17"/>
  <c r="AD118" i="17"/>
  <c r="AF111" i="17"/>
  <c r="AI117" i="17"/>
  <c r="AD115" i="17"/>
  <c r="AK111" i="17"/>
  <c r="AI111" i="17"/>
  <c r="AD111" i="17"/>
  <c r="AI109" i="17"/>
  <c r="AI124" i="17"/>
  <c r="AI116" i="17"/>
  <c r="AI118" i="17"/>
  <c r="AI126" i="17"/>
  <c r="AD109" i="17"/>
  <c r="AD14" i="17"/>
  <c r="AD28" i="17"/>
  <c r="AF116" i="17"/>
  <c r="AD114" i="17"/>
  <c r="AD113" i="17"/>
  <c r="AK22" i="17"/>
  <c r="AI120" i="17"/>
  <c r="AD122" i="17"/>
  <c r="AK116" i="17"/>
  <c r="AD126" i="17"/>
  <c r="AI115" i="17"/>
  <c r="AF24" i="17"/>
  <c r="AK16" i="17"/>
  <c r="AD124" i="17"/>
  <c r="AD9" i="17"/>
  <c r="AJ126" i="17"/>
  <c r="AK126" i="17"/>
  <c r="AF21" i="17"/>
  <c r="AK18" i="17"/>
  <c r="AE27" i="17"/>
  <c r="AF27" i="17"/>
  <c r="AD23" i="17"/>
  <c r="AJ124" i="17"/>
  <c r="AK124" i="17"/>
  <c r="AI27" i="17"/>
  <c r="AD16" i="17"/>
  <c r="AD17" i="17"/>
  <c r="AD15" i="17"/>
  <c r="AD10" i="17"/>
  <c r="AI9" i="17"/>
  <c r="AD27" i="17"/>
  <c r="AI19" i="17"/>
  <c r="AI28" i="17"/>
  <c r="AI15" i="17"/>
  <c r="AI11" i="17"/>
  <c r="AD19" i="17"/>
  <c r="AJ27" i="17"/>
  <c r="AK27" i="17"/>
  <c r="AI22" i="17"/>
  <c r="AI26" i="17"/>
  <c r="AI10" i="17"/>
  <c r="AI23" i="17"/>
  <c r="AI12" i="17"/>
  <c r="AD18" i="17"/>
  <c r="AD24" i="17"/>
  <c r="AK13" i="17"/>
  <c r="AF13" i="17"/>
  <c r="AD26" i="17"/>
  <c r="AD21" i="17"/>
  <c r="AI13" i="17"/>
  <c r="AI17" i="17"/>
  <c r="AI20" i="17"/>
  <c r="AD13" i="17"/>
  <c r="AI24" i="17"/>
  <c r="AD20" i="17"/>
  <c r="AD22" i="17"/>
  <c r="AI21" i="17"/>
  <c r="AI18" i="17"/>
  <c r="AI25" i="17"/>
  <c r="AD11" i="17"/>
  <c r="AD12" i="17"/>
  <c r="AI16" i="17"/>
  <c r="K26" i="17"/>
  <c r="K126" i="17"/>
  <c r="K19" i="17"/>
  <c r="K20" i="17"/>
  <c r="K23" i="17"/>
  <c r="L27" i="17"/>
  <c r="Q27" i="17"/>
  <c r="R27" i="17"/>
  <c r="K25" i="17"/>
  <c r="K21" i="17"/>
  <c r="K24" i="17"/>
  <c r="Q28" i="17"/>
  <c r="R28" i="17"/>
  <c r="K22" i="17"/>
  <c r="M27" i="17"/>
  <c r="P126" i="17"/>
  <c r="P120" i="17"/>
  <c r="P122" i="17"/>
  <c r="P22" i="17"/>
  <c r="P27" i="17"/>
  <c r="P28" i="17"/>
  <c r="P24" i="17"/>
  <c r="P19" i="17"/>
  <c r="AI14" i="17"/>
  <c r="P25" i="17"/>
  <c r="P21" i="17"/>
  <c r="P20" i="17"/>
  <c r="P23" i="17"/>
  <c r="P26" i="17"/>
  <c r="D79" i="17"/>
  <c r="D33" i="17"/>
  <c r="L33" i="17"/>
  <c r="D81" i="17"/>
  <c r="D35" i="17"/>
  <c r="L35" i="17"/>
  <c r="D83" i="17"/>
  <c r="D37" i="17"/>
  <c r="L37" i="17"/>
  <c r="D85" i="17"/>
  <c r="D39" i="17"/>
  <c r="F85" i="17"/>
  <c r="F39" i="17"/>
  <c r="G85" i="17"/>
  <c r="G39" i="17"/>
  <c r="H85" i="17"/>
  <c r="H39" i="17"/>
  <c r="I85" i="17"/>
  <c r="I39" i="17"/>
  <c r="J39" i="17"/>
  <c r="L39" i="17"/>
  <c r="D86" i="17"/>
  <c r="D40" i="17"/>
  <c r="L40" i="17"/>
  <c r="D88" i="17"/>
  <c r="D42" i="17"/>
  <c r="L42" i="17"/>
  <c r="D43" i="17"/>
  <c r="L43" i="17"/>
  <c r="F90" i="17"/>
  <c r="F44" i="17"/>
  <c r="G90" i="17"/>
  <c r="G44" i="17"/>
  <c r="H90" i="17"/>
  <c r="H44" i="17"/>
  <c r="I90" i="17"/>
  <c r="I44" i="17"/>
  <c r="J44" i="17"/>
  <c r="L44" i="17"/>
  <c r="D92" i="17"/>
  <c r="D46" i="17"/>
  <c r="F92" i="17"/>
  <c r="F46" i="17"/>
  <c r="G92" i="17"/>
  <c r="G46" i="17"/>
  <c r="H92" i="17"/>
  <c r="H46" i="17"/>
  <c r="I92" i="17"/>
  <c r="I46" i="17"/>
  <c r="J46" i="17"/>
  <c r="L46" i="17"/>
  <c r="D93" i="17"/>
  <c r="D47" i="17"/>
  <c r="F93" i="17"/>
  <c r="F47" i="17"/>
  <c r="G93" i="17"/>
  <c r="G47" i="17"/>
  <c r="H93" i="17"/>
  <c r="H47" i="17"/>
  <c r="I93" i="17"/>
  <c r="I47" i="17"/>
  <c r="J47" i="17"/>
  <c r="L47" i="17"/>
  <c r="D94" i="17"/>
  <c r="D48" i="17"/>
  <c r="F94" i="17"/>
  <c r="F48" i="17"/>
  <c r="G94" i="17"/>
  <c r="G48" i="17"/>
  <c r="H94" i="17"/>
  <c r="H48" i="17"/>
  <c r="I94" i="17"/>
  <c r="I48" i="17"/>
  <c r="J48" i="17"/>
  <c r="L48" i="17"/>
  <c r="D95" i="17"/>
  <c r="D49" i="17"/>
  <c r="F95" i="17"/>
  <c r="F49" i="17"/>
  <c r="G95" i="17"/>
  <c r="G49" i="17"/>
  <c r="H95" i="17"/>
  <c r="H49" i="17"/>
  <c r="I95" i="17"/>
  <c r="I49" i="17"/>
  <c r="J49" i="17"/>
  <c r="L49" i="17"/>
  <c r="D96" i="17"/>
  <c r="D50" i="17"/>
  <c r="F96" i="17"/>
  <c r="F50" i="17"/>
  <c r="G96" i="17"/>
  <c r="G50" i="17"/>
  <c r="H96" i="17"/>
  <c r="H50" i="17"/>
  <c r="I96" i="17"/>
  <c r="I50" i="17"/>
  <c r="J50" i="17"/>
  <c r="L50" i="17"/>
  <c r="D97" i="17"/>
  <c r="D51" i="17"/>
  <c r="F97" i="17"/>
  <c r="F51" i="17"/>
  <c r="G97" i="17"/>
  <c r="G51" i="17"/>
  <c r="H97" i="17"/>
  <c r="H51" i="17"/>
  <c r="I97" i="17"/>
  <c r="I51" i="17"/>
  <c r="J51" i="17"/>
  <c r="L51" i="17"/>
  <c r="J79" i="17"/>
  <c r="L79" i="17"/>
  <c r="J81" i="17"/>
  <c r="L81" i="17"/>
  <c r="J83" i="17"/>
  <c r="L83" i="17"/>
  <c r="J85" i="17"/>
  <c r="L85" i="17"/>
  <c r="J86" i="17"/>
  <c r="L86" i="17"/>
  <c r="J88" i="17"/>
  <c r="L88" i="17"/>
  <c r="J90" i="17"/>
  <c r="L90" i="17"/>
  <c r="J91" i="17"/>
  <c r="L91" i="17"/>
  <c r="J92" i="17"/>
  <c r="L92" i="17"/>
  <c r="J93" i="17"/>
  <c r="L93" i="17"/>
  <c r="J94" i="17"/>
  <c r="L94" i="17"/>
  <c r="J95" i="17"/>
  <c r="L95" i="17"/>
  <c r="J96" i="17"/>
  <c r="L96" i="17"/>
  <c r="J97" i="17"/>
  <c r="L97" i="17"/>
  <c r="W58" i="17"/>
  <c r="Y58" i="17"/>
  <c r="Z58" i="17"/>
  <c r="AA58" i="17"/>
  <c r="AB58" i="17"/>
  <c r="AC58" i="17"/>
  <c r="AE58" i="17"/>
  <c r="AJ58" i="17"/>
  <c r="AC61" i="17"/>
  <c r="AE61" i="17"/>
  <c r="AJ61" i="17"/>
  <c r="AC63" i="17"/>
  <c r="AE63" i="17"/>
  <c r="AJ63" i="17"/>
  <c r="AC65" i="17"/>
  <c r="AE65" i="17"/>
  <c r="AJ65" i="17"/>
  <c r="W66" i="17"/>
  <c r="AC66" i="17"/>
  <c r="AE66" i="17"/>
  <c r="AJ66" i="17"/>
  <c r="W67" i="17"/>
  <c r="AC67" i="17"/>
  <c r="AE67" i="17"/>
  <c r="AJ67" i="17"/>
  <c r="W68" i="17"/>
  <c r="Y68" i="17"/>
  <c r="Z68" i="17"/>
  <c r="AA68" i="17"/>
  <c r="AB68" i="17"/>
  <c r="AC68" i="17"/>
  <c r="AE68" i="17"/>
  <c r="AJ68" i="17"/>
  <c r="W69" i="17"/>
  <c r="Y69" i="17"/>
  <c r="Z69" i="17"/>
  <c r="AA69" i="17"/>
  <c r="AB69" i="17"/>
  <c r="AC69" i="17"/>
  <c r="AE69" i="17"/>
  <c r="AJ69" i="17"/>
  <c r="W70" i="17"/>
  <c r="Y70" i="17"/>
  <c r="Z70" i="17"/>
  <c r="AA70" i="17"/>
  <c r="AB70" i="17"/>
  <c r="AC70" i="17"/>
  <c r="AE70" i="17"/>
  <c r="AJ70" i="17"/>
  <c r="W71" i="17"/>
  <c r="Y71" i="17"/>
  <c r="Z71" i="17"/>
  <c r="AA71" i="17"/>
  <c r="AB71" i="17"/>
  <c r="AC71" i="17"/>
  <c r="AE71" i="17"/>
  <c r="AJ71" i="17"/>
  <c r="W72" i="17"/>
  <c r="Y72" i="17"/>
  <c r="Z72" i="17"/>
  <c r="AA72" i="17"/>
  <c r="AB72" i="17"/>
  <c r="AC72" i="17"/>
  <c r="AE72" i="17"/>
  <c r="AJ72" i="17"/>
  <c r="W73" i="17"/>
  <c r="Y73" i="17"/>
  <c r="Z73" i="17"/>
  <c r="AA73" i="17"/>
  <c r="AB73" i="17"/>
  <c r="AC73" i="17"/>
  <c r="AE73" i="17"/>
  <c r="AJ73" i="17"/>
  <c r="W74" i="17"/>
  <c r="Y74" i="17"/>
  <c r="Z74" i="17"/>
  <c r="AA74" i="17"/>
  <c r="AB74" i="17"/>
  <c r="AC74" i="17"/>
  <c r="AE74" i="17"/>
  <c r="AJ74" i="17"/>
  <c r="W91" i="17"/>
  <c r="W45" i="17"/>
  <c r="Y91" i="17"/>
  <c r="Y45" i="17"/>
  <c r="Z91" i="17"/>
  <c r="Z45" i="17"/>
  <c r="AA91" i="17"/>
  <c r="AA45" i="17"/>
  <c r="AB91" i="17"/>
  <c r="AB45" i="17"/>
  <c r="AC45" i="17"/>
  <c r="AE45" i="17"/>
  <c r="AJ45" i="17"/>
  <c r="W81" i="17"/>
  <c r="W35" i="17"/>
  <c r="Y81" i="17"/>
  <c r="Y35" i="17"/>
  <c r="Z81" i="17"/>
  <c r="Z35" i="17"/>
  <c r="AA81" i="17"/>
  <c r="AA35" i="17"/>
  <c r="AB81" i="17"/>
  <c r="AB35" i="17"/>
  <c r="AC35" i="17"/>
  <c r="AE35" i="17"/>
  <c r="AJ35" i="17"/>
  <c r="AE38" i="17"/>
  <c r="AJ38" i="17"/>
  <c r="AE40" i="17"/>
  <c r="AJ40" i="17"/>
  <c r="AE42" i="17"/>
  <c r="AJ42" i="17"/>
  <c r="W89" i="17"/>
  <c r="W43" i="17"/>
  <c r="AE43" i="17"/>
  <c r="AJ43" i="17"/>
  <c r="W90" i="17"/>
  <c r="W44" i="17"/>
  <c r="AE44" i="17"/>
  <c r="AJ44" i="17"/>
  <c r="W92" i="17"/>
  <c r="W46" i="17"/>
  <c r="Y92" i="17"/>
  <c r="Y46" i="17"/>
  <c r="Z92" i="17"/>
  <c r="Z46" i="17"/>
  <c r="AA92" i="17"/>
  <c r="AA46" i="17"/>
  <c r="AB92" i="17"/>
  <c r="AB46" i="17"/>
  <c r="AC46" i="17"/>
  <c r="AE46" i="17"/>
  <c r="AJ46" i="17"/>
  <c r="W93" i="17"/>
  <c r="W47" i="17"/>
  <c r="Y93" i="17"/>
  <c r="Y47" i="17"/>
  <c r="Z93" i="17"/>
  <c r="Z47" i="17"/>
  <c r="AA93" i="17"/>
  <c r="AA47" i="17"/>
  <c r="AB93" i="17"/>
  <c r="AB47" i="17"/>
  <c r="AC47" i="17"/>
  <c r="AE47" i="17"/>
  <c r="AJ47" i="17"/>
  <c r="W94" i="17"/>
  <c r="W48" i="17"/>
  <c r="Y94" i="17"/>
  <c r="Y48" i="17"/>
  <c r="Z94" i="17"/>
  <c r="Z48" i="17"/>
  <c r="AA94" i="17"/>
  <c r="AA48" i="17"/>
  <c r="AB94" i="17"/>
  <c r="AB48" i="17"/>
  <c r="AC48" i="17"/>
  <c r="AE48" i="17"/>
  <c r="AJ48" i="17"/>
  <c r="W95" i="17"/>
  <c r="W49" i="17"/>
  <c r="Y95" i="17"/>
  <c r="Y49" i="17"/>
  <c r="Z95" i="17"/>
  <c r="Z49" i="17"/>
  <c r="AA95" i="17"/>
  <c r="AA49" i="17"/>
  <c r="AB95" i="17"/>
  <c r="AB49" i="17"/>
  <c r="AC49" i="17"/>
  <c r="AE49" i="17"/>
  <c r="AJ49" i="17"/>
  <c r="W96" i="17"/>
  <c r="W50" i="17"/>
  <c r="Y96" i="17"/>
  <c r="Y50" i="17"/>
  <c r="Z96" i="17"/>
  <c r="Z50" i="17"/>
  <c r="AA96" i="17"/>
  <c r="AA50" i="17"/>
  <c r="AB96" i="17"/>
  <c r="AB50" i="17"/>
  <c r="AC50" i="17"/>
  <c r="AE50" i="17"/>
  <c r="AJ50" i="17"/>
  <c r="W97" i="17"/>
  <c r="W51" i="17"/>
  <c r="Y97" i="17"/>
  <c r="Y51" i="17"/>
  <c r="Z97" i="17"/>
  <c r="Z51" i="17"/>
  <c r="AA97" i="17"/>
  <c r="AA51" i="17"/>
  <c r="AB97" i="17"/>
  <c r="AB51" i="17"/>
  <c r="AC51" i="17"/>
  <c r="AE51" i="17"/>
  <c r="AJ51" i="17"/>
  <c r="AC81" i="17"/>
  <c r="AE81" i="17"/>
  <c r="AJ81" i="17"/>
  <c r="AC84" i="17"/>
  <c r="AE84" i="17"/>
  <c r="AJ84" i="17"/>
  <c r="AC86" i="17"/>
  <c r="AE86" i="17"/>
  <c r="AJ86" i="17"/>
  <c r="AC88" i="17"/>
  <c r="AE88" i="17"/>
  <c r="AJ88" i="17"/>
  <c r="AC89" i="17"/>
  <c r="AE89" i="17"/>
  <c r="AJ89" i="17"/>
  <c r="AC90" i="17"/>
  <c r="AE90" i="17"/>
  <c r="AJ90" i="17"/>
  <c r="AC91" i="17"/>
  <c r="AE91" i="17"/>
  <c r="AJ91" i="17"/>
  <c r="AC92" i="17"/>
  <c r="AE92" i="17"/>
  <c r="AJ92" i="17"/>
  <c r="AC93" i="17"/>
  <c r="AE93" i="17"/>
  <c r="AJ93" i="17"/>
  <c r="AC94" i="17"/>
  <c r="AE94" i="17"/>
  <c r="AJ94" i="17"/>
  <c r="AC95" i="17"/>
  <c r="AE95" i="17"/>
  <c r="AJ95" i="17"/>
  <c r="AC96" i="17"/>
  <c r="AE96" i="17"/>
  <c r="AJ96" i="17"/>
  <c r="AC97" i="17"/>
  <c r="AE97" i="17"/>
  <c r="AJ97" i="17"/>
  <c r="D162" i="17"/>
  <c r="D164" i="17"/>
  <c r="F166" i="17"/>
  <c r="G166" i="17"/>
  <c r="H166" i="17"/>
  <c r="I166" i="17"/>
  <c r="D168" i="17"/>
  <c r="F168" i="17"/>
  <c r="G168" i="17"/>
  <c r="H168" i="17"/>
  <c r="I168" i="17"/>
  <c r="D170" i="17"/>
  <c r="F170" i="17"/>
  <c r="G170" i="17"/>
  <c r="H170" i="17"/>
  <c r="I170" i="17"/>
  <c r="D172" i="17"/>
  <c r="F172" i="17"/>
  <c r="G172" i="17"/>
  <c r="H172" i="17"/>
  <c r="I172" i="17"/>
  <c r="J158" i="17"/>
  <c r="J162" i="17"/>
  <c r="L162" i="17"/>
  <c r="Q162" i="17"/>
  <c r="J164" i="17"/>
  <c r="L164" i="17"/>
  <c r="Q164" i="17"/>
  <c r="J166" i="17"/>
  <c r="L166" i="17"/>
  <c r="Q166" i="17"/>
  <c r="J168" i="17"/>
  <c r="L168" i="17"/>
  <c r="Q168" i="17"/>
  <c r="J170" i="17"/>
  <c r="L170" i="17"/>
  <c r="Q170" i="17"/>
  <c r="J172" i="17"/>
  <c r="L172" i="17"/>
  <c r="Q172" i="17"/>
  <c r="W180" i="17"/>
  <c r="Z180" i="17"/>
  <c r="AA180" i="17"/>
  <c r="AB180" i="17"/>
  <c r="W189" i="17"/>
  <c r="W191" i="17"/>
  <c r="Z191" i="17"/>
  <c r="AA191" i="17"/>
  <c r="AB191" i="17"/>
  <c r="AC191" i="17"/>
  <c r="AE191" i="17"/>
  <c r="AJ191" i="17"/>
  <c r="W193" i="17"/>
  <c r="Y193" i="17"/>
  <c r="Z193" i="17"/>
  <c r="AA193" i="17"/>
  <c r="AB193" i="17"/>
  <c r="AC193" i="17"/>
  <c r="AE193" i="17"/>
  <c r="AJ193" i="17"/>
  <c r="W195" i="17"/>
  <c r="Y195" i="17"/>
  <c r="Z195" i="17"/>
  <c r="AA195" i="17"/>
  <c r="AB195" i="17"/>
  <c r="AC195" i="17"/>
  <c r="AE195" i="17"/>
  <c r="AJ195" i="17"/>
  <c r="L131" i="17"/>
  <c r="Q131" i="17"/>
  <c r="D179" i="17"/>
  <c r="D133" i="17"/>
  <c r="L133" i="17"/>
  <c r="Q133" i="17"/>
  <c r="D181" i="17"/>
  <c r="D183" i="17"/>
  <c r="D137" i="17"/>
  <c r="L137" i="17"/>
  <c r="Q137" i="17"/>
  <c r="D185" i="17"/>
  <c r="D139" i="17"/>
  <c r="L139" i="17"/>
  <c r="Q139" i="17"/>
  <c r="D187" i="17"/>
  <c r="D141" i="17"/>
  <c r="L141" i="17"/>
  <c r="Q141" i="17"/>
  <c r="F189" i="17"/>
  <c r="F143" i="17"/>
  <c r="G189" i="17"/>
  <c r="G143" i="17"/>
  <c r="H189" i="17"/>
  <c r="H143" i="17"/>
  <c r="I189" i="17"/>
  <c r="I143" i="17"/>
  <c r="J143" i="17"/>
  <c r="L143" i="17"/>
  <c r="Q143" i="17"/>
  <c r="D191" i="17"/>
  <c r="D145" i="17"/>
  <c r="F191" i="17"/>
  <c r="F145" i="17"/>
  <c r="G191" i="17"/>
  <c r="G145" i="17"/>
  <c r="H191" i="17"/>
  <c r="H145" i="17"/>
  <c r="I191" i="17"/>
  <c r="I145" i="17"/>
  <c r="J145" i="17"/>
  <c r="L145" i="17"/>
  <c r="Q145" i="17"/>
  <c r="D193" i="17"/>
  <c r="D147" i="17"/>
  <c r="F193" i="17"/>
  <c r="F147" i="17"/>
  <c r="G193" i="17"/>
  <c r="G147" i="17"/>
  <c r="H193" i="17"/>
  <c r="H147" i="17"/>
  <c r="I193" i="17"/>
  <c r="I147" i="17"/>
  <c r="J147" i="17"/>
  <c r="L147" i="17"/>
  <c r="Q147" i="17"/>
  <c r="D195" i="17"/>
  <c r="D149" i="17"/>
  <c r="F195" i="17"/>
  <c r="F149" i="17"/>
  <c r="G195" i="17"/>
  <c r="G149" i="17"/>
  <c r="H195" i="17"/>
  <c r="H149" i="17"/>
  <c r="I195" i="17"/>
  <c r="I149" i="17"/>
  <c r="J149" i="17"/>
  <c r="L149" i="17"/>
  <c r="Q149" i="17"/>
  <c r="J177" i="17"/>
  <c r="L177" i="17"/>
  <c r="Q177" i="17"/>
  <c r="J179" i="17"/>
  <c r="L179" i="17"/>
  <c r="Q179" i="17"/>
  <c r="J181" i="17"/>
  <c r="L181" i="17"/>
  <c r="Q181" i="17"/>
  <c r="J183" i="17"/>
  <c r="L183" i="17"/>
  <c r="Q183" i="17"/>
  <c r="J185" i="17"/>
  <c r="L185" i="17"/>
  <c r="Q185" i="17"/>
  <c r="J187" i="17"/>
  <c r="L187" i="17"/>
  <c r="Q187" i="17"/>
  <c r="J189" i="17"/>
  <c r="L189" i="17"/>
  <c r="Q189" i="17"/>
  <c r="J191" i="17"/>
  <c r="L191" i="17"/>
  <c r="Q191" i="17"/>
  <c r="J193" i="17"/>
  <c r="L193" i="17"/>
  <c r="Q193" i="17"/>
  <c r="J195" i="17"/>
  <c r="L195" i="17"/>
  <c r="Q195" i="17"/>
  <c r="W157" i="17"/>
  <c r="Z157" i="17"/>
  <c r="AA157" i="17"/>
  <c r="AB157" i="17"/>
  <c r="W166" i="17"/>
  <c r="W168" i="17"/>
  <c r="Z168" i="17"/>
  <c r="AA168" i="17"/>
  <c r="AB168" i="17"/>
  <c r="AC168" i="17"/>
  <c r="AE168" i="17"/>
  <c r="AJ168" i="17"/>
  <c r="W170" i="17"/>
  <c r="Y170" i="17"/>
  <c r="Z170" i="17"/>
  <c r="AA170" i="17"/>
  <c r="AB170" i="17"/>
  <c r="AC170" i="17"/>
  <c r="AE170" i="17"/>
  <c r="AJ170" i="17"/>
  <c r="W172" i="17"/>
  <c r="Y172" i="17"/>
  <c r="Z172" i="17"/>
  <c r="AA172" i="17"/>
  <c r="AB172" i="17"/>
  <c r="AC172" i="17"/>
  <c r="AE172" i="17"/>
  <c r="AJ172" i="17"/>
  <c r="W134" i="17"/>
  <c r="Z134" i="17"/>
  <c r="AA134" i="17"/>
  <c r="AB134" i="17"/>
  <c r="W143" i="17"/>
  <c r="W145" i="17"/>
  <c r="Z145" i="17"/>
  <c r="AA145" i="17"/>
  <c r="AB145" i="17"/>
  <c r="AC145" i="17"/>
  <c r="AE145" i="17"/>
  <c r="AJ145" i="17"/>
  <c r="W147" i="17"/>
  <c r="Z147" i="17"/>
  <c r="AA147" i="17"/>
  <c r="AB147" i="17"/>
  <c r="AC147" i="17"/>
  <c r="AE147" i="17"/>
  <c r="AJ147" i="17"/>
  <c r="W149" i="17"/>
  <c r="Z149" i="17"/>
  <c r="AA149" i="17"/>
  <c r="AB149" i="17"/>
  <c r="AC149" i="17"/>
  <c r="AE149" i="17"/>
  <c r="AJ149" i="17"/>
  <c r="E7" i="15"/>
  <c r="E13" i="15"/>
  <c r="E15" i="15"/>
  <c r="E17" i="15"/>
  <c r="E19" i="15"/>
  <c r="E21" i="15"/>
  <c r="E23" i="15"/>
  <c r="E25" i="15"/>
  <c r="E27" i="15"/>
  <c r="E29" i="15"/>
  <c r="E31" i="15"/>
  <c r="E33" i="15"/>
  <c r="E35" i="15"/>
  <c r="E37" i="15"/>
  <c r="E39" i="15"/>
  <c r="E41" i="15"/>
  <c r="E43" i="15"/>
  <c r="E45" i="15"/>
  <c r="E47" i="15"/>
  <c r="E49" i="15"/>
  <c r="E51" i="15"/>
  <c r="E53" i="15"/>
  <c r="E55" i="15"/>
  <c r="E57" i="15"/>
  <c r="E59" i="15"/>
  <c r="E61" i="15"/>
  <c r="E63" i="15"/>
  <c r="E65" i="15"/>
  <c r="E67" i="15"/>
  <c r="E69" i="15"/>
  <c r="E71" i="15"/>
  <c r="E73" i="15"/>
  <c r="E75" i="15"/>
  <c r="E77" i="15"/>
  <c r="U7" i="15"/>
  <c r="F7" i="15"/>
  <c r="U13" i="15"/>
  <c r="F13" i="15"/>
  <c r="U15" i="15"/>
  <c r="F15" i="15"/>
  <c r="U17" i="15"/>
  <c r="F17" i="15"/>
  <c r="U19" i="15"/>
  <c r="F19" i="15"/>
  <c r="U21" i="15"/>
  <c r="F21" i="15"/>
  <c r="U23" i="15"/>
  <c r="F23" i="15"/>
  <c r="U25" i="15"/>
  <c r="F25" i="15"/>
  <c r="U27" i="15"/>
  <c r="F27" i="15"/>
  <c r="U29" i="15"/>
  <c r="F29" i="15"/>
  <c r="U31" i="15"/>
  <c r="F31" i="15"/>
  <c r="U33" i="15"/>
  <c r="F33" i="15"/>
  <c r="U35" i="15"/>
  <c r="F35" i="15"/>
  <c r="U37" i="15"/>
  <c r="F37" i="15"/>
  <c r="U39" i="15"/>
  <c r="F39" i="15"/>
  <c r="F41" i="15"/>
  <c r="F43" i="15"/>
  <c r="F45" i="15"/>
  <c r="F47" i="15"/>
  <c r="F49" i="15"/>
  <c r="F51" i="15"/>
  <c r="F53" i="15"/>
  <c r="F55" i="15"/>
  <c r="F57" i="15"/>
  <c r="F59" i="15"/>
  <c r="F61" i="15"/>
  <c r="F63" i="15"/>
  <c r="F65" i="15"/>
  <c r="F67" i="15"/>
  <c r="F69" i="15"/>
  <c r="F71" i="15"/>
  <c r="F73" i="15"/>
  <c r="F75" i="15"/>
  <c r="F77" i="15"/>
  <c r="O83" i="17"/>
  <c r="O86" i="17"/>
  <c r="O88" i="17"/>
  <c r="O90" i="17"/>
  <c r="O92" i="17"/>
  <c r="O93" i="17"/>
  <c r="O94" i="17"/>
  <c r="O95" i="17"/>
  <c r="O96" i="17"/>
  <c r="O97" i="17"/>
  <c r="Q83" i="17"/>
  <c r="Q86" i="17"/>
  <c r="Q88" i="17"/>
  <c r="Q90" i="17"/>
  <c r="Q92" i="17"/>
  <c r="Q93" i="17"/>
  <c r="Q94" i="17"/>
  <c r="Q95" i="17"/>
  <c r="Q96" i="17"/>
  <c r="Q97" i="17"/>
  <c r="O60" i="17"/>
  <c r="O37" i="17"/>
  <c r="Q37" i="17"/>
  <c r="O63" i="17"/>
  <c r="O40" i="17"/>
  <c r="Q40" i="17"/>
  <c r="O65" i="17"/>
  <c r="O42" i="17"/>
  <c r="Q42" i="17"/>
  <c r="O67" i="17"/>
  <c r="O44" i="17"/>
  <c r="Q44" i="17"/>
  <c r="O69" i="17"/>
  <c r="O46" i="17"/>
  <c r="Q46" i="17"/>
  <c r="O70" i="17"/>
  <c r="O47" i="17"/>
  <c r="Q47" i="17"/>
  <c r="O71" i="17"/>
  <c r="O48" i="17"/>
  <c r="Q48" i="17"/>
  <c r="O72" i="17"/>
  <c r="O49" i="17"/>
  <c r="Q49" i="17"/>
  <c r="O73" i="17"/>
  <c r="O50" i="17"/>
  <c r="Q50" i="17"/>
  <c r="O74" i="17"/>
  <c r="O51" i="17"/>
  <c r="Q51" i="17"/>
  <c r="Q56" i="17"/>
  <c r="Q58" i="17"/>
  <c r="Q60" i="17"/>
  <c r="Q63" i="17"/>
  <c r="Q64" i="17"/>
  <c r="Q65" i="17"/>
  <c r="Q67" i="17"/>
  <c r="Q68" i="17"/>
  <c r="Q69" i="17"/>
  <c r="Q70" i="17"/>
  <c r="Q71" i="17"/>
  <c r="Q72" i="17"/>
  <c r="Q73" i="17"/>
  <c r="Q74" i="17"/>
  <c r="E172" i="15"/>
  <c r="F172" i="15"/>
  <c r="F173" i="15"/>
  <c r="F174" i="15"/>
  <c r="G172" i="15"/>
  <c r="G174" i="15"/>
  <c r="D172" i="15"/>
  <c r="D174" i="15"/>
  <c r="M172" i="15"/>
  <c r="M174" i="15"/>
  <c r="I172" i="15"/>
  <c r="I174" i="15"/>
  <c r="K172" i="15"/>
  <c r="K174" i="15"/>
  <c r="H172" i="15"/>
  <c r="H174" i="15"/>
  <c r="L172" i="15"/>
  <c r="L174" i="15"/>
  <c r="J172" i="15"/>
  <c r="J174" i="15"/>
  <c r="N9" i="17"/>
  <c r="E174" i="15"/>
  <c r="I6" i="7"/>
  <c r="E178" i="15"/>
  <c r="M178" i="15"/>
  <c r="M180" i="15"/>
  <c r="J178" i="15"/>
  <c r="J179" i="15"/>
  <c r="J180" i="15"/>
  <c r="K178" i="15"/>
  <c r="K179" i="15"/>
  <c r="K180" i="15"/>
  <c r="F178" i="15"/>
  <c r="F180" i="15"/>
  <c r="L178" i="15"/>
  <c r="L179" i="15"/>
  <c r="L180" i="15"/>
  <c r="D178" i="15"/>
  <c r="D180" i="15"/>
  <c r="I178" i="15"/>
  <c r="I180" i="15"/>
  <c r="H178" i="15"/>
  <c r="H179" i="15"/>
  <c r="H180" i="15"/>
  <c r="G178" i="15"/>
  <c r="G179" i="15"/>
  <c r="G180" i="15"/>
  <c r="N11" i="17"/>
  <c r="E180" i="15"/>
  <c r="I8" i="7"/>
  <c r="D182" i="15"/>
  <c r="K182" i="15"/>
  <c r="H182" i="15"/>
  <c r="G182" i="15"/>
  <c r="M182" i="15"/>
  <c r="I182" i="15"/>
  <c r="M4" i="15"/>
  <c r="M6" i="15"/>
  <c r="M7" i="15"/>
  <c r="M8" i="15"/>
  <c r="M10" i="15"/>
  <c r="M12" i="15"/>
  <c r="M13" i="15"/>
  <c r="M14" i="15"/>
  <c r="M15" i="15"/>
  <c r="M16" i="15"/>
  <c r="M17" i="15"/>
  <c r="M18" i="15"/>
  <c r="M19" i="15"/>
  <c r="M20" i="15"/>
  <c r="M21" i="15"/>
  <c r="M22" i="15"/>
  <c r="M23" i="15"/>
  <c r="M24" i="15"/>
  <c r="M25" i="15"/>
  <c r="M26" i="15"/>
  <c r="M27" i="15"/>
  <c r="M28" i="15"/>
  <c r="M29" i="15"/>
  <c r="M30" i="15"/>
  <c r="M31" i="15"/>
  <c r="M32" i="15"/>
  <c r="M33" i="15"/>
  <c r="M34" i="15"/>
  <c r="M35" i="15"/>
  <c r="M36" i="15"/>
  <c r="M37" i="15"/>
  <c r="M38" i="15"/>
  <c r="M39" i="15"/>
  <c r="M40" i="15"/>
  <c r="M41" i="15"/>
  <c r="M42" i="15"/>
  <c r="M43" i="15"/>
  <c r="M44" i="15"/>
  <c r="M45" i="15"/>
  <c r="M46" i="15"/>
  <c r="M47" i="15"/>
  <c r="M48" i="15"/>
  <c r="M49" i="15"/>
  <c r="M50" i="15"/>
  <c r="M51" i="15"/>
  <c r="M52" i="15"/>
  <c r="M53" i="15"/>
  <c r="M54" i="15"/>
  <c r="M55" i="15"/>
  <c r="M56" i="15"/>
  <c r="M57" i="15"/>
  <c r="M58" i="15"/>
  <c r="M59" i="15"/>
  <c r="M60" i="15"/>
  <c r="M61" i="15"/>
  <c r="M62" i="15"/>
  <c r="M63" i="15"/>
  <c r="M64" i="15"/>
  <c r="M65" i="15"/>
  <c r="M66" i="15"/>
  <c r="M67" i="15"/>
  <c r="M68" i="15"/>
  <c r="M69" i="15"/>
  <c r="M70" i="15"/>
  <c r="M71" i="15"/>
  <c r="M72" i="15"/>
  <c r="M73" i="15"/>
  <c r="M74" i="15"/>
  <c r="M75" i="15"/>
  <c r="M76" i="15"/>
  <c r="M77" i="15"/>
  <c r="M78" i="15"/>
  <c r="M184" i="15"/>
  <c r="M186" i="15"/>
  <c r="G7" i="15"/>
  <c r="G13" i="15"/>
  <c r="G15" i="15"/>
  <c r="G17" i="15"/>
  <c r="G19" i="15"/>
  <c r="G21" i="15"/>
  <c r="G23" i="15"/>
  <c r="G25" i="15"/>
  <c r="G27" i="15"/>
  <c r="G29" i="15"/>
  <c r="G31" i="15"/>
  <c r="G33" i="15"/>
  <c r="G35" i="15"/>
  <c r="G37" i="15"/>
  <c r="G39" i="15"/>
  <c r="G41" i="15"/>
  <c r="G43" i="15"/>
  <c r="G45" i="15"/>
  <c r="G47" i="15"/>
  <c r="G49" i="15"/>
  <c r="G51" i="15"/>
  <c r="G53" i="15"/>
  <c r="G55" i="15"/>
  <c r="G57" i="15"/>
  <c r="G59" i="15"/>
  <c r="G61" i="15"/>
  <c r="G63" i="15"/>
  <c r="G65" i="15"/>
  <c r="G67" i="15"/>
  <c r="G69" i="15"/>
  <c r="G71" i="15"/>
  <c r="G73" i="15"/>
  <c r="G75" i="15"/>
  <c r="G77" i="15"/>
  <c r="G184" i="15"/>
  <c r="G186" i="15"/>
  <c r="K4" i="15"/>
  <c r="K6" i="15"/>
  <c r="K7" i="15"/>
  <c r="K8" i="15"/>
  <c r="K10"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184" i="15"/>
  <c r="K186" i="15"/>
  <c r="F184" i="15"/>
  <c r="F186" i="15"/>
  <c r="L4" i="15"/>
  <c r="L7" i="15"/>
  <c r="L8" i="15"/>
  <c r="L10"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78" i="15"/>
  <c r="L184" i="15"/>
  <c r="L186" i="15"/>
  <c r="H7" i="15"/>
  <c r="H13" i="15"/>
  <c r="H15" i="15"/>
  <c r="H17" i="15"/>
  <c r="H19" i="15"/>
  <c r="H21" i="15"/>
  <c r="H23" i="15"/>
  <c r="H25" i="15"/>
  <c r="H27" i="15"/>
  <c r="H29" i="15"/>
  <c r="H31" i="15"/>
  <c r="H33" i="15"/>
  <c r="H35" i="15"/>
  <c r="H37" i="15"/>
  <c r="H39" i="15"/>
  <c r="H41" i="15"/>
  <c r="H43" i="15"/>
  <c r="H45" i="15"/>
  <c r="H47" i="15"/>
  <c r="H49" i="15"/>
  <c r="H51" i="15"/>
  <c r="H53" i="15"/>
  <c r="H55" i="15"/>
  <c r="H57" i="15"/>
  <c r="H59" i="15"/>
  <c r="H61" i="15"/>
  <c r="H63" i="15"/>
  <c r="H65" i="15"/>
  <c r="H67" i="15"/>
  <c r="H69" i="15"/>
  <c r="H71" i="15"/>
  <c r="H73" i="15"/>
  <c r="H75" i="15"/>
  <c r="H77" i="15"/>
  <c r="H184" i="15"/>
  <c r="H186" i="15"/>
  <c r="I7" i="15"/>
  <c r="I13" i="15"/>
  <c r="I15" i="15"/>
  <c r="I17" i="15"/>
  <c r="I19" i="15"/>
  <c r="I21" i="15"/>
  <c r="I23" i="15"/>
  <c r="I25" i="15"/>
  <c r="I27" i="15"/>
  <c r="I29" i="15"/>
  <c r="I31" i="15"/>
  <c r="I33" i="15"/>
  <c r="I35" i="15"/>
  <c r="I37" i="15"/>
  <c r="I39" i="15"/>
  <c r="I41" i="15"/>
  <c r="I43" i="15"/>
  <c r="I45" i="15"/>
  <c r="I47" i="15"/>
  <c r="I49" i="15"/>
  <c r="I51" i="15"/>
  <c r="I53" i="15"/>
  <c r="I55" i="15"/>
  <c r="I57" i="15"/>
  <c r="I59" i="15"/>
  <c r="I61" i="15"/>
  <c r="I63" i="15"/>
  <c r="I65" i="15"/>
  <c r="I67" i="15"/>
  <c r="I69" i="15"/>
  <c r="I71" i="15"/>
  <c r="I73" i="15"/>
  <c r="I75" i="15"/>
  <c r="I77" i="15"/>
  <c r="I184" i="15"/>
  <c r="I186" i="15"/>
  <c r="N13" i="17"/>
  <c r="J4" i="15"/>
  <c r="J6" i="15"/>
  <c r="J7" i="15"/>
  <c r="J8" i="15"/>
  <c r="J10"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184" i="15"/>
  <c r="J186" i="15"/>
  <c r="E186" i="15"/>
  <c r="I10" i="7"/>
  <c r="E187" i="15"/>
  <c r="J187" i="15"/>
  <c r="F187" i="15"/>
  <c r="F189" i="15"/>
  <c r="J189" i="15"/>
  <c r="G187" i="15"/>
  <c r="G188" i="15"/>
  <c r="G189" i="15"/>
  <c r="H187" i="15"/>
  <c r="H188" i="15"/>
  <c r="H189" i="15"/>
  <c r="L187" i="15"/>
  <c r="L189" i="15"/>
  <c r="D187" i="15"/>
  <c r="D189" i="15"/>
  <c r="I187" i="15"/>
  <c r="I189" i="15"/>
  <c r="K187" i="15"/>
  <c r="K189" i="15"/>
  <c r="M187" i="15"/>
  <c r="M189" i="15"/>
  <c r="N14" i="17"/>
  <c r="E189" i="15"/>
  <c r="I11" i="7"/>
  <c r="K190" i="15"/>
  <c r="K191" i="15"/>
  <c r="K192" i="15"/>
  <c r="L190" i="15"/>
  <c r="L191" i="15"/>
  <c r="L192" i="15"/>
  <c r="M190" i="15"/>
  <c r="M191" i="15"/>
  <c r="M192" i="15"/>
  <c r="I190" i="15"/>
  <c r="I191" i="15"/>
  <c r="I192" i="15"/>
  <c r="F190" i="15"/>
  <c r="F191" i="15"/>
  <c r="F192" i="15"/>
  <c r="H190" i="15"/>
  <c r="H192" i="15"/>
  <c r="G190" i="15"/>
  <c r="G191" i="15"/>
  <c r="G192" i="15"/>
  <c r="J190" i="15"/>
  <c r="J191" i="15"/>
  <c r="J192" i="15"/>
  <c r="N15" i="17"/>
  <c r="E192" i="15"/>
  <c r="I12" i="7"/>
  <c r="F102" i="15"/>
  <c r="F108" i="15"/>
  <c r="F110" i="15"/>
  <c r="F194" i="15"/>
  <c r="I194" i="15"/>
  <c r="J194" i="15"/>
  <c r="E196" i="15"/>
  <c r="K196" i="15"/>
  <c r="K198" i="15"/>
  <c r="I196" i="15"/>
  <c r="I198" i="15"/>
  <c r="L196" i="15"/>
  <c r="L198" i="15"/>
  <c r="H196" i="15"/>
  <c r="H197" i="15"/>
  <c r="H198" i="15"/>
  <c r="M196" i="15"/>
  <c r="M198" i="15"/>
  <c r="J196" i="15"/>
  <c r="J198" i="15"/>
  <c r="F196" i="15"/>
  <c r="F197" i="15"/>
  <c r="F198" i="15"/>
  <c r="D196" i="15"/>
  <c r="D198" i="15"/>
  <c r="G196" i="15"/>
  <c r="G198" i="15"/>
  <c r="N17" i="17"/>
  <c r="E198" i="15"/>
  <c r="I14" i="7"/>
  <c r="E199" i="15"/>
  <c r="J199" i="15"/>
  <c r="G199" i="15"/>
  <c r="G201" i="15"/>
  <c r="J201" i="15"/>
  <c r="I199" i="15"/>
  <c r="I201" i="15"/>
  <c r="L199" i="15"/>
  <c r="L201" i="15"/>
  <c r="H199" i="15"/>
  <c r="H201" i="15"/>
  <c r="F199" i="15"/>
  <c r="F201" i="15"/>
  <c r="M199" i="15"/>
  <c r="M201" i="15"/>
  <c r="D199" i="15"/>
  <c r="D201" i="15"/>
  <c r="K199" i="15"/>
  <c r="K201" i="15"/>
  <c r="N18" i="17"/>
  <c r="E201" i="15"/>
  <c r="I15" i="7"/>
  <c r="I202" i="15"/>
  <c r="I203" i="15"/>
  <c r="I204" i="15"/>
  <c r="K202" i="15"/>
  <c r="K204" i="15"/>
  <c r="G202" i="15"/>
  <c r="G204" i="15"/>
  <c r="L202" i="15"/>
  <c r="L204" i="15"/>
  <c r="M202" i="15"/>
  <c r="M203" i="15"/>
  <c r="M204" i="15"/>
  <c r="F202" i="15"/>
  <c r="F204" i="15"/>
  <c r="J202" i="15"/>
  <c r="J203" i="15"/>
  <c r="J204" i="15"/>
  <c r="H202" i="15"/>
  <c r="H203" i="15"/>
  <c r="H204" i="15"/>
  <c r="N19" i="17"/>
  <c r="E204" i="15"/>
  <c r="I16" i="7"/>
  <c r="E205" i="15"/>
  <c r="H205" i="15"/>
  <c r="I205" i="15"/>
  <c r="I206" i="15"/>
  <c r="I207" i="15"/>
  <c r="H206" i="15"/>
  <c r="H207" i="15"/>
  <c r="G205" i="15"/>
  <c r="G206" i="15"/>
  <c r="G207" i="15"/>
  <c r="F205" i="15"/>
  <c r="F206" i="15"/>
  <c r="F207" i="15"/>
  <c r="K205" i="15"/>
  <c r="K206" i="15"/>
  <c r="K207" i="15"/>
  <c r="J205" i="15"/>
  <c r="J206" i="15"/>
  <c r="J207" i="15"/>
  <c r="M205" i="15"/>
  <c r="M206" i="15"/>
  <c r="M207" i="15"/>
  <c r="L205" i="15"/>
  <c r="L206" i="15"/>
  <c r="L207" i="15"/>
  <c r="D205" i="15"/>
  <c r="D207" i="15"/>
  <c r="N20" i="17"/>
  <c r="E207" i="15"/>
  <c r="I17" i="7"/>
  <c r="L208" i="15"/>
  <c r="L210" i="15"/>
  <c r="H208" i="15"/>
  <c r="H210" i="15"/>
  <c r="F208" i="15"/>
  <c r="F210" i="15"/>
  <c r="I208" i="15"/>
  <c r="I210" i="15"/>
  <c r="J208" i="15"/>
  <c r="J210" i="15"/>
  <c r="K208" i="15"/>
  <c r="K210" i="15"/>
  <c r="G208" i="15"/>
  <c r="G210" i="15"/>
  <c r="N21" i="17"/>
  <c r="M208" i="15"/>
  <c r="M210" i="15"/>
  <c r="E210" i="15"/>
  <c r="I18" i="7"/>
  <c r="E211" i="15"/>
  <c r="J211" i="15"/>
  <c r="L211" i="15"/>
  <c r="L213" i="15"/>
  <c r="J213" i="15"/>
  <c r="D211" i="15"/>
  <c r="D213" i="15"/>
  <c r="M211" i="15"/>
  <c r="M212" i="15"/>
  <c r="M213" i="15"/>
  <c r="F211" i="15"/>
  <c r="F213" i="15"/>
  <c r="G211" i="15"/>
  <c r="G213" i="15"/>
  <c r="K211" i="15"/>
  <c r="K213" i="15"/>
  <c r="I211" i="15"/>
  <c r="I213" i="15"/>
  <c r="H211" i="15"/>
  <c r="H213" i="15"/>
  <c r="N22" i="17"/>
  <c r="E213" i="15"/>
  <c r="I19" i="7"/>
  <c r="E214" i="15"/>
  <c r="M214" i="15"/>
  <c r="M216" i="15"/>
  <c r="J214" i="15"/>
  <c r="J216" i="15"/>
  <c r="K214" i="15"/>
  <c r="K216" i="15"/>
  <c r="G214" i="15"/>
  <c r="G215" i="15"/>
  <c r="G216" i="15"/>
  <c r="H214" i="15"/>
  <c r="H215" i="15"/>
  <c r="H216" i="15"/>
  <c r="L214" i="15"/>
  <c r="L215" i="15"/>
  <c r="L216" i="15"/>
  <c r="D214" i="15"/>
  <c r="D215" i="15"/>
  <c r="D216" i="15"/>
  <c r="I214" i="15"/>
  <c r="I215" i="15"/>
  <c r="I216" i="15"/>
  <c r="N23" i="17"/>
  <c r="F214" i="15"/>
  <c r="F215" i="15"/>
  <c r="F216" i="15"/>
  <c r="E216" i="15"/>
  <c r="I20" i="7"/>
  <c r="E217" i="15"/>
  <c r="H217" i="15"/>
  <c r="D217" i="15"/>
  <c r="D219" i="15"/>
  <c r="H219" i="15"/>
  <c r="F217" i="15"/>
  <c r="F219" i="15"/>
  <c r="G217" i="15"/>
  <c r="G219" i="15"/>
  <c r="I217" i="15"/>
  <c r="I219" i="15"/>
  <c r="L217" i="15"/>
  <c r="L218" i="15"/>
  <c r="L219" i="15"/>
  <c r="K217" i="15"/>
  <c r="K218" i="15"/>
  <c r="K219" i="15"/>
  <c r="J217" i="15"/>
  <c r="J218" i="15"/>
  <c r="J219" i="15"/>
  <c r="M217" i="15"/>
  <c r="M218" i="15"/>
  <c r="M219" i="15"/>
  <c r="N24" i="17"/>
  <c r="E219" i="15"/>
  <c r="I21" i="7"/>
  <c r="E220" i="15"/>
  <c r="D220" i="15"/>
  <c r="D222" i="15"/>
  <c r="F220" i="15"/>
  <c r="F222" i="15"/>
  <c r="M222" i="15"/>
  <c r="I220" i="15"/>
  <c r="I222" i="15"/>
  <c r="G222" i="15"/>
  <c r="K220" i="15"/>
  <c r="K222" i="15"/>
  <c r="L222" i="15"/>
  <c r="H220" i="15"/>
  <c r="H222" i="15"/>
  <c r="J222" i="15"/>
  <c r="N25" i="17"/>
  <c r="E222" i="15"/>
  <c r="I22" i="7"/>
  <c r="E223" i="15"/>
  <c r="I223" i="15"/>
  <c r="J223" i="15"/>
  <c r="J225" i="15"/>
  <c r="I225" i="15"/>
  <c r="K223" i="15"/>
  <c r="K225" i="15"/>
  <c r="F225" i="15"/>
  <c r="D223" i="15"/>
  <c r="D225" i="15"/>
  <c r="L225" i="15"/>
  <c r="M223" i="15"/>
  <c r="M225" i="15"/>
  <c r="H225" i="15"/>
  <c r="G223" i="15"/>
  <c r="G225" i="15"/>
  <c r="N26" i="17"/>
  <c r="E225" i="15"/>
  <c r="I23" i="7"/>
  <c r="E226" i="15"/>
  <c r="J226" i="15"/>
  <c r="J228" i="15"/>
  <c r="H226" i="15"/>
  <c r="H228" i="15"/>
  <c r="D228" i="15"/>
  <c r="I226" i="15"/>
  <c r="I228" i="15"/>
  <c r="F228" i="15"/>
  <c r="G226" i="15"/>
  <c r="G228" i="15"/>
  <c r="L228" i="15"/>
  <c r="M226" i="15"/>
  <c r="M228" i="15"/>
  <c r="K228" i="15"/>
  <c r="N27" i="17"/>
  <c r="E228" i="15"/>
  <c r="I24" i="7"/>
  <c r="E229" i="15"/>
  <c r="I229" i="15"/>
  <c r="G229" i="15"/>
  <c r="G231" i="15"/>
  <c r="I231" i="15"/>
  <c r="D229" i="15"/>
  <c r="D231" i="15"/>
  <c r="F231" i="15"/>
  <c r="H229" i="15"/>
  <c r="H231" i="15"/>
  <c r="K231" i="15"/>
  <c r="J229" i="15"/>
  <c r="J231" i="15"/>
  <c r="L231" i="15"/>
  <c r="M229" i="15"/>
  <c r="M231" i="15"/>
  <c r="N28" i="17"/>
  <c r="E231" i="15"/>
  <c r="I25" i="7"/>
  <c r="S4"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76" i="15"/>
  <c r="S77" i="15"/>
  <c r="S78" i="15"/>
  <c r="U172" i="15"/>
  <c r="AG9" i="17"/>
  <c r="W172" i="15"/>
  <c r="W173" i="15"/>
  <c r="W174" i="15"/>
  <c r="AC172" i="15"/>
  <c r="AC173" i="15"/>
  <c r="AC174" i="15"/>
  <c r="X172" i="15"/>
  <c r="X173" i="15"/>
  <c r="X174" i="15"/>
  <c r="Z172" i="15"/>
  <c r="Z173" i="15"/>
  <c r="Z174" i="15"/>
  <c r="AA172" i="15"/>
  <c r="AA173" i="15"/>
  <c r="AA174" i="15"/>
  <c r="AB172" i="15"/>
  <c r="AB173" i="15"/>
  <c r="AB174" i="15"/>
  <c r="Y172" i="15"/>
  <c r="Y173" i="15"/>
  <c r="Y174" i="15"/>
  <c r="T172" i="15"/>
  <c r="T174" i="15"/>
  <c r="V172" i="15"/>
  <c r="V173" i="15"/>
  <c r="V174" i="15"/>
  <c r="U174" i="15"/>
  <c r="I28" i="7"/>
  <c r="U178" i="15"/>
  <c r="AG11" i="17"/>
  <c r="X178" i="15"/>
  <c r="X180" i="15"/>
  <c r="T178" i="15"/>
  <c r="T180" i="15"/>
  <c r="W178" i="15"/>
  <c r="W180" i="15"/>
  <c r="AB178" i="15"/>
  <c r="AB180" i="15"/>
  <c r="AA178" i="15"/>
  <c r="AA180" i="15"/>
  <c r="V178" i="15"/>
  <c r="V180" i="15"/>
  <c r="Y178" i="15"/>
  <c r="Y180" i="15"/>
  <c r="AC178" i="15"/>
  <c r="AC180" i="15"/>
  <c r="Z178" i="15"/>
  <c r="Z180" i="15"/>
  <c r="U180" i="15"/>
  <c r="I30" i="7"/>
  <c r="U181" i="15"/>
  <c r="AC181" i="15"/>
  <c r="AG12" i="17"/>
  <c r="AC183" i="15"/>
  <c r="AA181" i="15"/>
  <c r="AA183" i="15"/>
  <c r="T181" i="15"/>
  <c r="T183" i="15"/>
  <c r="AB181" i="15"/>
  <c r="AB183" i="15"/>
  <c r="X181" i="15"/>
  <c r="X183" i="15"/>
  <c r="Z181" i="15"/>
  <c r="Z183" i="15"/>
  <c r="V181" i="15"/>
  <c r="V183" i="15"/>
  <c r="W181" i="15"/>
  <c r="W183" i="15"/>
  <c r="Y181" i="15"/>
  <c r="Y183" i="15"/>
  <c r="U183" i="15"/>
  <c r="I31" i="7"/>
  <c r="AC185" i="15"/>
  <c r="X185" i="15"/>
  <c r="AA185" i="15"/>
  <c r="U187" i="15"/>
  <c r="X187" i="15"/>
  <c r="AG14" i="17"/>
  <c r="X189" i="15"/>
  <c r="AB187" i="15"/>
  <c r="AB189" i="15"/>
  <c r="W187" i="15"/>
  <c r="W189" i="15"/>
  <c r="Z187" i="15"/>
  <c r="Z189" i="15"/>
  <c r="AA187" i="15"/>
  <c r="AA189" i="15"/>
  <c r="V187" i="15"/>
  <c r="V189" i="15"/>
  <c r="Y187" i="15"/>
  <c r="Y189" i="15"/>
  <c r="T187" i="15"/>
  <c r="T189" i="15"/>
  <c r="AC187" i="15"/>
  <c r="AC189" i="15"/>
  <c r="U189" i="15"/>
  <c r="I33" i="7"/>
  <c r="U190" i="15"/>
  <c r="AG15" i="17"/>
  <c r="V190" i="15"/>
  <c r="V192" i="15"/>
  <c r="AA190" i="15"/>
  <c r="AA192" i="15"/>
  <c r="Y190" i="15"/>
  <c r="Y192" i="15"/>
  <c r="AC190" i="15"/>
  <c r="AC192" i="15"/>
  <c r="Z190" i="15"/>
  <c r="Z192" i="15"/>
  <c r="T190" i="15"/>
  <c r="T192" i="15"/>
  <c r="AB190" i="15"/>
  <c r="AB192" i="15"/>
  <c r="W190" i="15"/>
  <c r="W192" i="15"/>
  <c r="X190" i="15"/>
  <c r="X192" i="15"/>
  <c r="U192" i="15"/>
  <c r="H34" i="7"/>
  <c r="I34" i="7"/>
  <c r="T194" i="15"/>
  <c r="Y194" i="15"/>
  <c r="Z194" i="15"/>
  <c r="AC194" i="15"/>
  <c r="U196" i="15"/>
  <c r="X5" i="15"/>
  <c r="X7" i="15"/>
  <c r="X9" i="15"/>
  <c r="X11" i="15"/>
  <c r="X13" i="15"/>
  <c r="X15" i="15"/>
  <c r="X17" i="15"/>
  <c r="X19" i="15"/>
  <c r="X21" i="15"/>
  <c r="X23" i="15"/>
  <c r="X25" i="15"/>
  <c r="X27" i="15"/>
  <c r="X29" i="15"/>
  <c r="X31" i="15"/>
  <c r="X33" i="15"/>
  <c r="X35" i="15"/>
  <c r="X37" i="15"/>
  <c r="X39" i="15"/>
  <c r="X41" i="15"/>
  <c r="X43" i="15"/>
  <c r="X45" i="15"/>
  <c r="X47" i="15"/>
  <c r="X49" i="15"/>
  <c r="X51" i="15"/>
  <c r="X53" i="15"/>
  <c r="X55" i="15"/>
  <c r="X57" i="15"/>
  <c r="X59" i="15"/>
  <c r="X61" i="15"/>
  <c r="X63" i="15"/>
  <c r="X65" i="15"/>
  <c r="X67" i="15"/>
  <c r="X69" i="15"/>
  <c r="X71" i="15"/>
  <c r="X73" i="15"/>
  <c r="X75" i="15"/>
  <c r="X77" i="15"/>
  <c r="X196" i="15"/>
  <c r="AG17" i="17"/>
  <c r="V7" i="15"/>
  <c r="V9" i="15"/>
  <c r="V11" i="15"/>
  <c r="V13" i="15"/>
  <c r="V15" i="15"/>
  <c r="V17" i="15"/>
  <c r="V19" i="15"/>
  <c r="V21" i="15"/>
  <c r="V23" i="15"/>
  <c r="V25" i="15"/>
  <c r="V27" i="15"/>
  <c r="V29" i="15"/>
  <c r="V31" i="15"/>
  <c r="V33" i="15"/>
  <c r="V35" i="15"/>
  <c r="V37" i="15"/>
  <c r="V39" i="15"/>
  <c r="V41" i="15"/>
  <c r="V43" i="15"/>
  <c r="V45" i="15"/>
  <c r="V47" i="15"/>
  <c r="V49" i="15"/>
  <c r="V51" i="15"/>
  <c r="V53" i="15"/>
  <c r="V55" i="15"/>
  <c r="V57" i="15"/>
  <c r="V59" i="15"/>
  <c r="V61" i="15"/>
  <c r="V63" i="15"/>
  <c r="V65" i="15"/>
  <c r="V67" i="15"/>
  <c r="V69" i="15"/>
  <c r="V71" i="15"/>
  <c r="V73" i="15"/>
  <c r="V75" i="15"/>
  <c r="V77" i="15"/>
  <c r="V196" i="15"/>
  <c r="V198" i="15"/>
  <c r="Y5" i="15"/>
  <c r="Y7" i="15"/>
  <c r="Y9" i="15"/>
  <c r="Y11" i="15"/>
  <c r="Y13" i="15"/>
  <c r="Y15" i="15"/>
  <c r="Y17" i="15"/>
  <c r="Y19" i="15"/>
  <c r="Y21" i="15"/>
  <c r="Y23" i="15"/>
  <c r="Y25" i="15"/>
  <c r="Y27" i="15"/>
  <c r="Y29" i="15"/>
  <c r="Y31" i="15"/>
  <c r="Y33" i="15"/>
  <c r="Y35" i="15"/>
  <c r="Y37" i="15"/>
  <c r="Y39" i="15"/>
  <c r="Y41" i="15"/>
  <c r="Y43" i="15"/>
  <c r="Y45" i="15"/>
  <c r="Y47" i="15"/>
  <c r="Y49" i="15"/>
  <c r="Y51" i="15"/>
  <c r="Y53" i="15"/>
  <c r="Y55" i="15"/>
  <c r="Y57" i="15"/>
  <c r="Y59" i="15"/>
  <c r="Y61" i="15"/>
  <c r="Y63" i="15"/>
  <c r="Y65" i="15"/>
  <c r="Y67" i="15"/>
  <c r="Y69" i="15"/>
  <c r="Y71" i="15"/>
  <c r="Y73" i="15"/>
  <c r="Y75" i="15"/>
  <c r="Y77" i="15"/>
  <c r="Y196" i="15"/>
  <c r="Y198" i="15"/>
  <c r="AB6" i="15"/>
  <c r="AB7" i="15"/>
  <c r="AB8" i="15"/>
  <c r="AB9" i="15"/>
  <c r="AB10" i="15"/>
  <c r="AB11" i="15"/>
  <c r="AB12" i="15"/>
  <c r="AB13" i="15"/>
  <c r="AB14" i="15"/>
  <c r="AB15" i="15"/>
  <c r="AB16" i="15"/>
  <c r="AB17" i="15"/>
  <c r="AB18" i="15"/>
  <c r="AB19" i="15"/>
  <c r="AB20" i="15"/>
  <c r="AB21" i="15"/>
  <c r="AB22" i="15"/>
  <c r="AB23" i="15"/>
  <c r="AB24" i="15"/>
  <c r="AB25" i="15"/>
  <c r="AB26" i="15"/>
  <c r="AB27" i="15"/>
  <c r="AB28" i="15"/>
  <c r="AB29" i="15"/>
  <c r="AB30" i="15"/>
  <c r="AB31" i="15"/>
  <c r="AB32" i="15"/>
  <c r="AB33" i="15"/>
  <c r="AB34" i="15"/>
  <c r="AB35" i="15"/>
  <c r="AB36" i="15"/>
  <c r="AB37" i="15"/>
  <c r="AB38" i="15"/>
  <c r="AB39" i="15"/>
  <c r="AB40" i="15"/>
  <c r="AB41" i="15"/>
  <c r="AB42" i="15"/>
  <c r="AB43" i="15"/>
  <c r="AB44" i="15"/>
  <c r="AB45" i="15"/>
  <c r="AB46" i="15"/>
  <c r="AB47" i="15"/>
  <c r="AB48" i="15"/>
  <c r="AB49" i="15"/>
  <c r="AB50" i="15"/>
  <c r="AB51" i="15"/>
  <c r="AB52" i="15"/>
  <c r="AB53" i="15"/>
  <c r="AB54" i="15"/>
  <c r="AB55" i="15"/>
  <c r="AB56" i="15"/>
  <c r="AB57" i="15"/>
  <c r="AB58" i="15"/>
  <c r="AB59" i="15"/>
  <c r="AB60" i="15"/>
  <c r="AB61" i="15"/>
  <c r="AB62" i="15"/>
  <c r="AB63" i="15"/>
  <c r="AB64" i="15"/>
  <c r="AB65" i="15"/>
  <c r="AB66" i="15"/>
  <c r="AB67" i="15"/>
  <c r="AB68" i="15"/>
  <c r="AB69" i="15"/>
  <c r="AB70" i="15"/>
  <c r="AB71" i="15"/>
  <c r="AB72" i="15"/>
  <c r="AB73" i="15"/>
  <c r="AB74" i="15"/>
  <c r="AB75" i="15"/>
  <c r="AB76" i="15"/>
  <c r="AB77" i="15"/>
  <c r="AB78" i="15"/>
  <c r="AB196" i="15"/>
  <c r="AB198" i="15"/>
  <c r="AC4" i="15"/>
  <c r="AC6" i="15"/>
  <c r="AC7" i="15"/>
  <c r="AC8" i="15"/>
  <c r="AC9" i="15"/>
  <c r="AC10" i="15"/>
  <c r="AC11" i="15"/>
  <c r="AC12" i="15"/>
  <c r="AC13" i="15"/>
  <c r="AC14" i="15"/>
  <c r="AC15" i="15"/>
  <c r="AC16" i="15"/>
  <c r="AC17" i="15"/>
  <c r="AC18" i="15"/>
  <c r="AC19" i="15"/>
  <c r="AC20" i="15"/>
  <c r="AC21" i="15"/>
  <c r="AC22" i="15"/>
  <c r="AC23" i="15"/>
  <c r="AC24" i="15"/>
  <c r="AC25" i="15"/>
  <c r="AC26" i="15"/>
  <c r="AC27" i="15"/>
  <c r="AC28" i="15"/>
  <c r="AC29" i="15"/>
  <c r="AC30" i="15"/>
  <c r="AC31" i="15"/>
  <c r="AC32" i="15"/>
  <c r="AC33" i="15"/>
  <c r="AC34" i="15"/>
  <c r="AC35" i="15"/>
  <c r="AC36" i="15"/>
  <c r="AC37" i="15"/>
  <c r="AC38" i="15"/>
  <c r="AC39" i="15"/>
  <c r="AC40" i="15"/>
  <c r="AC41" i="15"/>
  <c r="AC42" i="15"/>
  <c r="AC43" i="15"/>
  <c r="AC44" i="15"/>
  <c r="AC45" i="15"/>
  <c r="AC46" i="15"/>
  <c r="AC47" i="15"/>
  <c r="AC48" i="15"/>
  <c r="AC49" i="15"/>
  <c r="AC50" i="15"/>
  <c r="AC51" i="15"/>
  <c r="AC52" i="15"/>
  <c r="AC53" i="15"/>
  <c r="AC54" i="15"/>
  <c r="AC55" i="15"/>
  <c r="AC56" i="15"/>
  <c r="AC57" i="15"/>
  <c r="AC58" i="15"/>
  <c r="AC59" i="15"/>
  <c r="AC60" i="15"/>
  <c r="AC61" i="15"/>
  <c r="AC62" i="15"/>
  <c r="AC63" i="15"/>
  <c r="AC64" i="15"/>
  <c r="AC65" i="15"/>
  <c r="AC66" i="15"/>
  <c r="AC67" i="15"/>
  <c r="AC68" i="15"/>
  <c r="AC69" i="15"/>
  <c r="AC70" i="15"/>
  <c r="AC71" i="15"/>
  <c r="AC72" i="15"/>
  <c r="AC73" i="15"/>
  <c r="AC74" i="15"/>
  <c r="AC75" i="15"/>
  <c r="AC76" i="15"/>
  <c r="AC77" i="15"/>
  <c r="AC78" i="15"/>
  <c r="AC196" i="15"/>
  <c r="AC198" i="15"/>
  <c r="Z4" i="15"/>
  <c r="Z6" i="15"/>
  <c r="Z7" i="15"/>
  <c r="Z8" i="15"/>
  <c r="Z9" i="15"/>
  <c r="Z10" i="15"/>
  <c r="Z11" i="15"/>
  <c r="Z12" i="15"/>
  <c r="Z13" i="15"/>
  <c r="Z14" i="15"/>
  <c r="Z15" i="15"/>
  <c r="Z16" i="15"/>
  <c r="Z17" i="15"/>
  <c r="Z18" i="15"/>
  <c r="Z19" i="15"/>
  <c r="Z20" i="15"/>
  <c r="Z21" i="15"/>
  <c r="Z22" i="15"/>
  <c r="Z23" i="15"/>
  <c r="Z24" i="15"/>
  <c r="Z25" i="15"/>
  <c r="Z26" i="15"/>
  <c r="Z27" i="15"/>
  <c r="Z28" i="15"/>
  <c r="Z29" i="15"/>
  <c r="Z30" i="15"/>
  <c r="Z31" i="15"/>
  <c r="Z32" i="15"/>
  <c r="Z33" i="15"/>
  <c r="Z34" i="15"/>
  <c r="Z35" i="15"/>
  <c r="Z36" i="15"/>
  <c r="Z37" i="15"/>
  <c r="Z38" i="15"/>
  <c r="Z39" i="15"/>
  <c r="Z40" i="15"/>
  <c r="Z41" i="15"/>
  <c r="Z42" i="15"/>
  <c r="Z43" i="15"/>
  <c r="Z44" i="15"/>
  <c r="Z45" i="15"/>
  <c r="Z46" i="15"/>
  <c r="Z47" i="15"/>
  <c r="Z48" i="15"/>
  <c r="Z49" i="15"/>
  <c r="Z50" i="15"/>
  <c r="Z51" i="15"/>
  <c r="Z52" i="15"/>
  <c r="Z53" i="15"/>
  <c r="Z54" i="15"/>
  <c r="Z55" i="15"/>
  <c r="Z56" i="15"/>
  <c r="Z57" i="15"/>
  <c r="Z58" i="15"/>
  <c r="Z59" i="15"/>
  <c r="Z60" i="15"/>
  <c r="Z61" i="15"/>
  <c r="Z62" i="15"/>
  <c r="Z63" i="15"/>
  <c r="Z64" i="15"/>
  <c r="Z65" i="15"/>
  <c r="Z66" i="15"/>
  <c r="Z67" i="15"/>
  <c r="Z68" i="15"/>
  <c r="Z69" i="15"/>
  <c r="Z70" i="15"/>
  <c r="Z71" i="15"/>
  <c r="Z72" i="15"/>
  <c r="Z73" i="15"/>
  <c r="Z74" i="15"/>
  <c r="Z75" i="15"/>
  <c r="Z76" i="15"/>
  <c r="Z77" i="15"/>
  <c r="Z78" i="15"/>
  <c r="Z196" i="15"/>
  <c r="Z198" i="15"/>
  <c r="W7" i="15"/>
  <c r="W9" i="15"/>
  <c r="W11" i="15"/>
  <c r="W13" i="15"/>
  <c r="W15" i="15"/>
  <c r="W17" i="15"/>
  <c r="W19" i="15"/>
  <c r="W21" i="15"/>
  <c r="W23" i="15"/>
  <c r="W25" i="15"/>
  <c r="W27" i="15"/>
  <c r="W29" i="15"/>
  <c r="W31" i="15"/>
  <c r="W33" i="15"/>
  <c r="W35" i="15"/>
  <c r="W37" i="15"/>
  <c r="W39" i="15"/>
  <c r="W41" i="15"/>
  <c r="W43" i="15"/>
  <c r="W45" i="15"/>
  <c r="W47" i="15"/>
  <c r="W49" i="15"/>
  <c r="W51" i="15"/>
  <c r="W53" i="15"/>
  <c r="W55" i="15"/>
  <c r="W57" i="15"/>
  <c r="W59" i="15"/>
  <c r="W61" i="15"/>
  <c r="W63" i="15"/>
  <c r="W65" i="15"/>
  <c r="W67" i="15"/>
  <c r="W69" i="15"/>
  <c r="W71" i="15"/>
  <c r="W73" i="15"/>
  <c r="W75" i="15"/>
  <c r="W77" i="15"/>
  <c r="W196" i="15"/>
  <c r="W198" i="15"/>
  <c r="AA4" i="15"/>
  <c r="AA6" i="15"/>
  <c r="AA7" i="15"/>
  <c r="AA8" i="15"/>
  <c r="AA9" i="15"/>
  <c r="AA10" i="15"/>
  <c r="AA11" i="15"/>
  <c r="AA12" i="15"/>
  <c r="AA13" i="15"/>
  <c r="AA14" i="15"/>
  <c r="AA15" i="15"/>
  <c r="AA16" i="15"/>
  <c r="AA17" i="15"/>
  <c r="AA18" i="15"/>
  <c r="AA19" i="15"/>
  <c r="AA20" i="15"/>
  <c r="AA21" i="15"/>
  <c r="AA22" i="15"/>
  <c r="AA23" i="15"/>
  <c r="AA24" i="15"/>
  <c r="AA25" i="15"/>
  <c r="AA26" i="15"/>
  <c r="AA27" i="15"/>
  <c r="AA28" i="15"/>
  <c r="AA29" i="15"/>
  <c r="AA30" i="15"/>
  <c r="AA31" i="15"/>
  <c r="AA32" i="15"/>
  <c r="AA33" i="15"/>
  <c r="AA34" i="15"/>
  <c r="AA35" i="15"/>
  <c r="AA36" i="15"/>
  <c r="AA37" i="15"/>
  <c r="AA38" i="15"/>
  <c r="AA39" i="15"/>
  <c r="AA40" i="15"/>
  <c r="AA41" i="15"/>
  <c r="AA42" i="15"/>
  <c r="AA43" i="15"/>
  <c r="AA44" i="15"/>
  <c r="AA45" i="15"/>
  <c r="AA46" i="15"/>
  <c r="AA47" i="15"/>
  <c r="AA48" i="15"/>
  <c r="AA49" i="15"/>
  <c r="AA50" i="15"/>
  <c r="AA51" i="15"/>
  <c r="AA52" i="15"/>
  <c r="AA53" i="15"/>
  <c r="AA54" i="15"/>
  <c r="AA55" i="15"/>
  <c r="AA56" i="15"/>
  <c r="AA57" i="15"/>
  <c r="AA58" i="15"/>
  <c r="AA59" i="15"/>
  <c r="AA60" i="15"/>
  <c r="AA61" i="15"/>
  <c r="AA62" i="15"/>
  <c r="AA63" i="15"/>
  <c r="AA64" i="15"/>
  <c r="AA65" i="15"/>
  <c r="AA66" i="15"/>
  <c r="AA67" i="15"/>
  <c r="AA68" i="15"/>
  <c r="AA69" i="15"/>
  <c r="AA70" i="15"/>
  <c r="AA71" i="15"/>
  <c r="AA72" i="15"/>
  <c r="AA73" i="15"/>
  <c r="AA74" i="15"/>
  <c r="AA75" i="15"/>
  <c r="AA76" i="15"/>
  <c r="AA77" i="15"/>
  <c r="AA78" i="15"/>
  <c r="AA196" i="15"/>
  <c r="AA198" i="15"/>
  <c r="X198" i="15"/>
  <c r="T196" i="15"/>
  <c r="T198" i="15"/>
  <c r="U198" i="15"/>
  <c r="H36" i="7"/>
  <c r="I36" i="7"/>
  <c r="U202" i="15"/>
  <c r="X202" i="15"/>
  <c r="AG19" i="17"/>
  <c r="AA202" i="15"/>
  <c r="AA204" i="15"/>
  <c r="X204" i="15"/>
  <c r="AC202" i="15"/>
  <c r="AC204" i="15"/>
  <c r="Y202" i="15"/>
  <c r="Y204" i="15"/>
  <c r="T202" i="15"/>
  <c r="T204" i="15"/>
  <c r="Z202" i="15"/>
  <c r="Z204" i="15"/>
  <c r="W202" i="15"/>
  <c r="W204" i="15"/>
  <c r="V202" i="15"/>
  <c r="V204" i="15"/>
  <c r="AB202" i="15"/>
  <c r="AB204" i="15"/>
  <c r="U204" i="15"/>
  <c r="H38" i="7"/>
  <c r="I38" i="7"/>
  <c r="U205" i="15"/>
  <c r="AB205" i="15"/>
  <c r="AG20" i="17"/>
  <c r="AB207" i="15"/>
  <c r="AA205" i="15"/>
  <c r="AA207" i="15"/>
  <c r="AC205" i="15"/>
  <c r="AC207" i="15"/>
  <c r="Z205" i="15"/>
  <c r="Z207" i="15"/>
  <c r="X205" i="15"/>
  <c r="X207" i="15"/>
  <c r="W205" i="15"/>
  <c r="W207" i="15"/>
  <c r="Y205" i="15"/>
  <c r="Y207" i="15"/>
  <c r="V205" i="15"/>
  <c r="V207" i="15"/>
  <c r="T205" i="15"/>
  <c r="T207" i="15"/>
  <c r="U207" i="15"/>
  <c r="I39" i="7"/>
  <c r="U208" i="15"/>
  <c r="AG21" i="17"/>
  <c r="V208" i="15"/>
  <c r="V210" i="15"/>
  <c r="X208" i="15"/>
  <c r="X210" i="15"/>
  <c r="T208" i="15"/>
  <c r="T210" i="15"/>
  <c r="AA208" i="15"/>
  <c r="AA210" i="15"/>
  <c r="AC208" i="15"/>
  <c r="AC209" i="15"/>
  <c r="AC210" i="15"/>
  <c r="Y208" i="15"/>
  <c r="Y210" i="15"/>
  <c r="Z208" i="15"/>
  <c r="Z210" i="15"/>
  <c r="AB208" i="15"/>
  <c r="AB210" i="15"/>
  <c r="W208" i="15"/>
  <c r="W209" i="15"/>
  <c r="W210" i="15"/>
  <c r="U210" i="15"/>
  <c r="I40" i="7"/>
  <c r="X212" i="15"/>
  <c r="AC212" i="15"/>
  <c r="Y212" i="15"/>
  <c r="W212" i="15"/>
  <c r="AB212" i="15"/>
  <c r="U214" i="15"/>
  <c r="AG23" i="17"/>
  <c r="X214" i="15"/>
  <c r="X216" i="15"/>
  <c r="Z214" i="15"/>
  <c r="Z216" i="15"/>
  <c r="T214" i="15"/>
  <c r="T215" i="15"/>
  <c r="T216" i="15"/>
  <c r="AA214" i="15"/>
  <c r="AA215" i="15"/>
  <c r="AA216" i="15"/>
  <c r="V214" i="15"/>
  <c r="V216" i="15"/>
  <c r="AC214" i="15"/>
  <c r="AC216" i="15"/>
  <c r="AB214" i="15"/>
  <c r="AB216" i="15"/>
  <c r="W214" i="15"/>
  <c r="W216" i="15"/>
  <c r="Y214" i="15"/>
  <c r="Y216" i="15"/>
  <c r="U216" i="15"/>
  <c r="I42" i="7"/>
  <c r="U217" i="15"/>
  <c r="X217" i="15"/>
  <c r="AG24" i="17"/>
  <c r="U218" i="15"/>
  <c r="X218" i="15"/>
  <c r="X219" i="15"/>
  <c r="AC218" i="15"/>
  <c r="AC217" i="15"/>
  <c r="AC219" i="15"/>
  <c r="W217" i="15"/>
  <c r="W218" i="15"/>
  <c r="W219" i="15"/>
  <c r="AA217" i="15"/>
  <c r="AA218" i="15"/>
  <c r="AA219" i="15"/>
  <c r="Y218" i="15"/>
  <c r="Y217" i="15"/>
  <c r="Y219" i="15"/>
  <c r="V218" i="15"/>
  <c r="V217" i="15"/>
  <c r="V219" i="15"/>
  <c r="AB217" i="15"/>
  <c r="AB218" i="15"/>
  <c r="AB219" i="15"/>
  <c r="Z217" i="15"/>
  <c r="Z218" i="15"/>
  <c r="Z219" i="15"/>
  <c r="T218" i="15"/>
  <c r="T217" i="15"/>
  <c r="T219" i="15"/>
  <c r="U219" i="15"/>
  <c r="I43" i="7"/>
  <c r="U220" i="15"/>
  <c r="Z220" i="15"/>
  <c r="AG25" i="17"/>
  <c r="U221" i="15"/>
  <c r="V221" i="15"/>
  <c r="AC221" i="15"/>
  <c r="AC222" i="15"/>
  <c r="Y221" i="15"/>
  <c r="Y222" i="15"/>
  <c r="Z222" i="15"/>
  <c r="V220" i="15"/>
  <c r="V222" i="15"/>
  <c r="AA221" i="15"/>
  <c r="AA222" i="15"/>
  <c r="T221" i="15"/>
  <c r="T222" i="15"/>
  <c r="AB222" i="15"/>
  <c r="X220" i="15"/>
  <c r="X222" i="15"/>
  <c r="W221" i="15"/>
  <c r="W222" i="15"/>
  <c r="U222" i="15"/>
  <c r="I44" i="7"/>
  <c r="AG124" i="17"/>
  <c r="U223" i="15"/>
  <c r="T223" i="15"/>
  <c r="AG26" i="17"/>
  <c r="W223" i="15"/>
  <c r="U224" i="15"/>
  <c r="W224" i="15"/>
  <c r="W225" i="15"/>
  <c r="AC223" i="15"/>
  <c r="AC225" i="15"/>
  <c r="T225" i="15"/>
  <c r="Y223" i="15"/>
  <c r="Y225" i="15"/>
  <c r="X223" i="15"/>
  <c r="X225" i="15"/>
  <c r="AB223" i="15"/>
  <c r="AB224" i="15"/>
  <c r="AB225" i="15"/>
  <c r="AA225" i="15"/>
  <c r="Z223" i="15"/>
  <c r="Z225" i="15"/>
  <c r="V223" i="15"/>
  <c r="V225" i="15"/>
  <c r="U225" i="15"/>
  <c r="I45" i="7"/>
  <c r="U226" i="15"/>
  <c r="AG27" i="17"/>
  <c r="Y226" i="15"/>
  <c r="U227" i="15"/>
  <c r="Y227" i="15"/>
  <c r="Y228" i="15"/>
  <c r="X226" i="15"/>
  <c r="X227" i="15"/>
  <c r="X228" i="15"/>
  <c r="T226" i="15"/>
  <c r="T227" i="15"/>
  <c r="T228" i="15"/>
  <c r="Z226" i="15"/>
  <c r="Z227" i="15"/>
  <c r="Z228" i="15"/>
  <c r="AC226" i="15"/>
  <c r="AC228" i="15"/>
  <c r="AB226" i="15"/>
  <c r="AB227" i="15"/>
  <c r="AB228" i="15"/>
  <c r="V226" i="15"/>
  <c r="V227" i="15"/>
  <c r="V228" i="15"/>
  <c r="AA226" i="15"/>
  <c r="AA227" i="15"/>
  <c r="AA228" i="15"/>
  <c r="W226" i="15"/>
  <c r="W228" i="15"/>
  <c r="U228" i="15"/>
  <c r="I46" i="7"/>
  <c r="AG126" i="17"/>
  <c r="U229" i="15"/>
  <c r="Y229" i="15"/>
  <c r="AG28" i="17"/>
  <c r="U230" i="15"/>
  <c r="Y230" i="15"/>
  <c r="Y231" i="15"/>
  <c r="AA230" i="15"/>
  <c r="AA231" i="15"/>
  <c r="Z229" i="15"/>
  <c r="Z230" i="15"/>
  <c r="Z231" i="15"/>
  <c r="AB229" i="15"/>
  <c r="AB230" i="15"/>
  <c r="AB231" i="15"/>
  <c r="W230" i="15"/>
  <c r="W231" i="15"/>
  <c r="AC230" i="15"/>
  <c r="AC231" i="15"/>
  <c r="V229" i="15"/>
  <c r="V230" i="15"/>
  <c r="V231" i="15"/>
  <c r="T229" i="15"/>
  <c r="T230" i="15"/>
  <c r="T231" i="15"/>
  <c r="X230" i="15"/>
  <c r="X231" i="15"/>
  <c r="U231" i="15"/>
  <c r="I47" i="7"/>
  <c r="F2" i="26"/>
  <c r="B2" i="11"/>
  <c r="I7" i="11"/>
  <c r="I58" i="11"/>
  <c r="A31" i="33"/>
  <c r="Q1" i="32"/>
  <c r="AS1" i="32"/>
  <c r="B27" i="7"/>
  <c r="F1" i="26"/>
  <c r="A43" i="20"/>
  <c r="A1" i="13"/>
  <c r="B1" i="11"/>
  <c r="I5" i="11"/>
  <c r="I56" i="11"/>
  <c r="A1" i="31"/>
  <c r="A43" i="31"/>
  <c r="F17" i="26"/>
  <c r="A1" i="32"/>
  <c r="AC1" i="32"/>
  <c r="X229" i="15"/>
  <c r="W229" i="15"/>
  <c r="W227" i="15"/>
  <c r="AC227" i="15"/>
  <c r="Z224" i="15"/>
  <c r="AA223" i="15"/>
  <c r="Y224" i="15"/>
  <c r="AB221" i="15"/>
  <c r="T220" i="15"/>
  <c r="Z221" i="15"/>
  <c r="Y220" i="15"/>
  <c r="AC220" i="15"/>
  <c r="L229" i="15"/>
  <c r="K229" i="15"/>
  <c r="F229" i="15"/>
  <c r="K226" i="15"/>
  <c r="L226" i="15"/>
  <c r="F226" i="15"/>
  <c r="D226" i="15"/>
  <c r="H223" i="15"/>
  <c r="L223" i="15"/>
  <c r="F223" i="15"/>
  <c r="J220" i="15"/>
  <c r="L220" i="15"/>
  <c r="G220" i="15"/>
  <c r="M220" i="15"/>
  <c r="F230" i="15"/>
  <c r="G230" i="15"/>
  <c r="J230" i="15"/>
  <c r="L230" i="15"/>
  <c r="I230" i="15"/>
  <c r="D230" i="15"/>
  <c r="M230" i="15"/>
  <c r="AC224" i="15"/>
  <c r="AA224" i="15"/>
  <c r="T224" i="15"/>
  <c r="W220" i="15"/>
  <c r="AA220" i="15"/>
  <c r="AC229" i="15"/>
  <c r="AA229" i="15"/>
  <c r="V224" i="15"/>
  <c r="X224" i="15"/>
  <c r="X221" i="15"/>
  <c r="AB220" i="15"/>
  <c r="D221" i="15"/>
  <c r="D227" i="15"/>
  <c r="H227" i="15"/>
  <c r="M227" i="15"/>
  <c r="O9" i="13"/>
  <c r="N10" i="13"/>
  <c r="N54" i="13"/>
  <c r="O53" i="13"/>
  <c r="V145" i="17"/>
  <c r="V191" i="17"/>
  <c r="V168" i="17"/>
  <c r="C178" i="17"/>
  <c r="C155" i="17"/>
  <c r="C132" i="17"/>
  <c r="F227" i="15"/>
  <c r="V190" i="17"/>
  <c r="O8" i="13"/>
  <c r="V144" i="17"/>
  <c r="C33" i="17"/>
  <c r="AE51" i="13"/>
  <c r="AF50" i="13"/>
  <c r="V148" i="17"/>
  <c r="V150" i="17"/>
  <c r="C131" i="17"/>
  <c r="V51" i="17"/>
  <c r="V69" i="17"/>
  <c r="C165" i="17"/>
  <c r="C56" i="17"/>
  <c r="V63" i="17"/>
  <c r="V74" i="17"/>
  <c r="R57" i="33"/>
  <c r="R28" i="33"/>
  <c r="V196" i="17"/>
  <c r="V136" i="17"/>
  <c r="V163" i="17"/>
  <c r="V161" i="17"/>
  <c r="O52" i="13"/>
  <c r="V180" i="17"/>
  <c r="C192" i="17"/>
  <c r="C79" i="17"/>
  <c r="V116" i="17"/>
  <c r="V46" i="17"/>
  <c r="AE8" i="13"/>
  <c r="AF7" i="13"/>
  <c r="J29" i="33"/>
  <c r="L49" i="34"/>
  <c r="T49" i="34"/>
  <c r="P43" i="31"/>
  <c r="D71" i="17"/>
  <c r="G72" i="17"/>
  <c r="D73" i="17"/>
  <c r="G74" i="17"/>
  <c r="V48" i="34"/>
  <c r="V47" i="34"/>
  <c r="V49" i="34"/>
  <c r="AF6" i="13"/>
  <c r="AF49" i="13"/>
  <c r="V102" i="34"/>
  <c r="Q92" i="15"/>
  <c r="AI48" i="34"/>
  <c r="AI49" i="34"/>
  <c r="AG48" i="34"/>
  <c r="AG49" i="34"/>
  <c r="Q9" i="15"/>
  <c r="AA47" i="34"/>
  <c r="X48" i="34"/>
  <c r="AH45" i="13"/>
  <c r="Q45" i="13"/>
  <c r="U27" i="33"/>
  <c r="AH47" i="34"/>
  <c r="AH49" i="34"/>
  <c r="AF48" i="34"/>
  <c r="Y47" i="34"/>
  <c r="X47" i="34"/>
  <c r="X49" i="34"/>
  <c r="E92" i="34"/>
  <c r="I92" i="34"/>
  <c r="M92" i="34"/>
  <c r="Q92" i="34"/>
  <c r="U92" i="34"/>
  <c r="H93" i="34"/>
  <c r="L93" i="34"/>
  <c r="P93" i="34"/>
  <c r="T93" i="34"/>
  <c r="X93" i="34"/>
  <c r="AA92" i="34"/>
  <c r="AB93" i="34"/>
  <c r="AE92" i="34"/>
  <c r="AF93" i="34"/>
  <c r="AI92" i="34"/>
  <c r="F90" i="34"/>
  <c r="J90" i="34"/>
  <c r="N90" i="34"/>
  <c r="R90" i="34"/>
  <c r="E91" i="34"/>
  <c r="I91" i="34"/>
  <c r="M91" i="34"/>
  <c r="Q91" i="34"/>
  <c r="U91" i="34"/>
  <c r="Z90" i="34"/>
  <c r="AA91" i="34"/>
  <c r="AD90" i="34"/>
  <c r="AE91" i="34"/>
  <c r="AH90" i="34"/>
  <c r="AI91" i="34"/>
  <c r="Y93" i="34"/>
  <c r="Y101" i="34"/>
  <c r="AB92" i="34"/>
  <c r="AB100" i="34"/>
  <c r="AC89" i="34"/>
  <c r="AC91" i="34"/>
  <c r="AC101" i="34"/>
  <c r="AF88" i="34"/>
  <c r="AF90" i="34"/>
  <c r="AF100" i="34"/>
  <c r="X24" i="7"/>
  <c r="Z22" i="7"/>
  <c r="S22" i="7"/>
  <c r="G22" i="7"/>
  <c r="R18" i="7"/>
  <c r="Q18" i="7"/>
  <c r="W190" i="17"/>
  <c r="W167" i="17"/>
  <c r="W144" i="17"/>
  <c r="Y190" i="17"/>
  <c r="Z190" i="17"/>
  <c r="Z167" i="17"/>
  <c r="Z144" i="17"/>
  <c r="AA190" i="17"/>
  <c r="AA167" i="17"/>
  <c r="AA144" i="17"/>
  <c r="AB190" i="17"/>
  <c r="AB167" i="17"/>
  <c r="AB144" i="17"/>
  <c r="G41" i="7"/>
  <c r="AI90" i="34"/>
  <c r="AH91" i="34"/>
  <c r="AG93" i="34"/>
  <c r="AF91" i="34"/>
  <c r="AD92" i="34"/>
  <c r="AC92" i="34"/>
  <c r="AA93" i="34"/>
  <c r="Y90" i="34"/>
  <c r="R93" i="34"/>
  <c r="M93" i="34"/>
  <c r="G93" i="34"/>
  <c r="S92" i="34"/>
  <c r="N92" i="34"/>
  <c r="H92" i="34"/>
  <c r="R91" i="34"/>
  <c r="L91" i="34"/>
  <c r="G91" i="34"/>
  <c r="S90" i="34"/>
  <c r="M90" i="34"/>
  <c r="H90" i="34"/>
  <c r="G88" i="34"/>
  <c r="K88" i="34"/>
  <c r="O88" i="34"/>
  <c r="S88" i="34"/>
  <c r="F89" i="34"/>
  <c r="J89" i="34"/>
  <c r="N89" i="34"/>
  <c r="R89" i="34"/>
  <c r="Y88" i="34"/>
  <c r="Z89" i="34"/>
  <c r="AC88" i="34"/>
  <c r="AD89" i="34"/>
  <c r="AG88" i="34"/>
  <c r="AH89" i="34"/>
  <c r="AA89" i="34"/>
  <c r="AA101" i="34"/>
  <c r="A17" i="15"/>
  <c r="A92" i="15"/>
  <c r="G18" i="7"/>
  <c r="I28" i="17"/>
  <c r="B127" i="17"/>
  <c r="J28" i="17"/>
  <c r="F28" i="17"/>
  <c r="G28" i="17"/>
  <c r="D28" i="17"/>
  <c r="H28" i="17"/>
  <c r="F20" i="7"/>
  <c r="Z20" i="7"/>
  <c r="V20" i="7"/>
  <c r="R20" i="7"/>
  <c r="G20" i="7"/>
  <c r="X20" i="7"/>
  <c r="S20" i="7"/>
  <c r="K16" i="7"/>
  <c r="P16" i="7"/>
  <c r="AE16" i="7"/>
  <c r="V16" i="7"/>
  <c r="F16" i="7"/>
  <c r="R16" i="7"/>
  <c r="T16" i="7"/>
  <c r="S16" i="7"/>
  <c r="G16" i="7"/>
  <c r="AE38" i="7"/>
  <c r="F38" i="7"/>
  <c r="G38" i="7"/>
  <c r="AC187" i="17"/>
  <c r="AE187" i="17"/>
  <c r="AJ187" i="17"/>
  <c r="R38" i="7"/>
  <c r="F34" i="7"/>
  <c r="AC160" i="17"/>
  <c r="AE160" i="17"/>
  <c r="AJ160" i="17"/>
  <c r="Q34" i="7"/>
  <c r="AI88" i="34"/>
  <c r="AI100" i="34"/>
  <c r="AH92" i="34"/>
  <c r="AG91" i="34"/>
  <c r="AG92" i="34"/>
  <c r="AF89" i="34"/>
  <c r="AE93" i="34"/>
  <c r="AD88" i="34"/>
  <c r="AC90" i="34"/>
  <c r="Z93" i="34"/>
  <c r="X92" i="34"/>
  <c r="Q93" i="34"/>
  <c r="K93" i="34"/>
  <c r="F93" i="34"/>
  <c r="R92" i="34"/>
  <c r="L92" i="34"/>
  <c r="G92" i="34"/>
  <c r="P91" i="34"/>
  <c r="K91" i="34"/>
  <c r="F91" i="34"/>
  <c r="Q90" i="34"/>
  <c r="L90" i="34"/>
  <c r="G90" i="34"/>
  <c r="Q89" i="34"/>
  <c r="L89" i="34"/>
  <c r="G89" i="34"/>
  <c r="R88" i="34"/>
  <c r="M88" i="34"/>
  <c r="H88" i="34"/>
  <c r="AF101" i="34"/>
  <c r="AD100" i="34"/>
  <c r="Q16" i="7"/>
  <c r="R22" i="7"/>
  <c r="U16" i="7"/>
  <c r="Y40" i="34"/>
  <c r="AB39" i="34"/>
  <c r="AC40" i="34"/>
  <c r="Z35" i="34"/>
  <c r="AA36" i="34"/>
  <c r="AD35" i="34"/>
  <c r="AE36" i="34"/>
  <c r="Y48" i="34"/>
  <c r="AC48" i="34"/>
  <c r="AC49" i="34"/>
  <c r="AF47" i="34"/>
  <c r="AF49" i="34"/>
  <c r="AD47" i="34"/>
  <c r="AD49" i="34"/>
  <c r="AE48" i="34"/>
  <c r="AE49" i="34"/>
  <c r="AI93" i="34"/>
  <c r="AH88" i="34"/>
  <c r="AG89" i="34"/>
  <c r="AG101" i="34"/>
  <c r="AG90" i="34"/>
  <c r="AE89" i="34"/>
  <c r="AE100" i="34"/>
  <c r="AD93" i="34"/>
  <c r="AB101" i="34"/>
  <c r="AA90" i="34"/>
  <c r="AA100" i="34"/>
  <c r="AA102" i="34"/>
  <c r="Z91" i="34"/>
  <c r="X91" i="34"/>
  <c r="X101" i="34"/>
  <c r="X90" i="34"/>
  <c r="AJ97" i="34"/>
  <c r="C53" i="33"/>
  <c r="U56" i="33"/>
  <c r="U93" i="34"/>
  <c r="O93" i="34"/>
  <c r="J93" i="34"/>
  <c r="E93" i="34"/>
  <c r="P92" i="34"/>
  <c r="K92" i="34"/>
  <c r="F92" i="34"/>
  <c r="T91" i="34"/>
  <c r="O91" i="34"/>
  <c r="J91" i="34"/>
  <c r="U90" i="34"/>
  <c r="P90" i="34"/>
  <c r="K90" i="34"/>
  <c r="E90" i="34"/>
  <c r="U89" i="34"/>
  <c r="P89" i="34"/>
  <c r="K89" i="34"/>
  <c r="E89" i="34"/>
  <c r="Q88" i="34"/>
  <c r="L88" i="34"/>
  <c r="F88" i="34"/>
  <c r="T100" i="34"/>
  <c r="G101" i="34"/>
  <c r="G100" i="34"/>
  <c r="G102" i="34"/>
  <c r="K101" i="34"/>
  <c r="AC100" i="34"/>
  <c r="Q22" i="7"/>
  <c r="S14" i="7"/>
  <c r="F126" i="17"/>
  <c r="J126" i="17"/>
  <c r="H126" i="17"/>
  <c r="D126" i="17"/>
  <c r="I126" i="17"/>
  <c r="O126" i="17"/>
  <c r="V21" i="7"/>
  <c r="V17" i="7"/>
  <c r="D159" i="17"/>
  <c r="D182" i="17"/>
  <c r="D136" i="17"/>
  <c r="L136" i="17"/>
  <c r="O159" i="17"/>
  <c r="O182" i="17"/>
  <c r="O136" i="17"/>
  <c r="Q136" i="17"/>
  <c r="S11" i="7"/>
  <c r="Z11" i="7"/>
  <c r="J159" i="17"/>
  <c r="L159" i="17"/>
  <c r="Q159" i="17"/>
  <c r="Q11" i="7"/>
  <c r="J182" i="17"/>
  <c r="L182" i="17"/>
  <c r="Q182" i="17"/>
  <c r="R11" i="7"/>
  <c r="F124" i="17"/>
  <c r="J124" i="17"/>
  <c r="H124" i="17"/>
  <c r="D124" i="17"/>
  <c r="I124" i="17"/>
  <c r="S18" i="7"/>
  <c r="Z18" i="7"/>
  <c r="X18" i="7"/>
  <c r="T18" i="7"/>
  <c r="K18" i="7"/>
  <c r="U18" i="7"/>
  <c r="K14" i="7"/>
  <c r="Z14" i="7"/>
  <c r="X22" i="7"/>
  <c r="X26" i="7"/>
  <c r="T14" i="7"/>
  <c r="R14" i="7"/>
  <c r="Q14" i="7"/>
  <c r="G10" i="7"/>
  <c r="D155" i="17"/>
  <c r="J155" i="17"/>
  <c r="L155" i="17"/>
  <c r="O155" i="17"/>
  <c r="Q155" i="17"/>
  <c r="Q7" i="7"/>
  <c r="P25" i="7"/>
  <c r="Z24" i="7"/>
  <c r="Q24" i="7"/>
  <c r="I26" i="17"/>
  <c r="B125" i="17"/>
  <c r="J26" i="17"/>
  <c r="F26" i="17"/>
  <c r="V22" i="7"/>
  <c r="G30" i="7"/>
  <c r="G32" i="7"/>
  <c r="G37" i="7"/>
  <c r="G28" i="7"/>
  <c r="G35" i="7"/>
  <c r="G21" i="7"/>
  <c r="G25" i="7"/>
  <c r="G45" i="7"/>
  <c r="G29" i="7"/>
  <c r="G47" i="7"/>
  <c r="K45" i="7"/>
  <c r="P45" i="7"/>
  <c r="T45" i="7"/>
  <c r="Z44" i="7"/>
  <c r="AF44" i="7"/>
  <c r="Q44" i="7"/>
  <c r="AE44" i="7"/>
  <c r="S44" i="7"/>
  <c r="Y123" i="17"/>
  <c r="Z123" i="17"/>
  <c r="AA123" i="17"/>
  <c r="AB123" i="17"/>
  <c r="AC123" i="17"/>
  <c r="AF43" i="7"/>
  <c r="W123" i="17"/>
  <c r="V43" i="7"/>
  <c r="AH123" i="17"/>
  <c r="T43" i="7"/>
  <c r="F43" i="7"/>
  <c r="R43" i="7"/>
  <c r="G43" i="7"/>
  <c r="Z43" i="7"/>
  <c r="F40" i="7"/>
  <c r="AE143" i="17"/>
  <c r="AH166" i="17"/>
  <c r="AH189" i="17"/>
  <c r="AH143" i="17"/>
  <c r="AJ143" i="17"/>
  <c r="S40" i="7"/>
  <c r="Z40" i="7"/>
  <c r="T40" i="7"/>
  <c r="AE40" i="7"/>
  <c r="AC189" i="17"/>
  <c r="AE189" i="17"/>
  <c r="AJ189" i="17"/>
  <c r="R40" i="7"/>
  <c r="V40" i="7"/>
  <c r="O27" i="17"/>
  <c r="D27" i="17"/>
  <c r="G27" i="17"/>
  <c r="O25" i="17"/>
  <c r="D25" i="17"/>
  <c r="G25" i="17"/>
  <c r="J167" i="17"/>
  <c r="L167" i="17"/>
  <c r="O167" i="17"/>
  <c r="Q167" i="17"/>
  <c r="Q19" i="7"/>
  <c r="G17" i="7"/>
  <c r="D163" i="17"/>
  <c r="J163" i="17"/>
  <c r="L163" i="17"/>
  <c r="O163" i="17"/>
  <c r="Q163" i="17"/>
  <c r="Q15" i="7"/>
  <c r="G13" i="7"/>
  <c r="G9" i="7"/>
  <c r="G15" i="7"/>
  <c r="G26" i="7"/>
  <c r="Q46" i="7"/>
  <c r="R46" i="7"/>
  <c r="F36" i="7"/>
  <c r="K23" i="7"/>
  <c r="P23" i="7"/>
  <c r="D157" i="17"/>
  <c r="J157" i="17"/>
  <c r="L157" i="17"/>
  <c r="O157" i="17"/>
  <c r="Q157" i="17"/>
  <c r="Q9" i="7"/>
  <c r="R24" i="7"/>
  <c r="H27" i="17"/>
  <c r="V24" i="7"/>
  <c r="K24" i="7"/>
  <c r="P24" i="7"/>
  <c r="H25" i="17"/>
  <c r="T22" i="7"/>
  <c r="K22" i="7"/>
  <c r="P22" i="7"/>
  <c r="G36" i="7"/>
  <c r="R47" i="7"/>
  <c r="AB124" i="17"/>
  <c r="Y124" i="17"/>
  <c r="Z124" i="17"/>
  <c r="W124" i="17"/>
  <c r="AA124" i="17"/>
  <c r="F39" i="7"/>
  <c r="S47" i="7"/>
  <c r="AA28" i="17"/>
  <c r="AC126" i="17"/>
  <c r="AH126" i="17"/>
  <c r="Z46" i="7"/>
  <c r="S46" i="7"/>
  <c r="G46" i="7"/>
  <c r="AA26" i="17"/>
  <c r="AH26" i="17"/>
  <c r="AC26" i="17"/>
  <c r="Z42" i="7"/>
  <c r="S42" i="7"/>
  <c r="G42" i="7"/>
  <c r="X47" i="7"/>
  <c r="T47" i="7"/>
  <c r="P47" i="7"/>
  <c r="AE45" i="7"/>
  <c r="R45" i="7"/>
  <c r="X41" i="7"/>
  <c r="V41" i="7"/>
  <c r="AC190" i="17"/>
  <c r="AE190" i="17"/>
  <c r="AJ190" i="17"/>
  <c r="R41" i="7"/>
  <c r="P33" i="7"/>
  <c r="T31" i="7"/>
  <c r="P31" i="7"/>
  <c r="AF102" i="34"/>
  <c r="AB102" i="34"/>
  <c r="L39" i="7"/>
  <c r="K39" i="7"/>
  <c r="O39" i="7"/>
  <c r="H39" i="7"/>
  <c r="AD39" i="7"/>
  <c r="M39" i="7"/>
  <c r="J39" i="7"/>
  <c r="N39" i="7"/>
  <c r="B159" i="17"/>
  <c r="B182" i="17"/>
  <c r="K113" i="17"/>
  <c r="L113" i="17"/>
  <c r="M113" i="17"/>
  <c r="B136" i="17"/>
  <c r="P113" i="17"/>
  <c r="Q113" i="17"/>
  <c r="E113" i="17"/>
  <c r="R113" i="17"/>
  <c r="N113" i="17"/>
  <c r="O125" i="17"/>
  <c r="H125" i="17"/>
  <c r="J125" i="17"/>
  <c r="F125" i="17"/>
  <c r="D125" i="17"/>
  <c r="G125" i="17"/>
  <c r="I125" i="17"/>
  <c r="B194" i="17"/>
  <c r="B171" i="17"/>
  <c r="B148" i="17"/>
  <c r="E125" i="17"/>
  <c r="R125" i="17"/>
  <c r="K125" i="17"/>
  <c r="N125" i="17"/>
  <c r="L125" i="17"/>
  <c r="P125" i="17"/>
  <c r="M125" i="17"/>
  <c r="Q125" i="17"/>
  <c r="L101" i="34"/>
  <c r="G34" i="7"/>
  <c r="O100" i="34"/>
  <c r="AB47" i="34"/>
  <c r="AB49" i="34"/>
  <c r="V185" i="17"/>
  <c r="V139" i="17"/>
  <c r="V162" i="17"/>
  <c r="AE52" i="13"/>
  <c r="AF51" i="13"/>
  <c r="O54" i="13"/>
  <c r="N55" i="13"/>
  <c r="O10" i="13"/>
  <c r="N11" i="13"/>
  <c r="T46" i="7"/>
  <c r="K46" i="7"/>
  <c r="P46" i="7"/>
  <c r="M46" i="7"/>
  <c r="N46" i="7"/>
  <c r="J46" i="7"/>
  <c r="H46" i="7"/>
  <c r="O46" i="7"/>
  <c r="L46" i="7"/>
  <c r="AD46" i="7"/>
  <c r="X119" i="17"/>
  <c r="AE119" i="17"/>
  <c r="AJ119" i="17"/>
  <c r="AK119" i="17"/>
  <c r="AF119" i="17"/>
  <c r="AD119" i="17"/>
  <c r="AG119" i="17"/>
  <c r="AI119" i="17"/>
  <c r="V8" i="7"/>
  <c r="AE8" i="7"/>
  <c r="K12" i="7"/>
  <c r="O12" i="7"/>
  <c r="P12" i="7"/>
  <c r="L12" i="7"/>
  <c r="J12" i="7"/>
  <c r="N12" i="7"/>
  <c r="M12" i="7"/>
  <c r="X42" i="7"/>
  <c r="X43" i="7"/>
  <c r="X44" i="7"/>
  <c r="X45" i="7"/>
  <c r="X48" i="7"/>
  <c r="AF40" i="7"/>
  <c r="V44" i="7"/>
  <c r="AE101" i="34"/>
  <c r="AE102" i="34"/>
  <c r="O20" i="7"/>
  <c r="AD20" i="7"/>
  <c r="M20" i="7"/>
  <c r="N20" i="7"/>
  <c r="L20" i="7"/>
  <c r="J20" i="7"/>
  <c r="X110" i="17"/>
  <c r="AE110" i="17"/>
  <c r="AJ110" i="17"/>
  <c r="AK110" i="17"/>
  <c r="AI110" i="17"/>
  <c r="AG110" i="17"/>
  <c r="AD110" i="17"/>
  <c r="AF110" i="17"/>
  <c r="V45" i="7"/>
  <c r="X121" i="17"/>
  <c r="AE121" i="17"/>
  <c r="AJ121" i="17"/>
  <c r="AK121" i="17"/>
  <c r="AD121" i="17"/>
  <c r="AF121" i="17"/>
  <c r="AG121" i="17"/>
  <c r="AI121" i="17"/>
  <c r="AF42" i="7"/>
  <c r="P39" i="7"/>
  <c r="AF39" i="7"/>
  <c r="AE6" i="7"/>
  <c r="D26" i="7"/>
  <c r="K10" i="7"/>
  <c r="O10" i="7"/>
  <c r="P10" i="7"/>
  <c r="L10" i="7"/>
  <c r="J10" i="7"/>
  <c r="N10" i="7"/>
  <c r="M10" i="7"/>
  <c r="T39" i="7"/>
  <c r="T42" i="7"/>
  <c r="T44" i="7"/>
  <c r="K36" i="7"/>
  <c r="P36" i="7"/>
  <c r="J36" i="7"/>
  <c r="M36" i="7"/>
  <c r="L36" i="7"/>
  <c r="N36" i="7"/>
  <c r="O36" i="7"/>
  <c r="B155" i="17"/>
  <c r="B178" i="17"/>
  <c r="E109" i="17"/>
  <c r="L109" i="17"/>
  <c r="Q109" i="17"/>
  <c r="R109" i="17"/>
  <c r="B132" i="17"/>
  <c r="M109" i="17"/>
  <c r="P109" i="17"/>
  <c r="K109" i="17"/>
  <c r="N109" i="17"/>
  <c r="B190" i="17"/>
  <c r="B167" i="17"/>
  <c r="B144" i="17"/>
  <c r="E121" i="17"/>
  <c r="L121" i="17"/>
  <c r="Q121" i="17"/>
  <c r="R121" i="17"/>
  <c r="N121" i="17"/>
  <c r="K121" i="17"/>
  <c r="P121" i="17"/>
  <c r="M121" i="17"/>
  <c r="AC166" i="17"/>
  <c r="AE166" i="17"/>
  <c r="AJ166" i="17"/>
  <c r="Q40" i="7"/>
  <c r="AH43" i="7"/>
  <c r="Q43" i="7"/>
  <c r="W48" i="33"/>
  <c r="X48" i="33"/>
  <c r="AE14" i="7"/>
  <c r="V14" i="7"/>
  <c r="L18" i="7"/>
  <c r="O18" i="7"/>
  <c r="P18" i="7"/>
  <c r="U6" i="7"/>
  <c r="O79" i="17"/>
  <c r="O33" i="17"/>
  <c r="O178" i="17"/>
  <c r="O132" i="17"/>
  <c r="T7" i="7"/>
  <c r="U7" i="7"/>
  <c r="U8" i="7"/>
  <c r="O81" i="17"/>
  <c r="O35" i="17"/>
  <c r="O180" i="17"/>
  <c r="O134" i="17"/>
  <c r="T9" i="7"/>
  <c r="U9" i="7"/>
  <c r="O85" i="17"/>
  <c r="O39" i="17"/>
  <c r="O161" i="17"/>
  <c r="O184" i="17"/>
  <c r="O138" i="17"/>
  <c r="T13" i="7"/>
  <c r="U13" i="7"/>
  <c r="U14" i="7"/>
  <c r="U20" i="7"/>
  <c r="M18" i="7"/>
  <c r="J18" i="7"/>
  <c r="N18" i="7"/>
  <c r="AH101" i="34"/>
  <c r="Z101" i="34"/>
  <c r="F101" i="34"/>
  <c r="U101" i="34"/>
  <c r="E101" i="34"/>
  <c r="F100" i="34"/>
  <c r="N101" i="34"/>
  <c r="AJ91" i="34"/>
  <c r="AA48" i="34"/>
  <c r="AA49" i="34"/>
  <c r="Y49" i="34"/>
  <c r="Z47" i="34"/>
  <c r="Z49" i="34"/>
  <c r="V24" i="33"/>
  <c r="AJ36" i="34"/>
  <c r="H101" i="34"/>
  <c r="I100" i="34"/>
  <c r="AJ93" i="34"/>
  <c r="AC183" i="17"/>
  <c r="AE183" i="17"/>
  <c r="AJ183" i="17"/>
  <c r="R34" i="7"/>
  <c r="AE137" i="17"/>
  <c r="AJ137" i="17"/>
  <c r="S34" i="7"/>
  <c r="W165" i="17"/>
  <c r="AC165" i="17"/>
  <c r="AE165" i="17"/>
  <c r="AH165" i="17"/>
  <c r="AJ165" i="17"/>
  <c r="Q39" i="7"/>
  <c r="O101" i="34"/>
  <c r="J101" i="34"/>
  <c r="K100" i="34"/>
  <c r="K102" i="34"/>
  <c r="Q94" i="15"/>
  <c r="J100" i="34"/>
  <c r="M100" i="34"/>
  <c r="A17" i="11"/>
  <c r="K8" i="7"/>
  <c r="O8" i="7"/>
  <c r="T8" i="7"/>
  <c r="P8" i="7"/>
  <c r="J8" i="7"/>
  <c r="AD8" i="7"/>
  <c r="M8" i="7"/>
  <c r="N8" i="7"/>
  <c r="L8" i="7"/>
  <c r="V12" i="7"/>
  <c r="AE12" i="7"/>
  <c r="AC185" i="17"/>
  <c r="AE185" i="17"/>
  <c r="AJ185" i="17"/>
  <c r="R36" i="7"/>
  <c r="AE36" i="7"/>
  <c r="B186" i="17"/>
  <c r="B163" i="17"/>
  <c r="B140" i="17"/>
  <c r="P117" i="17"/>
  <c r="L117" i="17"/>
  <c r="Q117" i="17"/>
  <c r="R117" i="17"/>
  <c r="M117" i="17"/>
  <c r="K117" i="17"/>
  <c r="E117" i="17"/>
  <c r="N117" i="17"/>
  <c r="B192" i="17"/>
  <c r="B169" i="17"/>
  <c r="E123" i="17"/>
  <c r="B146" i="17"/>
  <c r="P123" i="17"/>
  <c r="N123" i="17"/>
  <c r="L123" i="17"/>
  <c r="M123" i="17"/>
  <c r="Q123" i="17"/>
  <c r="R123" i="17"/>
  <c r="K123" i="17"/>
  <c r="K40" i="7"/>
  <c r="P40" i="7"/>
  <c r="J40" i="7"/>
  <c r="AD40" i="7"/>
  <c r="L40" i="7"/>
  <c r="O40" i="7"/>
  <c r="H40" i="7"/>
  <c r="M40" i="7"/>
  <c r="N40" i="7"/>
  <c r="K43" i="7"/>
  <c r="P43" i="7"/>
  <c r="M43" i="7"/>
  <c r="H43" i="7"/>
  <c r="N43" i="7"/>
  <c r="O43" i="7"/>
  <c r="L43" i="7"/>
  <c r="AD43" i="7"/>
  <c r="J43" i="7"/>
  <c r="AE43" i="7"/>
  <c r="K44" i="7"/>
  <c r="M44" i="7"/>
  <c r="AD44" i="7"/>
  <c r="L44" i="7"/>
  <c r="N44" i="7"/>
  <c r="J44" i="7"/>
  <c r="H44" i="7"/>
  <c r="O44" i="7"/>
  <c r="S43" i="7"/>
  <c r="B161" i="17"/>
  <c r="B184" i="17"/>
  <c r="E115" i="17"/>
  <c r="K115" i="17"/>
  <c r="L115" i="17"/>
  <c r="Q115" i="17"/>
  <c r="R115" i="17"/>
  <c r="B138" i="17"/>
  <c r="M115" i="17"/>
  <c r="P115" i="17"/>
  <c r="N115" i="17"/>
  <c r="T20" i="7"/>
  <c r="AG100" i="34"/>
  <c r="AG102" i="34"/>
  <c r="Y100" i="34"/>
  <c r="Y102" i="34"/>
  <c r="Q100" i="34"/>
  <c r="Q101" i="34"/>
  <c r="Q102" i="34"/>
  <c r="R100" i="34"/>
  <c r="AI101" i="34"/>
  <c r="AI102" i="34"/>
  <c r="T101" i="34"/>
  <c r="T102" i="34"/>
  <c r="U100" i="34"/>
  <c r="U102" i="34"/>
  <c r="E100" i="34"/>
  <c r="E102" i="34"/>
  <c r="K34" i="7"/>
  <c r="P34" i="7"/>
  <c r="K38" i="7"/>
  <c r="O38" i="7"/>
  <c r="P38" i="7"/>
  <c r="K42" i="7"/>
  <c r="P42" i="7"/>
  <c r="P44" i="7"/>
  <c r="M34" i="7"/>
  <c r="N34" i="7"/>
  <c r="J34" i="7"/>
  <c r="O34" i="7"/>
  <c r="AD34" i="7"/>
  <c r="L34" i="7"/>
  <c r="C48" i="7"/>
  <c r="AH38" i="7"/>
  <c r="W43" i="33"/>
  <c r="X43" i="33"/>
  <c r="F26" i="7"/>
  <c r="AH16" i="7"/>
  <c r="W14" i="33"/>
  <c r="Z16" i="7"/>
  <c r="AH20" i="7"/>
  <c r="W18" i="33"/>
  <c r="X18" i="33"/>
  <c r="Q20" i="7"/>
  <c r="AE20" i="7"/>
  <c r="O127" i="17"/>
  <c r="H127" i="17"/>
  <c r="J127" i="17"/>
  <c r="F127" i="17"/>
  <c r="I127" i="17"/>
  <c r="D127" i="17"/>
  <c r="G127" i="17"/>
  <c r="B173" i="17"/>
  <c r="B196" i="17"/>
  <c r="B150" i="17"/>
  <c r="E127" i="17"/>
  <c r="L127" i="17"/>
  <c r="K127" i="17"/>
  <c r="N127" i="17"/>
  <c r="M127" i="17"/>
  <c r="Q127" i="17"/>
  <c r="P127" i="17"/>
  <c r="R127" i="17"/>
  <c r="A63" i="11"/>
  <c r="AJ89" i="34"/>
  <c r="Q11" i="15"/>
  <c r="AE9" i="13"/>
  <c r="AF8" i="13"/>
  <c r="AF41" i="7"/>
  <c r="W127" i="17"/>
  <c r="Z127" i="17"/>
  <c r="AA127" i="17"/>
  <c r="AB127" i="17"/>
  <c r="AH127" i="17"/>
  <c r="Y127" i="17"/>
  <c r="AC127" i="17"/>
  <c r="U173" i="17"/>
  <c r="U196" i="17"/>
  <c r="X127" i="17"/>
  <c r="AI127" i="17"/>
  <c r="AK127" i="17"/>
  <c r="AE127" i="17"/>
  <c r="AF127" i="17"/>
  <c r="AD127" i="17"/>
  <c r="AG127" i="17"/>
  <c r="AJ127" i="17"/>
  <c r="V39" i="7"/>
  <c r="AE39" i="7"/>
  <c r="AC102" i="34"/>
  <c r="I101" i="34"/>
  <c r="A16" i="11"/>
  <c r="F48" i="7"/>
  <c r="AH34" i="7"/>
  <c r="W39" i="33"/>
  <c r="X112" i="17"/>
  <c r="AE112" i="17"/>
  <c r="AJ112" i="17"/>
  <c r="AK112" i="17"/>
  <c r="AG112" i="17"/>
  <c r="AF112" i="17"/>
  <c r="AI112" i="17"/>
  <c r="AD112" i="17"/>
  <c r="AE41" i="7"/>
  <c r="AF45" i="7"/>
  <c r="AF47" i="7"/>
  <c r="M42" i="7"/>
  <c r="H42" i="7"/>
  <c r="N42" i="7"/>
  <c r="L42" i="7"/>
  <c r="J42" i="7"/>
  <c r="AD42" i="7"/>
  <c r="O42" i="7"/>
  <c r="W125" i="17"/>
  <c r="Z125" i="17"/>
  <c r="AC125" i="17"/>
  <c r="Y125" i="17"/>
  <c r="AA125" i="17"/>
  <c r="AB125" i="17"/>
  <c r="AH125" i="17"/>
  <c r="U194" i="17"/>
  <c r="U171" i="17"/>
  <c r="X125" i="17"/>
  <c r="AJ125" i="17"/>
  <c r="AK125" i="17"/>
  <c r="AI125" i="17"/>
  <c r="AF125" i="17"/>
  <c r="AD125" i="17"/>
  <c r="AE125" i="17"/>
  <c r="AG125" i="17"/>
  <c r="W188" i="17"/>
  <c r="AC188" i="17"/>
  <c r="AE188" i="17"/>
  <c r="AH188" i="17"/>
  <c r="AJ188" i="17"/>
  <c r="R39" i="7"/>
  <c r="W142" i="17"/>
  <c r="AE142" i="17"/>
  <c r="AH142" i="17"/>
  <c r="AJ142" i="17"/>
  <c r="S39" i="7"/>
  <c r="Z39" i="7"/>
  <c r="G39" i="7"/>
  <c r="AH39" i="7"/>
  <c r="W44" i="33"/>
  <c r="X44" i="33"/>
  <c r="X123" i="17"/>
  <c r="AE123" i="17"/>
  <c r="AJ123" i="17"/>
  <c r="AF123" i="17"/>
  <c r="AI123" i="17"/>
  <c r="AK123" i="17"/>
  <c r="AD123" i="17"/>
  <c r="AG123" i="17"/>
  <c r="X108" i="17"/>
  <c r="AD108" i="17"/>
  <c r="AE108" i="17"/>
  <c r="AJ108" i="17"/>
  <c r="W104" i="17"/>
  <c r="AK108" i="17"/>
  <c r="AF108" i="17"/>
  <c r="AG108" i="17"/>
  <c r="AI108" i="17"/>
  <c r="T6" i="7"/>
  <c r="K6" i="7"/>
  <c r="P6" i="7"/>
  <c r="L6" i="7"/>
  <c r="N6" i="7"/>
  <c r="O6" i="7"/>
  <c r="M6" i="7"/>
  <c r="AD6" i="7"/>
  <c r="J6" i="7"/>
  <c r="C26" i="7"/>
  <c r="V10" i="7"/>
  <c r="AE10" i="7"/>
  <c r="AH36" i="7"/>
  <c r="W41" i="33"/>
  <c r="X41" i="33"/>
  <c r="B165" i="17"/>
  <c r="B188" i="17"/>
  <c r="E119" i="17"/>
  <c r="B142" i="17"/>
  <c r="N119" i="17"/>
  <c r="L119" i="17"/>
  <c r="M119" i="17"/>
  <c r="Q119" i="17"/>
  <c r="R119" i="17"/>
  <c r="K119" i="17"/>
  <c r="P119" i="17"/>
  <c r="G40" i="7"/>
  <c r="G48" i="7"/>
  <c r="AH40" i="7"/>
  <c r="W45" i="33"/>
  <c r="X45" i="33"/>
  <c r="B157" i="17"/>
  <c r="B180" i="17"/>
  <c r="B134" i="17"/>
  <c r="L111" i="17"/>
  <c r="Q111" i="17"/>
  <c r="R111" i="17"/>
  <c r="K111" i="17"/>
  <c r="E111" i="17"/>
  <c r="P111" i="17"/>
  <c r="N111" i="17"/>
  <c r="M111" i="17"/>
  <c r="P14" i="7"/>
  <c r="L14" i="7"/>
  <c r="M14" i="7"/>
  <c r="N14" i="7"/>
  <c r="J14" i="7"/>
  <c r="AD14" i="7"/>
  <c r="O14" i="7"/>
  <c r="AE18" i="7"/>
  <c r="A13" i="11"/>
  <c r="AD101" i="34"/>
  <c r="AD102" i="34"/>
  <c r="P101" i="34"/>
  <c r="L100" i="34"/>
  <c r="L102" i="34"/>
  <c r="M101" i="34"/>
  <c r="N100" i="34"/>
  <c r="N102" i="34"/>
  <c r="P100" i="34"/>
  <c r="P102" i="34"/>
  <c r="AJ40" i="34"/>
  <c r="AH100" i="34"/>
  <c r="AH102" i="34"/>
  <c r="Z100" i="34"/>
  <c r="Z102" i="34"/>
  <c r="H100" i="34"/>
  <c r="H102" i="34"/>
  <c r="S101" i="34"/>
  <c r="Z34" i="7"/>
  <c r="AE34" i="7"/>
  <c r="D48" i="7"/>
  <c r="V48" i="7"/>
  <c r="M38" i="7"/>
  <c r="N38" i="7"/>
  <c r="L38" i="7"/>
  <c r="J38" i="7"/>
  <c r="AF38" i="7"/>
  <c r="E48" i="7"/>
  <c r="O16" i="7"/>
  <c r="M16" i="7"/>
  <c r="L16" i="7"/>
  <c r="J16" i="7"/>
  <c r="O82" i="17"/>
  <c r="O36" i="17"/>
  <c r="T10" i="7"/>
  <c r="U10" i="7"/>
  <c r="N16" i="7"/>
  <c r="K20" i="7"/>
  <c r="P20" i="7"/>
  <c r="A94" i="15"/>
  <c r="A19" i="15"/>
  <c r="X100" i="34"/>
  <c r="X102" i="34"/>
  <c r="R101" i="34"/>
  <c r="S100" i="34"/>
  <c r="S102" i="34"/>
  <c r="U57" i="33"/>
  <c r="U28" i="33"/>
  <c r="R48" i="7"/>
  <c r="AB41" i="7"/>
  <c r="AB35" i="7"/>
  <c r="AB29" i="7"/>
  <c r="AB36" i="7"/>
  <c r="AB38" i="7"/>
  <c r="Q79" i="17"/>
  <c r="D178" i="17"/>
  <c r="J178" i="17"/>
  <c r="L178" i="17"/>
  <c r="Q178" i="17"/>
  <c r="R7" i="7"/>
  <c r="Q81" i="17"/>
  <c r="D180" i="17"/>
  <c r="J180" i="17"/>
  <c r="L180" i="17"/>
  <c r="Q180" i="17"/>
  <c r="R9" i="7"/>
  <c r="Q85" i="17"/>
  <c r="D184" i="17"/>
  <c r="F184" i="17"/>
  <c r="G184" i="17"/>
  <c r="H184" i="17"/>
  <c r="I184" i="17"/>
  <c r="J184" i="17"/>
  <c r="L184" i="17"/>
  <c r="Q184" i="17"/>
  <c r="R13" i="7"/>
  <c r="A18" i="11"/>
  <c r="A96" i="15"/>
  <c r="I13" i="11"/>
  <c r="J13" i="11"/>
  <c r="O188" i="17"/>
  <c r="O142" i="17"/>
  <c r="D188" i="17"/>
  <c r="D142" i="17"/>
  <c r="L142" i="17"/>
  <c r="Q142" i="17"/>
  <c r="W148" i="17"/>
  <c r="AB148" i="17"/>
  <c r="AA148" i="17"/>
  <c r="AC148" i="17"/>
  <c r="AE148" i="17"/>
  <c r="Z148" i="17"/>
  <c r="AJ148" i="17"/>
  <c r="AH48" i="7"/>
  <c r="AH196" i="17"/>
  <c r="Z196" i="17"/>
  <c r="AE196" i="17"/>
  <c r="AB196" i="17"/>
  <c r="W196" i="17"/>
  <c r="AA196" i="17"/>
  <c r="Y196" i="17"/>
  <c r="AC196" i="17"/>
  <c r="AJ196" i="17"/>
  <c r="AF9" i="13"/>
  <c r="AE10" i="13"/>
  <c r="I63" i="11"/>
  <c r="J63" i="11"/>
  <c r="O173" i="17"/>
  <c r="G173" i="17"/>
  <c r="D173" i="17"/>
  <c r="I173" i="17"/>
  <c r="L173" i="17"/>
  <c r="Q173" i="17"/>
  <c r="H173" i="17"/>
  <c r="J173" i="17"/>
  <c r="F173" i="17"/>
  <c r="G161" i="17"/>
  <c r="F161" i="17"/>
  <c r="H161" i="17"/>
  <c r="I161" i="17"/>
  <c r="J161" i="17"/>
  <c r="O192" i="17"/>
  <c r="D192" i="17"/>
  <c r="F192" i="17"/>
  <c r="G192" i="17"/>
  <c r="H192" i="17"/>
  <c r="I192" i="17"/>
  <c r="J192" i="17"/>
  <c r="L192" i="17"/>
  <c r="Q192" i="17"/>
  <c r="J17" i="11"/>
  <c r="I17" i="11"/>
  <c r="J102" i="34"/>
  <c r="F102" i="34"/>
  <c r="D104" i="17"/>
  <c r="N56" i="13"/>
  <c r="O55" i="13"/>
  <c r="V53" i="33"/>
  <c r="A21" i="15"/>
  <c r="Z192" i="17"/>
  <c r="W192" i="17"/>
  <c r="AA192" i="17"/>
  <c r="AB192" i="17"/>
  <c r="AC192" i="17"/>
  <c r="AE192" i="17"/>
  <c r="AJ192" i="17"/>
  <c r="AH171" i="17"/>
  <c r="W171" i="17"/>
  <c r="AB171" i="17"/>
  <c r="AA171" i="17"/>
  <c r="AJ171" i="17"/>
  <c r="Y171" i="17"/>
  <c r="AC171" i="17"/>
  <c r="Z171" i="17"/>
  <c r="AE171" i="17"/>
  <c r="AH173" i="17"/>
  <c r="W173" i="17"/>
  <c r="AB173" i="17"/>
  <c r="Y173" i="17"/>
  <c r="AC173" i="17"/>
  <c r="Z173" i="17"/>
  <c r="AE173" i="17"/>
  <c r="AA173" i="17"/>
  <c r="AJ173" i="17"/>
  <c r="Q13" i="15"/>
  <c r="W24" i="33"/>
  <c r="X14" i="33"/>
  <c r="X24" i="33"/>
  <c r="F138" i="17"/>
  <c r="H138" i="17"/>
  <c r="G138" i="17"/>
  <c r="I138" i="17"/>
  <c r="J138" i="17"/>
  <c r="O169" i="17"/>
  <c r="O146" i="17"/>
  <c r="F169" i="17"/>
  <c r="F146" i="17"/>
  <c r="H169" i="17"/>
  <c r="H146" i="17"/>
  <c r="D169" i="17"/>
  <c r="D146" i="17"/>
  <c r="G169" i="17"/>
  <c r="G146" i="17"/>
  <c r="I169" i="17"/>
  <c r="I146" i="17"/>
  <c r="J146" i="17"/>
  <c r="L146" i="17"/>
  <c r="Q146" i="17"/>
  <c r="O186" i="17"/>
  <c r="O140" i="17"/>
  <c r="D186" i="17"/>
  <c r="D140" i="17"/>
  <c r="L140" i="17"/>
  <c r="Q140" i="17"/>
  <c r="I102" i="34"/>
  <c r="O190" i="17"/>
  <c r="O144" i="17"/>
  <c r="L144" i="17"/>
  <c r="Q144" i="17"/>
  <c r="D132" i="17"/>
  <c r="L132" i="17"/>
  <c r="Q132" i="17"/>
  <c r="O148" i="17"/>
  <c r="D148" i="17"/>
  <c r="G148" i="17"/>
  <c r="I148" i="17"/>
  <c r="L148" i="17"/>
  <c r="J148" i="17"/>
  <c r="H148" i="17"/>
  <c r="Q148" i="17"/>
  <c r="F148" i="17"/>
  <c r="J188" i="17"/>
  <c r="L188" i="17"/>
  <c r="Q188" i="17"/>
  <c r="W169" i="17"/>
  <c r="AB169" i="17"/>
  <c r="Z169" i="17"/>
  <c r="AA169" i="17"/>
  <c r="AC169" i="17"/>
  <c r="AE169" i="17"/>
  <c r="AJ169" i="17"/>
  <c r="AH194" i="17"/>
  <c r="Z194" i="17"/>
  <c r="AE194" i="17"/>
  <c r="Y194" i="17"/>
  <c r="AJ194" i="17"/>
  <c r="AA194" i="17"/>
  <c r="W194" i="17"/>
  <c r="AB194" i="17"/>
  <c r="W53" i="33"/>
  <c r="X39" i="33"/>
  <c r="X53" i="33"/>
  <c r="J16" i="11"/>
  <c r="I16" i="11"/>
  <c r="O150" i="17"/>
  <c r="F150" i="17"/>
  <c r="H150" i="17"/>
  <c r="L150" i="17"/>
  <c r="D150" i="17"/>
  <c r="Q150" i="17"/>
  <c r="G150" i="17"/>
  <c r="I150" i="17"/>
  <c r="J150" i="17"/>
  <c r="M102" i="34"/>
  <c r="V26" i="7"/>
  <c r="N12" i="13"/>
  <c r="O11" i="13"/>
  <c r="O102" i="34"/>
  <c r="O171" i="17"/>
  <c r="D171" i="17"/>
  <c r="I171" i="17"/>
  <c r="L171" i="17"/>
  <c r="G171" i="17"/>
  <c r="H171" i="17"/>
  <c r="F171" i="17"/>
  <c r="J171" i="17"/>
  <c r="Q171" i="17"/>
  <c r="A64" i="11"/>
  <c r="D134" i="17"/>
  <c r="L134" i="17"/>
  <c r="Q134" i="17"/>
  <c r="W146" i="17"/>
  <c r="AB146" i="17"/>
  <c r="Z146" i="17"/>
  <c r="AA146" i="17"/>
  <c r="AC146" i="17"/>
  <c r="AE146" i="17"/>
  <c r="AJ146" i="17"/>
  <c r="W150" i="17"/>
  <c r="AB150" i="17"/>
  <c r="AC150" i="17"/>
  <c r="Z150" i="17"/>
  <c r="AE150" i="17"/>
  <c r="AA150" i="17"/>
  <c r="AJ150" i="17"/>
  <c r="O196" i="17"/>
  <c r="L196" i="17"/>
  <c r="H196" i="17"/>
  <c r="F196" i="17"/>
  <c r="I196" i="17"/>
  <c r="D196" i="17"/>
  <c r="Q196" i="17"/>
  <c r="G196" i="17"/>
  <c r="J196" i="17"/>
  <c r="AH26" i="7"/>
  <c r="R102" i="34"/>
  <c r="J169" i="17"/>
  <c r="L169" i="17"/>
  <c r="Q169" i="17"/>
  <c r="J186" i="17"/>
  <c r="L186" i="17"/>
  <c r="Q186" i="17"/>
  <c r="Q96" i="15"/>
  <c r="J190" i="17"/>
  <c r="L190" i="17"/>
  <c r="Q190" i="17"/>
  <c r="AF52" i="13"/>
  <c r="AE53" i="13"/>
  <c r="O194" i="17"/>
  <c r="D194" i="17"/>
  <c r="H194" i="17"/>
  <c r="J194" i="17"/>
  <c r="F194" i="17"/>
  <c r="L194" i="17"/>
  <c r="G194" i="17"/>
  <c r="I194" i="17"/>
  <c r="Q194" i="17"/>
  <c r="AE54" i="13"/>
  <c r="AF53" i="13"/>
  <c r="AB31" i="7"/>
  <c r="AB46" i="7"/>
  <c r="AB32" i="7"/>
  <c r="AB47" i="7"/>
  <c r="AB44" i="7"/>
  <c r="AB42" i="7"/>
  <c r="AB37" i="7"/>
  <c r="AB28" i="7"/>
  <c r="AB45" i="7"/>
  <c r="AB33" i="7"/>
  <c r="AB30" i="7"/>
  <c r="AB43" i="7"/>
  <c r="AB34" i="7"/>
  <c r="AB39" i="7"/>
  <c r="AB40" i="7"/>
  <c r="N13" i="13"/>
  <c r="O12" i="13"/>
  <c r="Q98" i="15"/>
  <c r="I64" i="11"/>
  <c r="J64" i="11"/>
  <c r="A19" i="11"/>
  <c r="O56" i="13"/>
  <c r="N57" i="13"/>
  <c r="AE11" i="13"/>
  <c r="AF10" i="13"/>
  <c r="A65" i="11"/>
  <c r="Q15" i="15"/>
  <c r="AC194" i="17"/>
  <c r="A98" i="15"/>
  <c r="J18" i="11"/>
  <c r="I18" i="11"/>
  <c r="A23" i="15"/>
  <c r="A20" i="11"/>
  <c r="AE12" i="13"/>
  <c r="AF11" i="13"/>
  <c r="A100" i="15"/>
  <c r="I65" i="11"/>
  <c r="J65" i="11"/>
  <c r="AE55" i="13"/>
  <c r="AF54" i="13"/>
  <c r="O57" i="13"/>
  <c r="N58" i="13"/>
  <c r="O13" i="13"/>
  <c r="N14" i="13"/>
  <c r="A25" i="15"/>
  <c r="Q17" i="15"/>
  <c r="J19" i="11"/>
  <c r="I19" i="11"/>
  <c r="Q100" i="15"/>
  <c r="A66" i="11"/>
  <c r="AE56" i="13"/>
  <c r="AF55" i="13"/>
  <c r="Q102" i="15"/>
  <c r="I20" i="11"/>
  <c r="J20" i="11"/>
  <c r="J66" i="11"/>
  <c r="I66" i="11"/>
  <c r="A27" i="15"/>
  <c r="A67" i="11"/>
  <c r="AE13" i="13"/>
  <c r="AF12" i="13"/>
  <c r="Q19" i="15"/>
  <c r="O58" i="13"/>
  <c r="N59" i="13"/>
  <c r="A21" i="11"/>
  <c r="O14" i="13"/>
  <c r="N15" i="13"/>
  <c r="A102" i="15"/>
  <c r="N60" i="13"/>
  <c r="O59" i="13"/>
  <c r="AF56" i="13"/>
  <c r="AE57" i="13"/>
  <c r="J21" i="11"/>
  <c r="I21" i="11"/>
  <c r="AF13" i="13"/>
  <c r="AE14" i="13"/>
  <c r="I67" i="11"/>
  <c r="J67" i="11"/>
  <c r="A68" i="11"/>
  <c r="Q21" i="15"/>
  <c r="A22" i="11"/>
  <c r="O15" i="13"/>
  <c r="N16" i="13"/>
  <c r="Q104" i="15"/>
  <c r="A104" i="15"/>
  <c r="A29" i="15"/>
  <c r="A69" i="11"/>
  <c r="A31" i="15"/>
  <c r="O16" i="13"/>
  <c r="N17" i="13"/>
  <c r="AE15" i="13"/>
  <c r="AF14" i="13"/>
  <c r="A106" i="15"/>
  <c r="Q106" i="15"/>
  <c r="J68" i="11"/>
  <c r="I68" i="11"/>
  <c r="J22" i="11"/>
  <c r="I22" i="11"/>
  <c r="AE58" i="13"/>
  <c r="AF57" i="13"/>
  <c r="O60" i="13"/>
  <c r="N61" i="13"/>
  <c r="A23" i="11"/>
  <c r="Q23" i="15"/>
  <c r="J23" i="11"/>
  <c r="I23" i="11"/>
  <c r="Q25" i="15"/>
  <c r="N62" i="13"/>
  <c r="O61" i="13"/>
  <c r="A108" i="15"/>
  <c r="A24" i="11"/>
  <c r="AE59" i="13"/>
  <c r="AF58" i="13"/>
  <c r="Q108" i="15"/>
  <c r="AE16" i="13"/>
  <c r="AF15" i="13"/>
  <c r="O17" i="13"/>
  <c r="N18" i="13"/>
  <c r="A33" i="15"/>
  <c r="J69" i="11"/>
  <c r="I69" i="11"/>
  <c r="A70" i="11"/>
  <c r="A25" i="11"/>
  <c r="J70" i="11"/>
  <c r="I70" i="11"/>
  <c r="O62" i="13"/>
  <c r="N63" i="13"/>
  <c r="A35" i="15"/>
  <c r="AE17" i="13"/>
  <c r="AF16" i="13"/>
  <c r="AE60" i="13"/>
  <c r="AF59" i="13"/>
  <c r="I24" i="11"/>
  <c r="J24" i="11"/>
  <c r="A110" i="15"/>
  <c r="Q27" i="15"/>
  <c r="O18" i="13"/>
  <c r="N19" i="13"/>
  <c r="Q110" i="15"/>
  <c r="A71" i="11"/>
  <c r="I71" i="11"/>
  <c r="J71" i="11"/>
  <c r="A72" i="11"/>
  <c r="O19" i="13"/>
  <c r="N20" i="13"/>
  <c r="Q29" i="15"/>
  <c r="A112" i="15"/>
  <c r="AF17" i="13"/>
  <c r="AE18" i="13"/>
  <c r="N64" i="13"/>
  <c r="O63" i="13"/>
  <c r="I25" i="11"/>
  <c r="J25" i="11"/>
  <c r="A37" i="15"/>
  <c r="Q112" i="15"/>
  <c r="AF60" i="13"/>
  <c r="AE61" i="13"/>
  <c r="A26" i="11"/>
  <c r="Q114" i="15"/>
  <c r="Q31" i="15"/>
  <c r="I72" i="11"/>
  <c r="J72" i="11"/>
  <c r="AE62" i="13"/>
  <c r="AF61" i="13"/>
  <c r="A27" i="11"/>
  <c r="N65" i="13"/>
  <c r="O64" i="13"/>
  <c r="A114" i="15"/>
  <c r="O20" i="13"/>
  <c r="N21" i="13"/>
  <c r="I26" i="11"/>
  <c r="J26" i="11"/>
  <c r="A39" i="15"/>
  <c r="AE19" i="13"/>
  <c r="AF18" i="13"/>
  <c r="A73" i="11"/>
  <c r="A28" i="11"/>
  <c r="J73" i="11"/>
  <c r="I73" i="11"/>
  <c r="AE20" i="13"/>
  <c r="AF19" i="13"/>
  <c r="A116" i="15"/>
  <c r="N66" i="13"/>
  <c r="O65" i="13"/>
  <c r="J27" i="11"/>
  <c r="I27" i="11"/>
  <c r="A74" i="11"/>
  <c r="AE63" i="13"/>
  <c r="AF62" i="13"/>
  <c r="Q33" i="15"/>
  <c r="Q116" i="15"/>
  <c r="A41" i="15"/>
  <c r="O21" i="13"/>
  <c r="N22" i="13"/>
  <c r="A75" i="11"/>
  <c r="Q35" i="15"/>
  <c r="A118" i="15"/>
  <c r="AE21" i="13"/>
  <c r="AF20" i="13"/>
  <c r="N23" i="13"/>
  <c r="O22" i="13"/>
  <c r="A29" i="11"/>
  <c r="A43" i="15"/>
  <c r="Q118" i="15"/>
  <c r="AE64" i="13"/>
  <c r="AF63" i="13"/>
  <c r="J74" i="11"/>
  <c r="I74" i="11"/>
  <c r="N67" i="13"/>
  <c r="O66" i="13"/>
  <c r="J28" i="11"/>
  <c r="I28" i="11"/>
  <c r="Q120" i="15"/>
  <c r="A30" i="11"/>
  <c r="J29" i="11"/>
  <c r="I29" i="11"/>
  <c r="AF21" i="13"/>
  <c r="AE22" i="13"/>
  <c r="O67" i="13"/>
  <c r="N68" i="13"/>
  <c r="O23" i="13"/>
  <c r="N24" i="13"/>
  <c r="A76" i="11"/>
  <c r="Q37" i="15"/>
  <c r="AF64" i="13"/>
  <c r="AE65" i="13"/>
  <c r="A45" i="15"/>
  <c r="A120" i="15"/>
  <c r="J75" i="11"/>
  <c r="I75" i="11"/>
  <c r="A31" i="11"/>
  <c r="N69" i="13"/>
  <c r="O68" i="13"/>
  <c r="A77" i="11"/>
  <c r="AE66" i="13"/>
  <c r="AF65" i="13"/>
  <c r="Q39" i="15"/>
  <c r="Q122" i="15"/>
  <c r="A122" i="15"/>
  <c r="A47" i="15"/>
  <c r="I76" i="11"/>
  <c r="J76" i="11"/>
  <c r="AE23" i="13"/>
  <c r="AF22" i="13"/>
  <c r="O24" i="13"/>
  <c r="N25" i="13"/>
  <c r="J30" i="11"/>
  <c r="I30" i="11"/>
  <c r="A49" i="15"/>
  <c r="O69" i="13"/>
  <c r="N70" i="13"/>
  <c r="J31" i="11"/>
  <c r="I31" i="11"/>
  <c r="AE24" i="13"/>
  <c r="AF23" i="13"/>
  <c r="A78" i="11"/>
  <c r="Q41" i="15"/>
  <c r="A32" i="11"/>
  <c r="A124" i="15"/>
  <c r="Q124" i="15"/>
  <c r="O25" i="13"/>
  <c r="N26" i="13"/>
  <c r="AE67" i="13"/>
  <c r="AF66" i="13"/>
  <c r="I77" i="11"/>
  <c r="J77" i="11"/>
  <c r="N27" i="13"/>
  <c r="O26" i="13"/>
  <c r="A79" i="11"/>
  <c r="AE25" i="13"/>
  <c r="AF24" i="13"/>
  <c r="Q43" i="15"/>
  <c r="O70" i="13"/>
  <c r="N71" i="13"/>
  <c r="O71" i="13"/>
  <c r="AE68" i="13"/>
  <c r="AF67" i="13"/>
  <c r="A126" i="15"/>
  <c r="J32" i="11"/>
  <c r="I32" i="11"/>
  <c r="I78" i="11"/>
  <c r="J78" i="11"/>
  <c r="A51" i="15"/>
  <c r="Q126" i="15"/>
  <c r="A33" i="11"/>
  <c r="A80" i="11"/>
  <c r="F124" i="15"/>
  <c r="E124" i="15"/>
  <c r="A128" i="15"/>
  <c r="Q45" i="15"/>
  <c r="AF25" i="13"/>
  <c r="AE26" i="13"/>
  <c r="I79" i="11"/>
  <c r="J79" i="11"/>
  <c r="Q128" i="15"/>
  <c r="A53" i="15"/>
  <c r="AF68" i="13"/>
  <c r="AE69" i="13"/>
  <c r="U41" i="15"/>
  <c r="I33" i="11"/>
  <c r="J33" i="11"/>
  <c r="U124" i="15"/>
  <c r="A34" i="11"/>
  <c r="O27" i="13"/>
  <c r="N28" i="13"/>
  <c r="O28" i="13"/>
  <c r="Q47" i="15"/>
  <c r="A35" i="11"/>
  <c r="U43" i="15"/>
  <c r="I34" i="11"/>
  <c r="J34" i="11"/>
  <c r="Q130" i="15"/>
  <c r="AE27" i="13"/>
  <c r="AF26" i="13"/>
  <c r="A130" i="15"/>
  <c r="A81" i="11"/>
  <c r="F126" i="15"/>
  <c r="E126" i="15"/>
  <c r="AE70" i="13"/>
  <c r="AF69" i="13"/>
  <c r="A55" i="15"/>
  <c r="U126" i="15"/>
  <c r="J80" i="11"/>
  <c r="I80" i="11"/>
  <c r="J81" i="11"/>
  <c r="I81" i="11"/>
  <c r="A57" i="15"/>
  <c r="J35" i="11"/>
  <c r="I35" i="11"/>
  <c r="A82" i="11"/>
  <c r="E128" i="15"/>
  <c r="F128" i="15"/>
  <c r="AE28" i="13"/>
  <c r="AF28" i="13"/>
  <c r="AF27" i="13"/>
  <c r="U45" i="15"/>
  <c r="U128" i="15"/>
  <c r="A36" i="11"/>
  <c r="AE71" i="13"/>
  <c r="AF71" i="13"/>
  <c r="AF70" i="13"/>
  <c r="A132" i="15"/>
  <c r="Q132" i="15"/>
  <c r="Q49" i="15"/>
  <c r="A134" i="15"/>
  <c r="J36" i="11"/>
  <c r="I36" i="11"/>
  <c r="I82" i="11"/>
  <c r="J82" i="11"/>
  <c r="Q134" i="15"/>
  <c r="A37" i="11"/>
  <c r="U47" i="15"/>
  <c r="A59" i="15"/>
  <c r="Q51" i="15"/>
  <c r="U130" i="15"/>
  <c r="A83" i="11"/>
  <c r="E130" i="15"/>
  <c r="F130" i="15"/>
  <c r="U132" i="15"/>
  <c r="A61" i="15"/>
  <c r="U49" i="15"/>
  <c r="A84" i="11"/>
  <c r="E132" i="15"/>
  <c r="F132" i="15"/>
  <c r="I83" i="11"/>
  <c r="J83" i="11"/>
  <c r="Q53" i="15"/>
  <c r="A38" i="11"/>
  <c r="J37" i="11"/>
  <c r="I37" i="11"/>
  <c r="Q136" i="15"/>
  <c r="A136" i="15"/>
  <c r="A138" i="15"/>
  <c r="J84" i="11"/>
  <c r="I84" i="11"/>
  <c r="Q55" i="15"/>
  <c r="A39" i="11"/>
  <c r="I38" i="11"/>
  <c r="J38" i="11"/>
  <c r="Q138" i="15"/>
  <c r="U51" i="15"/>
  <c r="A85" i="11"/>
  <c r="F134" i="15"/>
  <c r="E134" i="15"/>
  <c r="U134" i="15"/>
  <c r="A63" i="15"/>
  <c r="J85" i="11"/>
  <c r="I85" i="11"/>
  <c r="A140" i="15"/>
  <c r="U136" i="15"/>
  <c r="U53" i="15"/>
  <c r="Q140" i="15"/>
  <c r="A65" i="15"/>
  <c r="Q57" i="15"/>
  <c r="A40" i="11"/>
  <c r="J39" i="11"/>
  <c r="I39" i="11"/>
  <c r="A86" i="11"/>
  <c r="F136" i="15"/>
  <c r="E136" i="15"/>
  <c r="A41" i="11"/>
  <c r="I86" i="11"/>
  <c r="J86" i="11"/>
  <c r="I40" i="11"/>
  <c r="J40" i="11"/>
  <c r="U55" i="15"/>
  <c r="A67" i="15"/>
  <c r="A142" i="15"/>
  <c r="Q59" i="15"/>
  <c r="U138" i="15"/>
  <c r="A87" i="11"/>
  <c r="F138" i="15"/>
  <c r="E138" i="15"/>
  <c r="Q142" i="15"/>
  <c r="U140" i="15"/>
  <c r="A69" i="15"/>
  <c r="J87" i="11"/>
  <c r="I87" i="11"/>
  <c r="A88" i="11"/>
  <c r="E140" i="15"/>
  <c r="F140" i="15"/>
  <c r="I41" i="11"/>
  <c r="J41" i="11"/>
  <c r="Q144" i="15"/>
  <c r="U57" i="15"/>
  <c r="Q61" i="15"/>
  <c r="A144" i="15"/>
  <c r="A42" i="11"/>
  <c r="A43" i="11"/>
  <c r="Q63" i="15"/>
  <c r="U142" i="15"/>
  <c r="Q146" i="15"/>
  <c r="I42" i="11"/>
  <c r="J42" i="11"/>
  <c r="A146" i="15"/>
  <c r="U59" i="15"/>
  <c r="A71" i="15"/>
  <c r="A89" i="11"/>
  <c r="E142" i="15"/>
  <c r="F142" i="15"/>
  <c r="I88" i="11"/>
  <c r="J88" i="11"/>
  <c r="A148" i="15"/>
  <c r="I43" i="11"/>
  <c r="J43" i="11"/>
  <c r="I89" i="11"/>
  <c r="J89" i="11"/>
  <c r="A90" i="11"/>
  <c r="E144" i="15"/>
  <c r="F144" i="15"/>
  <c r="Q148" i="15"/>
  <c r="A73" i="15"/>
  <c r="Q65" i="15"/>
  <c r="A44" i="11"/>
  <c r="U144" i="15"/>
  <c r="U61" i="15"/>
  <c r="U146" i="15"/>
  <c r="Q67" i="15"/>
  <c r="A45" i="11"/>
  <c r="Q150" i="15"/>
  <c r="A91" i="11"/>
  <c r="F146" i="15"/>
  <c r="E146" i="15"/>
  <c r="A75" i="15"/>
  <c r="U63" i="15"/>
  <c r="J90" i="11"/>
  <c r="I90" i="11"/>
  <c r="J44" i="11"/>
  <c r="I44" i="11"/>
  <c r="A150" i="15"/>
  <c r="Q152" i="15"/>
  <c r="U148" i="15"/>
  <c r="I45" i="11"/>
  <c r="J45" i="11"/>
  <c r="A77" i="15"/>
  <c r="Q69" i="15"/>
  <c r="A92" i="11"/>
  <c r="E148" i="15"/>
  <c r="F148" i="15"/>
  <c r="A152" i="15"/>
  <c r="A46" i="11"/>
  <c r="I91" i="11"/>
  <c r="J91" i="11"/>
  <c r="U65" i="15"/>
  <c r="A154" i="15"/>
  <c r="J92" i="11"/>
  <c r="I92" i="11"/>
  <c r="Q154" i="15"/>
  <c r="U150" i="15"/>
  <c r="Q71" i="15"/>
  <c r="J46" i="11"/>
  <c r="I46" i="11"/>
  <c r="A47" i="11"/>
  <c r="A93" i="11"/>
  <c r="E150" i="15"/>
  <c r="F150" i="15"/>
  <c r="U67" i="15"/>
  <c r="Q73" i="15"/>
  <c r="Q156" i="15"/>
  <c r="I47" i="11"/>
  <c r="J47" i="11"/>
  <c r="A48" i="11"/>
  <c r="N71" i="15"/>
  <c r="L79" i="15"/>
  <c r="E79" i="15"/>
  <c r="G79" i="15"/>
  <c r="U152" i="15"/>
  <c r="J93" i="11"/>
  <c r="I93" i="11"/>
  <c r="N65" i="15"/>
  <c r="N67" i="15"/>
  <c r="N77" i="15"/>
  <c r="A156" i="15"/>
  <c r="U69" i="15"/>
  <c r="A94" i="11"/>
  <c r="E152" i="15"/>
  <c r="F152" i="15"/>
  <c r="AD67" i="15"/>
  <c r="AE67" i="15"/>
  <c r="O67" i="15"/>
  <c r="AD71" i="15"/>
  <c r="AE71" i="15"/>
  <c r="O71" i="15"/>
  <c r="U71" i="15"/>
  <c r="A95" i="11"/>
  <c r="F154" i="15"/>
  <c r="E154" i="15"/>
  <c r="AD65" i="15"/>
  <c r="AE65" i="15"/>
  <c r="O65" i="15"/>
  <c r="H79" i="15"/>
  <c r="D4" i="17"/>
  <c r="U154" i="15"/>
  <c r="K79" i="15"/>
  <c r="J79" i="15"/>
  <c r="L80" i="15"/>
  <c r="Q158" i="15"/>
  <c r="J94" i="11"/>
  <c r="I94" i="11"/>
  <c r="A158" i="15"/>
  <c r="AD77" i="15"/>
  <c r="AE77" i="15"/>
  <c r="O77" i="15"/>
  <c r="I48" i="11"/>
  <c r="J48" i="11"/>
  <c r="N9" i="15"/>
  <c r="N17" i="15"/>
  <c r="N11" i="15"/>
  <c r="N3" i="15"/>
  <c r="N5" i="15"/>
  <c r="N15" i="15"/>
  <c r="N13" i="15"/>
  <c r="N19" i="15"/>
  <c r="N7" i="15"/>
  <c r="N23" i="15"/>
  <c r="N21" i="15"/>
  <c r="N27" i="15"/>
  <c r="N25" i="15"/>
  <c r="N29" i="15"/>
  <c r="N31" i="15"/>
  <c r="N35" i="15"/>
  <c r="N33" i="15"/>
  <c r="N39" i="15"/>
  <c r="N37" i="15"/>
  <c r="N43" i="15"/>
  <c r="N41" i="15"/>
  <c r="N45" i="15"/>
  <c r="N47" i="15"/>
  <c r="N49" i="15"/>
  <c r="N53" i="15"/>
  <c r="N51" i="15"/>
  <c r="N55" i="15"/>
  <c r="N57" i="15"/>
  <c r="N59" i="15"/>
  <c r="N61" i="15"/>
  <c r="N63" i="15"/>
  <c r="N69" i="15"/>
  <c r="N75" i="15"/>
  <c r="N73" i="15"/>
  <c r="Q75" i="15"/>
  <c r="AD57" i="15"/>
  <c r="AE57" i="15"/>
  <c r="O57" i="15"/>
  <c r="AD35" i="15"/>
  <c r="AE35" i="15"/>
  <c r="O35" i="15"/>
  <c r="AD19" i="15"/>
  <c r="AE19" i="15"/>
  <c r="O19" i="15"/>
  <c r="AD63" i="15"/>
  <c r="AE63" i="15"/>
  <c r="O63" i="15"/>
  <c r="AD47" i="15"/>
  <c r="AE47" i="15"/>
  <c r="O47" i="15"/>
  <c r="AD37" i="15"/>
  <c r="AE37" i="15"/>
  <c r="O37" i="15"/>
  <c r="AD31" i="15"/>
  <c r="AE31" i="15"/>
  <c r="O31" i="15"/>
  <c r="AD21" i="15"/>
  <c r="AE21" i="15"/>
  <c r="O21" i="15"/>
  <c r="AD13" i="15"/>
  <c r="AE13" i="15"/>
  <c r="O13" i="15"/>
  <c r="AD11" i="15"/>
  <c r="AE11" i="15"/>
  <c r="O11" i="15"/>
  <c r="Q160" i="15"/>
  <c r="AD69" i="15"/>
  <c r="AE69" i="15"/>
  <c r="O69" i="15"/>
  <c r="AD43" i="15"/>
  <c r="AE43" i="15"/>
  <c r="O43" i="15"/>
  <c r="AD3" i="15"/>
  <c r="AE3" i="15"/>
  <c r="O3" i="15"/>
  <c r="AD55" i="15"/>
  <c r="AE55" i="15"/>
  <c r="O55" i="15"/>
  <c r="AD73" i="15"/>
  <c r="AE73" i="15"/>
  <c r="O73" i="15"/>
  <c r="AD61" i="15"/>
  <c r="AE61" i="15"/>
  <c r="O61" i="15"/>
  <c r="AD51" i="15"/>
  <c r="AE51" i="15"/>
  <c r="O51" i="15"/>
  <c r="AD45" i="15"/>
  <c r="AE45" i="15"/>
  <c r="O45" i="15"/>
  <c r="AD39" i="15"/>
  <c r="AE39" i="15"/>
  <c r="O39" i="15"/>
  <c r="AD29" i="15"/>
  <c r="AE29" i="15"/>
  <c r="O29" i="15"/>
  <c r="AD23" i="15"/>
  <c r="AE23" i="15"/>
  <c r="O23" i="15"/>
  <c r="AD15" i="15"/>
  <c r="AE15" i="15"/>
  <c r="O15" i="15"/>
  <c r="AD17" i="15"/>
  <c r="AE17" i="15"/>
  <c r="O17" i="15"/>
  <c r="U156" i="15"/>
  <c r="Q77" i="15"/>
  <c r="AD49" i="15"/>
  <c r="AE49" i="15"/>
  <c r="O49" i="15"/>
  <c r="AD27" i="15"/>
  <c r="AE27" i="15"/>
  <c r="O27" i="15"/>
  <c r="A160" i="15"/>
  <c r="U73" i="15"/>
  <c r="AD75" i="15"/>
  <c r="AE75" i="15"/>
  <c r="O75" i="15"/>
  <c r="AD59" i="15"/>
  <c r="AE59" i="15"/>
  <c r="O59" i="15"/>
  <c r="AD53" i="15"/>
  <c r="AE53" i="15"/>
  <c r="O53" i="15"/>
  <c r="AD41" i="15"/>
  <c r="AE41" i="15"/>
  <c r="O41" i="15"/>
  <c r="AD33" i="15"/>
  <c r="AE33" i="15"/>
  <c r="O33" i="15"/>
  <c r="AD25" i="15"/>
  <c r="AE25" i="15"/>
  <c r="O25" i="15"/>
  <c r="AD7" i="15"/>
  <c r="AE7" i="15"/>
  <c r="O7" i="15"/>
  <c r="AD5" i="15"/>
  <c r="AE5" i="15"/>
  <c r="O5" i="15"/>
  <c r="AD9" i="15"/>
  <c r="AE9" i="15"/>
  <c r="O9" i="15"/>
  <c r="A96" i="11"/>
  <c r="E156" i="15"/>
  <c r="F156" i="15"/>
  <c r="J95" i="11"/>
  <c r="I95" i="11"/>
  <c r="A97" i="11"/>
  <c r="E158" i="15"/>
  <c r="F158" i="15"/>
  <c r="U75" i="15"/>
  <c r="AB79" i="15"/>
  <c r="O79" i="15"/>
  <c r="U77" i="15"/>
  <c r="A162" i="15"/>
  <c r="AE79" i="15"/>
  <c r="U158" i="15"/>
  <c r="I96" i="11"/>
  <c r="J96" i="11"/>
  <c r="Q162" i="15"/>
  <c r="W79" i="15"/>
  <c r="U162" i="15"/>
  <c r="A98" i="11"/>
  <c r="E160" i="15"/>
  <c r="F160" i="15"/>
  <c r="X79" i="15"/>
  <c r="W4" i="17"/>
  <c r="I97" i="11"/>
  <c r="J97" i="11"/>
  <c r="U160" i="15"/>
  <c r="U79" i="15"/>
  <c r="AA79" i="15"/>
  <c r="Z79" i="15"/>
  <c r="AB164" i="15"/>
  <c r="W164" i="15"/>
  <c r="AB80" i="15"/>
  <c r="J98" i="11"/>
  <c r="I98" i="11"/>
  <c r="A99" i="11"/>
  <c r="N160" i="15"/>
  <c r="U164" i="15"/>
  <c r="X164" i="15"/>
  <c r="W103" i="17"/>
  <c r="E162" i="15"/>
  <c r="E164" i="15"/>
  <c r="G164" i="15"/>
  <c r="L164" i="15"/>
  <c r="F162" i="15"/>
  <c r="N150" i="15"/>
  <c r="AB165" i="15"/>
  <c r="I99" i="11"/>
  <c r="J99" i="11"/>
  <c r="N88" i="15"/>
  <c r="N90" i="15"/>
  <c r="N94" i="15"/>
  <c r="N98" i="15"/>
  <c r="N92" i="15"/>
  <c r="N96" i="15"/>
  <c r="N102" i="15"/>
  <c r="N100" i="15"/>
  <c r="N106" i="15"/>
  <c r="N104" i="15"/>
  <c r="N108" i="15"/>
  <c r="N114" i="15"/>
  <c r="N110" i="15"/>
  <c r="N112" i="15"/>
  <c r="N116" i="15"/>
  <c r="N118" i="15"/>
  <c r="N124" i="15"/>
  <c r="N126" i="15"/>
  <c r="N120" i="15"/>
  <c r="N122" i="15"/>
  <c r="N128" i="15"/>
  <c r="N130" i="15"/>
  <c r="N132" i="15"/>
  <c r="N134" i="15"/>
  <c r="N140" i="15"/>
  <c r="N136" i="15"/>
  <c r="N142" i="15"/>
  <c r="N138" i="15"/>
  <c r="N144" i="15"/>
  <c r="N146" i="15"/>
  <c r="N148" i="15"/>
  <c r="N154" i="15"/>
  <c r="N162" i="15"/>
  <c r="Z164" i="15"/>
  <c r="N158" i="15"/>
  <c r="AD160" i="15"/>
  <c r="AE160" i="15"/>
  <c r="O160" i="15"/>
  <c r="AD150" i="15"/>
  <c r="AE150" i="15"/>
  <c r="O150" i="15"/>
  <c r="J164" i="15"/>
  <c r="L165" i="15"/>
  <c r="K164" i="15"/>
  <c r="N156" i="15"/>
  <c r="AA164" i="15"/>
  <c r="H164" i="15"/>
  <c r="D103" i="17"/>
  <c r="N152" i="15"/>
  <c r="AD140" i="15"/>
  <c r="AE140" i="15"/>
  <c r="O140" i="15"/>
  <c r="AD110" i="15"/>
  <c r="AE110" i="15"/>
  <c r="O110" i="15"/>
  <c r="AD92" i="15"/>
  <c r="AE92" i="15"/>
  <c r="O92" i="15"/>
  <c r="AD154" i="15"/>
  <c r="AE154" i="15"/>
  <c r="O154" i="15"/>
  <c r="AD138" i="15"/>
  <c r="AE138" i="15"/>
  <c r="O138" i="15"/>
  <c r="AD134" i="15"/>
  <c r="AE134" i="15"/>
  <c r="O134" i="15"/>
  <c r="AD122" i="15"/>
  <c r="AE122" i="15"/>
  <c r="O122" i="15"/>
  <c r="AD118" i="15"/>
  <c r="AE118" i="15"/>
  <c r="O118" i="15"/>
  <c r="AD114" i="15"/>
  <c r="AE114" i="15"/>
  <c r="O114" i="15"/>
  <c r="AD100" i="15"/>
  <c r="AE100" i="15"/>
  <c r="O100" i="15"/>
  <c r="AD98" i="15"/>
  <c r="AE98" i="15"/>
  <c r="O98" i="15"/>
  <c r="AD162" i="15"/>
  <c r="AE162" i="15"/>
  <c r="O162" i="15"/>
  <c r="AD128" i="15"/>
  <c r="AE128" i="15"/>
  <c r="O128" i="15"/>
  <c r="AD106" i="15"/>
  <c r="AE106" i="15"/>
  <c r="O106" i="15"/>
  <c r="AD88" i="15"/>
  <c r="AE88" i="15"/>
  <c r="O88" i="15"/>
  <c r="AD158" i="15"/>
  <c r="AE158" i="15"/>
  <c r="O158" i="15"/>
  <c r="AD148" i="15"/>
  <c r="AE148" i="15"/>
  <c r="O148" i="15"/>
  <c r="AD142" i="15"/>
  <c r="AE142" i="15"/>
  <c r="O142" i="15"/>
  <c r="AD132" i="15"/>
  <c r="AE132" i="15"/>
  <c r="O132" i="15"/>
  <c r="AD120" i="15"/>
  <c r="AE120" i="15"/>
  <c r="O120" i="15"/>
  <c r="AD116" i="15"/>
  <c r="AE116" i="15"/>
  <c r="O116" i="15"/>
  <c r="AD108" i="15"/>
  <c r="AE108" i="15"/>
  <c r="O108" i="15"/>
  <c r="AD102" i="15"/>
  <c r="AE102" i="15"/>
  <c r="O102" i="15"/>
  <c r="AD94" i="15"/>
  <c r="AE94" i="15"/>
  <c r="O94" i="15"/>
  <c r="AD144" i="15"/>
  <c r="AE144" i="15"/>
  <c r="O144" i="15"/>
  <c r="AD124" i="15"/>
  <c r="AE124" i="15"/>
  <c r="O124" i="15"/>
  <c r="AD152" i="15"/>
  <c r="AE152" i="15"/>
  <c r="O152" i="15"/>
  <c r="AD156" i="15"/>
  <c r="AE156" i="15"/>
  <c r="O156" i="15"/>
  <c r="AD146" i="15"/>
  <c r="AE146" i="15"/>
  <c r="O146" i="15"/>
  <c r="AD136" i="15"/>
  <c r="AE136" i="15"/>
  <c r="O136" i="15"/>
  <c r="AD130" i="15"/>
  <c r="AE130" i="15"/>
  <c r="O130" i="15"/>
  <c r="AD126" i="15"/>
  <c r="AE126" i="15"/>
  <c r="O126" i="15"/>
  <c r="AD112" i="15"/>
  <c r="AE112" i="15"/>
  <c r="O112" i="15"/>
  <c r="AD104" i="15"/>
  <c r="AE104" i="15"/>
  <c r="O104" i="15"/>
  <c r="AD96" i="15"/>
  <c r="AE96" i="15"/>
  <c r="O96" i="15"/>
  <c r="AD90" i="15"/>
  <c r="AE90" i="15"/>
  <c r="O90" i="15"/>
  <c r="O164" i="15"/>
  <c r="AE164" i="15"/>
  <c r="Q39" i="17"/>
  <c r="D161" i="17"/>
  <c r="D138" i="17"/>
  <c r="L138" i="17"/>
  <c r="Q138" i="17"/>
  <c r="S13" i="7"/>
  <c r="Z13" i="7"/>
  <c r="E193" i="15"/>
  <c r="I193" i="15"/>
  <c r="I195" i="15"/>
  <c r="O13" i="7"/>
  <c r="G193" i="15"/>
  <c r="G195" i="15"/>
  <c r="J13" i="7"/>
  <c r="H193" i="15"/>
  <c r="H195" i="15"/>
  <c r="K13" i="7"/>
  <c r="P13" i="7"/>
  <c r="J193" i="15"/>
  <c r="J195" i="15"/>
  <c r="L13" i="7"/>
  <c r="L193" i="15"/>
  <c r="L195" i="15"/>
  <c r="M13" i="7"/>
  <c r="E195" i="15"/>
  <c r="D193" i="15"/>
  <c r="D195" i="15"/>
  <c r="H13" i="7"/>
  <c r="I13" i="7"/>
  <c r="N16" i="17"/>
  <c r="F193" i="15"/>
  <c r="F195" i="15"/>
  <c r="K193" i="15"/>
  <c r="K195" i="15"/>
  <c r="M193" i="15"/>
  <c r="M195" i="15"/>
  <c r="N13" i="7"/>
  <c r="E181" i="15"/>
  <c r="D181" i="15"/>
  <c r="D183" i="15"/>
  <c r="H9" i="7"/>
  <c r="Q35" i="17"/>
  <c r="S9" i="7"/>
  <c r="H181" i="15"/>
  <c r="H183" i="15"/>
  <c r="K9" i="7"/>
  <c r="L181" i="15"/>
  <c r="L183" i="15"/>
  <c r="M9" i="7"/>
  <c r="J181" i="15"/>
  <c r="J183" i="15"/>
  <c r="L9" i="7"/>
  <c r="I181" i="15"/>
  <c r="I183" i="15"/>
  <c r="O9" i="7"/>
  <c r="P9" i="7"/>
  <c r="G181" i="15"/>
  <c r="G183" i="15"/>
  <c r="J9" i="7"/>
  <c r="Z9" i="7"/>
  <c r="E183" i="15"/>
  <c r="I9" i="7"/>
  <c r="N12" i="17"/>
  <c r="M181" i="15"/>
  <c r="M183" i="15"/>
  <c r="K181" i="15"/>
  <c r="K183" i="15"/>
  <c r="F181" i="15"/>
  <c r="F183" i="15"/>
  <c r="N9" i="7"/>
  <c r="Q33" i="17"/>
  <c r="S7" i="7"/>
  <c r="Z7" i="7"/>
  <c r="E175" i="15"/>
  <c r="I175" i="15"/>
  <c r="I177" i="15"/>
  <c r="O7" i="7"/>
  <c r="O26" i="7"/>
  <c r="G175" i="15"/>
  <c r="G177" i="15"/>
  <c r="J7" i="7"/>
  <c r="J26" i="7"/>
  <c r="H175" i="15"/>
  <c r="H177" i="15"/>
  <c r="K7" i="7"/>
  <c r="P7" i="7"/>
  <c r="P26" i="7"/>
  <c r="J175" i="15"/>
  <c r="J177" i="15"/>
  <c r="L7" i="7"/>
  <c r="L26" i="7"/>
  <c r="L175" i="15"/>
  <c r="L177" i="15"/>
  <c r="M7" i="7"/>
  <c r="M26" i="7"/>
  <c r="K26" i="7"/>
  <c r="N26" i="7"/>
  <c r="D175" i="15"/>
  <c r="D177" i="15"/>
  <c r="H7" i="7"/>
  <c r="H26" i="7"/>
  <c r="I26" i="7"/>
  <c r="E177" i="15"/>
  <c r="I7" i="7"/>
  <c r="N10" i="17"/>
  <c r="F175" i="15"/>
  <c r="F177" i="15"/>
  <c r="M175" i="15"/>
  <c r="M177" i="15"/>
  <c r="K175" i="15"/>
  <c r="K177" i="15"/>
  <c r="N7" i="7"/>
  <c r="D158" i="17"/>
  <c r="L158" i="17"/>
  <c r="Q158" i="17"/>
  <c r="Q10" i="7"/>
  <c r="L161" i="17"/>
  <c r="Q161" i="17"/>
  <c r="Q13" i="7"/>
  <c r="Q26" i="7"/>
  <c r="AA10" i="7"/>
  <c r="AA18" i="7"/>
  <c r="AA9" i="7"/>
  <c r="AA13" i="7"/>
  <c r="AA7" i="7"/>
  <c r="AA20" i="7"/>
  <c r="AC20" i="7"/>
  <c r="AA16" i="7"/>
  <c r="AA21" i="7"/>
  <c r="AC21" i="7"/>
  <c r="AA22" i="7"/>
  <c r="AC22" i="7"/>
  <c r="AA24" i="7"/>
  <c r="AC24" i="7"/>
  <c r="AA12" i="7"/>
  <c r="AA14" i="7"/>
  <c r="O78" i="17"/>
  <c r="Q78" i="17"/>
  <c r="R6" i="7"/>
  <c r="O80" i="17"/>
  <c r="Q80" i="17"/>
  <c r="R8" i="7"/>
  <c r="D82" i="17"/>
  <c r="J82" i="17"/>
  <c r="L82" i="17"/>
  <c r="Q82" i="17"/>
  <c r="R10" i="7"/>
  <c r="D84" i="17"/>
  <c r="J84" i="17"/>
  <c r="L84" i="17"/>
  <c r="O84" i="17"/>
  <c r="Q84" i="17"/>
  <c r="R12" i="7"/>
  <c r="O87" i="17"/>
  <c r="Q87" i="17"/>
  <c r="R15" i="7"/>
  <c r="O89" i="17"/>
  <c r="Q89" i="17"/>
  <c r="R17" i="7"/>
  <c r="O91" i="17"/>
  <c r="Q91" i="17"/>
  <c r="R19" i="7"/>
  <c r="R26" i="7"/>
  <c r="AB14" i="7"/>
  <c r="AC14" i="7"/>
  <c r="AA17" i="7"/>
  <c r="AA25" i="7"/>
  <c r="AC25" i="7"/>
  <c r="AA8" i="7"/>
  <c r="AA6" i="7"/>
  <c r="AA11" i="7"/>
  <c r="AB11" i="7"/>
  <c r="AC11" i="7"/>
  <c r="AA15" i="7"/>
  <c r="AA19" i="7"/>
  <c r="AA23" i="7"/>
  <c r="AC23" i="7"/>
  <c r="Y180" i="17"/>
  <c r="AH180" i="17"/>
  <c r="D135" i="17"/>
  <c r="L135" i="17"/>
  <c r="Q135" i="17"/>
  <c r="AC180" i="17"/>
  <c r="AE180" i="17"/>
  <c r="AJ180" i="17"/>
  <c r="O38" i="17"/>
  <c r="T12" i="7"/>
  <c r="U12" i="7"/>
  <c r="U26" i="7"/>
  <c r="AD10" i="7"/>
  <c r="AD18" i="7"/>
  <c r="AD9" i="7"/>
  <c r="T26" i="7"/>
  <c r="AD13" i="7"/>
  <c r="AD7" i="7"/>
  <c r="AD16" i="7"/>
  <c r="AD12" i="7"/>
  <c r="D36" i="17"/>
  <c r="L36" i="17"/>
  <c r="Q36" i="17"/>
  <c r="S10" i="7"/>
  <c r="D38" i="17"/>
  <c r="L38" i="17"/>
  <c r="Q38" i="17"/>
  <c r="S12" i="7"/>
  <c r="Z10" i="7"/>
  <c r="Z12" i="7"/>
  <c r="U175" i="15"/>
  <c r="Z175" i="15"/>
  <c r="Z177" i="15"/>
  <c r="L29" i="7"/>
  <c r="W175" i="15"/>
  <c r="W177" i="15"/>
  <c r="J29" i="7"/>
  <c r="AB175" i="15"/>
  <c r="AB177" i="15"/>
  <c r="M29" i="7"/>
  <c r="Y175" i="15"/>
  <c r="Y177" i="15"/>
  <c r="O29" i="7"/>
  <c r="X175" i="15"/>
  <c r="X177" i="15"/>
  <c r="K29" i="7"/>
  <c r="P29" i="7"/>
  <c r="U177" i="15"/>
  <c r="T175" i="15"/>
  <c r="T177" i="15"/>
  <c r="H29" i="7"/>
  <c r="I29" i="7"/>
  <c r="V175" i="15"/>
  <c r="V177" i="15"/>
  <c r="AA175" i="15"/>
  <c r="AA177" i="15"/>
  <c r="AC175" i="15"/>
  <c r="AC177" i="15"/>
  <c r="AG10" i="17"/>
  <c r="N29" i="7"/>
  <c r="U211" i="15"/>
  <c r="T211" i="15"/>
  <c r="T213" i="15"/>
  <c r="H41" i="7"/>
  <c r="X211" i="15"/>
  <c r="X213" i="15"/>
  <c r="K41" i="7"/>
  <c r="Y211" i="15"/>
  <c r="Y213" i="15"/>
  <c r="O41" i="7"/>
  <c r="P41" i="7"/>
  <c r="AB211" i="15"/>
  <c r="AB213" i="15"/>
  <c r="M41" i="7"/>
  <c r="W211" i="15"/>
  <c r="W213" i="15"/>
  <c r="J41" i="7"/>
  <c r="Z211" i="15"/>
  <c r="Z213" i="15"/>
  <c r="L41" i="7"/>
  <c r="U213" i="15"/>
  <c r="I41" i="7"/>
  <c r="AA211" i="15"/>
  <c r="AA213" i="15"/>
  <c r="AC211" i="15"/>
  <c r="AC213" i="15"/>
  <c r="V211" i="15"/>
  <c r="V213" i="15"/>
  <c r="AG22" i="17"/>
  <c r="N41" i="7"/>
  <c r="U193" i="15"/>
  <c r="Z193" i="15"/>
  <c r="Z195" i="15"/>
  <c r="L35" i="7"/>
  <c r="W193" i="15"/>
  <c r="W195" i="15"/>
  <c r="J35" i="7"/>
  <c r="AB193" i="15"/>
  <c r="AB195" i="15"/>
  <c r="M35" i="7"/>
  <c r="Y193" i="15"/>
  <c r="Y195" i="15"/>
  <c r="O35" i="7"/>
  <c r="X193" i="15"/>
  <c r="X195" i="15"/>
  <c r="K35" i="7"/>
  <c r="P35" i="7"/>
  <c r="T193" i="15"/>
  <c r="T195" i="15"/>
  <c r="H35" i="7"/>
  <c r="U195" i="15"/>
  <c r="I35" i="7"/>
  <c r="AC193" i="15"/>
  <c r="AC195" i="15"/>
  <c r="AA193" i="15"/>
  <c r="AA195" i="15"/>
  <c r="V193" i="15"/>
  <c r="V195" i="15"/>
  <c r="AG16" i="17"/>
  <c r="N35" i="7"/>
  <c r="U184" i="15"/>
  <c r="T184" i="15"/>
  <c r="T186" i="15"/>
  <c r="H32" i="7"/>
  <c r="X184" i="15"/>
  <c r="X186" i="15"/>
  <c r="K32" i="7"/>
  <c r="P32" i="7"/>
  <c r="Y184" i="15"/>
  <c r="Y186" i="15"/>
  <c r="O32" i="7"/>
  <c r="AB184" i="15"/>
  <c r="AB186" i="15"/>
  <c r="M32" i="7"/>
  <c r="W184" i="15"/>
  <c r="W186" i="15"/>
  <c r="J32" i="7"/>
  <c r="Z184" i="15"/>
  <c r="Z186" i="15"/>
  <c r="L32" i="7"/>
  <c r="U186" i="15"/>
  <c r="I32" i="7"/>
  <c r="AA184" i="15"/>
  <c r="AA186" i="15"/>
  <c r="V184" i="15"/>
  <c r="V186" i="15"/>
  <c r="AC184" i="15"/>
  <c r="AC186" i="15"/>
  <c r="AG13" i="17"/>
  <c r="N32" i="7"/>
  <c r="Y157" i="17"/>
  <c r="Y134" i="17"/>
  <c r="AC134" i="17"/>
  <c r="AE134" i="17"/>
  <c r="AH157" i="17"/>
  <c r="AH134" i="17"/>
  <c r="AJ134" i="17"/>
  <c r="Y155" i="17"/>
  <c r="Y132" i="17"/>
  <c r="Z155" i="17"/>
  <c r="Z132" i="17"/>
  <c r="AA155" i="17"/>
  <c r="AA132" i="17"/>
  <c r="AB155" i="17"/>
  <c r="AB132" i="17"/>
  <c r="AC132" i="17"/>
  <c r="AE132" i="17"/>
  <c r="AJ132" i="17"/>
  <c r="S29" i="7"/>
  <c r="Z29" i="7"/>
  <c r="AE138" i="17"/>
  <c r="AJ138" i="17"/>
  <c r="S35" i="7"/>
  <c r="Z35" i="7"/>
  <c r="AE139" i="17"/>
  <c r="AJ139" i="17"/>
  <c r="S36" i="7"/>
  <c r="Z36" i="7"/>
  <c r="AE141" i="17"/>
  <c r="AJ141" i="17"/>
  <c r="S38" i="7"/>
  <c r="Z38" i="7"/>
  <c r="Y167" i="17"/>
  <c r="Y144" i="17"/>
  <c r="AC144" i="17"/>
  <c r="AE144" i="17"/>
  <c r="AJ144" i="17"/>
  <c r="S41" i="7"/>
  <c r="Z41" i="7"/>
  <c r="Z48" i="7"/>
  <c r="AG39" i="7"/>
  <c r="AG34" i="7"/>
  <c r="AG36" i="7"/>
  <c r="AG40" i="7"/>
  <c r="AG41" i="7"/>
  <c r="AG44" i="7"/>
  <c r="AG38" i="7"/>
  <c r="AG46" i="7"/>
  <c r="AG43" i="7"/>
  <c r="AG42" i="7"/>
  <c r="AG29" i="7"/>
  <c r="AG31" i="7"/>
  <c r="AG32" i="7"/>
  <c r="AG33" i="7"/>
  <c r="AG28" i="7"/>
  <c r="AG35" i="7"/>
  <c r="AG37" i="7"/>
  <c r="AG30" i="7"/>
  <c r="AG45" i="7"/>
  <c r="AG47" i="7"/>
  <c r="S48" i="7"/>
  <c r="AC155" i="17"/>
  <c r="AE155" i="17"/>
  <c r="AJ155" i="17"/>
  <c r="Q29" i="7"/>
  <c r="AC161" i="17"/>
  <c r="AE161" i="17"/>
  <c r="AJ161" i="17"/>
  <c r="Q35" i="7"/>
  <c r="AC162" i="17"/>
  <c r="AE162" i="17"/>
  <c r="AJ162" i="17"/>
  <c r="Q36" i="7"/>
  <c r="AC164" i="17"/>
  <c r="AE164" i="17"/>
  <c r="AJ164" i="17"/>
  <c r="Q38" i="7"/>
  <c r="AC167" i="17"/>
  <c r="AE167" i="17"/>
  <c r="AJ167" i="17"/>
  <c r="Q41" i="7"/>
  <c r="Q48" i="7"/>
  <c r="AA39" i="7"/>
  <c r="AC39" i="7"/>
  <c r="AA43" i="7"/>
  <c r="AC43" i="7"/>
  <c r="AA40" i="7"/>
  <c r="AC40" i="7"/>
  <c r="AA34" i="7"/>
  <c r="AC34" i="7"/>
  <c r="AA38" i="7"/>
  <c r="AC38" i="7"/>
  <c r="AA36" i="7"/>
  <c r="AC36" i="7"/>
  <c r="AA45" i="7"/>
  <c r="AC45" i="7"/>
  <c r="AA37" i="7"/>
  <c r="AC37" i="7"/>
  <c r="AA42" i="7"/>
  <c r="AC42" i="7"/>
  <c r="AA44" i="7"/>
  <c r="AC44" i="7"/>
  <c r="AA47" i="7"/>
  <c r="AC47" i="7"/>
  <c r="AA29" i="7"/>
  <c r="AC29" i="7"/>
  <c r="AA35" i="7"/>
  <c r="AC35" i="7"/>
  <c r="AA41" i="7"/>
  <c r="AC41" i="7"/>
  <c r="AA46" i="7"/>
  <c r="AC46" i="7"/>
  <c r="AA30" i="7"/>
  <c r="AC30" i="7"/>
  <c r="AA31" i="7"/>
  <c r="AC31" i="7"/>
  <c r="AA33" i="7"/>
  <c r="AC33" i="7"/>
  <c r="AA28" i="7"/>
  <c r="AC28" i="7"/>
  <c r="AA32" i="7"/>
  <c r="AC32" i="7"/>
  <c r="AD38" i="7"/>
  <c r="AD36" i="7"/>
  <c r="T48" i="7"/>
  <c r="AC157" i="17"/>
  <c r="AE157" i="17"/>
  <c r="AJ157" i="17"/>
  <c r="AD29" i="7"/>
  <c r="AD32" i="7"/>
  <c r="AD35" i="7"/>
  <c r="AD41" i="7"/>
  <c r="U199" i="15"/>
  <c r="Z199" i="15"/>
  <c r="Z201" i="15"/>
  <c r="L37" i="7"/>
  <c r="L48" i="7"/>
  <c r="W199" i="15"/>
  <c r="W201" i="15"/>
  <c r="J37" i="7"/>
  <c r="J48" i="7"/>
  <c r="AB199" i="15"/>
  <c r="AB201" i="15"/>
  <c r="M37" i="7"/>
  <c r="M48" i="7"/>
  <c r="Y199" i="15"/>
  <c r="Y201" i="15"/>
  <c r="O37" i="7"/>
  <c r="O48" i="7"/>
  <c r="X199" i="15"/>
  <c r="X201" i="15"/>
  <c r="K37" i="7"/>
  <c r="K48" i="7"/>
  <c r="N48" i="7"/>
  <c r="P37" i="7"/>
  <c r="P48" i="7"/>
  <c r="T199" i="15"/>
  <c r="T201" i="15"/>
  <c r="H37" i="7"/>
  <c r="H48" i="7"/>
  <c r="I48" i="7"/>
  <c r="U201" i="15"/>
  <c r="I37" i="7"/>
  <c r="V199" i="15"/>
  <c r="V201" i="15"/>
  <c r="AA199" i="15"/>
  <c r="AA201" i="15"/>
  <c r="AC199" i="15"/>
  <c r="AC201" i="15"/>
  <c r="AG18" i="17"/>
  <c r="N37" i="7"/>
  <c r="O32" i="17"/>
  <c r="Q32" i="17"/>
  <c r="S6" i="7"/>
  <c r="Z6" i="7"/>
  <c r="O45" i="17"/>
  <c r="Q45" i="17"/>
  <c r="S19" i="7"/>
  <c r="Z19" i="7"/>
  <c r="O34" i="17"/>
  <c r="Q34" i="17"/>
  <c r="S8" i="7"/>
  <c r="Z8" i="7"/>
  <c r="O41" i="17"/>
  <c r="Q41" i="17"/>
  <c r="S15" i="7"/>
  <c r="Z15" i="7"/>
  <c r="AB15" i="7"/>
  <c r="AC15" i="7"/>
  <c r="AB19" i="7"/>
  <c r="AC19" i="7"/>
  <c r="AB12" i="7"/>
  <c r="AC12" i="7"/>
  <c r="AB16" i="7"/>
  <c r="AC16" i="7"/>
  <c r="AB7" i="7"/>
  <c r="AC7" i="7"/>
  <c r="AB13" i="7"/>
  <c r="AC13" i="7"/>
  <c r="AB9" i="7"/>
  <c r="AC9" i="7"/>
  <c r="AB18" i="7"/>
  <c r="AC18" i="7"/>
  <c r="AB10" i="7"/>
  <c r="AC10" i="7"/>
  <c r="O43" i="17"/>
  <c r="Q43" i="17"/>
  <c r="S17" i="7"/>
  <c r="Z17" i="7"/>
  <c r="Z26" i="7"/>
  <c r="AG16" i="7"/>
  <c r="AG11" i="7"/>
  <c r="AG19" i="7"/>
  <c r="AG9" i="7"/>
  <c r="AG17" i="7"/>
  <c r="AG6" i="7"/>
  <c r="AG22" i="7"/>
  <c r="AG20" i="7"/>
  <c r="AG24" i="7"/>
  <c r="AG12" i="7"/>
  <c r="AG14" i="7"/>
  <c r="AG7" i="7"/>
  <c r="AG10" i="7"/>
  <c r="AG18" i="7"/>
  <c r="AG8" i="7"/>
  <c r="AG15" i="7"/>
  <c r="AG13" i="7"/>
  <c r="AG23" i="7"/>
  <c r="AG21" i="7"/>
  <c r="AG25" i="7"/>
  <c r="AB20" i="7"/>
  <c r="AB23" i="7"/>
  <c r="AB21" i="7"/>
  <c r="AB24" i="7"/>
  <c r="AB25" i="7"/>
  <c r="AB22" i="7"/>
  <c r="S26" i="7"/>
  <c r="AB6" i="7"/>
  <c r="AC6" i="7"/>
  <c r="AB8" i="7"/>
  <c r="AC8" i="7"/>
  <c r="AB17" i="7"/>
  <c r="AC17" i="7"/>
</calcChain>
</file>

<file path=xl/comments1.xml><?xml version="1.0" encoding="utf-8"?>
<comments xmlns="http://schemas.openxmlformats.org/spreadsheetml/2006/main">
  <authors>
    <author/>
    <author>G Hanek</author>
    <author>Anon</author>
  </authors>
  <commentList>
    <comment ref="K3" authorId="0">
      <text>
        <r>
          <rPr>
            <sz val="10"/>
            <rFont val="Arial"/>
            <family val="2"/>
          </rPr>
          <t>Hint:
Use this for doubleheaders or multi-game events. It will print on other sheets. 
Does not have to be entered as "A" or "B"; alphanumeric and multiple characters are honored.</t>
        </r>
      </text>
    </comment>
    <comment ref="B7" authorId="0">
      <text>
        <r>
          <rPr>
            <sz val="10"/>
            <rFont val="Arial"/>
            <family val="2"/>
          </rPr>
          <t>Hint:
Enter date here in yyyy-mm-dd format, and it will be displayed on all pages.</t>
        </r>
      </text>
    </comment>
    <comment ref="K7" authorId="1">
      <text>
        <r>
          <rPr>
            <sz val="9"/>
            <color indexed="81"/>
            <rFont val="Tahoma"/>
            <family val="2"/>
          </rPr>
          <t>For use in Sanctioned games only:
Mark YES if a Suspension is  recommended for one or more Skaters -- and include scanned signed Expulsion-Suspension Form(s), with scanned IGRF. 
Also mark YES if a Suspension is being served in this game.
Otherwise, mark NO.</t>
        </r>
      </text>
    </comment>
    <comment ref="B14" authorId="0">
      <text>
        <r>
          <rPr>
            <sz val="10"/>
            <rFont val="Arial"/>
            <family val="2"/>
          </rPr>
          <t>Hint:
Use only the four digit significant alphanumeric portion, per the rules. No symbols, and none of the "small print" letters before or after the number.
These will populate to other sheets and summary pages. Make sure that the skater numbers on the Score and Lineup tabs are entered exactly as they are here.</t>
        </r>
      </text>
    </comment>
    <comment ref="D36" authorId="2">
      <text>
        <r>
          <rPr>
            <sz val="9"/>
            <color indexed="81"/>
            <rFont val="Arial"/>
            <family val="2"/>
          </rPr>
          <t>Total penalties must include any Non-Skater Expulsions, too.</t>
        </r>
      </text>
    </comment>
    <comment ref="J36" authorId="2">
      <text>
        <r>
          <rPr>
            <sz val="9"/>
            <color indexed="81"/>
            <rFont val="Arial"/>
            <family val="2"/>
          </rPr>
          <t>Total penalties must include any Non-Skater Expulsions, too.</t>
        </r>
      </text>
    </comment>
    <comment ref="D39" authorId="1">
      <text>
        <r>
          <rPr>
            <sz val="9"/>
            <color indexed="81"/>
            <rFont val="Tahoma"/>
            <family val="2"/>
          </rPr>
          <t>Enter "yes" if an adjustment was made to the Official Score of this game.</t>
        </r>
      </text>
    </comment>
    <comment ref="K41" authorId="1">
      <text>
        <r>
          <rPr>
            <sz val="9"/>
            <color indexed="81"/>
            <rFont val="Tahoma"/>
            <family val="2"/>
          </rPr>
          <t xml:space="preserve">Mark YES if there was an Expulsion </t>
        </r>
        <r>
          <rPr>
            <i/>
            <sz val="9"/>
            <color indexed="81"/>
            <rFont val="Tahoma"/>
            <family val="2"/>
          </rPr>
          <t>and</t>
        </r>
        <r>
          <rPr>
            <sz val="9"/>
            <color indexed="81"/>
            <rFont val="Tahoma"/>
            <family val="2"/>
          </rPr>
          <t xml:space="preserve"> a suspension was recommended.
Mark YES if there was any suspension recommended.
Mark NO if there was an Expulsion </t>
        </r>
        <r>
          <rPr>
            <i/>
            <sz val="9"/>
            <color indexed="81"/>
            <rFont val="Tahoma"/>
            <family val="2"/>
          </rPr>
          <t>and</t>
        </r>
        <r>
          <rPr>
            <sz val="9"/>
            <color indexed="81"/>
            <rFont val="Tahoma"/>
            <family val="2"/>
          </rPr>
          <t xml:space="preserve"> no one recommended a suspension.</t>
        </r>
      </text>
    </comment>
    <comment ref="J59" authorId="1">
      <text>
        <r>
          <rPr>
            <sz val="9"/>
            <color indexed="81"/>
            <rFont val="Tahoma"/>
            <family val="2"/>
          </rPr>
          <t>Leave blank if Official is not certified.</t>
        </r>
      </text>
    </comment>
  </commentList>
</comments>
</file>

<file path=xl/comments2.xml><?xml version="1.0" encoding="utf-8"?>
<comments xmlns="http://schemas.openxmlformats.org/spreadsheetml/2006/main">
  <authors>
    <author/>
  </authors>
  <commentList>
    <comment ref="A4" authorId="0">
      <text>
        <r>
          <rPr>
            <sz val="10"/>
            <rFont val="Arial"/>
            <family val="2"/>
          </rPr>
          <t>Hint:
Write in jam number as you go, and make sure to add SP or SP* for star pass lines.</t>
        </r>
      </text>
    </comment>
    <comment ref="B4" authorId="0">
      <text>
        <r>
          <rPr>
            <sz val="10"/>
            <rFont val="Arial"/>
            <family val="2"/>
          </rPr>
          <t>Hint:
Skater roster NUMBER, not name.</t>
        </r>
      </text>
    </comment>
    <comment ref="C4" authorId="0">
      <text>
        <r>
          <rPr>
            <sz val="10"/>
            <rFont val="Arial"/>
            <family val="2"/>
          </rPr>
          <t>Hint:
Mark with an "X" if jammer lost eligibility for lead jammer, first pass or afterward.</t>
        </r>
      </text>
    </comment>
    <comment ref="D4" authorId="0">
      <text>
        <r>
          <rPr>
            <sz val="10"/>
            <rFont val="Arial"/>
            <family val="2"/>
          </rPr>
          <t xml:space="preserve">Hint:
Use "X" rather than 1. If the jammer isn't Lead, leave blank.. </t>
        </r>
      </text>
    </comment>
    <comment ref="E4" authorId="0">
      <text>
        <r>
          <rPr>
            <sz val="10"/>
            <rFont val="Arial"/>
            <family val="2"/>
          </rPr>
          <t>Hint:
Mark with "X" if when the listed jammer successfully calls off the jam before jam time runs out, legal call off or not.</t>
        </r>
      </text>
    </comment>
    <comment ref="F4" authorId="0">
      <text>
        <r>
          <rPr>
            <sz val="10"/>
            <rFont val="Arial"/>
            <family val="2"/>
          </rPr>
          <t>Hint:
Mark with an "X" if jam ended for injury to anyone.</t>
        </r>
      </text>
    </comment>
    <comment ref="G4" authorId="0">
      <text>
        <r>
          <rPr>
            <sz val="10"/>
            <rFont val="Arial"/>
            <family val="2"/>
          </rPr>
          <t>Hint:
Mark with an "X" if jammer never completed inital pass.</t>
        </r>
      </text>
    </comment>
  </commentList>
</comments>
</file>

<file path=xl/comments3.xml><?xml version="1.0" encoding="utf-8"?>
<comments xmlns="http://schemas.openxmlformats.org/spreadsheetml/2006/main">
  <authors>
    <author>Katie</author>
  </authors>
  <commentList>
    <comment ref="A4" authorId="0">
      <text>
        <r>
          <rPr>
            <sz val="9"/>
            <color indexed="81"/>
            <rFont val="Tahoma"/>
            <family val="2"/>
          </rPr>
          <t>Tip:
Write in jam number as you go. For Star Passes,  write SP on next line and rewrite the lineup with Jammer and Pivot swapped.</t>
        </r>
      </text>
    </comment>
    <comment ref="B4" authorId="0">
      <text>
        <r>
          <rPr>
            <sz val="9"/>
            <color indexed="81"/>
            <rFont val="Tahoma"/>
            <family val="2"/>
          </rPr>
          <t>Put an "X" in this box if the team did not field a pivot for this jam.</t>
        </r>
      </text>
    </comment>
    <comment ref="C4" authorId="0">
      <text>
        <r>
          <rPr>
            <sz val="9"/>
            <color indexed="81"/>
            <rFont val="Tahoma"/>
            <family val="2"/>
          </rPr>
          <t>Jammer numbers arrive here from the Score sheet. Make any corrections on the Score sheet, not here. 
Always double check your jams played on the "Game Summary" page when done.</t>
        </r>
      </text>
    </comment>
    <comment ref="W4" authorId="0">
      <text>
        <r>
          <rPr>
            <sz val="9"/>
            <color indexed="81"/>
            <rFont val="Tahoma"/>
            <family val="2"/>
          </rPr>
          <t>This column exists to allow blocker/pivot +/- data to be calculated</t>
        </r>
      </text>
    </comment>
    <comment ref="AW4" authorId="0">
      <text>
        <r>
          <rPr>
            <sz val="9"/>
            <color indexed="81"/>
            <rFont val="Tahoma"/>
            <family val="2"/>
          </rPr>
          <t>This column exists to allow blocker/pivot +/- data to be calculated</t>
        </r>
      </text>
    </comment>
  </commentList>
</comments>
</file>

<file path=xl/comments4.xml><?xml version="1.0" encoding="utf-8"?>
<comments xmlns="http://schemas.openxmlformats.org/spreadsheetml/2006/main">
  <authors>
    <author/>
    <author>G Hanek</author>
  </authors>
  <commentList>
    <comment ref="AA4" authorId="0">
      <text>
        <r>
          <rPr>
            <sz val="10"/>
            <rFont val="Arial"/>
            <family val="2"/>
          </rPr>
          <t>VTAR: "Versus Team Average Rating"
Skater's stats as compared to their team's average in that category.
Team's average is the average of each skater's average.</t>
        </r>
      </text>
    </comment>
    <comment ref="AA5" authorId="1">
      <text>
        <r>
          <rPr>
            <sz val="9"/>
            <color indexed="81"/>
            <rFont val="Tahoma"/>
            <family val="2"/>
          </rPr>
          <t>How the team did offensively (higher being better)while this skater was playing.</t>
        </r>
      </text>
    </comment>
    <comment ref="AB5" authorId="1">
      <text>
        <r>
          <rPr>
            <sz val="9"/>
            <color indexed="81"/>
            <rFont val="Tahoma"/>
            <family val="2"/>
          </rPr>
          <t>How the team did defensively (lower being better) while this skater was playing.</t>
        </r>
      </text>
    </comment>
    <comment ref="AC5" authorId="1">
      <text>
        <r>
          <rPr>
            <sz val="9"/>
            <color indexed="81"/>
            <rFont val="Tahoma"/>
            <family val="2"/>
          </rPr>
          <t>Total number of VTAR points scored for (+ number) or against (- number) the team when this skater was playing.
May vary wildy due to power jams.</t>
        </r>
      </text>
    </comment>
    <comment ref="AD5" authorId="0">
      <text>
        <r>
          <rPr>
            <sz val="10"/>
            <rFont val="Arial"/>
            <family val="2"/>
          </rPr>
          <t>Hint:
Performance in comparison to own team's other jammers</t>
        </r>
      </text>
    </comment>
    <comment ref="AE5" authorId="0">
      <text>
        <r>
          <rPr>
            <sz val="10"/>
            <rFont val="Arial"/>
            <family val="2"/>
          </rPr>
          <t>Hint:
Performance in comparison to own team's other pivots.</t>
        </r>
      </text>
    </comment>
    <comment ref="AF5" authorId="0">
      <text>
        <r>
          <rPr>
            <sz val="10"/>
            <rFont val="Arial"/>
            <family val="2"/>
          </rPr>
          <t>Hint:
Performance in comparison to own team's other blockers.</t>
        </r>
      </text>
    </comment>
    <comment ref="AG5" authorId="1">
      <text>
        <r>
          <rPr>
            <sz val="9"/>
            <color indexed="81"/>
            <rFont val="Tahoma"/>
            <family val="2"/>
          </rPr>
          <t>Average number of VTAR points scored for (+ number) or against (- number) the team when this skater was playing.</t>
        </r>
      </text>
    </comment>
    <comment ref="AA27" authorId="1">
      <text>
        <r>
          <rPr>
            <sz val="9"/>
            <color indexed="81"/>
            <rFont val="Tahoma"/>
            <family val="2"/>
          </rPr>
          <t>How the team did offensively (higher being better)while this skater was playing.</t>
        </r>
      </text>
    </comment>
    <comment ref="AB27" authorId="1">
      <text>
        <r>
          <rPr>
            <sz val="9"/>
            <color indexed="81"/>
            <rFont val="Tahoma"/>
            <family val="2"/>
          </rPr>
          <t>How the team did defensively (lower being better) while this skater was playing.</t>
        </r>
      </text>
    </comment>
    <comment ref="AC27" authorId="1">
      <text>
        <r>
          <rPr>
            <sz val="9"/>
            <color indexed="81"/>
            <rFont val="Tahoma"/>
            <family val="2"/>
          </rPr>
          <t>Total number of VTAR points scored for (+ number) or against (- number) the team when this skater was playing.</t>
        </r>
      </text>
    </comment>
    <comment ref="AD27" authorId="0">
      <text>
        <r>
          <rPr>
            <sz val="10"/>
            <rFont val="Arial"/>
            <family val="2"/>
          </rPr>
          <t>Hint:
Performance in comparison to own team's other jammers</t>
        </r>
      </text>
    </comment>
    <comment ref="AE27" authorId="0">
      <text>
        <r>
          <rPr>
            <sz val="10"/>
            <rFont val="Arial"/>
            <family val="2"/>
          </rPr>
          <t>Hint:
Performance in comparison to own team's other pivots.</t>
        </r>
      </text>
    </comment>
    <comment ref="AF27" authorId="0">
      <text>
        <r>
          <rPr>
            <sz val="10"/>
            <rFont val="Arial"/>
            <family val="2"/>
          </rPr>
          <t>Hint:
Performance in comparison to own team's other blockers.</t>
        </r>
      </text>
    </comment>
    <comment ref="AG27" authorId="1">
      <text>
        <r>
          <rPr>
            <sz val="9"/>
            <color indexed="81"/>
            <rFont val="Tahoma"/>
            <family val="2"/>
          </rPr>
          <t>Average number of VTAR points scored for (+ number) or against (- number) the team when this skater was playing.</t>
        </r>
      </text>
    </comment>
  </commentList>
</comments>
</file>

<file path=xl/comments5.xml><?xml version="1.0" encoding="utf-8"?>
<comments xmlns="http://schemas.openxmlformats.org/spreadsheetml/2006/main">
  <authors>
    <author/>
    <author>Anon</author>
  </authors>
  <commentList>
    <comment ref="X3" authorId="0">
      <text>
        <r>
          <rPr>
            <sz val="10"/>
            <rFont val="Arial"/>
            <family val="2"/>
          </rPr>
          <t>Hint:
Smaller is better</t>
        </r>
      </text>
    </comment>
    <comment ref="V25" authorId="1">
      <text>
        <r>
          <rPr>
            <sz val="9"/>
            <color indexed="81"/>
            <rFont val="Arial"/>
            <family val="2"/>
          </rPr>
          <t xml:space="preserve">This total includes bench staff expulsions.
</t>
        </r>
      </text>
    </comment>
    <comment ref="V27" authorId="1">
      <text>
        <r>
          <rPr>
            <sz val="9"/>
            <color indexed="81"/>
            <rFont val="Arial"/>
            <family val="2"/>
          </rPr>
          <t>This total includes bench staff expulsions.</t>
        </r>
      </text>
    </comment>
    <comment ref="X32" authorId="0">
      <text>
        <r>
          <rPr>
            <sz val="10"/>
            <rFont val="Arial"/>
            <family val="2"/>
          </rPr>
          <t>Hint:
Smaller is better</t>
        </r>
      </text>
    </comment>
    <comment ref="V54" authorId="1">
      <text>
        <r>
          <rPr>
            <sz val="9"/>
            <color indexed="81"/>
            <rFont val="Arial"/>
            <family val="2"/>
          </rPr>
          <t xml:space="preserve">This total includes bench staff expulsions.
</t>
        </r>
      </text>
    </comment>
  </commentList>
</comments>
</file>

<file path=xl/comments6.xml><?xml version="1.0" encoding="utf-8"?>
<comments xmlns="http://schemas.openxmlformats.org/spreadsheetml/2006/main">
  <authors>
    <author>G Hanek</author>
  </authors>
  <commentList>
    <comment ref="B3" authorId="0">
      <text>
        <r>
          <rPr>
            <sz val="9"/>
            <color indexed="81"/>
            <rFont val="Tahoma"/>
            <family val="2"/>
          </rPr>
          <t xml:space="preserve">Enter an increment to the Official Score as a positive whole number (e.g., "2").
Subtractions should be entered as negative numbers (e.g., "-2"). Negative values will be displayed in parenthesis in red.
</t>
        </r>
      </text>
    </comment>
    <comment ref="C3" authorId="0">
      <text>
        <r>
          <rPr>
            <sz val="9"/>
            <color indexed="81"/>
            <rFont val="Tahoma"/>
            <family val="2"/>
          </rPr>
          <t>Enter a description of the reason for the offset change to the Official Score.</t>
        </r>
      </text>
    </comment>
    <comment ref="I3" authorId="0">
      <text>
        <r>
          <rPr>
            <sz val="9"/>
            <color indexed="81"/>
            <rFont val="Tahoma"/>
            <family val="2"/>
          </rPr>
          <t xml:space="preserve">Enter an increment to the Official Score as a positive whole number (e.g., "2").
Subtractions should be entered as negative numbers (e.g., "-2"). Negative values will be displayed in parenthesis in red.
</t>
        </r>
      </text>
    </comment>
    <comment ref="J3" authorId="0">
      <text>
        <r>
          <rPr>
            <sz val="9"/>
            <color indexed="81"/>
            <rFont val="Tahoma"/>
            <family val="2"/>
          </rPr>
          <t>Enter a description of the reason for the offset change to the Official Score.</t>
        </r>
      </text>
    </comment>
    <comment ref="B45" authorId="0">
      <text>
        <r>
          <rPr>
            <sz val="9"/>
            <color indexed="81"/>
            <rFont val="Tahoma"/>
            <family val="2"/>
          </rPr>
          <t xml:space="preserve">Enter an increment to the Official Score as a positive whole number (e.g., "2").
Subtractions should be entered as negative numbers (e.g., "-2"). Negative values will be displayed in parenthesis in red.
</t>
        </r>
      </text>
    </comment>
    <comment ref="C45" authorId="0">
      <text>
        <r>
          <rPr>
            <sz val="9"/>
            <color indexed="81"/>
            <rFont val="Tahoma"/>
            <family val="2"/>
          </rPr>
          <t>Enter a description of the reason for the offset change to the Official Score.</t>
        </r>
      </text>
    </comment>
    <comment ref="I45" authorId="0">
      <text>
        <r>
          <rPr>
            <sz val="9"/>
            <color indexed="81"/>
            <rFont val="Tahoma"/>
            <family val="2"/>
          </rPr>
          <t xml:space="preserve">Enter an increment to the Official Score as a positive whole number (e.g., "2").
Subtractions should be entered as negative numbers (e.g., "-2"). Negative values will be displayed in parenthesis in red.
</t>
        </r>
      </text>
    </comment>
    <comment ref="J45" authorId="0">
      <text>
        <r>
          <rPr>
            <sz val="9"/>
            <color indexed="81"/>
            <rFont val="Tahoma"/>
            <family val="2"/>
          </rPr>
          <t>Enter a description of the reason for the offset change to the Official Score.</t>
        </r>
      </text>
    </comment>
  </commentList>
</comments>
</file>

<file path=xl/sharedStrings.xml><?xml version="1.0" encoding="utf-8"?>
<sst xmlns="http://schemas.openxmlformats.org/spreadsheetml/2006/main" count="3449" uniqueCount="787">
  <si>
    <t>Pass 9</t>
    <phoneticPr fontId="8" type="noConversion"/>
  </si>
  <si>
    <t>Pass 10</t>
    <phoneticPr fontId="8" type="noConversion"/>
  </si>
  <si>
    <t>(Jammer numbers are populated from Score; double-check them.)</t>
    <phoneticPr fontId="8" type="noConversion"/>
  </si>
  <si>
    <t>Pos</t>
  </si>
  <si>
    <t>In</t>
  </si>
  <si>
    <t>Stand</t>
  </si>
  <si>
    <t>Done</t>
  </si>
  <si>
    <t>Stopwatch at End of Jam</t>
  </si>
  <si>
    <t>Jam #</t>
  </si>
  <si>
    <t>Penalty Codes</t>
  </si>
  <si>
    <t>Blocking to the Back</t>
  </si>
  <si>
    <t>Block with the Head</t>
  </si>
  <si>
    <t>Cutting the Track</t>
  </si>
  <si>
    <t>Forearms / Hands</t>
  </si>
  <si>
    <t>Multi-Player Block</t>
  </si>
  <si>
    <t>Out of Bounds Blocking</t>
  </si>
  <si>
    <t>Skating out of Bounds</t>
  </si>
  <si>
    <t>Per 1</t>
  </si>
  <si>
    <t>Home</t>
  </si>
  <si>
    <t>Total</t>
  </si>
  <si>
    <t>Away</t>
  </si>
  <si>
    <t>Jam Row</t>
  </si>
  <si>
    <t>Team Pts</t>
  </si>
  <si>
    <t>+/-</t>
  </si>
  <si>
    <t>Lost</t>
  </si>
  <si>
    <t>Lead</t>
  </si>
  <si>
    <t>Lead +/-</t>
  </si>
  <si>
    <t>Call</t>
  </si>
  <si>
    <t>Inj</t>
  </si>
  <si>
    <t>Time</t>
  </si>
  <si>
    <t>Pts / Min</t>
  </si>
  <si>
    <t>Per 1 Total</t>
  </si>
  <si>
    <t>Avg:</t>
  </si>
  <si>
    <t>Per 2</t>
  </si>
  <si>
    <t>Per 2 Total</t>
  </si>
  <si>
    <t>Jams</t>
  </si>
  <si>
    <t>Sk #</t>
  </si>
  <si>
    <t>Sk Name</t>
  </si>
  <si>
    <t>Totals</t>
  </si>
  <si>
    <t>Total Jams</t>
  </si>
  <si>
    <t>Home Team Lead</t>
  </si>
  <si>
    <t>Away Team Lead</t>
  </si>
  <si>
    <t>Home Team Skaters</t>
  </si>
  <si>
    <t>Away Team Skaters</t>
  </si>
  <si>
    <t>Skater Summary</t>
  </si>
  <si>
    <t>% Pivot</t>
  </si>
  <si>
    <t>Total B</t>
  </si>
  <si>
    <t>% Total B</t>
  </si>
  <si>
    <t>Pack</t>
  </si>
  <si>
    <t>% Pack</t>
  </si>
  <si>
    <t>% Jammer</t>
  </si>
  <si>
    <t>% Total</t>
  </si>
  <si>
    <t>Skater: +/-</t>
  </si>
  <si>
    <t>Skater: Points For</t>
  </si>
  <si>
    <t>Skater: Points Against</t>
  </si>
  <si>
    <t>NAME</t>
  </si>
  <si>
    <t>TIMEOUTS TAKEN</t>
  </si>
  <si>
    <t>REVIEW</t>
  </si>
  <si>
    <t>Identify captains and alternates before game. Indicate time on period clock when TO or OR used.</t>
  </si>
  <si>
    <t>JAM TIME</t>
  </si>
  <si>
    <t>PACK LAPS</t>
  </si>
  <si>
    <t>EVENT</t>
  </si>
  <si>
    <t>TEAM/SKATER</t>
  </si>
  <si>
    <t>Laps/Min</t>
  </si>
  <si>
    <t>Pts/Min</t>
  </si>
  <si>
    <t xml:space="preserve">Team EVENTs: </t>
  </si>
  <si>
    <t xml:space="preserve">Skater EVENTs: </t>
  </si>
  <si>
    <t xml:space="preserve">Other EVENTs: </t>
  </si>
  <si>
    <t>Team</t>
  </si>
  <si>
    <t>Forearms &amp; Hands</t>
  </si>
  <si>
    <t>Block w/ Head</t>
  </si>
  <si>
    <t>OOB Blocking</t>
  </si>
  <si>
    <t>Direction of Gameplay</t>
  </si>
  <si>
    <t>Skating OOB</t>
  </si>
  <si>
    <t>Illegal Procedure</t>
  </si>
  <si>
    <t>Insubordination</t>
  </si>
  <si>
    <t xml:space="preserve">TOTAL </t>
  </si>
  <si>
    <t>Jams Skated</t>
  </si>
  <si>
    <t>Total Expulsions</t>
  </si>
  <si>
    <t>… vs opponent:</t>
  </si>
  <si>
    <t>W F T D A    R E Q U I R E D    S T A N D A R D I Z E D   S T A T S</t>
  </si>
  <si>
    <t>ROSTERS</t>
  </si>
  <si>
    <t>JAMS PLAYED</t>
  </si>
  <si>
    <t>POINTS</t>
  </si>
  <si>
    <t>LEAD JAMMER</t>
  </si>
  <si>
    <t>POINTS FOR/AGAINST &amp; PLUS/MINUS</t>
  </si>
  <si>
    <t>V.T.A.R.</t>
  </si>
  <si>
    <t>PENALTIES</t>
  </si>
  <si>
    <t>JAMMER</t>
  </si>
  <si>
    <t>PIVOT</t>
  </si>
  <si>
    <t>BLOCKER</t>
  </si>
  <si>
    <t>TOTAL</t>
  </si>
  <si>
    <t>%  JAMS SKATED</t>
  </si>
  <si>
    <t>PPJ</t>
  </si>
  <si>
    <t>CALLED</t>
  </si>
  <si>
    <t>NO  PASS</t>
  </si>
  <si>
    <t>LEAD %</t>
  </si>
  <si>
    <t>LEAD +/-</t>
  </si>
  <si>
    <t>AVERAGE LEAD +/-</t>
  </si>
  <si>
    <t>PTS  FOR</t>
  </si>
  <si>
    <t>PTS AGAINST</t>
  </si>
  <si>
    <t>TOTAL +/-</t>
  </si>
  <si>
    <t>JAMMER +/-</t>
  </si>
  <si>
    <t>AVERAGE JAMMER +/-</t>
  </si>
  <si>
    <t>PIVOT +/-</t>
  </si>
  <si>
    <t>AVERAGE PIVOT +/-</t>
  </si>
  <si>
    <t>BLOCK +/-</t>
  </si>
  <si>
    <t>AVERAGE BLOCKER +/-</t>
  </si>
  <si>
    <t>AVG +/-</t>
  </si>
  <si>
    <t>VTAR  PTS AGAINST</t>
  </si>
  <si>
    <t>VTAR  TOTAL +/-</t>
  </si>
  <si>
    <t>VTAR JAMMER AVG +/-</t>
  </si>
  <si>
    <t>VTAR PIVOT AVG +/-</t>
  </si>
  <si>
    <t>VTAR BLOCKER AVG +/-</t>
  </si>
  <si>
    <t>TOTAL VTAR AVG +/-</t>
  </si>
  <si>
    <t>TEAM SUMMARIES</t>
  </si>
  <si>
    <t>N/A</t>
  </si>
  <si>
    <t>P E N A L T I E S   S U M M A R Y</t>
  </si>
  <si>
    <t>EXTRAPOLATED</t>
  </si>
  <si>
    <t>SKATER</t>
  </si>
  <si>
    <t>Misconduct</t>
  </si>
  <si>
    <t>Team:</t>
  </si>
  <si>
    <t>Pivot</t>
  </si>
  <si>
    <t>Blocker</t>
  </si>
  <si>
    <t>Jammer</t>
  </si>
  <si>
    <t>Game Date:</t>
  </si>
  <si>
    <t>Pass 5</t>
  </si>
  <si>
    <t>Pass 6</t>
  </si>
  <si>
    <t>Pass 7</t>
  </si>
  <si>
    <t>Pass 8</t>
  </si>
  <si>
    <t>Jam Total</t>
  </si>
  <si>
    <t>Game Total</t>
  </si>
  <si>
    <t>Passes</t>
  </si>
  <si>
    <t>PERIOD TOTALS</t>
  </si>
  <si>
    <t>#</t>
  </si>
  <si>
    <t>FO/EXP</t>
  </si>
  <si>
    <t>B</t>
  </si>
  <si>
    <t>Back Block</t>
  </si>
  <si>
    <t>H</t>
  </si>
  <si>
    <t>Blk w/ Head</t>
  </si>
  <si>
    <t>X</t>
  </si>
  <si>
    <t>Cut Track</t>
  </si>
  <si>
    <t>C</t>
  </si>
  <si>
    <t>Dir of Play</t>
  </si>
  <si>
    <t>E</t>
  </si>
  <si>
    <t>Elbows</t>
  </si>
  <si>
    <t>F</t>
  </si>
  <si>
    <t>Forearms</t>
  </si>
  <si>
    <t>A</t>
  </si>
  <si>
    <t>High Block</t>
  </si>
  <si>
    <t>I</t>
  </si>
  <si>
    <t>L</t>
  </si>
  <si>
    <t>Low Block</t>
  </si>
  <si>
    <t>M</t>
  </si>
  <si>
    <t>Multi-Player</t>
  </si>
  <si>
    <t>O</t>
  </si>
  <si>
    <t>OOB Block</t>
  </si>
  <si>
    <t>P</t>
  </si>
  <si>
    <t>Out of Play</t>
  </si>
  <si>
    <t>S</t>
  </si>
  <si>
    <t>Skate OOB</t>
  </si>
  <si>
    <t>Expulsion</t>
  </si>
  <si>
    <t>N</t>
  </si>
  <si>
    <t>Insubord'n</t>
  </si>
  <si>
    <t>G</t>
  </si>
  <si>
    <t>(Gross)</t>
  </si>
  <si>
    <t>Please do not abbreviate your league or team when naming documents for sanctioning.</t>
  </si>
  <si>
    <t>Location:</t>
  </si>
  <si>
    <t>ST/PRV</t>
  </si>
  <si>
    <t>Date:</t>
  </si>
  <si>
    <t>Start Time:</t>
  </si>
  <si>
    <t>H O M E    T E A M</t>
  </si>
  <si>
    <t>V I S I T I N G    T E A M</t>
  </si>
  <si>
    <t>LEAGUE</t>
  </si>
  <si>
    <t>TEAM</t>
  </si>
  <si>
    <t># of players</t>
  </si>
  <si>
    <t>Skater #</t>
  </si>
  <si>
    <t>HOME TEAM</t>
  </si>
  <si>
    <t>VISITING TEAM</t>
  </si>
  <si>
    <t>Period 1</t>
  </si>
  <si>
    <t>Points</t>
  </si>
  <si>
    <t>Period 2</t>
  </si>
  <si>
    <t>PENALTIES:</t>
  </si>
  <si>
    <t>TOTAL POINTS:</t>
  </si>
  <si>
    <t>Home Team Captain</t>
  </si>
  <si>
    <t>Visiting Team Captain</t>
  </si>
  <si>
    <t>Skate Name:</t>
  </si>
  <si>
    <t>Legal Name:</t>
  </si>
  <si>
    <t xml:space="preserve">Signature: </t>
  </si>
  <si>
    <t>Head Referee</t>
  </si>
  <si>
    <t>Head NSO/Scorekeeper</t>
  </si>
  <si>
    <t>JAM</t>
  </si>
  <si>
    <t>Jammer's Number</t>
  </si>
  <si>
    <t>LOST</t>
  </si>
  <si>
    <t>LEAD</t>
  </si>
  <si>
    <t>CALL</t>
  </si>
  <si>
    <t>INJ.</t>
  </si>
  <si>
    <t>NP</t>
  </si>
  <si>
    <t>Pass 2</t>
  </si>
  <si>
    <t xml:space="preserve"> Pass 3</t>
  </si>
  <si>
    <t>Pass 4</t>
  </si>
  <si>
    <t>2.</t>
  </si>
  <si>
    <t>Score</t>
  </si>
  <si>
    <t>3.</t>
  </si>
  <si>
    <t>Penalties</t>
  </si>
  <si>
    <t>4.</t>
  </si>
  <si>
    <t>Lineup</t>
  </si>
  <si>
    <t>5.</t>
  </si>
  <si>
    <t>Expulsion-</t>
  </si>
  <si>
    <t>Suspension form</t>
  </si>
  <si>
    <t>Score P.1 &amp; 2</t>
  </si>
  <si>
    <t>Penalties P.1 &amp; 2</t>
  </si>
  <si>
    <t>Lineup P.1 &amp; 2</t>
  </si>
  <si>
    <t>6.</t>
  </si>
  <si>
    <t>Women's Flat Track Derby Association</t>
  </si>
  <si>
    <t>Instructions</t>
  </si>
  <si>
    <t>Naming Convention</t>
  </si>
  <si>
    <t>Workbook Instructions</t>
  </si>
  <si>
    <t>1.</t>
  </si>
  <si>
    <t>Period</t>
  </si>
  <si>
    <t xml:space="preserve">usage; otherwise the forms will print out as "Home Team vs Away Team" with no dates (so the </t>
  </si>
  <si>
    <t>sheets may be used for scrimmages).</t>
  </si>
  <si>
    <t>FO/Expel</t>
  </si>
  <si>
    <t xml:space="preserve">Fill out the Roster, in order (0-9, a-z) before printing sheets. It will populate the entire workbook. </t>
  </si>
  <si>
    <t>Official Reviews</t>
  </si>
  <si>
    <t>Details:</t>
  </si>
  <si>
    <t>Time:</t>
  </si>
  <si>
    <t>Jam:</t>
  </si>
  <si>
    <t>Result:</t>
  </si>
  <si>
    <t>(one sheet, two pages)</t>
  </si>
  <si>
    <t>Codes</t>
  </si>
  <si>
    <t>Delay of</t>
  </si>
  <si>
    <t>Game</t>
  </si>
  <si>
    <t>Delay of Game</t>
  </si>
  <si>
    <t>Z</t>
  </si>
  <si>
    <t xml:space="preserve">Suspension Recommended: </t>
  </si>
  <si>
    <t>Comments:</t>
  </si>
  <si>
    <t>NOTES</t>
  </si>
  <si>
    <t>Scorekeeper</t>
  </si>
  <si>
    <t>Penalty Tracker</t>
  </si>
  <si>
    <t>Lineup Tracker</t>
  </si>
  <si>
    <t>Team Roster</t>
  </si>
  <si>
    <t>Penalty Box Timer</t>
  </si>
  <si>
    <t>Period Timer</t>
  </si>
  <si>
    <t>VTAR PTS FOR</t>
  </si>
  <si>
    <t>Color</t>
  </si>
  <si>
    <t>noPivot</t>
  </si>
  <si>
    <t>Jammer Ref</t>
  </si>
  <si>
    <t>Date</t>
  </si>
  <si>
    <t>Home:</t>
  </si>
  <si>
    <t>Away:</t>
  </si>
  <si>
    <r>
      <t xml:space="preserve">Record </t>
    </r>
    <r>
      <rPr>
        <b/>
        <sz val="10"/>
        <rFont val="Calibri"/>
        <family val="2"/>
        <scheme val="minor"/>
      </rPr>
      <t>OFF</t>
    </r>
    <r>
      <rPr>
        <sz val="10"/>
        <rFont val="Calibri"/>
        <family val="2"/>
        <scheme val="minor"/>
      </rPr>
      <t xml:space="preserve"> for any other official timeout. </t>
    </r>
  </si>
  <si>
    <t>OOB Assist</t>
  </si>
  <si>
    <t>Clockwise …</t>
  </si>
  <si>
    <t>Stopped …</t>
  </si>
  <si>
    <t>Failure …</t>
  </si>
  <si>
    <t>… Violation</t>
  </si>
  <si>
    <t>Illegal (Proc)</t>
  </si>
  <si>
    <t>Tracked By</t>
  </si>
  <si>
    <t>Head Ref:</t>
  </si>
  <si>
    <t>Signature:</t>
  </si>
  <si>
    <t>The WFTDA</t>
  </si>
  <si>
    <t>For more information about membership in the WFTDA, visit wftda.com.</t>
  </si>
  <si>
    <t>WFTDA Board of Directors</t>
  </si>
  <si>
    <t>WFTDA Officers and Managers</t>
  </si>
  <si>
    <t>President</t>
  </si>
  <si>
    <t>Vice President</t>
  </si>
  <si>
    <t>Alyssa Hoppe "Lorna Boom"</t>
  </si>
  <si>
    <t>Treasurer</t>
  </si>
  <si>
    <t>Secretary</t>
  </si>
  <si>
    <t>Ex Officio</t>
  </si>
  <si>
    <t>Destroying</t>
  </si>
  <si>
    <t>Anna Krajcik "Grace Killy"</t>
  </si>
  <si>
    <t>Leanne Terpak "Tamarra Neverdyes"</t>
  </si>
  <si>
    <t>Marketing Officer</t>
  </si>
  <si>
    <t>Heather Watson "Ms. D'Fiant"</t>
  </si>
  <si>
    <t>Games Officer</t>
  </si>
  <si>
    <t>Amy Spears</t>
  </si>
  <si>
    <t>Membership Officer</t>
  </si>
  <si>
    <t>Cassandra McNeil "Parker Poison"</t>
  </si>
  <si>
    <t>Regulatory Officer</t>
  </si>
  <si>
    <t>WFTDA Staff</t>
  </si>
  <si>
    <t>StatsBook Working Group</t>
  </si>
  <si>
    <t>Juliana Gonzales</t>
  </si>
  <si>
    <t>Executive Director</t>
  </si>
  <si>
    <t>Karen Kuhn "Bones"</t>
  </si>
  <si>
    <t>Managing Director of Games</t>
  </si>
  <si>
    <t>Don Mynatt "Pantichrist"</t>
  </si>
  <si>
    <t>Officiating Education Director</t>
  </si>
  <si>
    <t>Evelynn Dronberger "Evie McSkeevy"</t>
  </si>
  <si>
    <t>Stats Committee Chair</t>
  </si>
  <si>
    <t>Michael Gorman "Sho'Nuff"</t>
  </si>
  <si>
    <t>Jill Jaracz "Intejill"</t>
  </si>
  <si>
    <t>Jason Proctor "Ian Fluenza"</t>
  </si>
  <si>
    <t>Katie Wearne "Stabby McNeedles"</t>
  </si>
  <si>
    <t>"FN Zebra"</t>
  </si>
  <si>
    <t>USA</t>
  </si>
  <si>
    <t>Austin, TX  78761</t>
  </si>
  <si>
    <t>P.O. Box 14100</t>
  </si>
  <si>
    <t>Correspondence for any of the above individuals should be addressed to:</t>
  </si>
  <si>
    <t>Advice for Printing</t>
  </si>
  <si>
    <t xml:space="preserve">The StatsBook is designed to be printed in color or greyscale. </t>
  </si>
  <si>
    <t>Release Notes</t>
  </si>
  <si>
    <t>All references to minor penalties removed.</t>
  </si>
  <si>
    <t>Skaters with leading 0s in their numbers have stats calculated correctly.</t>
  </si>
  <si>
    <t>Document header information made larger and clearer on all worksheets.</t>
  </si>
  <si>
    <t>The row color on some forms was changed away from pink.</t>
  </si>
  <si>
    <t>Most forms have revised instructions.</t>
  </si>
  <si>
    <t>Forms now support 38 jams per period.</t>
  </si>
  <si>
    <t>Separate 16-skater and 20-skater versions consolidated to a single 20-skater version.</t>
  </si>
  <si>
    <t>Added new penalty code 'Z' for Delay of Game.</t>
  </si>
  <si>
    <t>Removed NOTT point tracking to be consistent with WFTDA Standard Officiating Practices. A version of the Score form with NOTT points is still available for use.</t>
  </si>
  <si>
    <t>7.</t>
  </si>
  <si>
    <t>8.</t>
  </si>
  <si>
    <t>9.</t>
  </si>
  <si>
    <t>Known Issues</t>
  </si>
  <si>
    <t>The verbal cue hints with the penalty codes on the Penalties tab are missing “Illegal Return” (an Out of Play penalty) and several of the Illegal Procedure cues.</t>
  </si>
  <si>
    <t>Principal Editor: Grand Poobah</t>
  </si>
  <si>
    <t>WFTDA StatsBook - October 17, 2012</t>
  </si>
  <si>
    <t>WFTDA Stats Calculator 1.0</t>
  </si>
  <si>
    <t>Principal Editor: Dahmernatrix</t>
  </si>
  <si>
    <t>Principal Editor: AK-40oz.</t>
  </si>
  <si>
    <t>WFTDA Stats Calculator 2.1</t>
  </si>
  <si>
    <t>WFTDA StatsBook 4.0-E</t>
  </si>
  <si>
    <t>WFTDA StatsBook 4.0-C</t>
  </si>
  <si>
    <t>WFTDA StatsBook 4.2.0</t>
  </si>
  <si>
    <t>WFTDA StatsBible 4.0-B</t>
  </si>
  <si>
    <t>WFTDA StatsBook - June 2010</t>
  </si>
  <si>
    <t>WFTDA StatsBook 4.2.1</t>
  </si>
  <si>
    <t>WFTDA StatsBook 4.1</t>
  </si>
  <si>
    <t>WFTDA StatsBook 4.0-D</t>
  </si>
  <si>
    <t>Principal Editors: Grand Poobah and Ian Fluenza</t>
  </si>
  <si>
    <t>Principal Editors: AK-40oz. and Grand Poobah</t>
  </si>
  <si>
    <t>WFTDA StatsBible 4.0-A</t>
  </si>
  <si>
    <t>WFTDA Stats Calculator 3.1</t>
  </si>
  <si>
    <t>Allowed 7 scoring passes.</t>
  </si>
  <si>
    <t>Added Expulsion/Suspension form.</t>
  </si>
  <si>
    <t>Added action tracking and associated stats. Allowed 25 jams.</t>
  </si>
  <si>
    <t>WFTDA Stats Scoresheets</t>
  </si>
  <si>
    <t>Principal Editor: Ivanna S. Pankin</t>
  </si>
  <si>
    <t>Established the first standardized format for reporting bout scores to WFTDA.</t>
  </si>
  <si>
    <t>Added stats by period and penalty reporting.</t>
  </si>
  <si>
    <t>First version with integrated IBRF. First version that allowed data entry into printable forms. First version with per-pass scoring (allowed 5 passes). First version with space to track "ghost" (NOTT) points. First version with sequential penalty tracking. First version with Error tracking and associated stats.</t>
  </si>
  <si>
    <t>Updated for May 26, 2010 rules. First release without Excel 2003 format.</t>
  </si>
  <si>
    <t>Added new stats calculations.</t>
  </si>
  <si>
    <t>Release History</t>
  </si>
  <si>
    <t>Principal Editor: Sho'Nuff</t>
  </si>
  <si>
    <t>Allowed 9 scoring passes and 30 jams.</t>
  </si>
  <si>
    <t>Allowed 6 scoring passes. First version with jam statistics. First Excel 2007 version. First separate tournament version.</t>
  </si>
  <si>
    <t>First version with period 1 and period 2 forms on the same worksheet. First version with calculations moved to separate tabs (away from both printable forms and summary data). First version with penalty box paperwork. First version with room for 20 skaters.</t>
  </si>
  <si>
    <r>
      <t xml:space="preserve">Extra Credit </t>
    </r>
    <r>
      <rPr>
        <b/>
        <sz val="10"/>
        <color rgb="FF00B0F0"/>
        <rFont val="Calibri"/>
        <family val="2"/>
        <scheme val="minor"/>
      </rPr>
      <t>(AQUA)</t>
    </r>
  </si>
  <si>
    <r>
      <t xml:space="preserve">Stats Summary Pages </t>
    </r>
    <r>
      <rPr>
        <b/>
        <sz val="10"/>
        <color theme="0" tint="-0.499984740745262"/>
        <rFont val="Calibri"/>
        <family val="2"/>
        <scheme val="minor"/>
      </rPr>
      <t>(GREY)</t>
    </r>
  </si>
  <si>
    <t>Pen Min</t>
  </si>
  <si>
    <t>Principal Editors: FN Zebra and Stabby McNeedles</t>
  </si>
  <si>
    <r>
      <t xml:space="preserve">Please name your Stats doc: </t>
    </r>
    <r>
      <rPr>
        <b/>
        <sz val="10"/>
        <rFont val="Calibri"/>
        <family val="2"/>
        <scheme val="minor"/>
      </rPr>
      <t>STATS-YYYY-MM-DD_HostLeague_vs_VisitorLeague.</t>
    </r>
  </si>
  <si>
    <t>Published by the Women's Flat Track Derby Association (WFTDA), P.O. Box 14100, Austin, Texas, 78761, USA</t>
  </si>
  <si>
    <t>The StatsBook is provided by the WFTDA and contributors "as is" and any express or implied warranties, including, but not limited to, the implied warranties or merchantability and fitness for a particular purpose are disclaimed. In no event shall the WFTDA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StatsBook, even if advised of the possibility of such damage.</t>
  </si>
  <si>
    <t>The Women's Flat Track Derby Association was formed in 2005, and is a volunteer-run amateur sports organization. The mission of the WFTDA is to "promote and foster the sport of women's flat track roller derby by facilitating the development of athletic ability, sportswomanship, and goodwill among member leagues."</t>
  </si>
  <si>
    <t>The governing philosophy of the WFTDA is "by the skaters, for the skaters." Skaters from the member leagues are primary owners, managers, and operators of each member league and of the association.</t>
  </si>
  <si>
    <t>info@wftda.com</t>
  </si>
  <si>
    <t>wftda.com</t>
  </si>
  <si>
    <t>Penalty Summary sheet has been simplified, extra row of labeling added.</t>
  </si>
  <si>
    <t>Bout Summary sheet has PTS FOR and PTS AGAINST calculating properly.</t>
  </si>
  <si>
    <t>Many cell comments revised for accuracy.</t>
  </si>
  <si>
    <t>Period numbers on Actions and Errors sheets corrected. Some columns widths changed.</t>
  </si>
  <si>
    <t>Team colors populate from first row of Score sheet.</t>
  </si>
  <si>
    <t>Stacie Traylor "Teenie Meanie"</t>
  </si>
  <si>
    <t>Games Information Manager</t>
  </si>
  <si>
    <t>Alisha Campbell</t>
  </si>
  <si>
    <t>Tournament Director</t>
  </si>
  <si>
    <t>Jam</t>
  </si>
  <si>
    <t>Box</t>
  </si>
  <si>
    <t>Teams Participating:</t>
  </si>
  <si>
    <t xml:space="preserve">Suspension Recommended Below: </t>
  </si>
  <si>
    <t>Meeting Results (if held):</t>
  </si>
  <si>
    <t xml:space="preserve">Official Witnessing the Action Name:  </t>
  </si>
  <si>
    <t>League Affiliation:</t>
  </si>
  <si>
    <t xml:space="preserve">Head Referee Name:  </t>
  </si>
  <si>
    <t xml:space="preserve">Expelled Skater:  </t>
  </si>
  <si>
    <t>FOR TOURNAMENT PLAY</t>
  </si>
  <si>
    <t xml:space="preserve">Tournament Head Referee Name:  </t>
  </si>
  <si>
    <t xml:space="preserve">Games Official Name (if present):  </t>
  </si>
  <si>
    <t xml:space="preserve">Home/Dark Team Captain Name:  </t>
  </si>
  <si>
    <t xml:space="preserve">Visitor/Light Team Captain Name:  </t>
  </si>
  <si>
    <t>Keep Review?</t>
  </si>
  <si>
    <t>Yes / No</t>
  </si>
  <si>
    <t>Section 1. VENUE &amp; ROSTERS (Complete BEFORE the game)</t>
  </si>
  <si>
    <r>
      <t xml:space="preserve">DUE: </t>
    </r>
    <r>
      <rPr>
        <sz val="10"/>
        <rFont val="Calibri"/>
        <family val="2"/>
        <scheme val="minor"/>
      </rPr>
      <t>2 weeks after game date</t>
    </r>
  </si>
  <si>
    <t>Enter the game date and the team names before printing, to populate the other sheets for game</t>
  </si>
  <si>
    <t>(Print a few to be on hand during the game in case of Expulsion/Suspension).</t>
  </si>
  <si>
    <t>Cutting</t>
  </si>
  <si>
    <t>Failure to Yield</t>
  </si>
  <si>
    <t>Non-Skater Expulsions</t>
  </si>
  <si>
    <t xml:space="preserve"> PENALTY / JAM #</t>
  </si>
  <si>
    <t>HR Contact Information:</t>
  </si>
  <si>
    <t>Official's Contact Information:</t>
  </si>
  <si>
    <t>Skater's Contact Information:</t>
  </si>
  <si>
    <t>Captain's Contact Information:</t>
  </si>
  <si>
    <t>THR Contact Information:</t>
  </si>
  <si>
    <t>GO's Contact Information:</t>
  </si>
  <si>
    <t>Enter expelled bench staff name here</t>
  </si>
  <si>
    <t>PENALTY TOTALS</t>
  </si>
  <si>
    <t>Avg Penalties / Jam:</t>
  </si>
  <si>
    <t>FO</t>
  </si>
  <si>
    <t>Non Skater Expulsions</t>
  </si>
  <si>
    <t>Amanda Hull "Alassin Sane"</t>
  </si>
  <si>
    <t>January 3, 2013 -- Major Changes since October 17, 2012</t>
  </si>
  <si>
    <t>March 8, 2013 -- Major Changes since January 3, 2013</t>
  </si>
  <si>
    <t>WFTDA StatsBook - January 3, 2013</t>
  </si>
  <si>
    <t>No minors. Allowed 38 jams per period.</t>
  </si>
  <si>
    <t>WFTDA StatsBook - March 8, 2013</t>
  </si>
  <si>
    <t>TOTAL PENALTIES FOR PERIOD 1:</t>
  </si>
  <si>
    <t>TOTAL PENALTIES FOR PERIOD 2:</t>
  </si>
  <si>
    <t>Extensive changes to Lineups sheet; no more opposing Jammer lap counting.</t>
  </si>
  <si>
    <t>Penalty counts go to 9 per skater; bench expulsions now tracked separately.</t>
  </si>
  <si>
    <t>Excel 2003/2004 no longer officially supported.</t>
  </si>
  <si>
    <t>Conditional formatting on Score and Lineups, to warn when Skater number NOT on IBRF is entered.</t>
  </si>
  <si>
    <t>Many merged cells removed; many changes to formulas to reflect that.</t>
  </si>
  <si>
    <t>Principal Editors:  Ian Fluenza, Stabby McNeedles, and Sho'Nuff</t>
  </si>
  <si>
    <t>Principal Editors:  Stabby McNeedles and Sho'Nuff</t>
  </si>
  <si>
    <t>WFTDA StatsBook - March 7, 2014</t>
  </si>
  <si>
    <t>Lineups no longer count opposing Jammer laps.</t>
  </si>
  <si>
    <t>Mostly bug fixes for no minors related changes.</t>
  </si>
  <si>
    <t>Some computers have had problems opening the document in OpenOffice 3.4.1. Use LibreOffice 4.2.1 or newer.</t>
  </si>
  <si>
    <t>WFTDA Interleague Game Reporting Form (IGRF)</t>
  </si>
  <si>
    <t>IGRF &amp; Standardized Stats Calculator</t>
  </si>
  <si>
    <t>Please name your scanned IGRF: IGRF-YYYY-MM-DD_HostLeague_vs_VisitorLeague.</t>
  </si>
  <si>
    <t>IGRF usage:</t>
  </si>
  <si>
    <t>IGRF</t>
  </si>
  <si>
    <t>Missing formulas on Score tab now exist.</t>
  </si>
  <si>
    <t>Modifications beyond those necessary for formatted printing are only allowed with the consent of the Women's Flat Track Derby Association. The Interleague Game Reporting Form and Standardized Stats Calculator ("StatsBook") and its contents may not be reproduced, distributed, or translated in whole or in part in any manner without the permission of the WFTDA.</t>
  </si>
  <si>
    <t>Game Summary</t>
  </si>
  <si>
    <t>Game Clock</t>
  </si>
  <si>
    <t>Game Clock P.1 &amp; P.2 (if used)</t>
  </si>
  <si>
    <t>Total Penalties</t>
  </si>
  <si>
    <t>of Game Total Penalties</t>
  </si>
  <si>
    <t>Team Total Penalties as % of Game Total:</t>
  </si>
  <si>
    <t>Penalty Count</t>
  </si>
  <si>
    <t>Penalties Per Jam</t>
  </si>
  <si>
    <t>Fully GAME compliant now; no more bouts.</t>
  </si>
  <si>
    <t>David McKinstry “Reed d'Rulz”</t>
  </si>
  <si>
    <t>Skater +/- calculations fixed.</t>
  </si>
  <si>
    <t>Jams Played Totals on Game Summary now reflects Star Passes properly, again.</t>
  </si>
  <si>
    <t>Penalties by Skaters</t>
  </si>
  <si>
    <t>Total penalties</t>
  </si>
  <si>
    <t>SKATERS PENALTY COUNT</t>
  </si>
  <si>
    <t>Michael Wehrman</t>
  </si>
  <si>
    <t>March 7, 2013 -- Major Changes since March 8, 2013</t>
  </si>
  <si>
    <t xml:space="preserve">Fill in the Score sheet first. Jam numbers (and SP/SP*) entered on the Score sheet automatically
</t>
  </si>
  <si>
    <t>YES    |    NO</t>
  </si>
  <si>
    <t>This form should be completed and signed for any expulsion in a game. Statements are not required and may be continued on the reverse side. All signatures certify receipt of the form and one's own statement; it does not express agreement with the statement(s) of others. Any party who may, and chooses to, recommend a suspension should check the appropriate box next to their contact information.</t>
  </si>
  <si>
    <t>For WFTDA-sanctioned games, the expulsion must be recorded on the IGRF in the appropriate section. Return signed and completed Expulsion/Suspension forms to WFTDA Sanctioning with the completed StatsBook and signed IGRF. These will be filed with the game documentation. If any party wishes to have an incident reviewed by the Games Review Panel (GRP), indicate this on the IGRF at the time of signature. Any appeals may be filed with the WFTDA GRP at grievance@wftda.com.</t>
  </si>
  <si>
    <t>Btwn Jams</t>
  </si>
  <si>
    <t>Instructions for Star Passes added.</t>
  </si>
  <si>
    <t>Btwn Jams column added to Penalty Box sheets.</t>
  </si>
  <si>
    <t xml:space="preserve">PLEASE NOTE: The host league is responsible for turning in the completed StatsBook and signed IGRF to WFTDA Sanctioning; however, Sanctioning will accept documents from either team.  Captains from both teams should also receive a copy of the completed StatsBook and signed IGRF. </t>
  </si>
  <si>
    <t>Kane Strous "K'lick K'lick Boom"</t>
  </si>
  <si>
    <t>For use with Dec 1, 2014 rules</t>
  </si>
  <si>
    <t>This version is designed for use with the WFTDA Rules published December 1, 2014.</t>
  </si>
  <si>
    <t>Major Changes since April 21, 2014</t>
  </si>
  <si>
    <t>Non-skater expulsions now counted toward team total penalties, but not skater totals.</t>
  </si>
  <si>
    <r>
      <t xml:space="preserve">There are significant variations in print formatting across different software, operating systems, and printers. Use your software's preview function on every sheet you intend to print, and adjust margins, scaling, and page breaks as necessary. Save that copy of the StatsBook as your master blank copy, and set up </t>
    </r>
    <r>
      <rPr>
        <sz val="10"/>
        <rFont val="Calibri"/>
        <family val="2"/>
        <scheme val="minor"/>
      </rPr>
      <t>games</t>
    </r>
    <r>
      <rPr>
        <sz val="10"/>
        <rFont val="Calibri"/>
        <family val="2"/>
        <scheme val="minor"/>
      </rPr>
      <t xml:space="preserve"> in duplicates of that file. Always check the Preview again before printing.</t>
    </r>
  </si>
  <si>
    <t>Lineups: new symbol added for tracking continued penalty service.</t>
  </si>
  <si>
    <t>Lineups: rosters adjusted slightly to allow more room for LT notes.</t>
  </si>
  <si>
    <t>April 21, 2014 - Major Changes since March 7, 2014</t>
  </si>
  <si>
    <t>WFTDA StatsBook - April 21, 2014</t>
  </si>
  <si>
    <t>Bug fixes, Star Pass Instructions</t>
  </si>
  <si>
    <t>Principal Editors:  FN Zebra</t>
  </si>
  <si>
    <r>
      <rPr>
        <b/>
        <sz val="10.5"/>
        <rFont val="Calibri"/>
        <family val="2"/>
        <scheme val="minor"/>
      </rPr>
      <t>/</t>
    </r>
    <r>
      <rPr>
        <sz val="10.5"/>
        <rFont val="Calibri"/>
        <family val="2"/>
        <scheme val="minor"/>
      </rPr>
      <t xml:space="preserve">  = entered in this jam. </t>
    </r>
    <r>
      <rPr>
        <b/>
        <sz val="10.5"/>
        <rFont val="Calibri"/>
        <family val="2"/>
        <scheme val="minor"/>
      </rPr>
      <t>S</t>
    </r>
    <r>
      <rPr>
        <sz val="10.5"/>
        <rFont val="Calibri"/>
        <family val="2"/>
        <scheme val="minor"/>
      </rPr>
      <t xml:space="preserve"> = entered between jams. </t>
    </r>
    <r>
      <rPr>
        <b/>
        <sz val="10.5"/>
        <rFont val="Calibri"/>
        <family val="2"/>
        <scheme val="minor"/>
      </rPr>
      <t>I</t>
    </r>
    <r>
      <rPr>
        <sz val="10.5"/>
        <rFont val="Calibri"/>
        <family val="2"/>
        <scheme val="minor"/>
      </rPr>
      <t xml:space="preserve"> = continued serving penalty. </t>
    </r>
    <r>
      <rPr>
        <b/>
        <sz val="10.5"/>
        <rFont val="Calibri"/>
        <family val="2"/>
        <scheme val="minor"/>
      </rPr>
      <t>X</t>
    </r>
    <r>
      <rPr>
        <sz val="10.5"/>
        <rFont val="Calibri"/>
        <family val="2"/>
        <scheme val="minor"/>
      </rPr>
      <t xml:space="preserve"> = finished penalty service. </t>
    </r>
    <r>
      <rPr>
        <b/>
        <sz val="10.5"/>
        <rFont val="Calibri"/>
        <family val="2"/>
        <scheme val="minor"/>
      </rPr>
      <t>$</t>
    </r>
    <r>
      <rPr>
        <sz val="10.5"/>
        <rFont val="Calibri"/>
        <family val="2"/>
        <scheme val="minor"/>
      </rPr>
      <t xml:space="preserve"> = entered between jams, finished time. </t>
    </r>
    <r>
      <rPr>
        <b/>
        <sz val="10.5"/>
        <rFont val="Calibri"/>
        <family val="2"/>
        <scheme val="minor"/>
      </rPr>
      <t>3</t>
    </r>
    <r>
      <rPr>
        <sz val="10.5"/>
        <rFont val="Calibri"/>
        <family val="2"/>
        <scheme val="minor"/>
      </rPr>
      <t xml:space="preserve"> = jam called off due to this skater's injury.</t>
    </r>
  </si>
  <si>
    <t>Removed legacy sheets (to be released as modules).</t>
  </si>
  <si>
    <t>Penalty Box</t>
  </si>
  <si>
    <t>Whiteboards</t>
  </si>
  <si>
    <t>After the game, transcribe the information from the paper sheets IN THIS ORDER:</t>
  </si>
  <si>
    <r>
      <t xml:space="preserve">Record </t>
    </r>
    <r>
      <rPr>
        <b/>
        <sz val="10"/>
        <rFont val="Calibri"/>
        <family val="2"/>
        <scheme val="minor"/>
      </rPr>
      <t>TO</t>
    </r>
    <r>
      <rPr>
        <sz val="10"/>
        <rFont val="Calibri"/>
        <family val="2"/>
        <scheme val="minor"/>
      </rPr>
      <t xml:space="preserve"> for team timeout or </t>
    </r>
    <r>
      <rPr>
        <b/>
        <sz val="10"/>
        <rFont val="Calibri"/>
        <family val="2"/>
        <scheme val="minor"/>
      </rPr>
      <t>OR</t>
    </r>
    <r>
      <rPr>
        <sz val="10"/>
        <rFont val="Calibri"/>
        <family val="2"/>
        <scheme val="minor"/>
      </rPr>
      <t xml:space="preserve"> for official review, and indicate the team color.</t>
    </r>
  </si>
  <si>
    <r>
      <t xml:space="preserve">Record </t>
    </r>
    <r>
      <rPr>
        <b/>
        <sz val="10"/>
        <rFont val="Calibri"/>
        <family val="2"/>
        <scheme val="minor"/>
      </rPr>
      <t>INJ</t>
    </r>
    <r>
      <rPr>
        <sz val="10"/>
        <rFont val="Calibri"/>
        <family val="2"/>
        <scheme val="minor"/>
      </rPr>
      <t xml:space="preserve"> for jam-ending injury or </t>
    </r>
    <r>
      <rPr>
        <b/>
        <sz val="10"/>
        <rFont val="Calibri"/>
        <family val="2"/>
        <scheme val="minor"/>
      </rPr>
      <t>EX</t>
    </r>
    <r>
      <rPr>
        <sz val="10"/>
        <rFont val="Calibri"/>
        <family val="2"/>
        <scheme val="minor"/>
      </rPr>
      <t xml:space="preserve"> for expulsion, indicate team color &amp; skater number.</t>
    </r>
  </si>
  <si>
    <t>Description</t>
  </si>
  <si>
    <t>Official Score Offset +/-</t>
  </si>
  <si>
    <t>Period Offset</t>
  </si>
  <si>
    <r>
      <rPr>
        <b/>
        <sz val="8"/>
        <rFont val="Calibri"/>
        <family val="2"/>
        <scheme val="minor"/>
      </rPr>
      <t>For Sanctioned games only:</t>
    </r>
    <r>
      <rPr>
        <sz val="8"/>
        <rFont val="Calibri"/>
        <family val="2"/>
        <scheme val="minor"/>
      </rPr>
      <t xml:space="preserve"> Scores (and scanned or photograph of IGRF) are required within 24 hours after game at http://scores.wftda.com  
The completed StatsBook is due within 2 weeks of Sanctioned game date to: stats@wftda.com , and scanned signed IGRF and any signed Expulsion-Suspension Forms and Official Reviews are due within 2 weeks of Sanctioned game date to: sanctioning@wftda.com</t>
    </r>
  </si>
  <si>
    <t>Roster notes in Lineups constrained by total number of jams. The Skaters listed in positions 19 &amp; 20 do not have as generous space for notes.</t>
  </si>
  <si>
    <t>Allows adjustment to Official Score. Removed Instructions &amp; legacy sheets</t>
  </si>
  <si>
    <r>
      <rPr>
        <b/>
        <sz val="10"/>
        <rFont val="Calibri"/>
        <family val="2"/>
        <scheme val="minor"/>
      </rPr>
      <t xml:space="preserve">For Sanctioned games only: </t>
    </r>
    <r>
      <rPr>
        <sz val="10"/>
        <rFont val="Calibri"/>
        <family val="2"/>
        <scheme val="minor"/>
      </rPr>
      <t>Scores (and scanned or photograph of IGRF) are required within 24 hours after game at http://scores.wftda.com  
The completed StatsBook is due within 2 weeks of Sanctioned game date to: stats@wftda.com , and scanned signed IGRF and any signed Expulsion-Suspension Forms and Official Reviews are due within 2 weeks of Sanctioned game date to: sanctioning@wftda.com</t>
    </r>
  </si>
  <si>
    <t>In case of Expusion or Suspension request, a scanned signed copy of the Official Reviews may provide useful information to WFTDA.</t>
  </si>
  <si>
    <r>
      <t>Official Score Offset (</t>
    </r>
    <r>
      <rPr>
        <b/>
        <sz val="10"/>
        <color rgb="FFFF0000"/>
        <rFont val="Calibri"/>
        <family val="2"/>
        <scheme val="minor"/>
      </rPr>
      <t>RED</t>
    </r>
    <r>
      <rPr>
        <b/>
        <sz val="10"/>
        <rFont val="Calibri"/>
        <family val="2"/>
        <scheme val="minor"/>
      </rPr>
      <t>)</t>
    </r>
  </si>
  <si>
    <t>Example: "STATS-2015-02-16_TucsonRollerDerby_vs_TexasRollergirls.xlsx"</t>
  </si>
  <si>
    <t>Example: "IGRF-2015-02-16_TucsonRollerDerby_vs_TexasRollergirls.pdf"</t>
  </si>
  <si>
    <t>OS Offset P.1 &amp; P.2</t>
  </si>
  <si>
    <t xml:space="preserve"> (If corrections for Offical Score must be recorded.)</t>
  </si>
  <si>
    <t>To be used if corrections for Official Score must be recorded. 
Points entered here are not attributed to individual Skaters.</t>
  </si>
  <si>
    <t>Added OS Offset sheet to permit error adjustments to Official Score.</t>
  </si>
  <si>
    <t>DO NO MANUAL ENTRY on the Game Summary; it is populated by other sheets in the workbook.</t>
  </si>
  <si>
    <t>*NOTE: THERE ARE INSTRUCTIONAL COMMENTS IN CELLS OF SOME SHEETS*</t>
  </si>
  <si>
    <t>Note: The directions on what pages to print may not be needed if you use Excel or viewer to print.</t>
  </si>
  <si>
    <r>
      <t xml:space="preserve">Extra Credit </t>
    </r>
    <r>
      <rPr>
        <b/>
        <sz val="10"/>
        <color rgb="FF0000FF"/>
        <rFont val="Calibri"/>
        <family val="2"/>
        <scheme val="minor"/>
      </rPr>
      <t>(BLUE)</t>
    </r>
  </si>
  <si>
    <t>Sheet instructions removed; StatsBook Manual exists.</t>
  </si>
  <si>
    <t>Jason Wotzko "Goblin King"</t>
  </si>
  <si>
    <t>Glenn Andreas "theMadStatter"</t>
  </si>
  <si>
    <t>Sam Bergus</t>
  </si>
  <si>
    <t>Section 2. SCORE &amp; PENALTIES (Complete DURING or IMMEDIATELY AFTER game)</t>
  </si>
  <si>
    <t>Section 3. VERIFICATION (Complete IMMEDIATELY AFTER game)</t>
  </si>
  <si>
    <t>Official Position</t>
  </si>
  <si>
    <t>Inside Pack Referee</t>
  </si>
  <si>
    <t>Jammer Referee</t>
  </si>
  <si>
    <t>Outside Pack Referee</t>
  </si>
  <si>
    <t>Referee Alternate</t>
  </si>
  <si>
    <t>(Crew) Head Non-Skating Official</t>
  </si>
  <si>
    <t>GAME #</t>
  </si>
  <si>
    <t>Tournament/
Multi-Day Event:</t>
  </si>
  <si>
    <t>COLOR</t>
  </si>
  <si>
    <t>Suspension:</t>
  </si>
  <si>
    <t>YES  |  NO</t>
  </si>
  <si>
    <t>Penalty Wrangler</t>
  </si>
  <si>
    <t>Inside Whiteboard Operator</t>
  </si>
  <si>
    <t>Jam Timer</t>
  </si>
  <si>
    <t>Scoreboard Operator</t>
  </si>
  <si>
    <t>Penalty Box Manager</t>
  </si>
  <si>
    <t>Lineup Tracker (paper)</t>
  </si>
  <si>
    <t>Non-Skating Official Alternate</t>
  </si>
  <si>
    <t>Expulsion/Suspension notes:</t>
  </si>
  <si>
    <t>TEAM ROSTERS - List in order of Skater number</t>
  </si>
  <si>
    <t>Certification Level</t>
  </si>
  <si>
    <t>League Affiliation</t>
  </si>
  <si>
    <t>Suspension was served by:</t>
  </si>
  <si>
    <t>Optional Officials' positions appear in italics. Positions may be left empty, if not used in game. Additional positions may be added.</t>
  </si>
  <si>
    <t>Official Name</t>
  </si>
  <si>
    <t xml:space="preserve"> Points</t>
  </si>
  <si>
    <t xml:space="preserve"> Skater #</t>
  </si>
  <si>
    <t xml:space="preserve"> Skater Name</t>
  </si>
  <si>
    <t xml:space="preserve"> TOURNAMENT/MULTI-DAY EVENT NAME</t>
  </si>
  <si>
    <t xml:space="preserve"> VENUE NAME</t>
  </si>
  <si>
    <t xml:space="preserve"> CITY</t>
  </si>
  <si>
    <t xml:space="preserve"> HOST LEAGUE NAME</t>
  </si>
  <si>
    <t>The Official Score in this game required adjustment:</t>
  </si>
  <si>
    <t>Section 4. ROSTER OF NON-SKATING OFFICIALS/STAT TRACKERS/SKATING OFFICIALS</t>
  </si>
  <si>
    <t>IGRF changes for better data capture/tracking.</t>
  </si>
  <si>
    <t>populate on the Lineups sheet.</t>
  </si>
  <si>
    <t>The Game Summary and sheets in Pink are the only required stats forms.</t>
  </si>
  <si>
    <t>Sheets in Pink will populate the gray Game Summary form.</t>
  </si>
  <si>
    <t>Sheets in Aqua are not required, but their use is strongly encouraged.</t>
  </si>
  <si>
    <t xml:space="preserve">Game Summary and sheets in pink &amp; red (listed below) are the mandatory pieces of the StatsBook required for Sanctioning.  </t>
  </si>
  <si>
    <t>All data should be entered on the pink sheets, whether or not you use the Aqua "Extra Credit" sheets.</t>
  </si>
  <si>
    <t>You don't need to print Read Me, Game Summary, or Penalty Summary sheets before the game.</t>
  </si>
  <si>
    <t>Print out the following sheets (PINK) for use DURING the game:</t>
  </si>
  <si>
    <t>Print out the following "Extra Credit" sheets (AQUA &amp; BLUE) for use DURING the game (if staffing permits):</t>
  </si>
  <si>
    <t xml:space="preserve">The "Penalty Box" sheet helps Penalty Box staff keep track of Skater time &amp; trips to the Penalty Box. Refer to the StatsBook Manual for more detail. </t>
  </si>
  <si>
    <t>Blue sheet is optional, for printing information that may be useful at the game. Do not input data onto this sheet. The "Whiteboards" sheet is a handy reference with rosters for Scorekeepers, Lineup Trackers, Announcers, and others who may need both full rosters on game day.</t>
  </si>
  <si>
    <t>(four pages, two for each team)</t>
  </si>
  <si>
    <t>(two pages, one for each period)</t>
  </si>
  <si>
    <t>(two pages)</t>
  </si>
  <si>
    <t>(two pages, for use by Period Timer)</t>
  </si>
  <si>
    <t xml:space="preserve">Expulsion: </t>
  </si>
  <si>
    <t xml:space="preserve">Reason for OS adjustment: </t>
  </si>
  <si>
    <t>Michelle Donnelly "Eduskating Rita"</t>
  </si>
  <si>
    <t>Jenna Cloughley "Mia Culprit"</t>
  </si>
  <si>
    <t>Marketing &amp; Communications Manager</t>
  </si>
  <si>
    <t>Erica Vanstone "Double H"</t>
  </si>
  <si>
    <t>Director of Broadcast Operations</t>
  </si>
  <si>
    <t>Nathan Burroughs "John Brawls"</t>
  </si>
  <si>
    <t>Dedi Hubbard "deadeye"</t>
  </si>
  <si>
    <t>Chief Technology Officer</t>
  </si>
  <si>
    <t>Principal Editors:  FN Zebra and Stabby McNeedles</t>
  </si>
  <si>
    <t>Official January 2015 Release</t>
  </si>
  <si>
    <t>Sheets in Aqua are not required but when filled out may provide more detailed stats information.</t>
  </si>
  <si>
    <t>Sheets in Grey can be printed out and shared with coaches and Skaters. Definitions of the stats are noted in the comments of the cells on these worksheets to help Skaters and coaches understand their statistics.</t>
  </si>
  <si>
    <t>(one sheet as two pages)</t>
  </si>
  <si>
    <t>IGRF Rev. 150103 © 2015 Women's Flat Track Derby Association (WFTDA)</t>
  </si>
  <si>
    <t>The Current revision of the StatsBook is dated January 3, 2015.</t>
  </si>
  <si>
    <t>WFTDA StatsBook - January 3, 2015</t>
  </si>
  <si>
    <t>Conditional formatting may not behave as desired in Excel 2007 or LibreOffice. There are limitations in those applications' feature sets.</t>
  </si>
  <si>
    <t>Old New Hamburg Arena - 251 Jacob Street</t>
  </si>
  <si>
    <t>New Hamburg</t>
  </si>
  <si>
    <t>ON</t>
  </si>
  <si>
    <t>Tri-City Roller Derby</t>
  </si>
  <si>
    <t>Hammer City Roller Girls</t>
  </si>
  <si>
    <t>Plan B</t>
  </si>
  <si>
    <t>Harlots</t>
  </si>
  <si>
    <t>0</t>
  </si>
  <si>
    <t>Andi Slamberg</t>
  </si>
  <si>
    <t>Justine Sane</t>
  </si>
  <si>
    <t>Lippy Wrongstockings</t>
  </si>
  <si>
    <t>19</t>
  </si>
  <si>
    <t>17</t>
  </si>
  <si>
    <t>1321</t>
  </si>
  <si>
    <t>Kristy Skelton</t>
  </si>
  <si>
    <t>20</t>
  </si>
  <si>
    <t>Zooks</t>
  </si>
  <si>
    <t>33</t>
  </si>
  <si>
    <t>Suzy Slam</t>
  </si>
  <si>
    <t>4</t>
  </si>
  <si>
    <t>Psykosonic</t>
  </si>
  <si>
    <t>44</t>
  </si>
  <si>
    <t>Brunt Force Bunny</t>
  </si>
  <si>
    <t>42</t>
  </si>
  <si>
    <t>Meg N' Plead</t>
  </si>
  <si>
    <t>480</t>
  </si>
  <si>
    <t>Slaughterhouse Streeter</t>
  </si>
  <si>
    <t>303</t>
  </si>
  <si>
    <t>Violent NoRegard</t>
  </si>
  <si>
    <t>64</t>
  </si>
  <si>
    <t>Cannonball Doll</t>
  </si>
  <si>
    <t>84</t>
  </si>
  <si>
    <t>MEGAnTRON</t>
  </si>
  <si>
    <t>N01</t>
  </si>
  <si>
    <t>Commander Will Wrecker</t>
  </si>
  <si>
    <t>11</t>
  </si>
  <si>
    <t>Typhoid Maggie</t>
  </si>
  <si>
    <t>11G6</t>
  </si>
  <si>
    <t>Fista Krusher</t>
  </si>
  <si>
    <t>152</t>
  </si>
  <si>
    <t>Hitty Pryde</t>
  </si>
  <si>
    <t xml:space="preserve">237 </t>
  </si>
  <si>
    <t>GuilloTina</t>
  </si>
  <si>
    <t>26</t>
  </si>
  <si>
    <t>Bam Bam Bigelow</t>
  </si>
  <si>
    <t>2611</t>
  </si>
  <si>
    <t>Va Va BOOM</t>
  </si>
  <si>
    <t>Miss Carriage</t>
  </si>
  <si>
    <t>451</t>
  </si>
  <si>
    <t>fErinheit</t>
  </si>
  <si>
    <t>511</t>
  </si>
  <si>
    <t>Bean Stalker</t>
  </si>
  <si>
    <t>519</t>
  </si>
  <si>
    <t>Smashin' Good Time</t>
  </si>
  <si>
    <t>58</t>
  </si>
  <si>
    <t>Natty B</t>
  </si>
  <si>
    <t>932</t>
  </si>
  <si>
    <t>Heaven Lee Bash</t>
  </si>
  <si>
    <t>H20</t>
  </si>
  <si>
    <t>Lethal Mermaid</t>
  </si>
  <si>
    <t>K9</t>
  </si>
  <si>
    <t>Scooby Doom</t>
  </si>
  <si>
    <t>Mega Minion</t>
  </si>
  <si>
    <t>Molotov Rawktail</t>
  </si>
  <si>
    <t>Deuce Willis</t>
  </si>
  <si>
    <t>Tim Rafuse</t>
  </si>
  <si>
    <t>Rachel Brown</t>
  </si>
  <si>
    <t>90Degree Johnson</t>
  </si>
  <si>
    <t>ROC City Roller Derby</t>
  </si>
  <si>
    <t>Simon Sez</t>
  </si>
  <si>
    <t>Crooks Ave.</t>
  </si>
  <si>
    <t>#DD</t>
  </si>
  <si>
    <t>Adam Thornton</t>
  </si>
  <si>
    <t>Courtney MacDonald</t>
  </si>
  <si>
    <t>Fox Hadley</t>
  </si>
  <si>
    <t>Tank</t>
  </si>
  <si>
    <t>Samiracle</t>
  </si>
  <si>
    <t>Toronto Roller Derby</t>
  </si>
  <si>
    <t>Parking Lot</t>
  </si>
  <si>
    <t>Tawl Glass O' Wadda</t>
  </si>
  <si>
    <t>Matt S. Faction</t>
  </si>
  <si>
    <t>45</t>
  </si>
  <si>
    <t>Holly Bruce</t>
  </si>
  <si>
    <t>Kyle Stewart</t>
  </si>
  <si>
    <t>Jennifer Prosser</t>
  </si>
  <si>
    <t>Ashley D</t>
  </si>
  <si>
    <t>Missy Smash</t>
  </si>
  <si>
    <t>Erik Postma</t>
  </si>
  <si>
    <t>Deadman</t>
  </si>
  <si>
    <t>SP*</t>
  </si>
  <si>
    <t>Black</t>
  </si>
  <si>
    <r>
      <t>90</t>
    </r>
    <r>
      <rPr>
        <sz val="12"/>
        <rFont val="Calibri"/>
        <family val="2"/>
      </rPr>
      <t>° Johnson</t>
    </r>
  </si>
  <si>
    <t>White</t>
  </si>
  <si>
    <t>SP</t>
  </si>
  <si>
    <t>/</t>
  </si>
  <si>
    <t>237</t>
  </si>
  <si>
    <t>League</t>
  </si>
  <si>
    <t>SkaterIdx</t>
  </si>
  <si>
    <t>SkaterName</t>
  </si>
  <si>
    <t>GameDate:</t>
  </si>
  <si>
    <t>TeamHome:</t>
  </si>
  <si>
    <t>TeamAway:</t>
  </si>
  <si>
    <t>GameDate</t>
  </si>
  <si>
    <t>GameTime</t>
  </si>
  <si>
    <t>JamNum</t>
  </si>
  <si>
    <t>JammerNum</t>
  </si>
  <si>
    <t>Lead?</t>
  </si>
  <si>
    <t>Call?</t>
  </si>
  <si>
    <t>Passed?</t>
  </si>
  <si>
    <t>Home?</t>
  </si>
  <si>
    <t>Penalty</t>
  </si>
  <si>
    <t>Point</t>
  </si>
  <si>
    <t>Pass</t>
  </si>
  <si>
    <t>RefRow</t>
  </si>
  <si>
    <t>Sheet:</t>
  </si>
  <si>
    <t>Score!</t>
  </si>
  <si>
    <t>Item</t>
  </si>
  <si>
    <t>Value</t>
  </si>
  <si>
    <t>$X</t>
  </si>
  <si>
    <t>$T</t>
  </si>
  <si>
    <t>$U</t>
  </si>
  <si>
    <t>$W</t>
  </si>
  <si>
    <t>$AL</t>
  </si>
  <si>
    <t>$Z</t>
  </si>
  <si>
    <t>$AJ</t>
  </si>
  <si>
    <t>$E</t>
  </si>
  <si>
    <t>$A</t>
  </si>
  <si>
    <t>$B</t>
  </si>
  <si>
    <t>$D</t>
  </si>
  <si>
    <t>$S</t>
  </si>
  <si>
    <t>$G</t>
  </si>
  <si>
    <t>$Q</t>
  </si>
  <si>
    <t>J_Box</t>
  </si>
  <si>
    <t>J_#P</t>
  </si>
  <si>
    <t>P_Box</t>
  </si>
  <si>
    <t>P_#P</t>
  </si>
  <si>
    <t>B1</t>
  </si>
  <si>
    <t>B1_Box</t>
  </si>
  <si>
    <t>B1_#P</t>
  </si>
  <si>
    <t>B2</t>
  </si>
  <si>
    <t>B2_Box</t>
  </si>
  <si>
    <t>B2_#P</t>
  </si>
  <si>
    <t>B3</t>
  </si>
  <si>
    <t>B3_Box</t>
  </si>
  <si>
    <t>B3_#P</t>
  </si>
  <si>
    <t>Lineups!</t>
  </si>
  <si>
    <t>Value2</t>
  </si>
  <si>
    <t>Value3</t>
  </si>
  <si>
    <t>$AK</t>
  </si>
  <si>
    <t>$AM</t>
  </si>
  <si>
    <t>$AN</t>
  </si>
  <si>
    <t>$AO</t>
  </si>
  <si>
    <t>$AP</t>
  </si>
  <si>
    <t>$AQ</t>
  </si>
  <si>
    <t>$AR</t>
  </si>
  <si>
    <t>$AS</t>
  </si>
  <si>
    <t>$AT</t>
  </si>
  <si>
    <t>$AU</t>
  </si>
  <si>
    <t>$AV</t>
  </si>
  <si>
    <t>$AD</t>
  </si>
  <si>
    <t>$AE</t>
  </si>
  <si>
    <t>$AF</t>
  </si>
  <si>
    <t>$AA</t>
  </si>
  <si>
    <t>$AC</t>
  </si>
  <si>
    <t>$AH</t>
  </si>
  <si>
    <t>$AI</t>
  </si>
  <si>
    <t>$AG</t>
  </si>
  <si>
    <t>$K</t>
  </si>
  <si>
    <t>$L</t>
  </si>
  <si>
    <t>$M</t>
  </si>
  <si>
    <t>$N</t>
  </si>
  <si>
    <t>$O</t>
  </si>
  <si>
    <t>$P</t>
  </si>
  <si>
    <t>$R</t>
  </si>
  <si>
    <t>$V</t>
  </si>
  <si>
    <t>$F</t>
  </si>
  <si>
    <t>$C</t>
  </si>
  <si>
    <t>$H</t>
  </si>
  <si>
    <t>$I</t>
  </si>
  <si>
    <t>$J</t>
  </si>
  <si>
    <t>PlayerIdx</t>
  </si>
  <si>
    <t>PenaltyIdx</t>
  </si>
  <si>
    <t>PenaltyName</t>
  </si>
  <si>
    <t>REF</t>
  </si>
  <si>
    <t>ROW</t>
  </si>
  <si>
    <t>D</t>
  </si>
  <si>
    <t>Penalty ID</t>
  </si>
  <si>
    <t>Penalty Name</t>
  </si>
  <si>
    <t>J</t>
  </si>
  <si>
    <t>AD</t>
  </si>
  <si>
    <t>AE</t>
  </si>
  <si>
    <t>AF</t>
  </si>
  <si>
    <t>AG</t>
  </si>
  <si>
    <t>AH</t>
  </si>
  <si>
    <t>AI</t>
  </si>
  <si>
    <t>Illegal Proc</t>
  </si>
  <si>
    <t>AJ</t>
  </si>
  <si>
    <t>AK</t>
  </si>
  <si>
    <t>AL</t>
  </si>
  <si>
    <t>Fourth Minor</t>
  </si>
  <si>
    <t>HomeColP1</t>
  </si>
  <si>
    <t>AwayColP1</t>
  </si>
  <si>
    <t>Q</t>
  </si>
  <si>
    <t>R</t>
  </si>
  <si>
    <t>T</t>
  </si>
  <si>
    <t>U</t>
  </si>
  <si>
    <t>V</t>
  </si>
  <si>
    <t>W</t>
  </si>
  <si>
    <t>Y</t>
  </si>
  <si>
    <t>AS</t>
  </si>
  <si>
    <t>AT</t>
  </si>
  <si>
    <t>AU</t>
  </si>
  <si>
    <t>AV</t>
  </si>
  <si>
    <t>AW</t>
  </si>
  <si>
    <t>AX</t>
  </si>
  <si>
    <t>AY</t>
  </si>
  <si>
    <t>AZ</t>
  </si>
  <si>
    <t>BA</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</si>
</sst>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h:mm\ AM/PM;@"/>
    <numFmt numFmtId="165" formatCode="0.0"/>
    <numFmt numFmtId="166" formatCode="0.0%"/>
    <numFmt numFmtId="167" formatCode="yyyy\-mm\-dd"/>
    <numFmt numFmtId="168" formatCode="0_);[Red]\(0\)"/>
    <numFmt numFmtId="169" formatCode="[$-F400]h:mm:ss\ AM/PM"/>
  </numFmts>
  <fonts count="78"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u/>
      <sz val="10"/>
      <color indexed="12"/>
      <name val="Arial"/>
      <family val="2"/>
    </font>
    <font>
      <sz val="8"/>
      <name val="Arial"/>
      <family val="2"/>
    </font>
    <font>
      <sz val="10"/>
      <name val="Arial"/>
      <family val="2"/>
    </font>
    <font>
      <sz val="8"/>
      <name val="Verdana"/>
      <family val="2"/>
    </font>
    <font>
      <sz val="11"/>
      <color theme="1"/>
      <name val="Calibri"/>
      <family val="2"/>
      <scheme val="minor"/>
    </font>
    <font>
      <sz val="9"/>
      <color indexed="81"/>
      <name val="Tahoma"/>
      <family val="2"/>
    </font>
    <font>
      <u/>
      <sz val="10"/>
      <color theme="10"/>
      <name val="Arial"/>
      <family val="2"/>
    </font>
    <font>
      <u/>
      <sz val="10"/>
      <color theme="11"/>
      <name val="Arial"/>
      <family val="2"/>
    </font>
    <font>
      <sz val="18"/>
      <name val="Calibri"/>
      <family val="2"/>
      <scheme val="minor"/>
    </font>
    <font>
      <sz val="14"/>
      <name val="Calibri"/>
      <family val="2"/>
      <scheme val="minor"/>
    </font>
    <font>
      <sz val="12"/>
      <name val="Calibri"/>
      <family val="2"/>
      <scheme val="minor"/>
    </font>
    <font>
      <b/>
      <sz val="24"/>
      <color theme="0"/>
      <name val="Calibri"/>
      <family val="2"/>
      <scheme val="minor"/>
    </font>
    <font>
      <sz val="10"/>
      <name val="Calibri"/>
      <family val="2"/>
      <scheme val="minor"/>
    </font>
    <font>
      <sz val="8"/>
      <name val="Calibri"/>
      <family val="2"/>
      <scheme val="minor"/>
    </font>
    <font>
      <b/>
      <sz val="10"/>
      <color theme="0"/>
      <name val="Calibri"/>
      <family val="2"/>
      <scheme val="minor"/>
    </font>
    <font>
      <sz val="10"/>
      <color indexed="9"/>
      <name val="Calibri"/>
      <family val="2"/>
      <scheme val="minor"/>
    </font>
    <font>
      <sz val="9"/>
      <color indexed="9"/>
      <name val="Calibri"/>
      <family val="2"/>
      <scheme val="minor"/>
    </font>
    <font>
      <sz val="11"/>
      <name val="Calibri"/>
      <family val="2"/>
      <scheme val="minor"/>
    </font>
    <font>
      <b/>
      <sz val="10"/>
      <name val="Calibri"/>
      <family val="2"/>
      <scheme val="minor"/>
    </font>
    <font>
      <sz val="9"/>
      <name val="Calibri"/>
      <family val="2"/>
      <scheme val="minor"/>
    </font>
    <font>
      <sz val="10"/>
      <color theme="0"/>
      <name val="Calibri"/>
      <family val="2"/>
      <scheme val="minor"/>
    </font>
    <font>
      <sz val="10"/>
      <name val="Calibri"/>
      <family val="2"/>
      <scheme val="minor"/>
    </font>
    <font>
      <b/>
      <sz val="24"/>
      <color theme="0"/>
      <name val="Calibri"/>
      <family val="2"/>
      <scheme val="minor"/>
    </font>
    <font>
      <b/>
      <sz val="14"/>
      <name val="Calibri"/>
      <family val="2"/>
      <scheme val="minor"/>
    </font>
    <font>
      <b/>
      <sz val="12"/>
      <name val="Calibri"/>
      <family val="2"/>
      <scheme val="minor"/>
    </font>
    <font>
      <sz val="8"/>
      <color indexed="9"/>
      <name val="Calibri"/>
      <family val="2"/>
      <scheme val="minor"/>
    </font>
    <font>
      <b/>
      <sz val="8"/>
      <name val="Calibri"/>
      <family val="2"/>
      <scheme val="minor"/>
    </font>
    <font>
      <b/>
      <sz val="14"/>
      <color theme="0"/>
      <name val="Calibri"/>
      <family val="2"/>
      <scheme val="minor"/>
    </font>
    <font>
      <b/>
      <sz val="9"/>
      <name val="Calibri"/>
      <family val="2"/>
      <scheme val="minor"/>
    </font>
    <font>
      <i/>
      <sz val="10"/>
      <name val="Calibri"/>
      <family val="2"/>
      <scheme val="minor"/>
    </font>
    <font>
      <u/>
      <sz val="10"/>
      <color indexed="12"/>
      <name val="Calibri"/>
      <family val="2"/>
      <scheme val="minor"/>
    </font>
    <font>
      <b/>
      <sz val="10"/>
      <color indexed="10"/>
      <name val="Calibri"/>
      <family val="2"/>
      <scheme val="minor"/>
    </font>
    <font>
      <b/>
      <sz val="10"/>
      <color indexed="9"/>
      <name val="Calibri"/>
      <family val="2"/>
      <scheme val="minor"/>
    </font>
    <font>
      <b/>
      <sz val="11"/>
      <color indexed="8"/>
      <name val="Calibri"/>
      <family val="2"/>
      <scheme val="minor"/>
    </font>
    <font>
      <b/>
      <sz val="10"/>
      <color indexed="29"/>
      <name val="Calibri"/>
      <family val="2"/>
      <scheme val="minor"/>
    </font>
    <font>
      <b/>
      <sz val="12"/>
      <color indexed="9"/>
      <name val="Calibri"/>
      <family val="2"/>
      <scheme val="minor"/>
    </font>
    <font>
      <sz val="11"/>
      <color indexed="9"/>
      <name val="Calibri"/>
      <family val="2"/>
      <scheme val="minor"/>
    </font>
    <font>
      <sz val="10"/>
      <color indexed="22"/>
      <name val="Calibri"/>
      <family val="2"/>
      <scheme val="minor"/>
    </font>
    <font>
      <i/>
      <sz val="8"/>
      <name val="Calibri"/>
      <family val="2"/>
      <scheme val="minor"/>
    </font>
    <font>
      <b/>
      <sz val="10"/>
      <name val="Calibri"/>
      <family val="2"/>
      <scheme val="minor"/>
    </font>
    <font>
      <b/>
      <sz val="12"/>
      <color theme="1" tint="0.499984740745262"/>
      <name val="Cambria"/>
      <family val="1"/>
      <scheme val="major"/>
    </font>
    <font>
      <b/>
      <sz val="24"/>
      <name val="Cambria"/>
      <family val="1"/>
      <scheme val="major"/>
    </font>
    <font>
      <b/>
      <sz val="10"/>
      <color rgb="FF0000FF"/>
      <name val="Calibri"/>
      <family val="2"/>
      <scheme val="minor"/>
    </font>
    <font>
      <b/>
      <sz val="9"/>
      <color theme="5"/>
      <name val="Calibri"/>
      <family val="2"/>
      <scheme val="minor"/>
    </font>
    <font>
      <b/>
      <sz val="10"/>
      <color theme="5"/>
      <name val="Calibri"/>
      <family val="2"/>
      <scheme val="minor"/>
    </font>
    <font>
      <b/>
      <sz val="10"/>
      <color rgb="FF00B0F0"/>
      <name val="Calibri"/>
      <family val="2"/>
      <scheme val="minor"/>
    </font>
    <font>
      <b/>
      <sz val="10"/>
      <color theme="0" tint="-0.499984740745262"/>
      <name val="Calibri"/>
      <family val="2"/>
      <scheme val="minor"/>
    </font>
    <font>
      <b/>
      <sz val="18"/>
      <color theme="1" tint="0.499984740745262"/>
      <name val="Cambria"/>
      <family val="1"/>
      <scheme val="major"/>
    </font>
    <font>
      <sz val="10"/>
      <name val="Calibri"/>
      <family val="2"/>
    </font>
    <font>
      <b/>
      <sz val="9"/>
      <color indexed="9"/>
      <name val="Calibri"/>
      <family val="2"/>
      <scheme val="minor"/>
    </font>
    <font>
      <b/>
      <sz val="11"/>
      <color indexed="12"/>
      <name val="Arial"/>
      <family val="2"/>
    </font>
    <font>
      <b/>
      <sz val="12"/>
      <name val="Arial"/>
      <family val="2"/>
    </font>
    <font>
      <sz val="10.5"/>
      <name val="Calibri"/>
      <family val="2"/>
      <scheme val="minor"/>
    </font>
    <font>
      <sz val="12"/>
      <color theme="1"/>
      <name val="Calibri"/>
      <family val="2"/>
      <charset val="238"/>
      <scheme val="minor"/>
    </font>
    <font>
      <sz val="11"/>
      <name val="Calibri"/>
      <family val="2"/>
      <scheme val="minor"/>
    </font>
    <font>
      <sz val="11"/>
      <color indexed="8"/>
      <name val="Calibri"/>
      <family val="2"/>
      <scheme val="minor"/>
    </font>
    <font>
      <b/>
      <sz val="8"/>
      <color rgb="FF000000"/>
      <name val="Calibri"/>
      <family val="2"/>
      <scheme val="minor"/>
    </font>
    <font>
      <b/>
      <sz val="11"/>
      <color rgb="FF000000"/>
      <name val="Calibri"/>
      <family val="2"/>
      <scheme val="minor"/>
    </font>
    <font>
      <sz val="9"/>
      <name val="Calibri"/>
      <family val="2"/>
      <scheme val="minor"/>
    </font>
    <font>
      <sz val="11"/>
      <color rgb="FF000000"/>
      <name val="Calibri"/>
      <family val="2"/>
      <scheme val="minor"/>
    </font>
    <font>
      <b/>
      <sz val="12"/>
      <name val="Calibri"/>
      <family val="2"/>
      <scheme val="minor"/>
    </font>
    <font>
      <sz val="11"/>
      <color indexed="8"/>
      <name val="Calibri"/>
      <family val="2"/>
      <scheme val="minor"/>
    </font>
    <font>
      <sz val="11"/>
      <color rgb="FF000000"/>
      <name val="Calibri"/>
      <family val="2"/>
      <scheme val="minor"/>
    </font>
    <font>
      <sz val="6"/>
      <name val="Calibri"/>
      <family val="2"/>
      <scheme val="minor"/>
    </font>
    <font>
      <sz val="9"/>
      <color indexed="81"/>
      <name val="Arial"/>
      <family val="2"/>
    </font>
    <font>
      <b/>
      <sz val="10.5"/>
      <name val="Calibri"/>
      <family val="2"/>
      <scheme val="minor"/>
    </font>
    <font>
      <b/>
      <sz val="10"/>
      <name val="Arial"/>
      <family val="2"/>
    </font>
    <font>
      <b/>
      <sz val="10"/>
      <color theme="0"/>
      <name val="Arial"/>
      <family val="2"/>
    </font>
    <font>
      <b/>
      <sz val="10"/>
      <color rgb="FFFF0000"/>
      <name val="Calibri"/>
      <family val="2"/>
      <scheme val="minor"/>
    </font>
    <font>
      <i/>
      <sz val="9"/>
      <color indexed="81"/>
      <name val="Tahoma"/>
      <family val="2"/>
    </font>
    <font>
      <sz val="12"/>
      <name val="Calibri"/>
      <family val="2"/>
    </font>
    <font>
      <sz val="10"/>
      <name val="Tahoma"/>
      <family val="2"/>
    </font>
    <font>
      <b/>
      <sz val="10"/>
      <name val="Tahoma"/>
      <family val="2"/>
    </font>
  </fonts>
  <fills count="70">
    <fill>
      <patternFill patternType="none"/>
    </fill>
    <fill>
      <patternFill patternType="gray125"/>
    </fill>
    <fill>
      <patternFill patternType="solid">
        <fgColor indexed="23"/>
        <bgColor indexed="55"/>
      </patternFill>
    </fill>
    <fill>
      <patternFill patternType="solid">
        <fgColor indexed="9"/>
        <bgColor indexed="26"/>
      </patternFill>
    </fill>
    <fill>
      <patternFill patternType="solid">
        <fgColor indexed="8"/>
        <bgColor indexed="58"/>
      </patternFill>
    </fill>
    <fill>
      <patternFill patternType="solid">
        <fgColor indexed="63"/>
        <bgColor indexed="59"/>
      </patternFill>
    </fill>
    <fill>
      <patternFill patternType="solid">
        <fgColor indexed="22"/>
        <bgColor indexed="31"/>
      </patternFill>
    </fill>
    <fill>
      <patternFill patternType="solid">
        <fgColor indexed="13"/>
        <bgColor indexed="34"/>
      </patternFill>
    </fill>
    <fill>
      <patternFill patternType="solid">
        <fgColor theme="1"/>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6" tint="0.79998168889431442"/>
        <bgColor indexed="64"/>
      </patternFill>
    </fill>
    <fill>
      <patternFill patternType="solid">
        <fgColor theme="6" tint="0.79998168889431442"/>
        <bgColor indexed="9"/>
      </patternFill>
    </fill>
    <fill>
      <patternFill patternType="solid">
        <fgColor theme="6" tint="0.59999389629810485"/>
        <bgColor indexed="45"/>
      </patternFill>
    </fill>
    <fill>
      <patternFill patternType="solid">
        <fgColor theme="6" tint="0.59999389629810485"/>
        <bgColor indexed="59"/>
      </patternFill>
    </fill>
    <fill>
      <patternFill patternType="solid">
        <fgColor theme="4" tint="0.79998168889431442"/>
        <bgColor indexed="64"/>
      </patternFill>
    </fill>
    <fill>
      <patternFill patternType="solid">
        <fgColor theme="4" tint="0.79998168889431442"/>
        <bgColor indexed="9"/>
      </patternFill>
    </fill>
    <fill>
      <patternFill patternType="solid">
        <fgColor theme="4" tint="0.59999389629810485"/>
        <bgColor indexed="64"/>
      </patternFill>
    </fill>
    <fill>
      <patternFill patternType="solid">
        <fgColor theme="0" tint="-0.249977111117893"/>
        <bgColor indexed="64"/>
      </patternFill>
    </fill>
    <fill>
      <patternFill patternType="solid">
        <fgColor theme="6" tint="-0.499984740745262"/>
        <bgColor indexed="64"/>
      </patternFill>
    </fill>
    <fill>
      <patternFill patternType="solid">
        <fgColor theme="5" tint="0.79998168889431442"/>
        <bgColor indexed="64"/>
      </patternFill>
    </fill>
    <fill>
      <patternFill patternType="solid">
        <fgColor theme="5" tint="0.79998168889431442"/>
        <bgColor indexed="9"/>
      </patternFill>
    </fill>
    <fill>
      <patternFill patternType="solid">
        <fgColor theme="5" tint="0.59999389629810485"/>
        <bgColor indexed="45"/>
      </patternFill>
    </fill>
    <fill>
      <patternFill patternType="solid">
        <fgColor theme="5" tint="0.59999389629810485"/>
        <bgColor indexed="64"/>
      </patternFill>
    </fill>
    <fill>
      <patternFill patternType="solid">
        <fgColor theme="5" tint="-0.499984740745262"/>
        <bgColor indexed="64"/>
      </patternFill>
    </fill>
    <fill>
      <patternFill patternType="solid">
        <fgColor theme="5" tint="0.39997558519241921"/>
        <bgColor indexed="64"/>
      </patternFill>
    </fill>
    <fill>
      <patternFill patternType="solid">
        <fgColor theme="4" tint="-0.499984740745262"/>
        <bgColor indexed="64"/>
      </patternFill>
    </fill>
    <fill>
      <patternFill patternType="solid">
        <fgColor theme="7" tint="0.39997558519241921"/>
        <bgColor indexed="24"/>
      </patternFill>
    </fill>
    <fill>
      <patternFill patternType="solid">
        <fgColor theme="4"/>
        <bgColor indexed="22"/>
      </patternFill>
    </fill>
    <fill>
      <patternFill patternType="solid">
        <fgColor theme="5" tint="0.59999389629810485"/>
        <bgColor indexed="29"/>
      </patternFill>
    </fill>
    <fill>
      <patternFill patternType="solid">
        <fgColor theme="1" tint="0.34998626667073579"/>
        <bgColor indexed="64"/>
      </patternFill>
    </fill>
    <fill>
      <patternFill patternType="solid">
        <fgColor theme="5" tint="0.39997558519241921"/>
        <bgColor indexed="45"/>
      </patternFill>
    </fill>
    <fill>
      <patternFill patternType="solid">
        <fgColor theme="8"/>
        <bgColor indexed="34"/>
      </patternFill>
    </fill>
    <fill>
      <patternFill patternType="solid">
        <fgColor theme="5" tint="0.79998168889431442"/>
        <bgColor indexed="31"/>
      </patternFill>
    </fill>
    <fill>
      <patternFill patternType="solid">
        <fgColor theme="4" tint="0.79998168889431442"/>
        <bgColor indexed="22"/>
      </patternFill>
    </fill>
    <fill>
      <patternFill patternType="solid">
        <fgColor theme="4" tint="0.59999389629810485"/>
        <bgColor indexed="22"/>
      </patternFill>
    </fill>
    <fill>
      <patternFill patternType="solid">
        <fgColor theme="7" tint="0.79998168889431442"/>
        <bgColor indexed="24"/>
      </patternFill>
    </fill>
    <fill>
      <patternFill patternType="solid">
        <fgColor theme="4"/>
        <bgColor indexed="13"/>
      </patternFill>
    </fill>
    <fill>
      <patternFill patternType="solid">
        <fgColor theme="9"/>
        <bgColor indexed="13"/>
      </patternFill>
    </fill>
    <fill>
      <patternFill patternType="solid">
        <fgColor theme="6"/>
        <bgColor indexed="49"/>
      </patternFill>
    </fill>
    <fill>
      <patternFill patternType="solid">
        <fgColor theme="6" tint="0.79998168889431442"/>
        <bgColor indexed="27"/>
      </patternFill>
    </fill>
    <fill>
      <patternFill patternType="solid">
        <fgColor theme="6" tint="0.59999389629810485"/>
        <bgColor indexed="35"/>
      </patternFill>
    </fill>
    <fill>
      <patternFill patternType="solid">
        <fgColor theme="0" tint="-4.9989318521683403E-2"/>
        <bgColor indexed="31"/>
      </patternFill>
    </fill>
    <fill>
      <patternFill patternType="solid">
        <fgColor theme="0" tint="-0.14999847407452621"/>
        <bgColor indexed="31"/>
      </patternFill>
    </fill>
    <fill>
      <patternFill patternType="solid">
        <fgColor rgb="FFFFFF00"/>
        <bgColor indexed="34"/>
      </patternFill>
    </fill>
    <fill>
      <patternFill patternType="solid">
        <fgColor theme="6" tint="0.79998168889431442"/>
        <bgColor indexed="22"/>
      </patternFill>
    </fill>
    <fill>
      <patternFill patternType="solid">
        <fgColor theme="4" tint="0.39997558519241921"/>
        <bgColor indexed="33"/>
      </patternFill>
    </fill>
    <fill>
      <patternFill patternType="solid">
        <fgColor theme="5" tint="-0.249977111117893"/>
        <bgColor indexed="33"/>
      </patternFill>
    </fill>
    <fill>
      <patternFill patternType="solid">
        <fgColor theme="5" tint="0.39997558519241921"/>
        <bgColor indexed="33"/>
      </patternFill>
    </fill>
    <fill>
      <patternFill patternType="solid">
        <fgColor theme="9"/>
        <bgColor indexed="33"/>
      </patternFill>
    </fill>
    <fill>
      <patternFill patternType="solid">
        <fgColor theme="7" tint="0.79998168889431442"/>
        <bgColor indexed="29"/>
      </patternFill>
    </fill>
    <fill>
      <patternFill patternType="solid">
        <fgColor theme="5" tint="0.79998168889431442"/>
        <bgColor indexed="29"/>
      </patternFill>
    </fill>
    <fill>
      <patternFill patternType="solid">
        <fgColor theme="5" tint="0.59999389629810485"/>
        <bgColor indexed="33"/>
      </patternFill>
    </fill>
    <fill>
      <patternFill patternType="solid">
        <fgColor theme="7"/>
        <bgColor indexed="36"/>
      </patternFill>
    </fill>
    <fill>
      <patternFill patternType="solid">
        <fgColor theme="7" tint="0.39997558519241921"/>
        <bgColor indexed="33"/>
      </patternFill>
    </fill>
    <fill>
      <patternFill patternType="solid">
        <fgColor theme="6" tint="0.59999389629810485"/>
        <bgColor indexed="24"/>
      </patternFill>
    </fill>
    <fill>
      <patternFill patternType="solid">
        <fgColor theme="7" tint="0.59999389629810485"/>
        <bgColor indexed="33"/>
      </patternFill>
    </fill>
    <fill>
      <patternFill patternType="solid">
        <fgColor theme="0"/>
        <bgColor indexed="64"/>
      </patternFill>
    </fill>
    <fill>
      <patternFill patternType="solid">
        <fgColor theme="0"/>
        <bgColor indexed="26"/>
      </patternFill>
    </fill>
    <fill>
      <patternFill patternType="solid">
        <fgColor theme="4" tint="0.39997558519241921"/>
        <bgColor indexed="64"/>
      </patternFill>
    </fill>
    <fill>
      <patternFill patternType="solid">
        <fgColor rgb="FFF2F2F2"/>
        <bgColor rgb="FF000000"/>
      </patternFill>
    </fill>
    <fill>
      <patternFill patternType="solid">
        <fgColor theme="0"/>
        <bgColor indexed="45"/>
      </patternFill>
    </fill>
    <fill>
      <patternFill patternType="solid">
        <fgColor theme="0"/>
        <bgColor indexed="22"/>
      </patternFill>
    </fill>
    <fill>
      <patternFill patternType="solid">
        <fgColor theme="1"/>
        <bgColor indexed="22"/>
      </patternFill>
    </fill>
    <fill>
      <patternFill patternType="solid">
        <fgColor rgb="FFFFFF00"/>
        <bgColor indexed="64"/>
      </patternFill>
    </fill>
    <fill>
      <patternFill patternType="solid">
        <fgColor theme="0"/>
        <bgColor indexed="9"/>
      </patternFill>
    </fill>
    <fill>
      <patternFill patternType="solid">
        <fgColor theme="5" tint="0.79998168889431442"/>
        <bgColor indexed="26"/>
      </patternFill>
    </fill>
    <fill>
      <patternFill patternType="solid">
        <fgColor theme="5" tint="0.59999389629810485"/>
        <bgColor indexed="26"/>
      </patternFill>
    </fill>
    <fill>
      <patternFill patternType="solid">
        <fgColor theme="5" tint="0.59999389629810485"/>
        <bgColor indexed="9"/>
      </patternFill>
    </fill>
    <fill>
      <patternFill patternType="solid">
        <fgColor theme="0"/>
        <bgColor indexed="29"/>
      </patternFill>
    </fill>
  </fills>
  <borders count="347">
    <border>
      <left/>
      <right/>
      <top/>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right/>
      <top style="thin">
        <color indexed="8"/>
      </top>
      <bottom/>
      <diagonal/>
    </border>
    <border>
      <left/>
      <right style="medium">
        <color indexed="8"/>
      </right>
      <top style="thin">
        <color indexed="8"/>
      </top>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bottom style="thin">
        <color indexed="8"/>
      </bottom>
      <diagonal/>
    </border>
    <border>
      <left style="medium">
        <color indexed="8"/>
      </left>
      <right/>
      <top style="medium">
        <color indexed="8"/>
      </top>
      <bottom/>
      <diagonal/>
    </border>
    <border>
      <left/>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right style="thin">
        <color indexed="8"/>
      </right>
      <top style="medium">
        <color indexed="8"/>
      </top>
      <bottom/>
      <diagonal/>
    </border>
    <border>
      <left style="thin">
        <color indexed="8"/>
      </left>
      <right/>
      <top style="medium">
        <color indexed="8"/>
      </top>
      <bottom/>
      <diagonal/>
    </border>
    <border>
      <left style="medium">
        <color indexed="8"/>
      </left>
      <right style="thin">
        <color indexed="8"/>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top/>
      <bottom style="thin">
        <color indexed="8"/>
      </bottom>
      <diagonal/>
    </border>
    <border>
      <left/>
      <right/>
      <top/>
      <bottom style="thin">
        <color indexed="8"/>
      </bottom>
      <diagonal/>
    </border>
    <border>
      <left style="medium">
        <color indexed="8"/>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right style="thin">
        <color indexed="8"/>
      </right>
      <top style="thin">
        <color indexed="8"/>
      </top>
      <bottom style="medium">
        <color indexed="8"/>
      </bottom>
      <diagonal/>
    </border>
    <border>
      <left style="medium">
        <color indexed="8"/>
      </left>
      <right/>
      <top style="thin">
        <color indexed="8"/>
      </top>
      <bottom style="medium">
        <color indexed="8"/>
      </bottom>
      <diagonal/>
    </border>
    <border>
      <left style="medium">
        <color indexed="8"/>
      </left>
      <right style="medium">
        <color indexed="8"/>
      </right>
      <top/>
      <bottom style="thin">
        <color indexed="8"/>
      </bottom>
      <diagonal/>
    </border>
    <border>
      <left style="medium">
        <color indexed="8"/>
      </left>
      <right style="medium">
        <color indexed="8"/>
      </right>
      <top style="thin">
        <color indexed="8"/>
      </top>
      <bottom/>
      <diagonal/>
    </border>
    <border>
      <left/>
      <right style="medium">
        <color indexed="8"/>
      </right>
      <top/>
      <bottom style="medium">
        <color indexed="8"/>
      </bottom>
      <diagonal/>
    </border>
    <border>
      <left style="thin">
        <color indexed="8"/>
      </left>
      <right style="thin">
        <color indexed="8"/>
      </right>
      <top/>
      <bottom/>
      <diagonal/>
    </border>
    <border>
      <left style="thin">
        <color indexed="8"/>
      </left>
      <right style="medium">
        <color indexed="8"/>
      </right>
      <top/>
      <bottom style="medium">
        <color indexed="8"/>
      </bottom>
      <diagonal/>
    </border>
    <border>
      <left/>
      <right style="thin">
        <color indexed="8"/>
      </right>
      <top style="thin">
        <color indexed="8"/>
      </top>
      <bottom style="thin">
        <color indexed="8"/>
      </bottom>
      <diagonal/>
    </border>
    <border>
      <left/>
      <right style="thin">
        <color indexed="8"/>
      </right>
      <top style="medium">
        <color indexed="8"/>
      </top>
      <bottom style="medium">
        <color indexed="8"/>
      </bottom>
      <diagonal/>
    </border>
    <border>
      <left style="medium">
        <color indexed="8"/>
      </left>
      <right style="medium">
        <color indexed="8"/>
      </right>
      <top style="thin">
        <color indexed="8"/>
      </top>
      <bottom style="thin">
        <color indexed="8"/>
      </bottom>
      <diagonal/>
    </border>
    <border>
      <left/>
      <right/>
      <top/>
      <bottom style="medium">
        <color indexed="8"/>
      </bottom>
      <diagonal/>
    </border>
    <border>
      <left/>
      <right style="medium">
        <color indexed="8"/>
      </right>
      <top/>
      <bottom style="thin">
        <color indexed="8"/>
      </bottom>
      <diagonal/>
    </border>
    <border>
      <left/>
      <right style="medium">
        <color auto="1"/>
      </right>
      <top style="thin">
        <color indexed="8"/>
      </top>
      <bottom style="thin">
        <color indexed="8"/>
      </bottom>
      <diagonal/>
    </border>
    <border>
      <left style="medium">
        <color auto="1"/>
      </left>
      <right/>
      <top style="thin">
        <color indexed="8"/>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medium">
        <color indexed="8"/>
      </right>
      <top style="medium">
        <color indexed="8"/>
      </top>
      <bottom style="thin">
        <color indexed="8"/>
      </bottom>
      <diagonal/>
    </border>
    <border>
      <left style="medium">
        <color indexed="8"/>
      </left>
      <right style="hair">
        <color indexed="8"/>
      </right>
      <top style="medium">
        <color indexed="8"/>
      </top>
      <bottom style="medium">
        <color indexed="8"/>
      </bottom>
      <diagonal/>
    </border>
    <border>
      <left style="hair">
        <color indexed="8"/>
      </left>
      <right style="hair">
        <color indexed="8"/>
      </right>
      <top style="medium">
        <color indexed="8"/>
      </top>
      <bottom style="medium">
        <color indexed="8"/>
      </bottom>
      <diagonal/>
    </border>
    <border>
      <left style="hair">
        <color indexed="8"/>
      </left>
      <right style="medium">
        <color indexed="8"/>
      </right>
      <top style="medium">
        <color indexed="8"/>
      </top>
      <bottom style="medium">
        <color indexed="8"/>
      </bottom>
      <diagonal/>
    </border>
    <border>
      <left style="medium">
        <color auto="1"/>
      </left>
      <right style="medium">
        <color auto="1"/>
      </right>
      <top/>
      <bottom style="medium">
        <color auto="1"/>
      </bottom>
      <diagonal/>
    </border>
    <border>
      <left/>
      <right style="medium">
        <color auto="1"/>
      </right>
      <top/>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hair">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indexed="8"/>
      </bottom>
      <diagonal/>
    </border>
    <border>
      <left style="medium">
        <color auto="1"/>
      </left>
      <right/>
      <top/>
      <bottom style="medium">
        <color indexed="8"/>
      </bottom>
      <diagonal/>
    </border>
    <border>
      <left style="medium">
        <color indexed="8"/>
      </left>
      <right style="thin">
        <color indexed="8"/>
      </right>
      <top style="medium">
        <color auto="1"/>
      </top>
      <bottom style="thin">
        <color indexed="8"/>
      </bottom>
      <diagonal/>
    </border>
    <border>
      <left style="thin">
        <color indexed="8"/>
      </left>
      <right style="thin">
        <color indexed="8"/>
      </right>
      <top style="medium">
        <color auto="1"/>
      </top>
      <bottom style="thin">
        <color indexed="8"/>
      </bottom>
      <diagonal/>
    </border>
    <border>
      <left style="thin">
        <color indexed="8"/>
      </left>
      <right/>
      <top style="medium">
        <color auto="1"/>
      </top>
      <bottom style="thin">
        <color indexed="8"/>
      </bottom>
      <diagonal/>
    </border>
    <border>
      <left style="thin">
        <color indexed="8"/>
      </left>
      <right style="medium">
        <color auto="1"/>
      </right>
      <top style="medium">
        <color auto="1"/>
      </top>
      <bottom style="thin">
        <color indexed="8"/>
      </bottom>
      <diagonal/>
    </border>
    <border>
      <left style="thin">
        <color indexed="8"/>
      </left>
      <right/>
      <top style="thin">
        <color indexed="8"/>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medium">
        <color auto="1"/>
      </bottom>
      <diagonal/>
    </border>
    <border>
      <left/>
      <right style="medium">
        <color auto="1"/>
      </right>
      <top/>
      <bottom style="medium">
        <color auto="1"/>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auto="1"/>
      </left>
      <right style="thin">
        <color indexed="8"/>
      </right>
      <top style="thin">
        <color indexed="8"/>
      </top>
      <bottom style="thin">
        <color indexed="8"/>
      </bottom>
      <diagonal/>
    </border>
    <border>
      <left/>
      <right/>
      <top style="thin">
        <color auto="1"/>
      </top>
      <bottom style="thin">
        <color indexed="8"/>
      </bottom>
      <diagonal/>
    </border>
    <border>
      <left/>
      <right style="medium">
        <color auto="1"/>
      </right>
      <top style="thin">
        <color auto="1"/>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right/>
      <top style="thin">
        <color indexed="8"/>
      </top>
      <bottom style="medium">
        <color indexed="8"/>
      </bottom>
      <diagonal/>
    </border>
    <border>
      <left style="medium">
        <color indexed="8"/>
      </left>
      <right/>
      <top style="medium">
        <color indexed="8"/>
      </top>
      <bottom style="medium">
        <color indexed="8"/>
      </bottom>
      <diagonal/>
    </border>
    <border>
      <left style="thin">
        <color indexed="8"/>
      </left>
      <right/>
      <top style="medium">
        <color indexed="8"/>
      </top>
      <bottom style="medium">
        <color indexed="8"/>
      </bottom>
      <diagonal/>
    </border>
    <border>
      <left style="medium">
        <color indexed="8"/>
      </left>
      <right style="thin">
        <color indexed="8"/>
      </right>
      <top style="medium">
        <color indexed="8"/>
      </top>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right style="thin">
        <color indexed="8"/>
      </right>
      <top style="medium">
        <color indexed="8"/>
      </top>
      <bottom/>
      <diagonal/>
    </border>
    <border>
      <left style="thin">
        <color indexed="8"/>
      </left>
      <right/>
      <top style="medium">
        <color indexed="8"/>
      </top>
      <bottom/>
      <diagonal/>
    </border>
    <border>
      <left style="thin">
        <color indexed="8"/>
      </left>
      <right style="medium">
        <color indexed="8"/>
      </right>
      <top style="medium">
        <color indexed="8"/>
      </top>
      <bottom/>
      <diagonal/>
    </border>
    <border>
      <left style="medium">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top style="medium">
        <color indexed="8"/>
      </top>
      <bottom style="thin">
        <color indexed="8"/>
      </bottom>
      <diagonal/>
    </border>
    <border>
      <left style="medium">
        <color indexed="8"/>
      </left>
      <right/>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medium">
        <color indexed="8"/>
      </right>
      <top style="thin">
        <color indexed="8"/>
      </top>
      <bottom/>
      <diagonal/>
    </border>
    <border>
      <left style="thick">
        <color indexed="8"/>
      </left>
      <right style="medium">
        <color indexed="8"/>
      </right>
      <top style="medium">
        <color indexed="8"/>
      </top>
      <bottom style="medium">
        <color indexed="8"/>
      </bottom>
      <diagonal/>
    </border>
    <border>
      <left style="thick">
        <color indexed="8"/>
      </left>
      <right style="medium">
        <color indexed="8"/>
      </right>
      <top style="medium">
        <color indexed="8"/>
      </top>
      <bottom style="thin">
        <color indexed="8"/>
      </bottom>
      <diagonal/>
    </border>
    <border>
      <left style="thick">
        <color indexed="8"/>
      </left>
      <right style="medium">
        <color indexed="8"/>
      </right>
      <top style="thin">
        <color indexed="8"/>
      </top>
      <bottom/>
      <diagonal/>
    </border>
    <border>
      <left style="thick">
        <color indexed="8"/>
      </left>
      <right style="medium">
        <color indexed="8"/>
      </right>
      <top/>
      <bottom style="thin">
        <color indexed="8"/>
      </bottom>
      <diagonal/>
    </border>
    <border>
      <left style="thick">
        <color indexed="8"/>
      </left>
      <right style="medium">
        <color indexed="8"/>
      </right>
      <top style="thin">
        <color indexed="8"/>
      </top>
      <bottom style="thin">
        <color indexed="8"/>
      </bottom>
      <diagonal/>
    </border>
    <border>
      <left style="thick">
        <color indexed="8"/>
      </left>
      <right style="medium">
        <color indexed="8"/>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8"/>
      </left>
      <right style="thin">
        <color indexed="8"/>
      </right>
      <top style="thin">
        <color indexed="8"/>
      </top>
      <bottom style="medium">
        <color auto="1"/>
      </bottom>
      <diagonal/>
    </border>
    <border>
      <left style="thin">
        <color indexed="8"/>
      </left>
      <right/>
      <top style="thin">
        <color indexed="8"/>
      </top>
      <bottom style="medium">
        <color indexed="8"/>
      </bottom>
      <diagonal/>
    </border>
    <border>
      <left style="medium">
        <color auto="1"/>
      </left>
      <right style="medium">
        <color auto="1"/>
      </right>
      <top style="thin">
        <color indexed="8"/>
      </top>
      <bottom/>
      <diagonal/>
    </border>
    <border>
      <left/>
      <right style="medium">
        <color indexed="8"/>
      </right>
      <top style="medium">
        <color indexed="8"/>
      </top>
      <bottom style="medium">
        <color indexed="8"/>
      </bottom>
      <diagonal/>
    </border>
    <border>
      <left style="medium">
        <color auto="1"/>
      </left>
      <right style="thin">
        <color indexed="8"/>
      </right>
      <top style="medium">
        <color indexed="8"/>
      </top>
      <bottom style="medium">
        <color indexed="8"/>
      </bottom>
      <diagonal/>
    </border>
    <border>
      <left style="thin">
        <color indexed="8"/>
      </left>
      <right style="thin">
        <color indexed="8"/>
      </right>
      <top style="medium">
        <color indexed="8"/>
      </top>
      <bottom/>
      <diagonal/>
    </border>
    <border>
      <left style="thin">
        <color indexed="8"/>
      </left>
      <right style="thin">
        <color indexed="8"/>
      </right>
      <top style="medium">
        <color indexed="8"/>
      </top>
      <bottom style="thin">
        <color indexed="8"/>
      </bottom>
      <diagonal/>
    </border>
    <border>
      <left style="thin">
        <color auto="1"/>
      </left>
      <right style="thin">
        <color auto="1"/>
      </right>
      <top style="thin">
        <color auto="1"/>
      </top>
      <bottom style="thin">
        <color auto="1"/>
      </bottom>
      <diagonal/>
    </border>
    <border>
      <left style="thin">
        <color indexed="8"/>
      </left>
      <right style="medium">
        <color auto="1"/>
      </right>
      <top/>
      <bottom style="thin">
        <color indexed="8"/>
      </bottom>
      <diagonal/>
    </border>
    <border>
      <left style="medium">
        <color auto="1"/>
      </left>
      <right style="thin">
        <color indexed="8"/>
      </right>
      <top style="thin">
        <color indexed="8"/>
      </top>
      <bottom style="thin">
        <color auto="1"/>
      </bottom>
      <diagonal/>
    </border>
    <border>
      <left style="thin">
        <color indexed="8"/>
      </left>
      <right style="medium">
        <color auto="1"/>
      </right>
      <top style="thin">
        <color indexed="8"/>
      </top>
      <bottom style="thin">
        <color indexed="8"/>
      </bottom>
      <diagonal/>
    </border>
    <border>
      <left style="medium">
        <color auto="1"/>
      </left>
      <right style="thin">
        <color indexed="8"/>
      </right>
      <top/>
      <bottom style="thin">
        <color indexed="8"/>
      </bottom>
      <diagonal/>
    </border>
    <border>
      <left style="thin">
        <color indexed="8"/>
      </left>
      <right style="medium">
        <color auto="1"/>
      </right>
      <top style="thin">
        <color indexed="8"/>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indexed="8"/>
      </top>
      <bottom/>
      <diagonal/>
    </border>
    <border>
      <left style="thin">
        <color indexed="8"/>
      </left>
      <right style="thin">
        <color indexed="8"/>
      </right>
      <top style="thin">
        <color indexed="8"/>
      </top>
      <bottom style="medium">
        <color auto="1"/>
      </bottom>
      <diagonal/>
    </border>
    <border>
      <left style="medium">
        <color auto="1"/>
      </left>
      <right style="medium">
        <color auto="1"/>
      </right>
      <top style="medium">
        <color auto="1"/>
      </top>
      <bottom/>
      <diagonal/>
    </border>
    <border>
      <left style="thin">
        <color indexed="8"/>
      </left>
      <right style="medium">
        <color auto="1"/>
      </right>
      <top style="thin">
        <color indexed="8"/>
      </top>
      <bottom style="medium">
        <color auto="1"/>
      </bottom>
      <diagonal/>
    </border>
    <border>
      <left style="medium">
        <color auto="1"/>
      </left>
      <right style="medium">
        <color indexed="8"/>
      </right>
      <top style="medium">
        <color indexed="8"/>
      </top>
      <bottom/>
      <diagonal/>
    </border>
    <border>
      <left style="medium">
        <color auto="1"/>
      </left>
      <right style="medium">
        <color indexed="8"/>
      </right>
      <top/>
      <bottom style="medium">
        <color indexed="8"/>
      </bottom>
      <diagonal/>
    </border>
    <border>
      <left style="medium">
        <color auto="1"/>
      </left>
      <right/>
      <top/>
      <bottom style="medium">
        <color auto="1"/>
      </bottom>
      <diagonal/>
    </border>
    <border>
      <left/>
      <right/>
      <top/>
      <bottom style="thin">
        <color auto="1"/>
      </bottom>
      <diagonal/>
    </border>
    <border>
      <left style="thin">
        <color indexed="8"/>
      </left>
      <right style="thick">
        <color indexed="8"/>
      </right>
      <top style="thin">
        <color indexed="8"/>
      </top>
      <bottom/>
      <diagonal/>
    </border>
    <border>
      <left style="medium">
        <color auto="1"/>
      </left>
      <right style="medium">
        <color auto="1"/>
      </right>
      <top style="medium">
        <color auto="1"/>
      </top>
      <bottom style="medium">
        <color auto="1"/>
      </bottom>
      <diagonal/>
    </border>
    <border>
      <left style="medium">
        <color auto="1"/>
      </left>
      <right style="thin">
        <color indexed="8"/>
      </right>
      <top style="medium">
        <color auto="1"/>
      </top>
      <bottom style="medium">
        <color indexed="8"/>
      </bottom>
      <diagonal/>
    </border>
    <border>
      <left style="thin">
        <color indexed="8"/>
      </left>
      <right style="thin">
        <color indexed="8"/>
      </right>
      <top style="medium">
        <color auto="1"/>
      </top>
      <bottom style="medium">
        <color indexed="8"/>
      </bottom>
      <diagonal/>
    </border>
    <border>
      <left style="medium">
        <color auto="1"/>
      </left>
      <right style="medium">
        <color auto="1"/>
      </right>
      <top style="medium">
        <color auto="1"/>
      </top>
      <bottom style="medium">
        <color indexed="8"/>
      </bottom>
      <diagonal/>
    </border>
    <border>
      <left style="thin">
        <color indexed="8"/>
      </left>
      <right style="thick">
        <color indexed="8"/>
      </right>
      <top style="medium">
        <color auto="1"/>
      </top>
      <bottom style="medium">
        <color indexed="8"/>
      </bottom>
      <diagonal/>
    </border>
    <border>
      <left style="medium">
        <color auto="1"/>
      </left>
      <right style="thin">
        <color indexed="8"/>
      </right>
      <top style="medium">
        <color auto="1"/>
      </top>
      <bottom style="medium">
        <color auto="1"/>
      </bottom>
      <diagonal/>
    </border>
    <border>
      <left style="thin">
        <color indexed="8"/>
      </left>
      <right style="thin">
        <color indexed="8"/>
      </right>
      <top style="medium">
        <color auto="1"/>
      </top>
      <bottom style="medium">
        <color auto="1"/>
      </bottom>
      <diagonal/>
    </border>
    <border>
      <left style="thin">
        <color indexed="8"/>
      </left>
      <right style="medium">
        <color auto="1"/>
      </right>
      <top style="medium">
        <color auto="1"/>
      </top>
      <bottom style="medium">
        <color auto="1"/>
      </bottom>
      <diagonal/>
    </border>
    <border>
      <left/>
      <right/>
      <top style="thin">
        <color auto="1"/>
      </top>
      <bottom/>
      <diagonal/>
    </border>
    <border>
      <left style="medium">
        <color auto="1"/>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ck">
        <color indexed="8"/>
      </left>
      <right style="medium">
        <color indexed="8"/>
      </right>
      <top style="medium">
        <color indexed="8"/>
      </top>
      <bottom/>
      <diagonal/>
    </border>
    <border>
      <left style="medium">
        <color auto="1"/>
      </left>
      <right style="medium">
        <color indexed="8"/>
      </right>
      <top/>
      <bottom/>
      <diagonal/>
    </border>
    <border>
      <left style="medium">
        <color auto="1"/>
      </left>
      <right style="medium">
        <color auto="1"/>
      </right>
      <top style="medium">
        <color indexed="8"/>
      </top>
      <bottom/>
      <diagonal/>
    </border>
    <border>
      <left style="medium">
        <color auto="1"/>
      </left>
      <right style="thin">
        <color indexed="8"/>
      </right>
      <top/>
      <bottom/>
      <diagonal/>
    </border>
    <border>
      <left style="thin">
        <color indexed="8"/>
      </left>
      <right style="medium">
        <color auto="1"/>
      </right>
      <top/>
      <bottom/>
      <diagonal/>
    </border>
    <border>
      <left/>
      <right/>
      <top style="thin">
        <color auto="1"/>
      </top>
      <bottom style="medium">
        <color indexed="8"/>
      </bottom>
      <diagonal/>
    </border>
    <border>
      <left style="medium">
        <color auto="1"/>
      </left>
      <right style="medium">
        <color auto="1"/>
      </right>
      <top style="hair">
        <color auto="1"/>
      </top>
      <bottom/>
      <diagonal/>
    </border>
    <border>
      <left style="medium">
        <color auto="1"/>
      </left>
      <right style="thin">
        <color indexed="8"/>
      </right>
      <top style="thin">
        <color auto="1"/>
      </top>
      <bottom style="thin">
        <color indexed="8"/>
      </bottom>
      <diagonal/>
    </border>
    <border>
      <left style="thin">
        <color indexed="8"/>
      </left>
      <right style="thin">
        <color indexed="8"/>
      </right>
      <top style="thin">
        <color auto="1"/>
      </top>
      <bottom style="thin">
        <color indexed="8"/>
      </bottom>
      <diagonal/>
    </border>
    <border>
      <left style="thin">
        <color indexed="8"/>
      </left>
      <right style="medium">
        <color auto="1"/>
      </right>
      <top style="thin">
        <color auto="1"/>
      </top>
      <bottom style="thin">
        <color indexed="8"/>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style="thin">
        <color auto="1"/>
      </top>
      <bottom style="medium">
        <color auto="1"/>
      </bottom>
      <diagonal/>
    </border>
    <border>
      <left/>
      <right/>
      <top style="medium">
        <color auto="1"/>
      </top>
      <bottom style="thin">
        <color auto="1"/>
      </bottom>
      <diagonal/>
    </border>
    <border>
      <left style="medium">
        <color auto="1"/>
      </left>
      <right style="thin">
        <color auto="1"/>
      </right>
      <top style="thin">
        <color indexed="8"/>
      </top>
      <bottom style="thin">
        <color indexed="8"/>
      </bottom>
      <diagonal/>
    </border>
    <border>
      <left style="thin">
        <color auto="1"/>
      </left>
      <right style="thin">
        <color auto="1"/>
      </right>
      <top style="thin">
        <color indexed="8"/>
      </top>
      <bottom style="thin">
        <color indexed="8"/>
      </bottom>
      <diagonal/>
    </border>
    <border>
      <left style="thin">
        <color auto="1"/>
      </left>
      <right style="thin">
        <color indexed="8"/>
      </right>
      <top style="thin">
        <color indexed="8"/>
      </top>
      <bottom style="thin">
        <color indexed="8"/>
      </bottom>
      <diagonal/>
    </border>
    <border>
      <left style="medium">
        <color auto="1"/>
      </left>
      <right style="medium">
        <color auto="1"/>
      </right>
      <top style="medium">
        <color auto="1"/>
      </top>
      <bottom style="medium">
        <color auto="1"/>
      </bottom>
      <diagonal/>
    </border>
    <border>
      <left/>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thin">
        <color indexed="8"/>
      </left>
      <right style="thick">
        <color indexed="8"/>
      </right>
      <top style="medium">
        <color indexed="8"/>
      </top>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top style="medium">
        <color auto="1"/>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right style="thin">
        <color auto="1"/>
      </right>
      <top style="medium">
        <color auto="1"/>
      </top>
      <bottom style="thin">
        <color auto="1"/>
      </bottom>
      <diagonal/>
    </border>
    <border>
      <left style="medium">
        <color auto="1"/>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indexed="8"/>
      </top>
      <bottom/>
      <diagonal/>
    </border>
    <border>
      <left/>
      <right style="medium">
        <color indexed="8"/>
      </right>
      <top style="medium">
        <color indexed="8"/>
      </top>
      <bottom style="medium">
        <color indexed="8"/>
      </bottom>
      <diagonal/>
    </border>
    <border>
      <left style="hair">
        <color indexed="8"/>
      </left>
      <right style="medium">
        <color auto="1"/>
      </right>
      <top style="medium">
        <color auto="1"/>
      </top>
      <bottom/>
      <diagonal/>
    </border>
    <border>
      <left style="hair">
        <color indexed="8"/>
      </left>
      <right style="medium">
        <color auto="1"/>
      </right>
      <top/>
      <bottom style="medium">
        <color auto="1"/>
      </bottom>
      <diagonal/>
    </border>
    <border>
      <left style="hair">
        <color indexed="8"/>
      </left>
      <right style="medium">
        <color indexed="8"/>
      </right>
      <top style="medium">
        <color auto="1"/>
      </top>
      <bottom/>
      <diagonal/>
    </border>
    <border>
      <left style="hair">
        <color indexed="8"/>
      </left>
      <right style="medium">
        <color indexed="8"/>
      </right>
      <top/>
      <bottom style="medium">
        <color indexed="8"/>
      </bottom>
      <diagonal/>
    </border>
    <border>
      <left/>
      <right/>
      <top style="thin">
        <color indexed="8"/>
      </top>
      <bottom style="thin">
        <color auto="1"/>
      </bottom>
      <diagonal/>
    </border>
    <border>
      <left/>
      <right style="thin">
        <color indexed="8"/>
      </right>
      <top/>
      <bottom style="thin">
        <color indexed="8"/>
      </bottom>
      <diagonal/>
    </border>
    <border>
      <left style="thin">
        <color indexed="8"/>
      </left>
      <right/>
      <top style="thin">
        <color indexed="8"/>
      </top>
      <bottom style="thin">
        <color auto="1"/>
      </bottom>
      <diagonal/>
    </border>
    <border>
      <left/>
      <right style="thin">
        <color indexed="8"/>
      </right>
      <top style="thin">
        <color indexed="8"/>
      </top>
      <bottom style="thin">
        <color auto="1"/>
      </bottom>
      <diagonal/>
    </border>
    <border>
      <left style="thin">
        <color indexed="8"/>
      </left>
      <right/>
      <top style="thin">
        <color auto="1"/>
      </top>
      <bottom style="thin">
        <color indexed="8"/>
      </bottom>
      <diagonal/>
    </border>
    <border>
      <left/>
      <right style="thin">
        <color indexed="8"/>
      </right>
      <top style="thin">
        <color auto="1"/>
      </top>
      <bottom style="thin">
        <color indexed="8"/>
      </bottom>
      <diagonal/>
    </border>
    <border>
      <left/>
      <right/>
      <top style="thin">
        <color indexed="8"/>
      </top>
      <bottom style="medium">
        <color auto="1"/>
      </bottom>
      <diagonal/>
    </border>
    <border>
      <left/>
      <right style="thin">
        <color indexed="8"/>
      </right>
      <top style="thin">
        <color indexed="8"/>
      </top>
      <bottom style="medium">
        <color auto="1"/>
      </bottom>
      <diagonal/>
    </border>
    <border>
      <left style="medium">
        <color auto="1"/>
      </left>
      <right style="thin">
        <color indexed="8"/>
      </right>
      <top style="medium">
        <color auto="1"/>
      </top>
      <bottom style="medium">
        <color auto="1"/>
      </bottom>
      <diagonal/>
    </border>
    <border>
      <left style="thin">
        <color indexed="8"/>
      </left>
      <right style="thin">
        <color indexed="8"/>
      </right>
      <top style="medium">
        <color auto="1"/>
      </top>
      <bottom style="medium">
        <color auto="1"/>
      </bottom>
      <diagonal/>
    </border>
    <border>
      <left style="thin">
        <color indexed="8"/>
      </left>
      <right style="medium">
        <color auto="1"/>
      </right>
      <top style="medium">
        <color auto="1"/>
      </top>
      <bottom style="medium">
        <color auto="1"/>
      </bottom>
      <diagonal/>
    </border>
    <border>
      <left/>
      <right/>
      <top style="medium">
        <color indexed="8"/>
      </top>
      <bottom style="medium">
        <color indexed="8"/>
      </bottom>
      <diagonal/>
    </border>
    <border>
      <left style="medium">
        <color auto="1"/>
      </left>
      <right/>
      <top style="medium">
        <color auto="1"/>
      </top>
      <bottom style="medium">
        <color auto="1"/>
      </bottom>
      <diagonal/>
    </border>
    <border>
      <left/>
      <right style="thin">
        <color indexed="8"/>
      </right>
      <top style="medium">
        <color auto="1"/>
      </top>
      <bottom style="medium">
        <color auto="1"/>
      </bottom>
      <diagonal/>
    </border>
    <border>
      <left style="medium">
        <color indexed="8"/>
      </left>
      <right style="thin">
        <color indexed="8"/>
      </right>
      <top style="medium">
        <color auto="1"/>
      </top>
      <bottom style="medium">
        <color auto="1"/>
      </bottom>
      <diagonal/>
    </border>
    <border>
      <left style="thin">
        <color indexed="8"/>
      </left>
      <right/>
      <top style="medium">
        <color auto="1"/>
      </top>
      <bottom style="medium">
        <color auto="1"/>
      </bottom>
      <diagonal/>
    </border>
    <border>
      <left style="thick">
        <color indexed="8"/>
      </left>
      <right style="medium">
        <color indexed="8"/>
      </right>
      <top style="medium">
        <color auto="1"/>
      </top>
      <bottom style="medium">
        <color auto="1"/>
      </bottom>
      <diagonal/>
    </border>
    <border>
      <left style="medium">
        <color indexed="8"/>
      </left>
      <right style="medium">
        <color auto="1"/>
      </right>
      <top style="medium">
        <color auto="1"/>
      </top>
      <bottom style="medium">
        <color auto="1"/>
      </bottom>
      <diagonal/>
    </border>
    <border>
      <left style="medium">
        <color auto="1"/>
      </left>
      <right style="thin">
        <color indexed="8"/>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indexed="8"/>
      </left>
      <right style="thick">
        <color indexed="8"/>
      </right>
      <top style="medium">
        <color auto="1"/>
      </top>
      <bottom style="medium">
        <color auto="1"/>
      </bottom>
      <diagonal/>
    </border>
    <border>
      <left style="thick">
        <color indexed="8"/>
      </left>
      <right/>
      <top style="medium">
        <color auto="1"/>
      </top>
      <bottom style="medium">
        <color auto="1"/>
      </bottom>
      <diagonal/>
    </border>
    <border>
      <left style="thin">
        <color auto="1"/>
      </left>
      <right/>
      <top style="medium">
        <color auto="1"/>
      </top>
      <bottom style="thin">
        <color auto="1"/>
      </bottom>
      <diagonal/>
    </border>
    <border>
      <left style="thick">
        <color auto="1"/>
      </left>
      <right style="thin">
        <color auto="1"/>
      </right>
      <top style="medium">
        <color auto="1"/>
      </top>
      <bottom style="thin">
        <color auto="1"/>
      </bottom>
      <diagonal/>
    </border>
    <border>
      <left style="thick">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ck">
        <color auto="1"/>
      </left>
      <right style="thin">
        <color auto="1"/>
      </right>
      <top style="medium">
        <color auto="1"/>
      </top>
      <bottom style="thin">
        <color indexed="8"/>
      </bottom>
      <diagonal/>
    </border>
    <border>
      <left/>
      <right/>
      <top style="medium">
        <color auto="1"/>
      </top>
      <bottom style="thin">
        <color indexed="8"/>
      </bottom>
      <diagonal/>
    </border>
    <border>
      <left style="thick">
        <color auto="1"/>
      </left>
      <right style="thin">
        <color auto="1"/>
      </right>
      <top style="thin">
        <color indexed="8"/>
      </top>
      <bottom style="medium">
        <color auto="1"/>
      </bottom>
      <diagonal/>
    </border>
    <border>
      <left style="thin">
        <color auto="1"/>
      </left>
      <right/>
      <top style="medium">
        <color auto="1"/>
      </top>
      <bottom/>
      <diagonal/>
    </border>
    <border>
      <left/>
      <right style="medium">
        <color auto="1"/>
      </right>
      <top style="thin">
        <color indexed="8"/>
      </top>
      <bottom/>
      <diagonal/>
    </border>
    <border>
      <left/>
      <right/>
      <top/>
      <bottom style="thin">
        <color auto="1"/>
      </bottom>
      <diagonal/>
    </border>
    <border>
      <left style="thin">
        <color auto="1"/>
      </left>
      <right/>
      <top/>
      <bottom style="medium">
        <color auto="1"/>
      </bottom>
      <diagonal/>
    </border>
    <border>
      <left style="medium">
        <color auto="1"/>
      </left>
      <right style="thin">
        <color indexed="8"/>
      </right>
      <top style="thin">
        <color indexed="8"/>
      </top>
      <bottom style="medium">
        <color auto="1"/>
      </bottom>
      <diagonal/>
    </border>
    <border>
      <left style="thin">
        <color auto="1"/>
      </left>
      <right style="thin">
        <color auto="1"/>
      </right>
      <top/>
      <bottom style="medium">
        <color auto="1"/>
      </bottom>
      <diagonal/>
    </border>
    <border>
      <left style="thick">
        <color auto="1"/>
      </left>
      <right style="thin">
        <color auto="1"/>
      </right>
      <top style="thin">
        <color indexed="8"/>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indexed="8"/>
      </bottom>
      <diagonal/>
    </border>
    <border>
      <left/>
      <right style="medium">
        <color auto="1"/>
      </right>
      <top/>
      <bottom style="medium">
        <color indexed="8"/>
      </bottom>
      <diagonal/>
    </border>
    <border>
      <left style="medium">
        <color auto="1"/>
      </left>
      <right style="thin">
        <color indexed="8"/>
      </right>
      <top style="medium">
        <color indexed="8"/>
      </top>
      <bottom/>
      <diagonal/>
    </border>
    <border>
      <left style="medium">
        <color auto="1"/>
      </left>
      <right style="thin">
        <color indexed="8"/>
      </right>
      <top style="thin">
        <color indexed="8"/>
      </top>
      <bottom style="thin">
        <color indexed="8"/>
      </bottom>
      <diagonal/>
    </border>
    <border>
      <left style="medium">
        <color auto="1"/>
      </left>
      <right style="thin">
        <color indexed="8"/>
      </right>
      <top style="thin">
        <color indexed="8"/>
      </top>
      <bottom style="double">
        <color auto="1"/>
      </bottom>
      <diagonal/>
    </border>
    <border>
      <left style="medium">
        <color auto="1"/>
      </left>
      <right/>
      <top/>
      <bottom style="medium">
        <color auto="1"/>
      </bottom>
      <diagonal/>
    </border>
    <border>
      <left style="thin">
        <color indexed="8"/>
      </left>
      <right/>
      <top style="thin">
        <color indexed="8"/>
      </top>
      <bottom style="double">
        <color auto="1"/>
      </bottom>
      <diagonal/>
    </border>
    <border>
      <left style="medium">
        <color auto="1"/>
      </left>
      <right/>
      <top/>
      <bottom/>
      <diagonal/>
    </border>
    <border>
      <left style="thin">
        <color auto="1"/>
      </left>
      <right style="medium">
        <color auto="1"/>
      </right>
      <top style="thin">
        <color auto="1"/>
      </top>
      <bottom style="thin">
        <color auto="1"/>
      </bottom>
      <diagonal/>
    </border>
    <border>
      <left/>
      <right/>
      <top/>
      <bottom style="medium">
        <color auto="1"/>
      </bottom>
      <diagonal/>
    </border>
    <border>
      <left/>
      <right style="medium">
        <color auto="1"/>
      </right>
      <top/>
      <bottom style="medium">
        <color auto="1"/>
      </bottom>
      <diagonal/>
    </border>
    <border>
      <left style="thin">
        <color auto="1"/>
      </left>
      <right style="medium">
        <color auto="1"/>
      </right>
      <top style="thin">
        <color auto="1"/>
      </top>
      <bottom style="double">
        <color auto="1"/>
      </bottom>
      <diagonal/>
    </border>
    <border>
      <left style="thin">
        <color auto="1"/>
      </left>
      <right style="thin">
        <color auto="1"/>
      </right>
      <top style="thin">
        <color auto="1"/>
      </top>
      <bottom style="double">
        <color auto="1"/>
      </bottom>
      <diagonal/>
    </border>
    <border>
      <left/>
      <right/>
      <top style="medium">
        <color auto="1"/>
      </top>
      <bottom style="thin">
        <color indexed="8"/>
      </bottom>
      <diagonal/>
    </border>
    <border>
      <left style="medium">
        <color indexed="8"/>
      </left>
      <right/>
      <top style="medium">
        <color auto="1"/>
      </top>
      <bottom/>
      <diagonal/>
    </border>
    <border>
      <left/>
      <right style="medium">
        <color indexed="8"/>
      </right>
      <top style="medium">
        <color auto="1"/>
      </top>
      <bottom/>
      <diagonal/>
    </border>
    <border>
      <left style="medium">
        <color indexed="8"/>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bottom/>
      <diagonal/>
    </border>
    <border>
      <left style="thin">
        <color indexed="8"/>
      </left>
      <right style="thin">
        <color indexed="8"/>
      </right>
      <top/>
      <bottom style="medium">
        <color indexed="8"/>
      </bottom>
      <diagonal/>
    </border>
    <border>
      <left style="medium">
        <color auto="1"/>
      </left>
      <right style="thin">
        <color indexed="8"/>
      </right>
      <top style="medium">
        <color auto="1"/>
      </top>
      <bottom/>
      <diagonal/>
    </border>
    <border>
      <left style="thin">
        <color indexed="8"/>
      </left>
      <right/>
      <top style="medium">
        <color auto="1"/>
      </top>
      <bottom style="thin">
        <color indexed="8"/>
      </bottom>
      <diagonal/>
    </border>
    <border>
      <left/>
      <right/>
      <top style="medium">
        <color auto="1"/>
      </top>
      <bottom style="thin">
        <color indexed="8"/>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indexed="8"/>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indexed="8"/>
      </left>
      <right/>
      <top style="medium">
        <color indexed="8"/>
      </top>
      <bottom style="thin">
        <color indexed="8"/>
      </bottom>
      <diagonal/>
    </border>
    <border>
      <left/>
      <right/>
      <top style="medium">
        <color indexed="8"/>
      </top>
      <bottom/>
      <diagonal/>
    </border>
    <border>
      <left/>
      <right/>
      <top/>
      <bottom style="thin">
        <color auto="1"/>
      </bottom>
      <diagonal/>
    </border>
    <border>
      <left/>
      <right style="thin">
        <color indexed="8"/>
      </right>
      <top style="thin">
        <color indexed="8"/>
      </top>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diagonal/>
    </border>
    <border>
      <left style="medium">
        <color auto="1"/>
      </left>
      <right/>
      <top/>
      <bottom style="thin">
        <color auto="1"/>
      </bottom>
      <diagonal/>
    </border>
    <border>
      <left/>
      <right style="medium">
        <color auto="1"/>
      </right>
      <top/>
      <bottom style="thin">
        <color auto="1"/>
      </bottom>
      <diagonal/>
    </border>
    <border>
      <left style="medium">
        <color indexed="8"/>
      </left>
      <right/>
      <top style="thin">
        <color indexed="8"/>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indexed="8"/>
      </bottom>
      <diagonal/>
    </border>
    <border>
      <left/>
      <right/>
      <top style="medium">
        <color auto="1"/>
      </top>
      <bottom style="medium">
        <color indexed="8"/>
      </bottom>
      <diagonal/>
    </border>
    <border>
      <left/>
      <right style="medium">
        <color auto="1"/>
      </right>
      <top style="medium">
        <color auto="1"/>
      </top>
      <bottom style="medium">
        <color indexed="8"/>
      </bottom>
      <diagonal/>
    </border>
    <border>
      <left style="medium">
        <color auto="1"/>
      </left>
      <right style="medium">
        <color indexed="8"/>
      </right>
      <top style="medium">
        <color indexed="8"/>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medium">
        <color indexed="8"/>
      </top>
      <bottom/>
      <diagonal/>
    </border>
    <border>
      <left style="medium">
        <color indexed="8"/>
      </left>
      <right style="medium">
        <color auto="1"/>
      </right>
      <top style="medium">
        <color indexed="8"/>
      </top>
      <bottom style="thin">
        <color indexed="8"/>
      </bottom>
      <diagonal/>
    </border>
    <border>
      <left style="medium">
        <color auto="1"/>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auto="1"/>
      </right>
      <top style="medium">
        <color indexed="8"/>
      </top>
      <bottom style="thin">
        <color indexed="8"/>
      </bottom>
      <diagonal/>
    </border>
    <border>
      <left/>
      <right style="medium">
        <color auto="1"/>
      </right>
      <top style="thin">
        <color indexed="8"/>
      </top>
      <bottom/>
      <diagonal/>
    </border>
    <border>
      <left style="medium">
        <color auto="1"/>
      </left>
      <right style="thin">
        <color indexed="8"/>
      </right>
      <top/>
      <bottom style="medium">
        <color indexed="8"/>
      </bottom>
      <diagonal/>
    </border>
    <border>
      <left style="thin">
        <color indexed="8"/>
      </left>
      <right style="medium">
        <color auto="1"/>
      </right>
      <top/>
      <bottom style="medium">
        <color indexed="8"/>
      </bottom>
      <diagonal/>
    </border>
    <border>
      <left style="medium">
        <color auto="1"/>
      </left>
      <right style="medium">
        <color indexed="8"/>
      </right>
      <top style="thin">
        <color indexed="8"/>
      </top>
      <bottom style="thin">
        <color indexed="8"/>
      </bottom>
      <diagonal/>
    </border>
    <border>
      <left style="medium">
        <color indexed="8"/>
      </left>
      <right style="medium">
        <color auto="1"/>
      </right>
      <top style="thin">
        <color indexed="8"/>
      </top>
      <bottom/>
      <diagonal/>
    </border>
    <border>
      <left style="medium">
        <color auto="1"/>
      </left>
      <right style="medium">
        <color indexed="8"/>
      </right>
      <top style="medium">
        <color auto="1"/>
      </top>
      <bottom style="thin">
        <color indexed="8"/>
      </bottom>
      <diagonal/>
    </border>
    <border>
      <left style="medium">
        <color indexed="8"/>
      </left>
      <right style="medium">
        <color indexed="8"/>
      </right>
      <top style="medium">
        <color auto="1"/>
      </top>
      <bottom style="thin">
        <color indexed="8"/>
      </bottom>
      <diagonal/>
    </border>
    <border>
      <left style="medium">
        <color indexed="8"/>
      </left>
      <right style="medium">
        <color auto="1"/>
      </right>
      <top style="medium">
        <color auto="1"/>
      </top>
      <bottom style="thin">
        <color indexed="8"/>
      </bottom>
      <diagonal/>
    </border>
    <border>
      <left style="medium">
        <color auto="1"/>
      </left>
      <right style="thin">
        <color indexed="8"/>
      </right>
      <top/>
      <bottom style="thin">
        <color indexed="8"/>
      </bottom>
      <diagonal/>
    </border>
    <border>
      <left style="thin">
        <color indexed="8"/>
      </left>
      <right style="medium">
        <color auto="1"/>
      </right>
      <top style="thin">
        <color indexed="8"/>
      </top>
      <bottom style="thin">
        <color indexed="8"/>
      </bottom>
      <diagonal/>
    </border>
    <border>
      <left style="thin">
        <color indexed="8"/>
      </left>
      <right style="medium">
        <color auto="1"/>
      </right>
      <top style="thin">
        <color indexed="8"/>
      </top>
      <bottom/>
      <diagonal/>
    </border>
    <border>
      <left style="medium">
        <color auto="1"/>
      </left>
      <right style="thin">
        <color indexed="8"/>
      </right>
      <top style="thin">
        <color indexed="8"/>
      </top>
      <bottom/>
      <diagonal/>
    </border>
    <border>
      <left/>
      <right style="medium">
        <color auto="1"/>
      </right>
      <top/>
      <bottom style="thin">
        <color indexed="8"/>
      </bottom>
      <diagonal/>
    </border>
    <border>
      <left/>
      <right style="medium">
        <color auto="1"/>
      </right>
      <top style="thin">
        <color indexed="8"/>
      </top>
      <bottom style="thin">
        <color indexed="8"/>
      </bottom>
      <diagonal/>
    </border>
    <border>
      <left/>
      <right style="medium">
        <color auto="1"/>
      </right>
      <top style="thin">
        <color indexed="8"/>
      </top>
      <bottom style="medium">
        <color indexed="8"/>
      </bottom>
      <diagonal/>
    </border>
    <border>
      <left/>
      <right style="medium">
        <color auto="1"/>
      </right>
      <top style="medium">
        <color indexed="8"/>
      </top>
      <bottom style="thin">
        <color indexed="8"/>
      </bottom>
      <diagonal/>
    </border>
    <border>
      <left style="medium">
        <color indexed="8"/>
      </left>
      <right style="medium">
        <color indexed="8"/>
      </right>
      <top/>
      <bottom/>
      <diagonal/>
    </border>
    <border>
      <left style="medium">
        <color indexed="8"/>
      </left>
      <right style="medium">
        <color auto="1"/>
      </right>
      <top/>
      <bottom/>
      <diagonal/>
    </border>
    <border>
      <left style="medium">
        <color auto="1"/>
      </left>
      <right style="thin">
        <color indexed="8"/>
      </right>
      <top style="thin">
        <color indexed="8"/>
      </top>
      <bottom style="medium">
        <color indexed="8"/>
      </bottom>
      <diagonal/>
    </border>
    <border>
      <left style="thin">
        <color indexed="8"/>
      </left>
      <right style="medium">
        <color auto="1"/>
      </right>
      <top style="thin">
        <color indexed="8"/>
      </top>
      <bottom style="medium">
        <color indexed="8"/>
      </bottom>
      <diagonal/>
    </border>
    <border>
      <left style="medium">
        <color auto="1"/>
      </left>
      <right style="medium">
        <color indexed="8"/>
      </right>
      <top/>
      <bottom style="thin">
        <color indexed="8"/>
      </bottom>
      <diagonal/>
    </border>
    <border>
      <left style="medium">
        <color auto="1"/>
      </left>
      <right/>
      <top style="medium">
        <color indexed="8"/>
      </top>
      <bottom/>
      <diagonal/>
    </border>
    <border>
      <left/>
      <right style="medium">
        <color auto="1"/>
      </right>
      <top style="medium">
        <color indexed="8"/>
      </top>
      <bottom/>
      <diagonal/>
    </border>
    <border>
      <left style="thin">
        <color indexed="8"/>
      </left>
      <right style="medium">
        <color auto="1"/>
      </right>
      <top style="thin">
        <color auto="1"/>
      </top>
      <bottom style="thin">
        <color indexed="8"/>
      </bottom>
      <diagonal/>
    </border>
    <border>
      <left style="thin">
        <color indexed="8"/>
      </left>
      <right style="thin">
        <color indexed="8"/>
      </right>
      <top style="thin">
        <color auto="1"/>
      </top>
      <bottom style="thin">
        <color indexed="8"/>
      </bottom>
      <diagonal/>
    </border>
    <border>
      <left style="thin">
        <color indexed="8"/>
      </left>
      <right style="medium">
        <color indexed="8"/>
      </right>
      <top style="thin">
        <color auto="1"/>
      </top>
      <bottom style="thin">
        <color indexed="8"/>
      </bottom>
      <diagonal/>
    </border>
    <border>
      <left style="medium">
        <color auto="1"/>
      </left>
      <right/>
      <top style="medium">
        <color auto="1"/>
      </top>
      <bottom style="thin">
        <color indexed="8"/>
      </bottom>
      <diagonal/>
    </border>
    <border>
      <left/>
      <right style="medium">
        <color auto="1"/>
      </right>
      <top style="medium">
        <color auto="1"/>
      </top>
      <bottom style="thin">
        <color indexed="8"/>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indexed="8"/>
      </left>
      <right/>
      <top style="medium">
        <color auto="1"/>
      </top>
      <bottom style="medium">
        <color auto="1"/>
      </bottom>
      <diagonal/>
    </border>
    <border>
      <left/>
      <right/>
      <top style="medium">
        <color indexed="8"/>
      </top>
      <bottom/>
      <diagonal/>
    </border>
    <border>
      <left/>
      <right/>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s>
  <cellStyleXfs count="690">
    <xf numFmtId="0" fontId="0" fillId="0" borderId="0"/>
    <xf numFmtId="0" fontId="7" fillId="0" borderId="0"/>
    <xf numFmtId="0" fontId="5" fillId="0" borderId="0"/>
    <xf numFmtId="0" fontId="7" fillId="0" borderId="0"/>
    <xf numFmtId="0" fontId="7" fillId="0" borderId="0"/>
    <xf numFmtId="0" fontId="9" fillId="0" borderId="0"/>
    <xf numFmtId="0" fontId="3" fillId="0" borderId="0"/>
    <xf numFmtId="0" fontId="4" fillId="0" borderId="0"/>
    <xf numFmtId="0" fontId="4" fillId="0" borderId="0"/>
    <xf numFmtId="0" fontId="4" fillId="0" borderId="0"/>
    <xf numFmtId="0" fontId="4" fillId="0" borderId="0"/>
    <xf numFmtId="0" fontId="3" fillId="0" borderId="0"/>
    <xf numFmtId="0" fontId="2"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55" fillId="0" borderId="0">
      <alignment horizontal="left" vertical="center" indent="1"/>
    </xf>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4" fillId="0" borderId="0"/>
    <xf numFmtId="0" fontId="4" fillId="0" borderId="0"/>
  </cellStyleXfs>
  <cellXfs count="1236">
    <xf numFmtId="0" fontId="0" fillId="0" borderId="0" xfId="0"/>
    <xf numFmtId="0" fontId="16" fillId="19" borderId="0" xfId="1" applyFont="1" applyFill="1" applyBorder="1" applyAlignment="1">
      <alignment horizontal="center" vertical="center" shrinkToFit="1"/>
    </xf>
    <xf numFmtId="0" fontId="17" fillId="0" borderId="0" xfId="1" applyFont="1" applyAlignment="1">
      <alignment shrinkToFit="1"/>
    </xf>
    <xf numFmtId="0" fontId="17" fillId="0" borderId="0" xfId="1" applyFont="1"/>
    <xf numFmtId="0" fontId="19" fillId="19" borderId="78" xfId="1" applyFont="1" applyFill="1" applyBorder="1" applyAlignment="1">
      <alignment horizontal="center" vertical="center" shrinkToFit="1"/>
    </xf>
    <xf numFmtId="0" fontId="20" fillId="5" borderId="31" xfId="1" applyFont="1" applyFill="1" applyBorder="1" applyAlignment="1">
      <alignment horizontal="center" vertical="center" wrapText="1"/>
    </xf>
    <xf numFmtId="0" fontId="17" fillId="0" borderId="0" xfId="1" applyFont="1" applyAlignment="1">
      <alignment vertical="center"/>
    </xf>
    <xf numFmtId="0" fontId="17" fillId="0" borderId="0" xfId="1" applyFont="1" applyBorder="1"/>
    <xf numFmtId="0" fontId="13" fillId="13" borderId="97" xfId="1" applyFont="1" applyFill="1" applyBorder="1" applyAlignment="1">
      <alignment horizontal="center" vertical="center" wrapText="1"/>
    </xf>
    <xf numFmtId="0" fontId="13" fillId="13" borderId="149" xfId="1" applyFont="1" applyFill="1" applyBorder="1" applyAlignment="1">
      <alignment horizontal="center" wrapText="1"/>
    </xf>
    <xf numFmtId="0" fontId="20" fillId="5" borderId="56" xfId="1" applyFont="1" applyFill="1" applyBorder="1" applyAlignment="1">
      <alignment horizontal="center" vertical="center" wrapText="1"/>
    </xf>
    <xf numFmtId="14" fontId="15" fillId="11" borderId="49" xfId="1" applyNumberFormat="1" applyFont="1" applyFill="1" applyBorder="1" applyAlignment="1">
      <alignment horizontal="center" vertical="center" shrinkToFit="1"/>
    </xf>
    <xf numFmtId="0" fontId="17" fillId="0" borderId="0" xfId="0" applyFont="1"/>
    <xf numFmtId="0" fontId="17" fillId="6" borderId="61" xfId="8" applyFont="1" applyFill="1" applyBorder="1" applyAlignment="1">
      <alignment horizontal="center" vertical="center"/>
    </xf>
    <xf numFmtId="0" fontId="17" fillId="0" borderId="0" xfId="0" applyFont="1" applyBorder="1" applyAlignment="1">
      <alignment vertical="center"/>
    </xf>
    <xf numFmtId="0" fontId="18" fillId="0" borderId="60" xfId="8" applyFont="1" applyFill="1" applyBorder="1" applyAlignment="1">
      <alignment horizontal="center" vertical="center"/>
    </xf>
    <xf numFmtId="0" fontId="23" fillId="0" borderId="142" xfId="8" applyFont="1" applyFill="1" applyBorder="1" applyAlignment="1">
      <alignment horizontal="center" vertical="center"/>
    </xf>
    <xf numFmtId="0" fontId="23" fillId="0" borderId="126" xfId="8" applyFont="1" applyFill="1" applyBorder="1" applyAlignment="1">
      <alignment horizontal="center" vertical="center"/>
    </xf>
    <xf numFmtId="0" fontId="17" fillId="0" borderId="0" xfId="0" applyFont="1" applyAlignment="1">
      <alignment vertical="center"/>
    </xf>
    <xf numFmtId="0" fontId="17" fillId="0" borderId="0" xfId="0" applyFont="1" applyBorder="1" applyAlignment="1"/>
    <xf numFmtId="0" fontId="17" fillId="0" borderId="0" xfId="0" applyFont="1" applyBorder="1"/>
    <xf numFmtId="0" fontId="17" fillId="0" borderId="0" xfId="0" applyFont="1" applyAlignment="1">
      <alignment horizontal="center" vertical="center"/>
    </xf>
    <xf numFmtId="0" fontId="17" fillId="0" borderId="0" xfId="0" applyFont="1" applyAlignment="1">
      <alignment horizontal="center"/>
    </xf>
    <xf numFmtId="0" fontId="17" fillId="0" borderId="0" xfId="1" applyFont="1" applyAlignment="1">
      <alignment horizontal="center"/>
    </xf>
    <xf numFmtId="0" fontId="17" fillId="4" borderId="110" xfId="1" applyFont="1" applyFill="1" applyBorder="1" applyAlignment="1">
      <alignment horizontal="center" vertical="center"/>
    </xf>
    <xf numFmtId="0" fontId="23" fillId="0" borderId="32" xfId="1" applyFont="1" applyBorder="1" applyAlignment="1">
      <alignment horizontal="center" vertical="center"/>
    </xf>
    <xf numFmtId="0" fontId="23" fillId="0" borderId="6" xfId="1" applyFont="1" applyBorder="1" applyAlignment="1">
      <alignment horizontal="center" vertical="center"/>
    </xf>
    <xf numFmtId="0" fontId="17" fillId="0" borderId="0" xfId="1" applyFont="1" applyAlignment="1">
      <alignment horizontal="center" vertical="center"/>
    </xf>
    <xf numFmtId="0" fontId="23" fillId="0" borderId="170" xfId="1" applyFont="1" applyBorder="1" applyAlignment="1">
      <alignment horizontal="center" vertical="center"/>
    </xf>
    <xf numFmtId="0" fontId="17" fillId="0" borderId="171" xfId="1" applyNumberFormat="1" applyFont="1" applyBorder="1" applyAlignment="1">
      <alignment horizontal="center" vertical="center"/>
    </xf>
    <xf numFmtId="0" fontId="17" fillId="0" borderId="171" xfId="1" applyFont="1" applyBorder="1" applyAlignment="1">
      <alignment horizontal="center" vertical="center"/>
    </xf>
    <xf numFmtId="2" fontId="17" fillId="28" borderId="171" xfId="1" applyNumberFormat="1" applyFont="1" applyFill="1" applyBorder="1" applyAlignment="1">
      <alignment horizontal="center" vertical="center"/>
    </xf>
    <xf numFmtId="2" fontId="17" fillId="28" borderId="172" xfId="1" applyNumberFormat="1" applyFont="1" applyFill="1" applyBorder="1" applyAlignment="1">
      <alignment horizontal="center" vertical="center"/>
    </xf>
    <xf numFmtId="0" fontId="23" fillId="21" borderId="133" xfId="1" applyFont="1" applyFill="1" applyBorder="1" applyAlignment="1">
      <alignment horizontal="center" vertical="center"/>
    </xf>
    <xf numFmtId="0" fontId="17" fillId="21" borderId="81" xfId="1" applyNumberFormat="1" applyFont="1" applyFill="1" applyBorder="1" applyAlignment="1">
      <alignment horizontal="center" vertical="center"/>
    </xf>
    <xf numFmtId="0" fontId="17" fillId="21" borderId="81" xfId="1" applyFont="1" applyFill="1" applyBorder="1" applyAlignment="1">
      <alignment horizontal="center" vertical="center"/>
    </xf>
    <xf numFmtId="2" fontId="17" fillId="27" borderId="81" xfId="1" applyNumberFormat="1" applyFont="1" applyFill="1" applyBorder="1" applyAlignment="1">
      <alignment horizontal="center" vertical="center"/>
    </xf>
    <xf numFmtId="2" fontId="17" fillId="27" borderId="134" xfId="1" applyNumberFormat="1" applyFont="1" applyFill="1" applyBorder="1" applyAlignment="1">
      <alignment horizontal="center" vertical="center"/>
    </xf>
    <xf numFmtId="0" fontId="17" fillId="0" borderId="159" xfId="1" applyFont="1" applyBorder="1" applyAlignment="1"/>
    <xf numFmtId="0" fontId="17" fillId="0" borderId="160" xfId="1" applyFont="1" applyBorder="1" applyAlignment="1"/>
    <xf numFmtId="0" fontId="17" fillId="0" borderId="161" xfId="1" applyFont="1" applyBorder="1" applyAlignment="1"/>
    <xf numFmtId="0" fontId="17" fillId="0" borderId="162" xfId="1" applyFont="1" applyBorder="1" applyAlignment="1"/>
    <xf numFmtId="0" fontId="17" fillId="0" borderId="0" xfId="1" applyFont="1" applyBorder="1" applyAlignment="1"/>
    <xf numFmtId="0" fontId="17" fillId="0" borderId="61" xfId="1" applyFont="1" applyBorder="1" applyAlignment="1"/>
    <xf numFmtId="0" fontId="17" fillId="0" borderId="146" xfId="1" applyFont="1" applyBorder="1" applyAlignment="1"/>
    <xf numFmtId="0" fontId="17" fillId="0" borderId="78" xfId="1" applyFont="1" applyBorder="1"/>
    <xf numFmtId="0" fontId="17" fillId="0" borderId="78" xfId="1" applyFont="1" applyBorder="1" applyAlignment="1"/>
    <xf numFmtId="0" fontId="17" fillId="0" borderId="79" xfId="1" applyFont="1" applyBorder="1"/>
    <xf numFmtId="0" fontId="20" fillId="4" borderId="137" xfId="1" applyFont="1" applyFill="1" applyBorder="1" applyAlignment="1">
      <alignment horizontal="center" vertical="center"/>
    </xf>
    <xf numFmtId="0" fontId="20" fillId="4" borderId="138" xfId="1" applyFont="1" applyFill="1" applyBorder="1" applyAlignment="1">
      <alignment horizontal="center" vertical="center"/>
    </xf>
    <xf numFmtId="0" fontId="20" fillId="4" borderId="139" xfId="1" applyFont="1" applyFill="1" applyBorder="1" applyAlignment="1">
      <alignment horizontal="center" vertical="center"/>
    </xf>
    <xf numFmtId="0" fontId="23" fillId="0" borderId="135" xfId="1" applyFont="1" applyBorder="1" applyAlignment="1">
      <alignment horizontal="center" vertical="center"/>
    </xf>
    <xf numFmtId="0" fontId="17" fillId="0" borderId="22" xfId="1" applyNumberFormat="1" applyFont="1" applyBorder="1" applyAlignment="1">
      <alignment horizontal="center" vertical="center"/>
    </xf>
    <xf numFmtId="0" fontId="17" fillId="0" borderId="22" xfId="1" applyFont="1" applyBorder="1" applyAlignment="1">
      <alignment horizontal="center" vertical="center"/>
    </xf>
    <xf numFmtId="2" fontId="17" fillId="28" borderId="22" xfId="1" applyNumberFormat="1" applyFont="1" applyFill="1" applyBorder="1" applyAlignment="1">
      <alignment horizontal="center" vertical="center"/>
    </xf>
    <xf numFmtId="2" fontId="17" fillId="28" borderId="132" xfId="1" applyNumberFormat="1" applyFont="1" applyFill="1" applyBorder="1" applyAlignment="1">
      <alignment horizontal="center" vertical="center"/>
    </xf>
    <xf numFmtId="0" fontId="20" fillId="4" borderId="166" xfId="1" applyFont="1" applyFill="1" applyBorder="1" applyAlignment="1">
      <alignment horizontal="center" vertical="center"/>
    </xf>
    <xf numFmtId="0" fontId="20" fillId="4" borderId="44" xfId="1" applyFont="1" applyFill="1" applyBorder="1" applyAlignment="1">
      <alignment horizontal="center" vertical="center"/>
    </xf>
    <xf numFmtId="0" fontId="20" fillId="4" borderId="167" xfId="1" applyFont="1" applyFill="1" applyBorder="1" applyAlignment="1">
      <alignment horizontal="center" vertical="center"/>
    </xf>
    <xf numFmtId="0" fontId="17" fillId="0" borderId="0" xfId="1" applyFont="1" applyBorder="1" applyAlignment="1">
      <alignment horizontal="center" vertical="center"/>
    </xf>
    <xf numFmtId="0" fontId="17" fillId="0" borderId="0" xfId="1" applyFont="1" applyBorder="1" applyAlignment="1">
      <alignment horizontal="right" vertical="center" shrinkToFit="1"/>
    </xf>
    <xf numFmtId="0" fontId="20" fillId="4" borderId="154" xfId="1" applyFont="1" applyFill="1" applyBorder="1" applyAlignment="1">
      <alignment horizontal="center" vertical="center"/>
    </xf>
    <xf numFmtId="0" fontId="20" fillId="4" borderId="155" xfId="1" applyFont="1" applyFill="1" applyBorder="1" applyAlignment="1">
      <alignment horizontal="center" vertical="center"/>
    </xf>
    <xf numFmtId="0" fontId="17" fillId="0" borderId="0" xfId="1" applyFont="1" applyFill="1" applyBorder="1" applyAlignment="1">
      <alignment horizontal="center" vertical="center"/>
    </xf>
    <xf numFmtId="0" fontId="17" fillId="18" borderId="131" xfId="1" applyFont="1" applyFill="1" applyBorder="1" applyAlignment="1">
      <alignment horizontal="center" vertical="center"/>
    </xf>
    <xf numFmtId="0" fontId="17" fillId="21" borderId="135" xfId="1" applyFont="1" applyFill="1" applyBorder="1" applyAlignment="1">
      <alignment horizontal="center" vertical="center"/>
    </xf>
    <xf numFmtId="0" fontId="17" fillId="21" borderId="22" xfId="1" applyFont="1" applyFill="1" applyBorder="1" applyAlignment="1">
      <alignment horizontal="center" vertical="center"/>
    </xf>
    <xf numFmtId="0" fontId="17" fillId="0" borderId="22" xfId="1" applyFont="1" applyBorder="1" applyAlignment="1">
      <alignment vertical="center"/>
    </xf>
    <xf numFmtId="0" fontId="17" fillId="0" borderId="132" xfId="1" applyFont="1" applyBorder="1" applyAlignment="1">
      <alignment horizontal="center" vertical="center"/>
    </xf>
    <xf numFmtId="0" fontId="17" fillId="0" borderId="0" xfId="1" applyFont="1" applyFill="1" applyBorder="1"/>
    <xf numFmtId="0" fontId="17" fillId="0" borderId="131" xfId="1" applyFont="1" applyFill="1" applyBorder="1" applyAlignment="1">
      <alignment horizontal="center" vertical="center"/>
    </xf>
    <xf numFmtId="0" fontId="23" fillId="23" borderId="77" xfId="1" applyFont="1" applyFill="1" applyBorder="1" applyAlignment="1">
      <alignment horizontal="center"/>
    </xf>
    <xf numFmtId="0" fontId="17" fillId="29" borderId="85" xfId="1" applyFont="1" applyFill="1" applyBorder="1" applyAlignment="1">
      <alignment horizontal="center" vertical="center"/>
    </xf>
    <xf numFmtId="0" fontId="17" fillId="29" borderId="81" xfId="1" applyFont="1" applyFill="1" applyBorder="1" applyAlignment="1">
      <alignment horizontal="center" vertical="center"/>
    </xf>
    <xf numFmtId="0" fontId="17" fillId="21" borderId="81" xfId="1" applyFont="1" applyFill="1" applyBorder="1" applyAlignment="1">
      <alignment vertical="center"/>
    </xf>
    <xf numFmtId="0" fontId="17" fillId="21" borderId="134" xfId="1" applyFont="1" applyFill="1" applyBorder="1" applyAlignment="1">
      <alignment horizontal="center" vertical="center"/>
    </xf>
    <xf numFmtId="0" fontId="23" fillId="0" borderId="76" xfId="1" applyFont="1" applyBorder="1" applyAlignment="1">
      <alignment horizontal="center"/>
    </xf>
    <xf numFmtId="0" fontId="17" fillId="0" borderId="0" xfId="1" applyFont="1" applyFill="1"/>
    <xf numFmtId="0" fontId="23" fillId="0" borderId="0" xfId="1" applyFont="1" applyAlignment="1">
      <alignment horizontal="center"/>
    </xf>
    <xf numFmtId="0" fontId="17" fillId="0" borderId="0" xfId="1" applyFont="1" applyAlignment="1"/>
    <xf numFmtId="0" fontId="17" fillId="2" borderId="0" xfId="1" applyFont="1" applyFill="1"/>
    <xf numFmtId="0" fontId="17" fillId="3" borderId="3" xfId="1" applyFont="1" applyFill="1" applyBorder="1" applyAlignment="1">
      <alignment horizontal="right" wrapText="1"/>
    </xf>
    <xf numFmtId="0" fontId="23" fillId="3" borderId="0" xfId="1" applyFont="1" applyFill="1" applyBorder="1" applyAlignment="1">
      <alignment horizontal="center" wrapText="1"/>
    </xf>
    <xf numFmtId="0" fontId="17" fillId="3" borderId="0" xfId="1" applyFont="1" applyFill="1" applyBorder="1"/>
    <xf numFmtId="0" fontId="17" fillId="3" borderId="0" xfId="1" applyFont="1" applyFill="1" applyBorder="1" applyAlignment="1">
      <alignment horizontal="center"/>
    </xf>
    <xf numFmtId="0" fontId="35" fillId="3" borderId="0" xfId="2" applyNumberFormat="1" applyFont="1" applyFill="1" applyBorder="1" applyAlignment="1" applyProtection="1"/>
    <xf numFmtId="0" fontId="17" fillId="3" borderId="0" xfId="1" applyFont="1" applyFill="1" applyBorder="1" applyAlignment="1">
      <alignment horizontal="left"/>
    </xf>
    <xf numFmtId="0" fontId="17" fillId="3" borderId="0" xfId="1" applyFont="1" applyFill="1" applyBorder="1" applyAlignment="1"/>
    <xf numFmtId="0" fontId="17" fillId="3" borderId="0" xfId="3" applyFont="1" applyFill="1" applyAlignment="1">
      <alignment vertical="center" wrapText="1"/>
    </xf>
    <xf numFmtId="0" fontId="17" fillId="0" borderId="0" xfId="3" applyFont="1" applyAlignment="1">
      <alignment vertical="center" wrapText="1"/>
    </xf>
    <xf numFmtId="0" fontId="17" fillId="3" borderId="0" xfId="3" applyFont="1" applyFill="1"/>
    <xf numFmtId="0" fontId="17" fillId="0" borderId="0" xfId="3" applyFont="1"/>
    <xf numFmtId="0" fontId="18" fillId="3" borderId="0" xfId="3" applyFont="1" applyFill="1" applyAlignment="1">
      <alignment vertical="top"/>
    </xf>
    <xf numFmtId="0" fontId="18" fillId="0" borderId="0" xfId="3" applyFont="1" applyAlignment="1">
      <alignment vertical="top"/>
    </xf>
    <xf numFmtId="0" fontId="17" fillId="3" borderId="0" xfId="3" applyFont="1" applyFill="1" applyBorder="1"/>
    <xf numFmtId="0" fontId="17" fillId="0" borderId="0" xfId="3" applyFont="1" applyBorder="1"/>
    <xf numFmtId="0" fontId="17" fillId="3" borderId="54" xfId="9" applyFont="1" applyFill="1" applyBorder="1" applyAlignment="1">
      <alignment horizontal="left"/>
    </xf>
    <xf numFmtId="0" fontId="17" fillId="3" borderId="55" xfId="9" applyFont="1" applyFill="1" applyBorder="1" applyAlignment="1">
      <alignment horizontal="left"/>
    </xf>
    <xf numFmtId="0" fontId="24" fillId="3" borderId="0" xfId="3" applyFont="1" applyFill="1"/>
    <xf numFmtId="0" fontId="17" fillId="3" borderId="83" xfId="9" applyFont="1" applyFill="1" applyBorder="1" applyAlignment="1">
      <alignment horizontal="left"/>
    </xf>
    <xf numFmtId="0" fontId="17" fillId="3" borderId="84" xfId="9" applyFont="1" applyFill="1" applyBorder="1" applyAlignment="1">
      <alignment horizontal="left"/>
    </xf>
    <xf numFmtId="0" fontId="17" fillId="3" borderId="86" xfId="9" applyFont="1" applyFill="1" applyBorder="1" applyAlignment="1">
      <alignment horizontal="left"/>
    </xf>
    <xf numFmtId="0" fontId="17" fillId="3" borderId="87" xfId="9" applyFont="1" applyFill="1" applyBorder="1" applyAlignment="1">
      <alignment horizontal="left"/>
    </xf>
    <xf numFmtId="0" fontId="17" fillId="3" borderId="35" xfId="3" applyFont="1" applyFill="1" applyBorder="1" applyAlignment="1"/>
    <xf numFmtId="0" fontId="17" fillId="3" borderId="50" xfId="3" applyFont="1" applyFill="1" applyBorder="1" applyAlignment="1"/>
    <xf numFmtId="0" fontId="17" fillId="3" borderId="10" xfId="3" applyFont="1" applyFill="1" applyBorder="1" applyAlignment="1"/>
    <xf numFmtId="0" fontId="17" fillId="3" borderId="11" xfId="3" applyFont="1" applyFill="1" applyBorder="1" applyAlignment="1"/>
    <xf numFmtId="0" fontId="17" fillId="3" borderId="13" xfId="3" applyFont="1" applyFill="1" applyBorder="1" applyAlignment="1"/>
    <xf numFmtId="0" fontId="24" fillId="0" borderId="0" xfId="3" applyFont="1"/>
    <xf numFmtId="0" fontId="17" fillId="0" borderId="0" xfId="8" applyFont="1"/>
    <xf numFmtId="0" fontId="21" fillId="4" borderId="24" xfId="1" applyFont="1" applyFill="1" applyBorder="1" applyAlignment="1">
      <alignment horizontal="center"/>
    </xf>
    <xf numFmtId="0" fontId="20" fillId="4" borderId="37" xfId="1" applyFont="1" applyFill="1" applyBorder="1" applyAlignment="1">
      <alignment horizontal="center"/>
    </xf>
    <xf numFmtId="0" fontId="20" fillId="4" borderId="24" xfId="1" applyFont="1" applyFill="1" applyBorder="1" applyAlignment="1">
      <alignment horizontal="center"/>
    </xf>
    <xf numFmtId="0" fontId="21" fillId="4" borderId="15" xfId="1" applyFont="1" applyFill="1" applyBorder="1" applyAlignment="1">
      <alignment horizontal="center" vertical="center" textRotation="90" shrinkToFit="1"/>
    </xf>
    <xf numFmtId="0" fontId="21" fillId="4" borderId="29" xfId="1" applyFont="1" applyFill="1" applyBorder="1" applyAlignment="1">
      <alignment horizontal="center" vertical="center" textRotation="90" wrapText="1"/>
    </xf>
    <xf numFmtId="0" fontId="21" fillId="4" borderId="14" xfId="1" applyFont="1" applyFill="1" applyBorder="1" applyAlignment="1">
      <alignment horizontal="center" vertical="center" textRotation="90" shrinkToFit="1"/>
    </xf>
    <xf numFmtId="0" fontId="21" fillId="4" borderId="27" xfId="1" applyFont="1" applyFill="1" applyBorder="1" applyAlignment="1">
      <alignment horizontal="center" vertical="center" textRotation="90" shrinkToFit="1"/>
    </xf>
    <xf numFmtId="0" fontId="21" fillId="4" borderId="45" xfId="1" applyFont="1" applyFill="1" applyBorder="1" applyAlignment="1">
      <alignment horizontal="center" vertical="center" textRotation="90" shrinkToFit="1"/>
    </xf>
    <xf numFmtId="165" fontId="21" fillId="4" borderId="14" xfId="1" applyNumberFormat="1" applyFont="1" applyFill="1" applyBorder="1" applyAlignment="1">
      <alignment horizontal="center" vertical="center" textRotation="90" wrapText="1" shrinkToFit="1"/>
    </xf>
    <xf numFmtId="2" fontId="21" fillId="4" borderId="15" xfId="1" applyNumberFormat="1" applyFont="1" applyFill="1" applyBorder="1" applyAlignment="1">
      <alignment horizontal="center" vertical="center" textRotation="90" wrapText="1" shrinkToFit="1"/>
    </xf>
    <xf numFmtId="0" fontId="22" fillId="0" borderId="18" xfId="1" applyFont="1" applyBorder="1" applyAlignment="1">
      <alignment shrinkToFit="1"/>
    </xf>
    <xf numFmtId="0" fontId="22" fillId="3" borderId="18" xfId="1" applyFont="1" applyFill="1" applyBorder="1" applyAlignment="1"/>
    <xf numFmtId="0" fontId="22" fillId="0" borderId="5" xfId="1" applyFont="1" applyBorder="1" applyAlignment="1">
      <alignment shrinkToFit="1"/>
    </xf>
    <xf numFmtId="0" fontId="22" fillId="3" borderId="5" xfId="1" applyFont="1" applyFill="1" applyBorder="1" applyAlignment="1"/>
    <xf numFmtId="0" fontId="22" fillId="3" borderId="82" xfId="1" applyFont="1" applyFill="1" applyBorder="1" applyAlignment="1"/>
    <xf numFmtId="49" fontId="17" fillId="0" borderId="0" xfId="1" applyNumberFormat="1" applyFont="1" applyAlignment="1">
      <alignment horizontal="center"/>
    </xf>
    <xf numFmtId="1" fontId="17" fillId="0" borderId="0" xfId="1" applyNumberFormat="1" applyFont="1"/>
    <xf numFmtId="165" fontId="17" fillId="0" borderId="0" xfId="1" applyNumberFormat="1" applyFont="1"/>
    <xf numFmtId="2" fontId="17" fillId="0" borderId="0" xfId="1" applyNumberFormat="1" applyFont="1"/>
    <xf numFmtId="49" fontId="17" fillId="0" borderId="0" xfId="1" applyNumberFormat="1" applyFont="1"/>
    <xf numFmtId="9" fontId="17" fillId="0" borderId="0" xfId="1" applyNumberFormat="1" applyFont="1"/>
    <xf numFmtId="0" fontId="14" fillId="0" borderId="23" xfId="1" applyFont="1" applyBorder="1"/>
    <xf numFmtId="0" fontId="14" fillId="0" borderId="30" xfId="1" applyFont="1" applyBorder="1"/>
    <xf numFmtId="0" fontId="14" fillId="0" borderId="0" xfId="1" applyFont="1"/>
    <xf numFmtId="0" fontId="14" fillId="0" borderId="1" xfId="1" applyFont="1" applyBorder="1"/>
    <xf numFmtId="0" fontId="14" fillId="0" borderId="2" xfId="1" applyFont="1" applyBorder="1"/>
    <xf numFmtId="0" fontId="28" fillId="0" borderId="0" xfId="1" applyFont="1" applyBorder="1" applyAlignment="1">
      <alignment horizontal="center"/>
    </xf>
    <xf numFmtId="49" fontId="28" fillId="0" borderId="0" xfId="1" applyNumberFormat="1" applyFont="1" applyBorder="1"/>
    <xf numFmtId="0" fontId="14" fillId="0" borderId="0" xfId="1" applyFont="1" applyBorder="1" applyAlignment="1">
      <alignment shrinkToFit="1"/>
    </xf>
    <xf numFmtId="0" fontId="14" fillId="0" borderId="0" xfId="1" applyFont="1" applyAlignment="1">
      <alignment horizontal="center"/>
    </xf>
    <xf numFmtId="0" fontId="14" fillId="0" borderId="0" xfId="1" applyFont="1" applyBorder="1" applyAlignment="1"/>
    <xf numFmtId="0" fontId="14" fillId="0" borderId="3" xfId="1" applyFont="1" applyBorder="1"/>
    <xf numFmtId="0" fontId="14" fillId="0" borderId="49" xfId="1" applyFont="1" applyBorder="1"/>
    <xf numFmtId="0" fontId="14" fillId="0" borderId="43" xfId="1" applyFont="1" applyBorder="1"/>
    <xf numFmtId="0" fontId="17" fillId="0" borderId="0" xfId="1" applyFont="1" applyBorder="1" applyAlignment="1">
      <alignment vertical="center"/>
    </xf>
    <xf numFmtId="49" fontId="17" fillId="0" borderId="0" xfId="1" applyNumberFormat="1" applyFont="1" applyBorder="1" applyAlignment="1">
      <alignment horizontal="center" vertical="center"/>
    </xf>
    <xf numFmtId="0" fontId="17" fillId="0" borderId="0" xfId="1" applyFont="1" applyFill="1" applyBorder="1" applyAlignment="1">
      <alignment vertical="center"/>
    </xf>
    <xf numFmtId="0" fontId="23" fillId="0" borderId="0" xfId="1" applyFont="1" applyBorder="1" applyAlignment="1">
      <alignment horizontal="center" vertical="center"/>
    </xf>
    <xf numFmtId="49" fontId="17" fillId="0" borderId="0" xfId="1" applyNumberFormat="1" applyFont="1" applyBorder="1" applyAlignment="1">
      <alignment vertical="center"/>
    </xf>
    <xf numFmtId="0" fontId="17" fillId="0" borderId="0" xfId="1" applyFont="1" applyFill="1" applyAlignment="1">
      <alignment horizontal="center"/>
    </xf>
    <xf numFmtId="0" fontId="23" fillId="0" borderId="0" xfId="1" applyFont="1"/>
    <xf numFmtId="0" fontId="17" fillId="4" borderId="0" xfId="1" applyFont="1" applyFill="1"/>
    <xf numFmtId="0" fontId="18" fillId="0" borderId="158" xfId="8" applyFont="1" applyFill="1" applyBorder="1" applyAlignment="1">
      <alignment horizontal="center" vertical="center"/>
    </xf>
    <xf numFmtId="0" fontId="18" fillId="0" borderId="158" xfId="0" applyFont="1" applyBorder="1" applyAlignment="1">
      <alignment horizontal="center" vertical="center"/>
    </xf>
    <xf numFmtId="0" fontId="18" fillId="0" borderId="60" xfId="0" applyFont="1" applyBorder="1" applyAlignment="1">
      <alignment horizontal="center" vertical="center"/>
    </xf>
    <xf numFmtId="0" fontId="43" fillId="0" borderId="158" xfId="8" applyFont="1" applyFill="1" applyBorder="1" applyAlignment="1">
      <alignment horizontal="center" vertical="center"/>
    </xf>
    <xf numFmtId="0" fontId="17" fillId="9" borderId="0" xfId="0" applyFont="1" applyFill="1" applyAlignment="1">
      <alignment horizontal="right"/>
    </xf>
    <xf numFmtId="0" fontId="17" fillId="9" borderId="160" xfId="0" applyFont="1" applyFill="1" applyBorder="1" applyAlignment="1">
      <alignment horizontal="right"/>
    </xf>
    <xf numFmtId="0" fontId="15" fillId="0" borderId="174" xfId="0" applyFont="1" applyBorder="1" applyAlignment="1">
      <alignment shrinkToFit="1"/>
    </xf>
    <xf numFmtId="0" fontId="17" fillId="9" borderId="162" xfId="0" applyFont="1" applyFill="1" applyBorder="1" applyAlignment="1">
      <alignment horizontal="right" vertical="top"/>
    </xf>
    <xf numFmtId="0" fontId="17" fillId="9" borderId="0" xfId="0" applyFont="1" applyFill="1" applyBorder="1" applyAlignment="1">
      <alignment horizontal="right"/>
    </xf>
    <xf numFmtId="0" fontId="17" fillId="9" borderId="146" xfId="0" applyFont="1" applyFill="1" applyBorder="1" applyAlignment="1">
      <alignment horizontal="right" vertical="top"/>
    </xf>
    <xf numFmtId="0" fontId="16" fillId="30" borderId="159" xfId="0" applyFont="1" applyFill="1" applyBorder="1" applyAlignment="1">
      <alignment horizontal="center"/>
    </xf>
    <xf numFmtId="0" fontId="17" fillId="9" borderId="65" xfId="0" applyFont="1" applyFill="1" applyBorder="1" applyAlignment="1">
      <alignment horizontal="right"/>
    </xf>
    <xf numFmtId="0" fontId="17" fillId="9" borderId="147" xfId="1" applyFont="1" applyFill="1" applyBorder="1" applyAlignment="1">
      <alignment horizontal="center" vertical="top" shrinkToFit="1"/>
    </xf>
    <xf numFmtId="0" fontId="19" fillId="30" borderId="78" xfId="1" applyFont="1" applyFill="1" applyBorder="1" applyAlignment="1">
      <alignment horizontal="center" vertical="center" shrinkToFit="1"/>
    </xf>
    <xf numFmtId="0" fontId="26" fillId="0" borderId="0" xfId="0" applyFont="1"/>
    <xf numFmtId="0" fontId="45" fillId="0" borderId="0" xfId="0" applyFont="1" applyAlignment="1">
      <alignment vertical="center"/>
    </xf>
    <xf numFmtId="0" fontId="26" fillId="0" borderId="0" xfId="0" applyFont="1" applyAlignment="1"/>
    <xf numFmtId="0" fontId="26" fillId="0" borderId="0" xfId="0" quotePrefix="1" applyFont="1" applyAlignment="1">
      <alignment horizontal="right"/>
    </xf>
    <xf numFmtId="0" fontId="26" fillId="0" borderId="0" xfId="0" quotePrefix="1" applyFont="1" applyAlignment="1">
      <alignment horizontal="right" vertical="top"/>
    </xf>
    <xf numFmtId="0" fontId="26" fillId="0" borderId="0" xfId="0" applyFont="1" applyAlignment="1">
      <alignment horizontal="left"/>
    </xf>
    <xf numFmtId="17" fontId="44" fillId="0" borderId="0" xfId="0" applyNumberFormat="1" applyFont="1" applyAlignment="1">
      <alignment horizontal="left"/>
    </xf>
    <xf numFmtId="14" fontId="26" fillId="0" borderId="0" xfId="0" applyNumberFormat="1" applyFont="1" applyAlignment="1">
      <alignment horizontal="center"/>
    </xf>
    <xf numFmtId="49" fontId="22" fillId="21" borderId="32" xfId="1" applyNumberFormat="1" applyFont="1" applyFill="1" applyBorder="1" applyAlignment="1">
      <alignment horizontal="center" shrinkToFit="1"/>
    </xf>
    <xf numFmtId="49" fontId="22" fillId="21" borderId="9" xfId="1" applyNumberFormat="1" applyFont="1" applyFill="1" applyBorder="1" applyAlignment="1">
      <alignment horizontal="center" shrinkToFit="1"/>
    </xf>
    <xf numFmtId="49" fontId="15" fillId="31" borderId="28" xfId="1" applyNumberFormat="1" applyFont="1" applyFill="1" applyBorder="1" applyAlignment="1">
      <alignment horizontal="center"/>
    </xf>
    <xf numFmtId="0" fontId="22" fillId="31" borderId="14" xfId="1" applyFont="1" applyFill="1" applyBorder="1" applyAlignment="1">
      <alignment horizontal="center" wrapText="1"/>
    </xf>
    <xf numFmtId="0" fontId="24" fillId="31" borderId="26" xfId="1" applyFont="1" applyFill="1" applyBorder="1" applyAlignment="1">
      <alignment horizontal="center" vertical="center" textRotation="90" shrinkToFit="1"/>
    </xf>
    <xf numFmtId="0" fontId="24" fillId="31" borderId="14" xfId="1" applyFont="1" applyFill="1" applyBorder="1" applyAlignment="1">
      <alignment horizontal="center" vertical="center" textRotation="90" shrinkToFit="1"/>
    </xf>
    <xf numFmtId="0" fontId="24" fillId="31" borderId="25" xfId="1" applyFont="1" applyFill="1" applyBorder="1" applyAlignment="1">
      <alignment horizontal="center" vertical="center" textRotation="90" shrinkToFit="1"/>
    </xf>
    <xf numFmtId="0" fontId="24" fillId="31" borderId="16" xfId="1" applyFont="1" applyFill="1" applyBorder="1" applyAlignment="1">
      <alignment horizontal="center" vertical="center" textRotation="90" shrinkToFit="1"/>
    </xf>
    <xf numFmtId="0" fontId="24" fillId="31" borderId="17" xfId="1" applyFont="1" applyFill="1" applyBorder="1" applyAlignment="1">
      <alignment horizontal="center" vertical="center" textRotation="90" wrapText="1"/>
    </xf>
    <xf numFmtId="0" fontId="24" fillId="31" borderId="26" xfId="1" applyFont="1" applyFill="1" applyBorder="1" applyAlignment="1">
      <alignment horizontal="center" vertical="center" textRotation="90" wrapText="1" shrinkToFit="1"/>
    </xf>
    <xf numFmtId="1" fontId="24" fillId="31" borderId="44" xfId="1" applyNumberFormat="1" applyFont="1" applyFill="1" applyBorder="1" applyAlignment="1">
      <alignment horizontal="center" vertical="center" textRotation="90" shrinkToFit="1"/>
    </xf>
    <xf numFmtId="0" fontId="24" fillId="31" borderId="14" xfId="1" applyFont="1" applyFill="1" applyBorder="1" applyAlignment="1">
      <alignment horizontal="center" vertical="center" textRotation="90" wrapText="1" shrinkToFit="1"/>
    </xf>
    <xf numFmtId="1" fontId="24" fillId="31" borderId="14" xfId="1" applyNumberFormat="1" applyFont="1" applyFill="1" applyBorder="1" applyAlignment="1">
      <alignment horizontal="center" vertical="center" textRotation="90" shrinkToFit="1"/>
    </xf>
    <xf numFmtId="165" fontId="24" fillId="31" borderId="14" xfId="1" applyNumberFormat="1" applyFont="1" applyFill="1" applyBorder="1" applyAlignment="1">
      <alignment horizontal="center" vertical="center" textRotation="90" wrapText="1" shrinkToFit="1"/>
    </xf>
    <xf numFmtId="2" fontId="24" fillId="31" borderId="14" xfId="1" applyNumberFormat="1" applyFont="1" applyFill="1" applyBorder="1" applyAlignment="1">
      <alignment horizontal="center" vertical="center" textRotation="90" wrapText="1" shrinkToFit="1"/>
    </xf>
    <xf numFmtId="0" fontId="22" fillId="31" borderId="16" xfId="1" applyFont="1" applyFill="1" applyBorder="1" applyAlignment="1">
      <alignment vertical="center"/>
    </xf>
    <xf numFmtId="9" fontId="22" fillId="31" borderId="38" xfId="1" applyNumberFormat="1" applyFont="1" applyFill="1" applyBorder="1" applyAlignment="1">
      <alignment vertical="center"/>
    </xf>
    <xf numFmtId="2" fontId="22" fillId="31" borderId="17" xfId="1" applyNumberFormat="1" applyFont="1" applyFill="1" applyBorder="1" applyAlignment="1">
      <alignment vertical="center"/>
    </xf>
    <xf numFmtId="0" fontId="22" fillId="31" borderId="25" xfId="1" applyFont="1" applyFill="1" applyBorder="1" applyAlignment="1">
      <alignment vertical="center"/>
    </xf>
    <xf numFmtId="9" fontId="22" fillId="31" borderId="16" xfId="1" applyNumberFormat="1" applyFont="1" applyFill="1" applyBorder="1" applyAlignment="1">
      <alignment vertical="center"/>
    </xf>
    <xf numFmtId="2" fontId="22" fillId="31" borderId="47" xfId="1" applyNumberFormat="1" applyFont="1" applyFill="1" applyBorder="1" applyAlignment="1">
      <alignment vertical="center"/>
    </xf>
    <xf numFmtId="1" fontId="22" fillId="31" borderId="25" xfId="1" applyNumberFormat="1" applyFont="1" applyFill="1" applyBorder="1" applyAlignment="1">
      <alignment vertical="center"/>
    </xf>
    <xf numFmtId="1" fontId="22" fillId="31" borderId="47" xfId="1" applyNumberFormat="1" applyFont="1" applyFill="1" applyBorder="1" applyAlignment="1">
      <alignment vertical="center"/>
    </xf>
    <xf numFmtId="1" fontId="22" fillId="31" borderId="16" xfId="1" applyNumberFormat="1" applyFont="1" applyFill="1" applyBorder="1" applyAlignment="1">
      <alignment vertical="center"/>
    </xf>
    <xf numFmtId="165" fontId="22" fillId="31" borderId="25" xfId="1" applyNumberFormat="1" applyFont="1" applyFill="1" applyBorder="1" applyAlignment="1">
      <alignment horizontal="center" vertical="center"/>
    </xf>
    <xf numFmtId="165" fontId="22" fillId="31" borderId="16" xfId="1" applyNumberFormat="1" applyFont="1" applyFill="1" applyBorder="1" applyAlignment="1">
      <alignment horizontal="center" vertical="center"/>
    </xf>
    <xf numFmtId="2" fontId="22" fillId="31" borderId="17" xfId="1" applyNumberFormat="1" applyFont="1" applyFill="1" applyBorder="1" applyAlignment="1">
      <alignment horizontal="center" vertical="center"/>
    </xf>
    <xf numFmtId="0" fontId="17" fillId="0" borderId="0" xfId="1" applyFont="1" applyBorder="1" applyAlignment="1">
      <alignment horizontal="center" vertical="center"/>
    </xf>
    <xf numFmtId="49" fontId="17" fillId="0" borderId="0" xfId="1" applyNumberFormat="1" applyFont="1" applyBorder="1" applyAlignment="1">
      <alignment horizontal="center" vertical="center"/>
    </xf>
    <xf numFmtId="0" fontId="17" fillId="0" borderId="0" xfId="1" applyFont="1" applyBorder="1" applyAlignment="1">
      <alignment vertical="center"/>
    </xf>
    <xf numFmtId="0" fontId="32" fillId="24" borderId="0" xfId="1" applyFont="1" applyFill="1" applyBorder="1" applyAlignment="1">
      <alignment horizontal="center" vertical="center" shrinkToFit="1"/>
    </xf>
    <xf numFmtId="0" fontId="17" fillId="34" borderId="0" xfId="1" applyFont="1" applyFill="1" applyAlignment="1">
      <alignment horizontal="center"/>
    </xf>
    <xf numFmtId="49" fontId="17" fillId="34" borderId="0" xfId="1" applyNumberFormat="1" applyFont="1" applyFill="1"/>
    <xf numFmtId="0" fontId="17" fillId="34" borderId="0" xfId="1" applyNumberFormat="1" applyFont="1" applyFill="1"/>
    <xf numFmtId="0" fontId="17" fillId="21" borderId="0" xfId="1" applyFont="1" applyFill="1"/>
    <xf numFmtId="0" fontId="17" fillId="36" borderId="0" xfId="1" applyFont="1" applyFill="1"/>
    <xf numFmtId="0" fontId="17" fillId="32" borderId="0" xfId="1" applyFont="1" applyFill="1" applyAlignment="1">
      <alignment horizontal="center"/>
    </xf>
    <xf numFmtId="0" fontId="17" fillId="38" borderId="0" xfId="1" applyFont="1" applyFill="1" applyAlignment="1">
      <alignment horizontal="center"/>
    </xf>
    <xf numFmtId="0" fontId="17" fillId="39" borderId="0" xfId="1" applyFont="1" applyFill="1" applyAlignment="1">
      <alignment horizontal="center"/>
    </xf>
    <xf numFmtId="0" fontId="17" fillId="40" borderId="0" xfId="1" applyFont="1" applyFill="1"/>
    <xf numFmtId="0" fontId="17" fillId="41" borderId="0" xfId="1" applyFont="1" applyFill="1"/>
    <xf numFmtId="0" fontId="17" fillId="43" borderId="0" xfId="1" applyFont="1" applyFill="1" applyAlignment="1">
      <alignment horizontal="center"/>
    </xf>
    <xf numFmtId="0" fontId="17" fillId="42" borderId="0" xfId="1" applyFont="1" applyFill="1"/>
    <xf numFmtId="0" fontId="23" fillId="32" borderId="0" xfId="1" applyFont="1" applyFill="1" applyBorder="1" applyAlignment="1">
      <alignment horizontal="center" vertical="center"/>
    </xf>
    <xf numFmtId="0" fontId="42" fillId="32" borderId="0" xfId="1" applyFont="1" applyFill="1" applyBorder="1" applyAlignment="1">
      <alignment horizontal="center" vertical="center"/>
    </xf>
    <xf numFmtId="0" fontId="17" fillId="32" borderId="0" xfId="1" applyFont="1" applyFill="1" applyBorder="1" applyAlignment="1">
      <alignment horizontal="center" vertical="center"/>
    </xf>
    <xf numFmtId="0" fontId="17" fillId="54" borderId="0" xfId="1" applyFont="1" applyFill="1" applyBorder="1" applyAlignment="1">
      <alignment horizontal="center" vertical="center"/>
    </xf>
    <xf numFmtId="0" fontId="17" fillId="50" borderId="0" xfId="1" applyFont="1" applyFill="1" applyBorder="1" applyAlignment="1">
      <alignment horizontal="center" vertical="center"/>
    </xf>
    <xf numFmtId="0" fontId="17" fillId="45" borderId="0" xfId="1" applyFont="1" applyFill="1" applyBorder="1" applyAlignment="1">
      <alignment vertical="center"/>
    </xf>
    <xf numFmtId="0" fontId="17" fillId="45" borderId="0" xfId="1" applyFont="1" applyFill="1" applyBorder="1" applyAlignment="1">
      <alignment horizontal="center" vertical="center"/>
    </xf>
    <xf numFmtId="49" fontId="17" fillId="45" borderId="0" xfId="1" applyNumberFormat="1" applyFont="1" applyFill="1" applyBorder="1" applyAlignment="1">
      <alignment horizontal="center" vertical="center"/>
    </xf>
    <xf numFmtId="0" fontId="17" fillId="55" borderId="0" xfId="1" applyFont="1" applyFill="1" applyBorder="1" applyAlignment="1">
      <alignment horizontal="center" vertical="center"/>
    </xf>
    <xf numFmtId="0" fontId="17" fillId="55" borderId="0" xfId="1" applyFont="1" applyFill="1" applyBorder="1" applyAlignment="1">
      <alignment horizontal="center"/>
    </xf>
    <xf numFmtId="0" fontId="17" fillId="46" borderId="0" xfId="1" applyFont="1" applyFill="1" applyBorder="1" applyAlignment="1">
      <alignment horizontal="center" vertical="center"/>
    </xf>
    <xf numFmtId="0" fontId="17" fillId="56" borderId="0" xfId="1" applyFont="1" applyFill="1" applyBorder="1" applyAlignment="1">
      <alignment horizontal="center" vertical="center"/>
    </xf>
    <xf numFmtId="0" fontId="42" fillId="37" borderId="0" xfId="1" applyFont="1" applyFill="1" applyBorder="1" applyAlignment="1">
      <alignment horizontal="center" vertical="center"/>
    </xf>
    <xf numFmtId="0" fontId="17" fillId="37" borderId="0" xfId="1" applyFont="1" applyFill="1" applyBorder="1" applyAlignment="1">
      <alignment horizontal="center" vertical="center"/>
    </xf>
    <xf numFmtId="0" fontId="17" fillId="16" borderId="0" xfId="1" applyFont="1" applyFill="1" applyBorder="1" applyAlignment="1">
      <alignment horizontal="center" vertical="center"/>
    </xf>
    <xf numFmtId="0" fontId="17" fillId="43" borderId="0" xfId="1" applyFont="1" applyFill="1" applyBorder="1" applyAlignment="1">
      <alignment horizontal="center" vertical="center"/>
    </xf>
    <xf numFmtId="0" fontId="17" fillId="32" borderId="0" xfId="1" applyFont="1" applyFill="1" applyBorder="1" applyAlignment="1">
      <alignment vertical="center"/>
    </xf>
    <xf numFmtId="0" fontId="17" fillId="43" borderId="0" xfId="1" applyFont="1" applyFill="1" applyBorder="1" applyAlignment="1">
      <alignment vertical="center"/>
    </xf>
    <xf numFmtId="0" fontId="17" fillId="37" borderId="0" xfId="1" applyFont="1" applyFill="1" applyBorder="1" applyAlignment="1">
      <alignment horizontal="center"/>
    </xf>
    <xf numFmtId="0" fontId="17" fillId="35" borderId="0" xfId="1" applyFont="1" applyFill="1" applyBorder="1" applyAlignment="1">
      <alignment horizontal="center" vertical="center"/>
    </xf>
    <xf numFmtId="0" fontId="17" fillId="12" borderId="0" xfId="1" applyFont="1" applyFill="1" applyBorder="1" applyAlignment="1">
      <alignment horizontal="center" vertical="center"/>
    </xf>
    <xf numFmtId="167" fontId="15" fillId="11" borderId="35" xfId="1" applyNumberFormat="1" applyFont="1" applyFill="1" applyBorder="1" applyAlignment="1">
      <alignment horizontal="center" shrinkToFit="1"/>
    </xf>
    <xf numFmtId="0" fontId="17" fillId="2" borderId="0" xfId="1" applyFont="1" applyFill="1" applyBorder="1"/>
    <xf numFmtId="0" fontId="23" fillId="58" borderId="0" xfId="1" applyFont="1" applyFill="1" applyBorder="1" applyAlignment="1"/>
    <xf numFmtId="0" fontId="17" fillId="57" borderId="0" xfId="1" applyFont="1" applyFill="1" applyBorder="1"/>
    <xf numFmtId="0" fontId="17" fillId="3" borderId="1" xfId="1" quotePrefix="1" applyFont="1" applyFill="1" applyBorder="1" applyAlignment="1">
      <alignment horizontal="right" wrapText="1"/>
    </xf>
    <xf numFmtId="0" fontId="17" fillId="3" borderId="99" xfId="1" applyFont="1" applyFill="1" applyBorder="1" applyAlignment="1">
      <alignment horizontal="center" vertical="center" wrapText="1"/>
    </xf>
    <xf numFmtId="0" fontId="23" fillId="3" borderId="0" xfId="1" applyFont="1" applyFill="1" applyBorder="1"/>
    <xf numFmtId="49" fontId="17" fillId="3" borderId="0" xfId="1" applyNumberFormat="1" applyFont="1" applyFill="1" applyBorder="1" applyAlignment="1">
      <alignment horizontal="right" wrapText="1"/>
    </xf>
    <xf numFmtId="0" fontId="23" fillId="3" borderId="0" xfId="2" applyNumberFormat="1" applyFont="1" applyFill="1" applyBorder="1" applyAlignment="1" applyProtection="1"/>
    <xf numFmtId="49" fontId="17" fillId="58" borderId="0" xfId="1" applyNumberFormat="1" applyFont="1" applyFill="1" applyBorder="1" applyAlignment="1">
      <alignment horizontal="right" wrapText="1"/>
    </xf>
    <xf numFmtId="0" fontId="17" fillId="58" borderId="0" xfId="1" applyFont="1" applyFill="1" applyBorder="1" applyAlignment="1"/>
    <xf numFmtId="0" fontId="35" fillId="58" borderId="0" xfId="2" applyNumberFormat="1" applyFont="1" applyFill="1" applyBorder="1" applyAlignment="1" applyProtection="1"/>
    <xf numFmtId="0" fontId="23" fillId="57" borderId="0" xfId="1" applyFont="1" applyFill="1" applyBorder="1"/>
    <xf numFmtId="0" fontId="17" fillId="58" borderId="0" xfId="1" applyFont="1" applyFill="1" applyBorder="1"/>
    <xf numFmtId="0" fontId="17" fillId="58" borderId="0" xfId="1" applyFont="1" applyFill="1" applyBorder="1" applyAlignment="1">
      <alignment wrapText="1"/>
    </xf>
    <xf numFmtId="0" fontId="17" fillId="58" borderId="0" xfId="2" applyNumberFormat="1" applyFont="1" applyFill="1" applyBorder="1" applyAlignment="1" applyProtection="1"/>
    <xf numFmtId="49" fontId="17" fillId="58" borderId="0" xfId="2" applyNumberFormat="1" applyFont="1" applyFill="1" applyBorder="1" applyAlignment="1" applyProtection="1">
      <alignment horizontal="right"/>
    </xf>
    <xf numFmtId="0" fontId="23" fillId="58" borderId="0" xfId="2" applyNumberFormat="1" applyFont="1" applyFill="1" applyBorder="1" applyAlignment="1" applyProtection="1"/>
    <xf numFmtId="14" fontId="17" fillId="57" borderId="0" xfId="1" applyNumberFormat="1" applyFont="1" applyFill="1" applyBorder="1" applyAlignment="1">
      <alignment horizontal="left"/>
    </xf>
    <xf numFmtId="14" fontId="17" fillId="57" borderId="78" xfId="1" applyNumberFormat="1" applyFont="1" applyFill="1" applyBorder="1" applyAlignment="1">
      <alignment horizontal="center"/>
    </xf>
    <xf numFmtId="0" fontId="26" fillId="57" borderId="0" xfId="0" applyFont="1" applyFill="1"/>
    <xf numFmtId="0" fontId="46" fillId="57" borderId="0" xfId="0" applyFont="1" applyFill="1" applyAlignment="1">
      <alignment horizontal="right"/>
    </xf>
    <xf numFmtId="0" fontId="26" fillId="57" borderId="0" xfId="0" applyFont="1" applyFill="1" applyAlignment="1">
      <alignment horizontal="left"/>
    </xf>
    <xf numFmtId="0" fontId="45" fillId="57" borderId="0" xfId="0" applyFont="1" applyFill="1" applyAlignment="1">
      <alignment vertical="center"/>
    </xf>
    <xf numFmtId="0" fontId="26" fillId="57" borderId="0" xfId="0" applyFont="1" applyFill="1" applyAlignment="1"/>
    <xf numFmtId="0" fontId="53" fillId="57" borderId="0" xfId="0" applyFont="1" applyFill="1" applyAlignment="1"/>
    <xf numFmtId="49" fontId="17" fillId="3" borderId="81" xfId="3" applyNumberFormat="1" applyFont="1" applyFill="1" applyBorder="1" applyAlignment="1" applyProtection="1">
      <alignment horizontal="center" wrapText="1" shrinkToFit="1"/>
      <protection locked="0"/>
    </xf>
    <xf numFmtId="49" fontId="17" fillId="3" borderId="22" xfId="3" applyNumberFormat="1" applyFont="1" applyFill="1" applyBorder="1" applyAlignment="1" applyProtection="1">
      <alignment horizontal="center" wrapText="1" shrinkToFit="1"/>
      <protection locked="0"/>
    </xf>
    <xf numFmtId="0" fontId="17" fillId="3" borderId="53" xfId="9" applyFont="1" applyFill="1" applyBorder="1" applyAlignment="1" applyProtection="1">
      <alignment horizontal="left"/>
      <protection locked="0"/>
    </xf>
    <xf numFmtId="49" fontId="17" fillId="3" borderId="82" xfId="3" applyNumberFormat="1" applyFont="1" applyFill="1" applyBorder="1" applyAlignment="1" applyProtection="1">
      <alignment horizontal="center" wrapText="1" shrinkToFit="1"/>
      <protection locked="0"/>
    </xf>
    <xf numFmtId="0" fontId="17" fillId="0" borderId="64" xfId="0" applyFont="1" applyBorder="1" applyAlignment="1" applyProtection="1">
      <alignment horizontal="center" vertical="center"/>
      <protection locked="0"/>
    </xf>
    <xf numFmtId="0" fontId="17" fillId="0" borderId="65" xfId="0" applyFont="1" applyBorder="1" applyAlignment="1" applyProtection="1">
      <alignment horizontal="center" vertical="center"/>
      <protection locked="0"/>
    </xf>
    <xf numFmtId="0" fontId="17" fillId="0" borderId="66" xfId="0" applyFont="1" applyBorder="1" applyAlignment="1" applyProtection="1">
      <alignment horizontal="center" vertical="center"/>
      <protection locked="0"/>
    </xf>
    <xf numFmtId="0" fontId="17" fillId="23" borderId="67" xfId="0" applyFont="1" applyFill="1" applyBorder="1" applyAlignment="1" applyProtection="1">
      <alignment horizontal="center" vertical="center"/>
      <protection locked="0"/>
    </xf>
    <xf numFmtId="0" fontId="17" fillId="0" borderId="121" xfId="0" applyFont="1" applyBorder="1" applyAlignment="1" applyProtection="1">
      <alignment horizontal="center" vertical="center"/>
      <protection locked="0"/>
    </xf>
    <xf numFmtId="0" fontId="17" fillId="0" borderId="122" xfId="0" applyFont="1" applyBorder="1" applyAlignment="1" applyProtection="1">
      <alignment horizontal="center" vertical="center"/>
      <protection locked="0"/>
    </xf>
    <xf numFmtId="0" fontId="17" fillId="0" borderId="123" xfId="0" applyFont="1" applyBorder="1" applyAlignment="1" applyProtection="1">
      <alignment horizontal="center" vertical="center"/>
      <protection locked="0"/>
    </xf>
    <xf numFmtId="0" fontId="17" fillId="23" borderId="68" xfId="0" applyFont="1" applyFill="1" applyBorder="1" applyAlignment="1" applyProtection="1">
      <alignment horizontal="center" vertical="center"/>
      <protection locked="0"/>
    </xf>
    <xf numFmtId="0" fontId="17" fillId="21" borderId="71" xfId="8" applyFont="1" applyFill="1" applyBorder="1" applyAlignment="1" applyProtection="1">
      <alignment horizontal="center" vertical="center"/>
      <protection locked="0"/>
    </xf>
    <xf numFmtId="0" fontId="17" fillId="21" borderId="72" xfId="8" applyFont="1" applyFill="1" applyBorder="1" applyAlignment="1" applyProtection="1">
      <alignment horizontal="center" vertical="center"/>
      <protection locked="0"/>
    </xf>
    <xf numFmtId="0" fontId="17" fillId="21" borderId="73" xfId="8" applyFont="1" applyFill="1" applyBorder="1" applyAlignment="1" applyProtection="1">
      <alignment horizontal="center" vertical="center"/>
      <protection locked="0"/>
    </xf>
    <xf numFmtId="0" fontId="17" fillId="21" borderId="74" xfId="8" applyFont="1" applyFill="1" applyBorder="1" applyAlignment="1" applyProtection="1">
      <alignment horizontal="center" vertical="center"/>
      <protection locked="0"/>
    </xf>
    <xf numFmtId="0" fontId="17" fillId="21" borderId="141" xfId="8" applyFont="1" applyFill="1" applyBorder="1" applyAlignment="1" applyProtection="1">
      <alignment horizontal="center" vertical="center"/>
      <protection locked="0"/>
    </xf>
    <xf numFmtId="0" fontId="17" fillId="21" borderId="75" xfId="8" applyFont="1" applyFill="1" applyBorder="1" applyAlignment="1" applyProtection="1">
      <alignment horizontal="center" vertical="center"/>
      <protection locked="0"/>
    </xf>
    <xf numFmtId="0" fontId="17" fillId="21" borderId="113" xfId="8" applyFont="1" applyFill="1" applyBorder="1" applyAlignment="1" applyProtection="1">
      <alignment horizontal="center" vertical="center"/>
      <protection locked="0"/>
    </xf>
    <xf numFmtId="0" fontId="17" fillId="21" borderId="112" xfId="8" applyFont="1" applyFill="1" applyBorder="1" applyAlignment="1" applyProtection="1">
      <alignment horizontal="center" vertical="center"/>
      <protection locked="0"/>
    </xf>
    <xf numFmtId="0" fontId="17" fillId="21" borderId="111" xfId="8" applyFont="1" applyFill="1" applyBorder="1" applyAlignment="1" applyProtection="1">
      <alignment horizontal="center" vertical="center"/>
      <protection locked="0"/>
    </xf>
    <xf numFmtId="0" fontId="17" fillId="21" borderId="136" xfId="8" applyFont="1" applyFill="1" applyBorder="1" applyAlignment="1" applyProtection="1">
      <alignment horizontal="center" vertical="center"/>
      <protection locked="0"/>
    </xf>
    <xf numFmtId="0" fontId="17" fillId="23" borderId="169" xfId="0" applyFont="1" applyFill="1" applyBorder="1" applyAlignment="1" applyProtection="1">
      <alignment horizontal="center" vertical="center"/>
      <protection locked="0"/>
    </xf>
    <xf numFmtId="0" fontId="37" fillId="4" borderId="25" xfId="1" applyFont="1" applyFill="1" applyBorder="1" applyAlignment="1">
      <alignment horizontal="center" vertical="center"/>
    </xf>
    <xf numFmtId="0" fontId="37" fillId="4" borderId="17" xfId="1" applyFont="1" applyFill="1" applyBorder="1" applyAlignment="1">
      <alignment horizontal="center" vertical="center" wrapText="1"/>
    </xf>
    <xf numFmtId="0" fontId="54" fillId="4" borderId="26" xfId="1" applyFont="1" applyFill="1" applyBorder="1" applyAlignment="1">
      <alignment horizontal="center" vertical="center" textRotation="90"/>
    </xf>
    <xf numFmtId="0" fontId="54" fillId="4" borderId="14" xfId="1" applyFont="1" applyFill="1" applyBorder="1" applyAlignment="1">
      <alignment horizontal="center" vertical="center" textRotation="90"/>
    </xf>
    <xf numFmtId="0" fontId="54" fillId="4" borderId="27" xfId="1" applyFont="1" applyFill="1" applyBorder="1" applyAlignment="1">
      <alignment horizontal="center" vertical="center" textRotation="90"/>
    </xf>
    <xf numFmtId="0" fontId="37" fillId="4" borderId="28" xfId="1" applyFont="1" applyFill="1" applyBorder="1" applyAlignment="1">
      <alignment horizontal="center" vertical="center"/>
    </xf>
    <xf numFmtId="0" fontId="37" fillId="4" borderId="14" xfId="1" applyFont="1" applyFill="1" applyBorder="1" applyAlignment="1">
      <alignment horizontal="center" vertical="center"/>
    </xf>
    <xf numFmtId="0" fontId="37" fillId="4" borderId="29" xfId="1" applyFont="1" applyFill="1" applyBorder="1" applyAlignment="1">
      <alignment horizontal="center" vertical="center" wrapText="1"/>
    </xf>
    <xf numFmtId="0" fontId="37" fillId="4" borderId="30" xfId="1" applyFont="1" applyFill="1" applyBorder="1" applyAlignment="1">
      <alignment horizontal="center" vertical="center" wrapText="1"/>
    </xf>
    <xf numFmtId="0" fontId="19" fillId="8" borderId="0" xfId="0" applyFont="1" applyFill="1" applyBorder="1" applyAlignment="1">
      <alignment vertical="center"/>
    </xf>
    <xf numFmtId="0" fontId="26" fillId="0" borderId="0" xfId="0" applyFont="1" applyAlignment="1">
      <alignment horizontal="left"/>
    </xf>
    <xf numFmtId="0" fontId="17" fillId="0" borderId="0" xfId="0" applyFont="1" applyAlignment="1">
      <alignment horizontal="left"/>
    </xf>
    <xf numFmtId="0" fontId="17" fillId="3" borderId="89" xfId="3" applyFont="1" applyFill="1" applyBorder="1" applyAlignment="1" applyProtection="1">
      <protection locked="0"/>
    </xf>
    <xf numFmtId="0" fontId="17" fillId="3" borderId="83" xfId="3" applyFont="1" applyFill="1" applyBorder="1" applyAlignment="1" applyProtection="1">
      <protection locked="0"/>
    </xf>
    <xf numFmtId="0" fontId="17" fillId="3" borderId="46" xfId="3" applyFont="1" applyFill="1" applyBorder="1" applyAlignment="1" applyProtection="1">
      <protection locked="0"/>
    </xf>
    <xf numFmtId="0" fontId="17" fillId="3" borderId="89" xfId="3" applyFont="1" applyFill="1" applyBorder="1" applyAlignment="1" applyProtection="1">
      <alignment vertical="center"/>
      <protection locked="0"/>
    </xf>
    <xf numFmtId="0" fontId="17" fillId="3" borderId="83" xfId="3" applyFont="1" applyFill="1" applyBorder="1" applyAlignment="1" applyProtection="1">
      <alignment vertical="center"/>
      <protection locked="0"/>
    </xf>
    <xf numFmtId="0" fontId="17" fillId="3" borderId="46" xfId="3" applyFont="1" applyFill="1" applyBorder="1" applyAlignment="1" applyProtection="1">
      <alignment vertical="center"/>
      <protection locked="0"/>
    </xf>
    <xf numFmtId="0" fontId="17" fillId="3" borderId="82" xfId="3" applyFont="1" applyFill="1" applyBorder="1" applyAlignment="1" applyProtection="1">
      <protection locked="0"/>
    </xf>
    <xf numFmtId="0" fontId="17" fillId="3" borderId="82" xfId="3" applyFont="1" applyFill="1" applyBorder="1" applyAlignment="1" applyProtection="1">
      <alignment vertical="center"/>
      <protection locked="0"/>
    </xf>
    <xf numFmtId="0" fontId="17" fillId="3" borderId="46" xfId="3" applyFont="1" applyFill="1" applyBorder="1" applyAlignment="1" applyProtection="1">
      <alignment shrinkToFit="1"/>
      <protection locked="0"/>
    </xf>
    <xf numFmtId="0" fontId="17" fillId="3" borderId="84" xfId="3" applyFont="1" applyFill="1" applyBorder="1" applyAlignment="1" applyProtection="1">
      <protection locked="0"/>
    </xf>
    <xf numFmtId="49" fontId="17" fillId="0" borderId="0" xfId="0" quotePrefix="1" applyNumberFormat="1" applyFont="1" applyAlignment="1">
      <alignment horizontal="right"/>
    </xf>
    <xf numFmtId="0" fontId="17" fillId="57" borderId="0" xfId="0" applyFont="1" applyFill="1"/>
    <xf numFmtId="0" fontId="17" fillId="21" borderId="124" xfId="8" applyFont="1" applyFill="1" applyBorder="1" applyAlignment="1" applyProtection="1">
      <alignment horizontal="center" vertical="center"/>
      <protection locked="0"/>
    </xf>
    <xf numFmtId="0" fontId="17" fillId="21" borderId="143" xfId="8" applyFont="1" applyFill="1" applyBorder="1" applyAlignment="1" applyProtection="1">
      <alignment horizontal="center" vertical="center"/>
      <protection locked="0"/>
    </xf>
    <xf numFmtId="0" fontId="13" fillId="12" borderId="5" xfId="1" applyFont="1" applyFill="1" applyBorder="1" applyAlignment="1" applyProtection="1">
      <alignment horizontal="center"/>
      <protection locked="0"/>
    </xf>
    <xf numFmtId="0" fontId="13" fillId="12" borderId="82" xfId="1" applyFont="1" applyFill="1" applyBorder="1" applyAlignment="1" applyProtection="1">
      <alignment horizontal="center"/>
      <protection locked="0"/>
    </xf>
    <xf numFmtId="0" fontId="13" fillId="12" borderId="119" xfId="1" applyFont="1" applyFill="1" applyBorder="1" applyAlignment="1">
      <alignment horizontal="center"/>
    </xf>
    <xf numFmtId="0" fontId="13" fillId="13" borderId="48" xfId="1" applyFont="1" applyFill="1" applyBorder="1" applyAlignment="1">
      <alignment horizontal="center"/>
    </xf>
    <xf numFmtId="0" fontId="13" fillId="6" borderId="48" xfId="1" applyFont="1" applyFill="1" applyBorder="1" applyAlignment="1">
      <alignment horizontal="center"/>
    </xf>
    <xf numFmtId="1" fontId="13" fillId="13" borderId="9" xfId="1" applyNumberFormat="1" applyFont="1" applyFill="1" applyBorder="1" applyAlignment="1" applyProtection="1">
      <alignment horizontal="center"/>
      <protection locked="0"/>
    </xf>
    <xf numFmtId="49" fontId="13" fillId="12" borderId="20" xfId="1" applyNumberFormat="1" applyFont="1" applyFill="1" applyBorder="1" applyAlignment="1" applyProtection="1">
      <alignment horizontal="center"/>
      <protection locked="0"/>
    </xf>
    <xf numFmtId="0" fontId="13" fillId="13" borderId="9" xfId="1" applyFont="1" applyFill="1" applyBorder="1" applyAlignment="1" applyProtection="1">
      <alignment horizontal="center"/>
      <protection locked="0"/>
    </xf>
    <xf numFmtId="0" fontId="13" fillId="13" borderId="5" xfId="1" applyFont="1" applyFill="1" applyBorder="1" applyAlignment="1" applyProtection="1">
      <alignment horizontal="center"/>
      <protection locked="0"/>
    </xf>
    <xf numFmtId="0" fontId="13" fillId="13" borderId="20" xfId="1" applyFont="1" applyFill="1" applyBorder="1" applyAlignment="1" applyProtection="1">
      <alignment horizontal="center"/>
      <protection locked="0"/>
    </xf>
    <xf numFmtId="0" fontId="13" fillId="12" borderId="9" xfId="1" applyFont="1" applyFill="1" applyBorder="1" applyAlignment="1" applyProtection="1">
      <alignment horizontal="center"/>
      <protection locked="0"/>
    </xf>
    <xf numFmtId="0" fontId="13" fillId="0" borderId="5" xfId="1" applyFont="1" applyFill="1" applyBorder="1" applyAlignment="1" applyProtection="1">
      <alignment horizontal="center"/>
      <protection locked="0"/>
    </xf>
    <xf numFmtId="0" fontId="13" fillId="0" borderId="82" xfId="1" applyFont="1" applyFill="1" applyBorder="1" applyAlignment="1" applyProtection="1">
      <alignment horizontal="center"/>
      <protection locked="0"/>
    </xf>
    <xf numFmtId="0" fontId="13" fillId="0" borderId="118" xfId="1" applyFont="1" applyFill="1" applyBorder="1" applyAlignment="1">
      <alignment horizontal="center"/>
    </xf>
    <xf numFmtId="0" fontId="13" fillId="0" borderId="116" xfId="1" applyFont="1" applyFill="1" applyBorder="1" applyAlignment="1">
      <alignment horizontal="center"/>
    </xf>
    <xf numFmtId="0" fontId="13" fillId="12" borderId="20" xfId="1" applyFont="1" applyFill="1" applyBorder="1" applyAlignment="1" applyProtection="1">
      <alignment horizontal="center"/>
      <protection locked="0"/>
    </xf>
    <xf numFmtId="0" fontId="13" fillId="0" borderId="9" xfId="1" applyFont="1" applyBorder="1" applyAlignment="1" applyProtection="1">
      <alignment horizontal="center"/>
      <protection locked="0"/>
    </xf>
    <xf numFmtId="1" fontId="13" fillId="12" borderId="9" xfId="1" applyNumberFormat="1" applyFont="1" applyFill="1" applyBorder="1" applyAlignment="1" applyProtection="1">
      <alignment horizontal="center"/>
      <protection locked="0"/>
    </xf>
    <xf numFmtId="49" fontId="13" fillId="0" borderId="20" xfId="1" applyNumberFormat="1" applyFont="1" applyBorder="1" applyAlignment="1" applyProtection="1">
      <alignment horizontal="center"/>
      <protection locked="0"/>
    </xf>
    <xf numFmtId="0" fontId="13" fillId="12" borderId="117" xfId="1" applyFont="1" applyFill="1" applyBorder="1" applyAlignment="1">
      <alignment horizontal="center"/>
    </xf>
    <xf numFmtId="0" fontId="13" fillId="0" borderId="120" xfId="1" applyFont="1" applyFill="1" applyBorder="1" applyAlignment="1">
      <alignment horizontal="center"/>
    </xf>
    <xf numFmtId="0" fontId="13" fillId="12" borderId="8" xfId="1" applyFont="1" applyFill="1" applyBorder="1" applyAlignment="1" applyProtection="1">
      <alignment horizontal="center"/>
      <protection locked="0"/>
    </xf>
    <xf numFmtId="0" fontId="13" fillId="12" borderId="32" xfId="1" applyFont="1" applyFill="1" applyBorder="1" applyAlignment="1" applyProtection="1">
      <alignment horizontal="center"/>
      <protection locked="0"/>
    </xf>
    <xf numFmtId="0" fontId="13" fillId="0" borderId="112" xfId="1" applyFont="1" applyFill="1" applyBorder="1" applyAlignment="1" applyProtection="1">
      <alignment horizontal="center"/>
      <protection locked="0"/>
    </xf>
    <xf numFmtId="0" fontId="13" fillId="12" borderId="112" xfId="1" applyFont="1" applyFill="1" applyBorder="1" applyAlignment="1" applyProtection="1">
      <alignment horizontal="center"/>
      <protection locked="0"/>
    </xf>
    <xf numFmtId="0" fontId="13" fillId="12" borderId="148" xfId="1" applyFont="1" applyFill="1" applyBorder="1" applyAlignment="1" applyProtection="1">
      <alignment horizontal="center"/>
      <protection locked="0"/>
    </xf>
    <xf numFmtId="0" fontId="13" fillId="12" borderId="113" xfId="1" applyFont="1" applyFill="1" applyBorder="1" applyAlignment="1" applyProtection="1">
      <alignment horizontal="center"/>
      <protection locked="0"/>
    </xf>
    <xf numFmtId="0" fontId="13" fillId="0" borderId="148" xfId="1" applyFont="1" applyFill="1" applyBorder="1" applyAlignment="1" applyProtection="1">
      <alignment horizontal="center"/>
      <protection locked="0"/>
    </xf>
    <xf numFmtId="0" fontId="13" fillId="0" borderId="113" xfId="1" applyFont="1" applyBorder="1" applyAlignment="1" applyProtection="1">
      <alignment horizontal="center"/>
      <protection locked="0"/>
    </xf>
    <xf numFmtId="0" fontId="13" fillId="13" borderId="90" xfId="1" applyFont="1" applyFill="1" applyBorder="1" applyAlignment="1" applyProtection="1">
      <alignment horizontal="center"/>
      <protection locked="0"/>
    </xf>
    <xf numFmtId="0" fontId="13" fillId="12" borderId="80" xfId="1" applyFont="1" applyFill="1" applyBorder="1" applyAlignment="1" applyProtection="1">
      <alignment horizontal="center"/>
      <protection locked="0"/>
    </xf>
    <xf numFmtId="0" fontId="13" fillId="12" borderId="81" xfId="1" applyFont="1" applyFill="1" applyBorder="1" applyAlignment="1" applyProtection="1">
      <alignment horizontal="center"/>
      <protection locked="0"/>
    </xf>
    <xf numFmtId="0" fontId="13" fillId="0" borderId="80" xfId="1" applyFont="1" applyBorder="1" applyAlignment="1" applyProtection="1">
      <alignment horizontal="center"/>
      <protection locked="0"/>
    </xf>
    <xf numFmtId="0" fontId="13" fillId="0" borderId="81" xfId="1" applyFont="1" applyFill="1" applyBorder="1" applyAlignment="1" applyProtection="1">
      <alignment horizontal="center"/>
      <protection locked="0"/>
    </xf>
    <xf numFmtId="0" fontId="13" fillId="0" borderId="119" xfId="1" applyFont="1" applyFill="1" applyBorder="1" applyAlignment="1">
      <alignment horizontal="center"/>
    </xf>
    <xf numFmtId="49" fontId="13" fillId="0" borderId="114" xfId="1" applyNumberFormat="1" applyFont="1" applyBorder="1" applyAlignment="1" applyProtection="1">
      <alignment horizontal="center"/>
      <protection locked="0"/>
    </xf>
    <xf numFmtId="0" fontId="13" fillId="12" borderId="114" xfId="1" applyFont="1" applyFill="1" applyBorder="1" applyAlignment="1" applyProtection="1">
      <alignment horizontal="center"/>
      <protection locked="0"/>
    </xf>
    <xf numFmtId="0" fontId="13" fillId="13" borderId="113" xfId="1" applyFont="1" applyFill="1" applyBorder="1" applyAlignment="1" applyProtection="1">
      <alignment horizontal="center"/>
      <protection locked="0"/>
    </xf>
    <xf numFmtId="0" fontId="13" fillId="13" borderId="80" xfId="1" applyFont="1" applyFill="1" applyBorder="1" applyAlignment="1" applyProtection="1">
      <alignment horizontal="center"/>
      <protection locked="0"/>
    </xf>
    <xf numFmtId="49" fontId="13" fillId="12" borderId="90" xfId="1" applyNumberFormat="1" applyFont="1" applyFill="1" applyBorder="1" applyAlignment="1" applyProtection="1">
      <alignment horizontal="center" wrapText="1"/>
      <protection locked="0"/>
    </xf>
    <xf numFmtId="0" fontId="13" fillId="13" borderId="81" xfId="1" applyFont="1" applyFill="1" applyBorder="1" applyAlignment="1" applyProtection="1">
      <alignment horizontal="center"/>
      <protection locked="0"/>
    </xf>
    <xf numFmtId="49" fontId="13" fillId="12" borderId="114" xfId="1" applyNumberFormat="1" applyFont="1" applyFill="1" applyBorder="1" applyAlignment="1" applyProtection="1">
      <alignment horizontal="center"/>
      <protection locked="0"/>
    </xf>
    <xf numFmtId="0" fontId="13" fillId="13" borderId="112" xfId="1" applyFont="1" applyFill="1" applyBorder="1" applyAlignment="1" applyProtection="1">
      <alignment horizontal="center"/>
      <protection locked="0"/>
    </xf>
    <xf numFmtId="0" fontId="13" fillId="13" borderId="88" xfId="1" applyFont="1" applyFill="1" applyBorder="1" applyAlignment="1">
      <alignment horizontal="center"/>
    </xf>
    <xf numFmtId="0" fontId="13" fillId="12" borderId="90" xfId="1" applyFont="1" applyFill="1" applyBorder="1" applyAlignment="1" applyProtection="1">
      <alignment horizontal="center"/>
      <protection locked="0"/>
    </xf>
    <xf numFmtId="49" fontId="13" fillId="0" borderId="90" xfId="1" applyNumberFormat="1" applyFont="1" applyBorder="1" applyAlignment="1" applyProtection="1">
      <alignment horizontal="center" wrapText="1"/>
      <protection locked="0"/>
    </xf>
    <xf numFmtId="0" fontId="14" fillId="13" borderId="151" xfId="1" applyFont="1" applyFill="1" applyBorder="1" applyAlignment="1">
      <alignment horizontal="center" vertical="center"/>
    </xf>
    <xf numFmtId="0" fontId="14" fillId="13" borderId="153" xfId="1" applyFont="1" applyFill="1" applyBorder="1" applyAlignment="1">
      <alignment horizontal="center" vertical="center"/>
    </xf>
    <xf numFmtId="0" fontId="13" fillId="5" borderId="127" xfId="1" applyFont="1" applyFill="1" applyBorder="1" applyAlignment="1">
      <alignment horizontal="center"/>
    </xf>
    <xf numFmtId="0" fontId="14" fillId="13" borderId="150" xfId="1" applyFont="1" applyFill="1" applyBorder="1" applyAlignment="1">
      <alignment horizontal="center" vertical="center"/>
    </xf>
    <xf numFmtId="0" fontId="22" fillId="13" borderId="152" xfId="1" applyFont="1" applyFill="1" applyBorder="1" applyAlignment="1">
      <alignment horizontal="center" vertical="center" wrapText="1"/>
    </xf>
    <xf numFmtId="0" fontId="13" fillId="14" borderId="93" xfId="1" applyFont="1" applyFill="1" applyBorder="1" applyAlignment="1">
      <alignment horizontal="center"/>
    </xf>
    <xf numFmtId="0" fontId="13" fillId="13" borderId="114" xfId="1" applyFont="1" applyFill="1" applyBorder="1" applyAlignment="1" applyProtection="1">
      <alignment horizontal="center"/>
      <protection locked="0"/>
    </xf>
    <xf numFmtId="0" fontId="14" fillId="13" borderId="115" xfId="1" applyFont="1" applyFill="1" applyBorder="1" applyAlignment="1">
      <alignment horizontal="center" vertical="center"/>
    </xf>
    <xf numFmtId="0" fontId="14" fillId="13" borderId="101" xfId="1" applyFont="1" applyFill="1" applyBorder="1" applyAlignment="1">
      <alignment horizontal="center" vertical="center"/>
    </xf>
    <xf numFmtId="49" fontId="13" fillId="0" borderId="19" xfId="1" applyNumberFormat="1" applyFont="1" applyBorder="1" applyAlignment="1" applyProtection="1">
      <alignment horizontal="center"/>
      <protection locked="0"/>
    </xf>
    <xf numFmtId="0" fontId="13" fillId="12" borderId="18" xfId="1" applyFont="1" applyFill="1" applyBorder="1" applyAlignment="1" applyProtection="1">
      <alignment horizontal="center"/>
      <protection locked="0"/>
    </xf>
    <xf numFmtId="0" fontId="13" fillId="0" borderId="18" xfId="1" applyFont="1" applyFill="1" applyBorder="1" applyAlignment="1" applyProtection="1">
      <alignment horizontal="center"/>
      <protection locked="0"/>
    </xf>
    <xf numFmtId="0" fontId="13" fillId="0" borderId="107" xfId="1" applyFont="1" applyFill="1" applyBorder="1" applyAlignment="1" applyProtection="1">
      <alignment horizontal="center"/>
      <protection locked="0"/>
    </xf>
    <xf numFmtId="0" fontId="13" fillId="12" borderId="19" xfId="1" applyFont="1" applyFill="1" applyBorder="1" applyAlignment="1" applyProtection="1">
      <alignment horizontal="center"/>
      <protection locked="0"/>
    </xf>
    <xf numFmtId="0" fontId="13" fillId="0" borderId="32" xfId="1" applyFont="1" applyBorder="1" applyAlignment="1" applyProtection="1">
      <alignment horizontal="center"/>
      <protection locked="0"/>
    </xf>
    <xf numFmtId="0" fontId="13" fillId="5" borderId="127" xfId="1" applyFont="1" applyFill="1" applyBorder="1" applyAlignment="1">
      <alignment horizontal="center" vertical="center"/>
    </xf>
    <xf numFmtId="0" fontId="13" fillId="13" borderId="41" xfId="1" applyFont="1" applyFill="1" applyBorder="1" applyAlignment="1">
      <alignment horizontal="center"/>
    </xf>
    <xf numFmtId="1" fontId="13" fillId="12" borderId="32" xfId="1" applyNumberFormat="1" applyFont="1" applyFill="1" applyBorder="1" applyAlignment="1" applyProtection="1">
      <alignment horizontal="center"/>
      <protection locked="0"/>
    </xf>
    <xf numFmtId="0" fontId="13" fillId="12" borderId="112" xfId="1" applyFont="1" applyFill="1" applyBorder="1" applyAlignment="1" applyProtection="1">
      <alignment horizontal="center"/>
      <protection locked="0"/>
    </xf>
    <xf numFmtId="0" fontId="13" fillId="13" borderId="113" xfId="1" applyFont="1" applyFill="1" applyBorder="1" applyAlignment="1" applyProtection="1">
      <alignment horizontal="center"/>
      <protection locked="0"/>
    </xf>
    <xf numFmtId="0" fontId="13" fillId="12" borderId="113" xfId="1" applyFont="1" applyFill="1" applyBorder="1" applyAlignment="1" applyProtection="1">
      <alignment horizontal="center"/>
      <protection locked="0"/>
    </xf>
    <xf numFmtId="0" fontId="13" fillId="12" borderId="117" xfId="1" applyFont="1" applyFill="1" applyBorder="1" applyAlignment="1">
      <alignment horizontal="center"/>
    </xf>
    <xf numFmtId="49" fontId="13" fillId="12" borderId="114" xfId="1" applyNumberFormat="1" applyFont="1" applyFill="1" applyBorder="1" applyAlignment="1" applyProtection="1">
      <alignment horizontal="center"/>
      <protection locked="0"/>
    </xf>
    <xf numFmtId="0" fontId="13" fillId="13" borderId="112" xfId="1" applyFont="1" applyFill="1" applyBorder="1" applyAlignment="1" applyProtection="1">
      <alignment horizontal="center"/>
      <protection locked="0"/>
    </xf>
    <xf numFmtId="0" fontId="13" fillId="13" borderId="114" xfId="1" applyFont="1" applyFill="1" applyBorder="1" applyAlignment="1" applyProtection="1">
      <alignment horizontal="center"/>
      <protection locked="0"/>
    </xf>
    <xf numFmtId="0" fontId="13" fillId="13" borderId="42" xfId="1" applyFont="1" applyFill="1" applyBorder="1" applyAlignment="1">
      <alignment horizontal="center"/>
    </xf>
    <xf numFmtId="1" fontId="13" fillId="13" borderId="113" xfId="1" applyNumberFormat="1" applyFont="1" applyFill="1" applyBorder="1" applyAlignment="1" applyProtection="1">
      <alignment horizontal="center"/>
      <protection locked="0"/>
    </xf>
    <xf numFmtId="0" fontId="13" fillId="12" borderId="111" xfId="1" applyFont="1" applyFill="1" applyBorder="1" applyAlignment="1" applyProtection="1">
      <alignment horizontal="center"/>
      <protection locked="0"/>
    </xf>
    <xf numFmtId="0" fontId="17" fillId="21" borderId="81" xfId="1" applyFont="1" applyFill="1" applyBorder="1" applyAlignment="1">
      <alignment vertical="center"/>
    </xf>
    <xf numFmtId="0" fontId="20" fillId="4" borderId="44" xfId="1" applyFont="1" applyFill="1" applyBorder="1" applyAlignment="1">
      <alignment horizontal="center" vertical="center"/>
    </xf>
    <xf numFmtId="0" fontId="17" fillId="0" borderId="22" xfId="1" applyFont="1" applyBorder="1" applyAlignment="1">
      <alignment vertical="center"/>
    </xf>
    <xf numFmtId="0" fontId="17" fillId="0" borderId="131" xfId="1" applyFont="1" applyFill="1" applyBorder="1" applyAlignment="1">
      <alignment horizontal="center" vertical="center"/>
    </xf>
    <xf numFmtId="0" fontId="20" fillId="4" borderId="155" xfId="1" applyFont="1" applyFill="1" applyBorder="1" applyAlignment="1">
      <alignment horizontal="center" vertical="center"/>
    </xf>
    <xf numFmtId="0" fontId="17" fillId="0" borderId="0" xfId="0" applyFont="1" applyFill="1"/>
    <xf numFmtId="0" fontId="17" fillId="0" borderId="0" xfId="0" applyFont="1" applyFill="1" applyAlignment="1">
      <alignment horizontal="center"/>
    </xf>
    <xf numFmtId="0" fontId="19" fillId="8" borderId="183" xfId="0" applyFont="1" applyFill="1" applyBorder="1" applyAlignment="1">
      <alignment horizontal="center"/>
    </xf>
    <xf numFmtId="0" fontId="19" fillId="8" borderId="184" xfId="0" quotePrefix="1" applyFont="1" applyFill="1" applyBorder="1" applyAlignment="1">
      <alignment horizontal="center"/>
    </xf>
    <xf numFmtId="0" fontId="19" fillId="8" borderId="184" xfId="0" applyFont="1" applyFill="1" applyBorder="1" applyAlignment="1">
      <alignment horizontal="center"/>
    </xf>
    <xf numFmtId="0" fontId="29" fillId="0" borderId="162" xfId="0" applyFont="1" applyBorder="1" applyAlignment="1">
      <alignment horizontal="center" vertical="center"/>
    </xf>
    <xf numFmtId="0" fontId="29" fillId="0" borderId="146" xfId="0" applyFont="1" applyBorder="1" applyAlignment="1">
      <alignment horizontal="center" vertical="center"/>
    </xf>
    <xf numFmtId="0" fontId="56" fillId="0" borderId="162" xfId="0" applyFont="1" applyBorder="1" applyAlignment="1">
      <alignment horizontal="center" vertical="center"/>
    </xf>
    <xf numFmtId="0" fontId="28" fillId="15" borderId="183" xfId="0" applyFont="1" applyFill="1" applyBorder="1" applyAlignment="1">
      <alignment horizontal="center" vertical="center"/>
    </xf>
    <xf numFmtId="0" fontId="28" fillId="17" borderId="183" xfId="0" applyFont="1" applyFill="1" applyBorder="1" applyAlignment="1">
      <alignment horizontal="center" vertical="center"/>
    </xf>
    <xf numFmtId="0" fontId="14" fillId="0" borderId="184" xfId="0" applyFont="1" applyBorder="1" applyAlignment="1">
      <alignment horizontal="center" vertical="center"/>
    </xf>
    <xf numFmtId="0" fontId="14" fillId="15" borderId="184" xfId="0" applyFont="1" applyFill="1" applyBorder="1" applyAlignment="1">
      <alignment horizontal="center" vertical="center"/>
    </xf>
    <xf numFmtId="0" fontId="28" fillId="15" borderId="184" xfId="0" applyFont="1" applyFill="1" applyBorder="1" applyAlignment="1">
      <alignment horizontal="center" vertical="center"/>
    </xf>
    <xf numFmtId="0" fontId="28" fillId="17" borderId="184" xfId="0" applyFont="1" applyFill="1" applyBorder="1" applyAlignment="1">
      <alignment horizontal="center" vertical="center"/>
    </xf>
    <xf numFmtId="0" fontId="13" fillId="12" borderId="95" xfId="1" applyFont="1" applyFill="1" applyBorder="1" applyAlignment="1" applyProtection="1">
      <alignment horizontal="center"/>
      <protection locked="0"/>
    </xf>
    <xf numFmtId="49" fontId="13" fillId="0" borderId="105" xfId="1" applyNumberFormat="1" applyFont="1" applyBorder="1" applyAlignment="1" applyProtection="1">
      <alignment horizontal="center" wrapText="1"/>
      <protection locked="0"/>
    </xf>
    <xf numFmtId="0" fontId="13" fillId="12" borderId="129" xfId="1" applyFont="1" applyFill="1" applyBorder="1" applyAlignment="1" applyProtection="1">
      <alignment horizontal="center"/>
      <protection locked="0"/>
    </xf>
    <xf numFmtId="0" fontId="13" fillId="12" borderId="105" xfId="1" applyFont="1" applyFill="1" applyBorder="1" applyAlignment="1" applyProtection="1">
      <alignment horizontal="center"/>
      <protection locked="0"/>
    </xf>
    <xf numFmtId="0" fontId="13" fillId="0" borderId="95" xfId="1" applyFont="1" applyBorder="1" applyAlignment="1" applyProtection="1">
      <alignment horizontal="center"/>
      <protection locked="0"/>
    </xf>
    <xf numFmtId="0" fontId="13" fillId="0" borderId="129" xfId="1" applyFont="1" applyFill="1" applyBorder="1" applyAlignment="1" applyProtection="1">
      <alignment horizontal="center"/>
      <protection locked="0"/>
    </xf>
    <xf numFmtId="0" fontId="13" fillId="0" borderId="191" xfId="1" applyFont="1" applyFill="1" applyBorder="1" applyAlignment="1" applyProtection="1">
      <alignment horizontal="center"/>
      <protection locked="0"/>
    </xf>
    <xf numFmtId="0" fontId="13" fillId="0" borderId="163" xfId="1" applyFont="1" applyFill="1" applyBorder="1" applyAlignment="1">
      <alignment horizontal="center"/>
    </xf>
    <xf numFmtId="0" fontId="13" fillId="13" borderId="96" xfId="1" applyFont="1" applyFill="1" applyBorder="1" applyAlignment="1">
      <alignment horizontal="center"/>
    </xf>
    <xf numFmtId="0" fontId="13" fillId="6" borderId="42" xfId="1" applyFont="1" applyFill="1" applyBorder="1" applyAlignment="1">
      <alignment horizontal="center"/>
    </xf>
    <xf numFmtId="49" fontId="13" fillId="0" borderId="105" xfId="1" applyNumberFormat="1" applyFont="1" applyBorder="1" applyAlignment="1" applyProtection="1">
      <alignment horizontal="center"/>
      <protection locked="0"/>
    </xf>
    <xf numFmtId="0" fontId="57" fillId="0" borderId="0" xfId="0" applyFont="1"/>
    <xf numFmtId="49" fontId="14" fillId="59" borderId="184" xfId="0" applyNumberFormat="1" applyFont="1" applyFill="1" applyBorder="1" applyAlignment="1">
      <alignment horizontal="center" vertical="center"/>
    </xf>
    <xf numFmtId="49" fontId="14" fillId="0" borderId="184" xfId="0" applyNumberFormat="1" applyFont="1" applyBorder="1" applyAlignment="1">
      <alignment horizontal="center" vertical="center"/>
    </xf>
    <xf numFmtId="49" fontId="14" fillId="59" borderId="188" xfId="0" applyNumberFormat="1" applyFont="1" applyFill="1" applyBorder="1" applyAlignment="1">
      <alignment horizontal="center" vertical="center"/>
    </xf>
    <xf numFmtId="49" fontId="14" fillId="15" borderId="184" xfId="0" applyNumberFormat="1" applyFont="1" applyFill="1" applyBorder="1" applyAlignment="1">
      <alignment horizontal="center" vertical="center"/>
    </xf>
    <xf numFmtId="0" fontId="59" fillId="0" borderId="0" xfId="8" applyFont="1" applyAlignment="1">
      <alignment horizontal="left" wrapText="1"/>
    </xf>
    <xf numFmtId="0" fontId="1" fillId="0" borderId="0" xfId="0" applyFont="1" applyAlignment="1">
      <alignment horizontal="left" wrapText="1"/>
    </xf>
    <xf numFmtId="0" fontId="60" fillId="0" borderId="0" xfId="8" applyFont="1" applyBorder="1" applyAlignment="1">
      <alignment vertical="top" wrapText="1"/>
    </xf>
    <xf numFmtId="0" fontId="17" fillId="0" borderId="0" xfId="8" applyFont="1" applyBorder="1"/>
    <xf numFmtId="0" fontId="38" fillId="9" borderId="64" xfId="8" applyFont="1" applyFill="1" applyBorder="1" applyAlignment="1">
      <alignment horizontal="right" vertical="center" wrapText="1"/>
    </xf>
    <xf numFmtId="0" fontId="38" fillId="9" borderId="65" xfId="8" applyFont="1" applyFill="1" applyBorder="1" applyAlignment="1">
      <alignment horizontal="right" vertical="center" wrapText="1"/>
    </xf>
    <xf numFmtId="0" fontId="38" fillId="9" borderId="121" xfId="8" applyFont="1" applyFill="1" applyBorder="1" applyAlignment="1">
      <alignment horizontal="right" vertical="center" wrapText="1"/>
    </xf>
    <xf numFmtId="14" fontId="38" fillId="0" borderId="122" xfId="8" applyNumberFormat="1" applyFont="1" applyBorder="1" applyAlignment="1" applyProtection="1">
      <alignment horizontal="center" vertical="center" wrapText="1"/>
      <protection locked="0"/>
    </xf>
    <xf numFmtId="0" fontId="38" fillId="9" borderId="122" xfId="8" applyFont="1" applyFill="1" applyBorder="1" applyAlignment="1">
      <alignment horizontal="right" vertical="center" wrapText="1"/>
    </xf>
    <xf numFmtId="0" fontId="60" fillId="9" borderId="65" xfId="8" applyFont="1" applyFill="1" applyBorder="1" applyAlignment="1">
      <alignment horizontal="right" vertical="center" wrapText="1"/>
    </xf>
    <xf numFmtId="0" fontId="60" fillId="9" borderId="193" xfId="8" applyFont="1" applyFill="1" applyBorder="1" applyAlignment="1">
      <alignment horizontal="right" vertical="center" wrapText="1"/>
    </xf>
    <xf numFmtId="0" fontId="60" fillId="9" borderId="131" xfId="8" applyFont="1" applyFill="1" applyBorder="1" applyAlignment="1">
      <alignment horizontal="right" vertical="center" wrapText="1"/>
    </xf>
    <xf numFmtId="14" fontId="62" fillId="0" borderId="194" xfId="0" applyNumberFormat="1" applyFont="1" applyBorder="1" applyAlignment="1" applyProtection="1">
      <alignment horizontal="center" vertical="center" wrapText="1"/>
      <protection locked="0"/>
    </xf>
    <xf numFmtId="0" fontId="63" fillId="0" borderId="0" xfId="8" applyFont="1" applyBorder="1" applyAlignment="1" applyProtection="1">
      <alignment vertical="top" wrapText="1"/>
      <protection locked="0"/>
    </xf>
    <xf numFmtId="0" fontId="60" fillId="9" borderId="66" xfId="8" applyFont="1" applyFill="1" applyBorder="1" applyAlignment="1">
      <alignment horizontal="center" vertical="center" wrapText="1"/>
    </xf>
    <xf numFmtId="14" fontId="38" fillId="0" borderId="195" xfId="8" applyNumberFormat="1" applyFont="1" applyBorder="1" applyAlignment="1" applyProtection="1">
      <alignment horizontal="center" vertical="center" wrapText="1"/>
      <protection locked="0"/>
    </xf>
    <xf numFmtId="0" fontId="62" fillId="60" borderId="64" xfId="0" applyFont="1" applyFill="1" applyBorder="1" applyAlignment="1">
      <alignment horizontal="right" vertical="center" wrapText="1"/>
    </xf>
    <xf numFmtId="0" fontId="62" fillId="0" borderId="196" xfId="0" applyFont="1" applyBorder="1" applyAlignment="1" applyProtection="1">
      <alignment vertical="top" wrapText="1"/>
      <protection locked="0"/>
    </xf>
    <xf numFmtId="0" fontId="64" fillId="60" borderId="197" xfId="0" applyFont="1" applyFill="1" applyBorder="1" applyAlignment="1">
      <alignment horizontal="right" vertical="center" wrapText="1"/>
    </xf>
    <xf numFmtId="0" fontId="64" fillId="60" borderId="198" xfId="0" applyFont="1" applyFill="1" applyBorder="1" applyAlignment="1">
      <alignment horizontal="right" vertical="center" wrapText="1"/>
    </xf>
    <xf numFmtId="0" fontId="64" fillId="60" borderId="192" xfId="0" applyFont="1" applyFill="1" applyBorder="1" applyAlignment="1">
      <alignment horizontal="center" vertical="center" wrapText="1"/>
    </xf>
    <xf numFmtId="0" fontId="65" fillId="0" borderId="0" xfId="8" applyFont="1" applyBorder="1" applyAlignment="1" applyProtection="1">
      <alignment vertical="top" wrapText="1"/>
      <protection locked="0"/>
    </xf>
    <xf numFmtId="0" fontId="67" fillId="0" borderId="198" xfId="0" applyFont="1" applyBorder="1" applyAlignment="1" applyProtection="1">
      <alignment vertical="center" wrapText="1"/>
      <protection locked="0"/>
    </xf>
    <xf numFmtId="0" fontId="62" fillId="0" borderId="196" xfId="0" applyFont="1" applyBorder="1" applyAlignment="1" applyProtection="1">
      <alignment vertical="center" wrapText="1"/>
      <protection locked="0"/>
    </xf>
    <xf numFmtId="0" fontId="62" fillId="0" borderId="199" xfId="0" applyFont="1" applyBorder="1" applyAlignment="1" applyProtection="1">
      <alignment vertical="center" wrapText="1"/>
      <protection locked="0"/>
    </xf>
    <xf numFmtId="0" fontId="62" fillId="0" borderId="198" xfId="0" applyFont="1" applyBorder="1" applyAlignment="1" applyProtection="1">
      <alignment vertical="center" wrapText="1"/>
      <protection locked="0"/>
    </xf>
    <xf numFmtId="0" fontId="38" fillId="0" borderId="65" xfId="8" applyFont="1" applyBorder="1" applyAlignment="1" applyProtection="1">
      <alignment vertical="center" wrapText="1"/>
      <protection locked="0"/>
    </xf>
    <xf numFmtId="0" fontId="38" fillId="0" borderId="131" xfId="8" applyFont="1" applyBorder="1" applyAlignment="1" applyProtection="1">
      <alignment vertical="center" wrapText="1"/>
      <protection locked="0"/>
    </xf>
    <xf numFmtId="0" fontId="62" fillId="0" borderId="177" xfId="0" applyFont="1" applyBorder="1" applyAlignment="1" applyProtection="1">
      <alignment vertical="center" wrapText="1"/>
      <protection locked="0"/>
    </xf>
    <xf numFmtId="0" fontId="14" fillId="23" borderId="0" xfId="0" applyNumberFormat="1" applyFont="1" applyFill="1" applyBorder="1" applyAlignment="1">
      <alignment horizontal="center" vertical="center"/>
    </xf>
    <xf numFmtId="0" fontId="27" fillId="0" borderId="0" xfId="1" applyNumberFormat="1" applyFont="1" applyFill="1" applyBorder="1" applyAlignment="1">
      <alignment horizontal="center" vertical="center" shrinkToFit="1"/>
    </xf>
    <xf numFmtId="0" fontId="19" fillId="0" borderId="78" xfId="0" applyNumberFormat="1" applyFont="1" applyFill="1" applyBorder="1" applyAlignment="1">
      <alignment horizontal="center" vertical="center"/>
    </xf>
    <xf numFmtId="0" fontId="19" fillId="8" borderId="185" xfId="0" applyNumberFormat="1" applyFont="1" applyFill="1" applyBorder="1" applyAlignment="1">
      <alignment horizontal="center"/>
    </xf>
    <xf numFmtId="0" fontId="17" fillId="0" borderId="0" xfId="0" applyNumberFormat="1" applyFont="1"/>
    <xf numFmtId="0" fontId="17" fillId="0" borderId="202" xfId="1" applyFont="1" applyBorder="1"/>
    <xf numFmtId="0" fontId="20" fillId="4" borderId="160" xfId="1" applyFont="1" applyFill="1" applyBorder="1" applyAlignment="1">
      <alignment horizontal="center" vertical="center"/>
    </xf>
    <xf numFmtId="0" fontId="14" fillId="13" borderId="218" xfId="1" applyFont="1" applyFill="1" applyBorder="1" applyAlignment="1">
      <alignment horizontal="center" vertical="center" shrinkToFit="1"/>
    </xf>
    <xf numFmtId="0" fontId="14" fillId="13" borderId="219" xfId="1" applyFont="1" applyFill="1" applyBorder="1" applyAlignment="1">
      <alignment horizontal="center" vertical="center" shrinkToFit="1"/>
    </xf>
    <xf numFmtId="0" fontId="14" fillId="13" borderId="220" xfId="1" applyFont="1" applyFill="1" applyBorder="1" applyAlignment="1">
      <alignment horizontal="center" vertical="center" shrinkToFit="1"/>
    </xf>
    <xf numFmtId="0" fontId="13" fillId="5" borderId="221" xfId="1" applyFont="1" applyFill="1" applyBorder="1" applyAlignment="1">
      <alignment horizontal="center" vertical="center"/>
    </xf>
    <xf numFmtId="49" fontId="13" fillId="12" borderId="114" xfId="1" applyNumberFormat="1" applyFont="1" applyFill="1" applyBorder="1" applyAlignment="1" applyProtection="1">
      <alignment horizontal="center" wrapText="1"/>
      <protection locked="0"/>
    </xf>
    <xf numFmtId="0" fontId="14" fillId="13" borderId="222" xfId="1" applyFont="1" applyFill="1" applyBorder="1" applyAlignment="1">
      <alignment horizontal="center" vertical="center"/>
    </xf>
    <xf numFmtId="0" fontId="14" fillId="13" borderId="223" xfId="1" applyFont="1" applyFill="1" applyBorder="1" applyAlignment="1">
      <alignment horizontal="center" vertical="center" shrinkToFit="1"/>
    </xf>
    <xf numFmtId="0" fontId="14" fillId="13" borderId="224" xfId="1" applyFont="1" applyFill="1" applyBorder="1" applyAlignment="1">
      <alignment horizontal="center" vertical="center"/>
    </xf>
    <xf numFmtId="0" fontId="14" fillId="13" borderId="219" xfId="1" applyFont="1" applyFill="1" applyBorder="1" applyAlignment="1">
      <alignment horizontal="center" vertical="center"/>
    </xf>
    <xf numFmtId="0" fontId="14" fillId="13" borderId="225" xfId="1" applyFont="1" applyFill="1" applyBorder="1" applyAlignment="1">
      <alignment horizontal="center" vertical="center"/>
    </xf>
    <xf numFmtId="0" fontId="14" fillId="13" borderId="226" xfId="1" applyFont="1" applyFill="1" applyBorder="1" applyAlignment="1">
      <alignment horizontal="center" vertical="center"/>
    </xf>
    <xf numFmtId="0" fontId="14" fillId="13" borderId="227" xfId="1" applyFont="1" applyFill="1" applyBorder="1" applyAlignment="1">
      <alignment horizontal="center" vertical="center"/>
    </xf>
    <xf numFmtId="0" fontId="14" fillId="13" borderId="181" xfId="1" applyFont="1" applyFill="1" applyBorder="1" applyAlignment="1">
      <alignment horizontal="center" vertical="center"/>
    </xf>
    <xf numFmtId="0" fontId="14" fillId="13" borderId="228" xfId="1" applyFont="1" applyFill="1" applyBorder="1" applyAlignment="1">
      <alignment horizontal="center" vertical="center" shrinkToFit="1"/>
    </xf>
    <xf numFmtId="0" fontId="14" fillId="13" borderId="228" xfId="1" applyFont="1" applyFill="1" applyBorder="1" applyAlignment="1">
      <alignment horizontal="center" vertical="center"/>
    </xf>
    <xf numFmtId="0" fontId="14" fillId="13" borderId="220" xfId="1" applyFont="1" applyFill="1" applyBorder="1" applyAlignment="1">
      <alignment horizontal="center" vertical="center"/>
    </xf>
    <xf numFmtId="0" fontId="14" fillId="13" borderId="186" xfId="1" applyFont="1" applyFill="1" applyBorder="1" applyAlignment="1">
      <alignment horizontal="center" vertical="center"/>
    </xf>
    <xf numFmtId="0" fontId="14" fillId="13" borderId="229" xfId="1" applyFont="1" applyFill="1" applyBorder="1" applyAlignment="1">
      <alignment horizontal="center" vertical="center"/>
    </xf>
    <xf numFmtId="0" fontId="14" fillId="13" borderId="230" xfId="1" applyFont="1" applyFill="1" applyBorder="1" applyAlignment="1">
      <alignment horizontal="center" vertical="center"/>
    </xf>
    <xf numFmtId="0" fontId="22" fillId="13" borderId="229" xfId="1" applyFont="1" applyFill="1" applyBorder="1" applyAlignment="1">
      <alignment horizontal="center" vertical="center" wrapText="1"/>
    </xf>
    <xf numFmtId="0" fontId="14" fillId="13" borderId="231" xfId="1" applyFont="1" applyFill="1" applyBorder="1" applyAlignment="1">
      <alignment horizontal="center" vertical="center"/>
    </xf>
    <xf numFmtId="0" fontId="14" fillId="13" borderId="232" xfId="1" applyFont="1" applyFill="1" applyBorder="1" applyAlignment="1">
      <alignment horizontal="center" vertical="center"/>
    </xf>
    <xf numFmtId="0" fontId="15" fillId="0" borderId="233" xfId="0" applyFont="1" applyBorder="1" applyAlignment="1">
      <alignment shrinkToFit="1"/>
    </xf>
    <xf numFmtId="0" fontId="17" fillId="9" borderId="160" xfId="0" applyFont="1" applyFill="1" applyBorder="1" applyAlignment="1">
      <alignment horizontal="right" vertical="center" wrapText="1"/>
    </xf>
    <xf numFmtId="0" fontId="15" fillId="0" borderId="175" xfId="0" applyFont="1" applyBorder="1" applyAlignment="1">
      <alignment horizontal="center" shrinkToFit="1"/>
    </xf>
    <xf numFmtId="0" fontId="19" fillId="8" borderId="0" xfId="0" applyFont="1" applyFill="1" applyBorder="1" applyAlignment="1">
      <alignment horizontal="center" vertical="center"/>
    </xf>
    <xf numFmtId="0" fontId="19" fillId="8" borderId="162" xfId="0" applyFont="1" applyFill="1" applyBorder="1" applyAlignment="1">
      <alignment horizontal="center" vertical="center"/>
    </xf>
    <xf numFmtId="0" fontId="16" fillId="24" borderId="0" xfId="8" applyFont="1" applyFill="1" applyAlignment="1">
      <alignment horizontal="center" vertical="center" shrinkToFit="1"/>
    </xf>
    <xf numFmtId="0" fontId="19" fillId="24" borderId="0" xfId="8" applyFont="1" applyFill="1" applyBorder="1" applyAlignment="1">
      <alignment horizontal="center" vertical="center" shrinkToFit="1"/>
    </xf>
    <xf numFmtId="0" fontId="17" fillId="0" borderId="233" xfId="0" applyFont="1" applyBorder="1" applyAlignment="1" applyProtection="1">
      <alignment horizontal="center" vertical="center"/>
      <protection locked="0"/>
    </xf>
    <xf numFmtId="0" fontId="17" fillId="0" borderId="234" xfId="0" applyFont="1" applyBorder="1" applyAlignment="1" applyProtection="1">
      <alignment horizontal="center" vertical="center"/>
      <protection locked="0"/>
    </xf>
    <xf numFmtId="0" fontId="17" fillId="0" borderId="199" xfId="0" applyFont="1" applyBorder="1" applyAlignment="1" applyProtection="1">
      <alignment horizontal="center" vertical="center"/>
      <protection locked="0"/>
    </xf>
    <xf numFmtId="0" fontId="17" fillId="0" borderId="62" xfId="0" applyFont="1" applyBorder="1" applyAlignment="1" applyProtection="1">
      <alignment horizontal="center" vertical="center"/>
      <protection locked="0"/>
    </xf>
    <xf numFmtId="0" fontId="17" fillId="0" borderId="235" xfId="0" applyFont="1" applyBorder="1" applyAlignment="1" applyProtection="1">
      <alignment horizontal="center" vertical="center"/>
      <protection locked="0"/>
    </xf>
    <xf numFmtId="0" fontId="17" fillId="0" borderId="236" xfId="0" applyFont="1" applyBorder="1" applyAlignment="1" applyProtection="1">
      <alignment horizontal="center" vertical="center"/>
      <protection locked="0"/>
    </xf>
    <xf numFmtId="0" fontId="17" fillId="21" borderId="237" xfId="8" applyFont="1" applyFill="1" applyBorder="1" applyAlignment="1" applyProtection="1">
      <alignment horizontal="center" vertical="center"/>
      <protection locked="0"/>
    </xf>
    <xf numFmtId="0" fontId="17" fillId="21" borderId="238" xfId="8" applyFont="1" applyFill="1" applyBorder="1" applyAlignment="1" applyProtection="1">
      <alignment horizontal="center" vertical="center"/>
      <protection locked="0"/>
    </xf>
    <xf numFmtId="0" fontId="23" fillId="0" borderId="142" xfId="0" applyFont="1" applyBorder="1" applyAlignment="1">
      <alignment horizontal="center" vertical="center"/>
    </xf>
    <xf numFmtId="0" fontId="17" fillId="21" borderId="239" xfId="8" applyFont="1" applyFill="1" applyBorder="1" applyAlignment="1" applyProtection="1">
      <alignment horizontal="center" vertical="center"/>
      <protection locked="0"/>
    </xf>
    <xf numFmtId="0" fontId="17" fillId="21" borderId="216" xfId="8" applyFont="1" applyFill="1" applyBorder="1" applyAlignment="1" applyProtection="1">
      <alignment horizontal="center" vertical="center"/>
      <protection locked="0"/>
    </xf>
    <xf numFmtId="0" fontId="23" fillId="0" borderId="158" xfId="8" applyFont="1" applyFill="1" applyBorder="1" applyAlignment="1">
      <alignment horizontal="center" vertical="center"/>
    </xf>
    <xf numFmtId="0" fontId="17" fillId="21" borderId="10" xfId="8" applyFont="1" applyFill="1" applyBorder="1" applyAlignment="1" applyProtection="1">
      <alignment horizontal="center" vertical="center"/>
      <protection locked="0"/>
    </xf>
    <xf numFmtId="0" fontId="18" fillId="0" borderId="158" xfId="8" applyFont="1" applyFill="1" applyBorder="1" applyAlignment="1">
      <alignment horizontal="center" vertical="center" wrapText="1"/>
    </xf>
    <xf numFmtId="0" fontId="18" fillId="0" borderId="203" xfId="8" applyFont="1" applyFill="1" applyBorder="1" applyAlignment="1">
      <alignment horizontal="center" vertical="top" wrapText="1"/>
    </xf>
    <xf numFmtId="0" fontId="17" fillId="0" borderId="229" xfId="0" applyFont="1" applyBorder="1"/>
    <xf numFmtId="0" fontId="17" fillId="0" borderId="0" xfId="8" applyFont="1" applyAlignment="1"/>
    <xf numFmtId="0" fontId="17" fillId="22" borderId="101" xfId="8" applyFont="1" applyFill="1" applyBorder="1" applyAlignment="1">
      <alignment horizontal="center"/>
    </xf>
    <xf numFmtId="0" fontId="33" fillId="0" borderId="0" xfId="8" applyFont="1" applyFill="1" applyBorder="1" applyAlignment="1">
      <alignment horizontal="center" vertical="center"/>
    </xf>
    <xf numFmtId="0" fontId="40" fillId="4" borderId="95" xfId="8" applyFont="1" applyFill="1" applyBorder="1" applyAlignment="1">
      <alignment horizontal="center"/>
    </xf>
    <xf numFmtId="0" fontId="30" fillId="4" borderId="95" xfId="8" applyFont="1" applyFill="1" applyBorder="1" applyAlignment="1">
      <alignment horizontal="center" textRotation="90" wrapText="1"/>
    </xf>
    <xf numFmtId="0" fontId="30" fillId="4" borderId="103" xfId="8" applyFont="1" applyFill="1" applyBorder="1" applyAlignment="1">
      <alignment horizontal="center" textRotation="90" wrapText="1"/>
    </xf>
    <xf numFmtId="0" fontId="30" fillId="4" borderId="129" xfId="8" applyFont="1" applyFill="1" applyBorder="1" applyAlignment="1">
      <alignment horizontal="center" textRotation="90" wrapText="1"/>
    </xf>
    <xf numFmtId="0" fontId="30" fillId="4" borderId="204" xfId="8" applyFont="1" applyFill="1" applyBorder="1" applyAlignment="1">
      <alignment horizontal="center" textRotation="90" wrapText="1"/>
    </xf>
    <xf numFmtId="0" fontId="20" fillId="4" borderId="100" xfId="8" applyFont="1" applyFill="1" applyBorder="1" applyAlignment="1">
      <alignment horizontal="center" textRotation="90" wrapText="1"/>
    </xf>
    <xf numFmtId="0" fontId="30" fillId="4" borderId="98" xfId="8" applyFont="1" applyFill="1" applyBorder="1" applyAlignment="1">
      <alignment horizontal="center" textRotation="90" wrapText="1"/>
    </xf>
    <xf numFmtId="0" fontId="30" fillId="4" borderId="95" xfId="8" applyFont="1" applyFill="1" applyBorder="1" applyAlignment="1">
      <alignment horizontal="center" textRotation="90" wrapText="1" shrinkToFit="1"/>
    </xf>
    <xf numFmtId="0" fontId="30" fillId="4" borderId="129" xfId="8" applyFont="1" applyFill="1" applyBorder="1" applyAlignment="1">
      <alignment horizontal="center" textRotation="90" shrinkToFit="1"/>
    </xf>
    <xf numFmtId="0" fontId="30" fillId="4" borderId="105" xfId="8" applyFont="1" applyFill="1" applyBorder="1" applyAlignment="1">
      <alignment horizontal="center" textRotation="90" wrapText="1"/>
    </xf>
    <xf numFmtId="0" fontId="17" fillId="0" borderId="0" xfId="8" applyFont="1" applyFill="1" applyBorder="1" applyAlignment="1"/>
    <xf numFmtId="0" fontId="17" fillId="0" borderId="80" xfId="8" applyFont="1" applyFill="1" applyBorder="1" applyAlignment="1">
      <alignment horizontal="center" vertical="center" shrinkToFit="1"/>
    </xf>
    <xf numFmtId="0" fontId="17" fillId="0" borderId="178" xfId="8" applyFont="1" applyFill="1" applyBorder="1" applyAlignment="1">
      <alignment horizontal="center" vertical="center"/>
    </xf>
    <xf numFmtId="0" fontId="17" fillId="0" borderId="179" xfId="8" applyFont="1" applyFill="1" applyBorder="1" applyAlignment="1">
      <alignment horizontal="center" vertical="center"/>
    </xf>
    <xf numFmtId="0" fontId="17" fillId="0" borderId="180" xfId="8" applyFont="1" applyFill="1" applyBorder="1" applyAlignment="1">
      <alignment horizontal="center" vertical="center"/>
    </xf>
    <xf numFmtId="0" fontId="17" fillId="22" borderId="90" xfId="8" applyFont="1" applyFill="1" applyBorder="1" applyAlignment="1">
      <alignment horizontal="center" vertical="center"/>
    </xf>
    <xf numFmtId="0" fontId="17" fillId="22" borderId="88" xfId="8" applyFont="1" applyFill="1" applyBorder="1" applyAlignment="1">
      <alignment horizontal="center" vertical="center"/>
    </xf>
    <xf numFmtId="0" fontId="17" fillId="3" borderId="80" xfId="8" applyFont="1" applyFill="1" applyBorder="1" applyAlignment="1">
      <alignment horizontal="center" vertical="center"/>
    </xf>
    <xf numFmtId="0" fontId="17" fillId="22" borderId="81" xfId="8" applyFont="1" applyFill="1" applyBorder="1" applyAlignment="1">
      <alignment horizontal="center" vertical="center"/>
    </xf>
    <xf numFmtId="9" fontId="17" fillId="32" borderId="90" xfId="8" applyNumberFormat="1" applyFont="1" applyFill="1" applyBorder="1" applyAlignment="1">
      <alignment horizontal="center" vertical="center"/>
    </xf>
    <xf numFmtId="0" fontId="17" fillId="21" borderId="80" xfId="8" applyFont="1" applyFill="1" applyBorder="1" applyAlignment="1">
      <alignment horizontal="center" vertical="center" shrinkToFit="1"/>
    </xf>
    <xf numFmtId="0" fontId="17" fillId="33" borderId="178" xfId="8" applyFont="1" applyFill="1" applyBorder="1" applyAlignment="1">
      <alignment horizontal="center" vertical="center"/>
    </xf>
    <xf numFmtId="0" fontId="17" fillId="33" borderId="179" xfId="8" applyFont="1" applyFill="1" applyBorder="1" applyAlignment="1">
      <alignment horizontal="center" vertical="center"/>
    </xf>
    <xf numFmtId="0" fontId="17" fillId="33" borderId="180" xfId="8" applyFont="1" applyFill="1" applyBorder="1" applyAlignment="1">
      <alignment horizontal="center" vertical="center"/>
    </xf>
    <xf numFmtId="0" fontId="17" fillId="33" borderId="81" xfId="8" applyFont="1" applyFill="1" applyBorder="1" applyAlignment="1">
      <alignment horizontal="center" vertical="center"/>
    </xf>
    <xf numFmtId="0" fontId="17" fillId="31" borderId="90" xfId="8" applyFont="1" applyFill="1" applyBorder="1" applyAlignment="1">
      <alignment horizontal="center" vertical="center"/>
    </xf>
    <xf numFmtId="0" fontId="17" fillId="31" borderId="89" xfId="8" applyFont="1" applyFill="1" applyBorder="1" applyAlignment="1">
      <alignment horizontal="center" vertical="center"/>
    </xf>
    <xf numFmtId="0" fontId="17" fillId="21" borderId="80" xfId="8" applyFont="1" applyFill="1" applyBorder="1" applyAlignment="1">
      <alignment horizontal="center" vertical="center"/>
    </xf>
    <xf numFmtId="0" fontId="17" fillId="31" borderId="81" xfId="8" applyFont="1" applyFill="1" applyBorder="1" applyAlignment="1">
      <alignment horizontal="center" vertical="center"/>
    </xf>
    <xf numFmtId="9" fontId="17" fillId="44" borderId="90" xfId="8" applyNumberFormat="1" applyFont="1" applyFill="1" applyBorder="1" applyAlignment="1">
      <alignment horizontal="center" vertical="center"/>
    </xf>
    <xf numFmtId="0" fontId="17" fillId="0" borderId="0" xfId="8" applyFont="1" applyAlignment="1">
      <alignment vertical="center"/>
    </xf>
    <xf numFmtId="0" fontId="17" fillId="0" borderId="130" xfId="8" applyFont="1" applyFill="1" applyBorder="1" applyAlignment="1">
      <alignment horizontal="center" vertical="center" shrinkToFit="1"/>
    </xf>
    <xf numFmtId="0" fontId="23" fillId="31" borderId="96" xfId="8" applyFont="1" applyFill="1" applyBorder="1" applyAlignment="1">
      <alignment horizontal="center" vertical="center"/>
    </xf>
    <xf numFmtId="0" fontId="17" fillId="31" borderId="95" xfId="8" applyFont="1" applyFill="1" applyBorder="1" applyAlignment="1">
      <alignment horizontal="center" vertical="center"/>
    </xf>
    <xf numFmtId="0" fontId="17" fillId="31" borderId="129" xfId="8" applyFont="1" applyFill="1" applyBorder="1" applyAlignment="1">
      <alignment horizontal="center"/>
    </xf>
    <xf numFmtId="9" fontId="17" fillId="31" borderId="129" xfId="8" applyNumberFormat="1" applyFont="1" applyFill="1" applyBorder="1" applyAlignment="1">
      <alignment horizontal="center"/>
    </xf>
    <xf numFmtId="0" fontId="17" fillId="21" borderId="112" xfId="8" applyFont="1" applyFill="1" applyBorder="1" applyAlignment="1">
      <alignment horizontal="center" vertical="center" shrinkToFit="1"/>
    </xf>
    <xf numFmtId="0" fontId="23" fillId="31" borderId="110" xfId="8" applyFont="1" applyFill="1" applyBorder="1" applyAlignment="1">
      <alignment horizontal="center" vertical="center"/>
    </xf>
    <xf numFmtId="0" fontId="17" fillId="31" borderId="102" xfId="8" applyFont="1" applyFill="1" applyBorder="1" applyAlignment="1">
      <alignment horizontal="center" vertical="center"/>
    </xf>
    <xf numFmtId="0" fontId="23" fillId="31" borderId="102" xfId="8" applyFont="1" applyFill="1" applyBorder="1" applyAlignment="1">
      <alignment horizontal="center" vertical="center"/>
    </xf>
    <xf numFmtId="0" fontId="17" fillId="21" borderId="221" xfId="8" applyFont="1" applyFill="1" applyBorder="1" applyAlignment="1">
      <alignment horizontal="right" vertical="center" wrapText="1"/>
    </xf>
    <xf numFmtId="0" fontId="23" fillId="21" borderId="100" xfId="8" applyFont="1" applyFill="1" applyBorder="1" applyAlignment="1">
      <alignment horizontal="center" vertical="center"/>
    </xf>
    <xf numFmtId="0" fontId="23" fillId="21" borderId="43" xfId="8" applyFont="1" applyFill="1" applyBorder="1" applyAlignment="1">
      <alignment horizontal="center" vertical="center"/>
    </xf>
    <xf numFmtId="0" fontId="17" fillId="0" borderId="0" xfId="8" applyFont="1" applyFill="1" applyAlignment="1">
      <alignment horizontal="center"/>
    </xf>
    <xf numFmtId="0" fontId="17" fillId="34" borderId="0" xfId="8" applyFont="1" applyFill="1" applyAlignment="1">
      <alignment horizontal="center"/>
    </xf>
    <xf numFmtId="0" fontId="17" fillId="0" borderId="0" xfId="8" applyFont="1" applyFill="1"/>
    <xf numFmtId="0" fontId="17" fillId="0" borderId="204" xfId="8" applyFont="1" applyBorder="1" applyAlignment="1"/>
    <xf numFmtId="0" fontId="17" fillId="32" borderId="0" xfId="8" applyFont="1" applyFill="1" applyAlignment="1">
      <alignment horizontal="center"/>
    </xf>
    <xf numFmtId="0" fontId="17" fillId="38" borderId="0" xfId="8" applyFont="1" applyFill="1" applyAlignment="1">
      <alignment horizontal="center"/>
    </xf>
    <xf numFmtId="0" fontId="17" fillId="48" borderId="0" xfId="8" applyFont="1" applyFill="1" applyAlignment="1">
      <alignment horizontal="center" wrapText="1"/>
    </xf>
    <xf numFmtId="0" fontId="17" fillId="0" borderId="0" xfId="8" applyFont="1" applyAlignment="1">
      <alignment horizontal="center"/>
    </xf>
    <xf numFmtId="0" fontId="17" fillId="21" borderId="0" xfId="8" applyFont="1" applyFill="1" applyAlignment="1">
      <alignment horizontal="center"/>
    </xf>
    <xf numFmtId="0" fontId="17" fillId="21" borderId="173" xfId="8" applyFont="1" applyFill="1" applyBorder="1" applyAlignment="1">
      <alignment horizontal="center"/>
    </xf>
    <xf numFmtId="0" fontId="17" fillId="51" borderId="0" xfId="8" applyFont="1" applyFill="1" applyAlignment="1">
      <alignment horizontal="center"/>
    </xf>
    <xf numFmtId="0" fontId="17" fillId="8" borderId="142" xfId="8" applyFont="1" applyFill="1" applyBorder="1"/>
    <xf numFmtId="0" fontId="17" fillId="51" borderId="158" xfId="8" applyFont="1" applyFill="1" applyBorder="1" applyAlignment="1">
      <alignment horizontal="center"/>
    </xf>
    <xf numFmtId="0" fontId="17" fillId="36" borderId="0" xfId="8" applyFont="1" applyFill="1" applyAlignment="1">
      <alignment horizontal="center"/>
    </xf>
    <xf numFmtId="0" fontId="17" fillId="36" borderId="173" xfId="8" applyFont="1" applyFill="1" applyBorder="1" applyAlignment="1">
      <alignment horizontal="center"/>
    </xf>
    <xf numFmtId="0" fontId="17" fillId="52" borderId="0" xfId="8" applyFont="1" applyFill="1" applyAlignment="1">
      <alignment horizontal="center"/>
    </xf>
    <xf numFmtId="0" fontId="17" fillId="8" borderId="158" xfId="8" applyFont="1" applyFill="1" applyBorder="1"/>
    <xf numFmtId="0" fontId="17" fillId="52" borderId="158" xfId="8" applyFont="1" applyFill="1" applyBorder="1" applyAlignment="1">
      <alignment horizontal="center"/>
    </xf>
    <xf numFmtId="0" fontId="17" fillId="52" borderId="60" xfId="8" applyFont="1" applyFill="1" applyBorder="1" applyAlignment="1">
      <alignment horizontal="center"/>
    </xf>
    <xf numFmtId="0" fontId="17" fillId="62" borderId="0" xfId="8" applyFont="1" applyFill="1" applyAlignment="1">
      <alignment horizontal="center"/>
    </xf>
    <xf numFmtId="0" fontId="17" fillId="63" borderId="0" xfId="8" applyFont="1" applyFill="1" applyAlignment="1">
      <alignment horizontal="center"/>
    </xf>
    <xf numFmtId="0" fontId="17" fillId="7" borderId="0" xfId="8" applyFont="1" applyFill="1" applyAlignment="1">
      <alignment horizontal="center"/>
    </xf>
    <xf numFmtId="0" fontId="17" fillId="38" borderId="173" xfId="8" applyFont="1" applyFill="1" applyBorder="1" applyAlignment="1">
      <alignment horizontal="center"/>
    </xf>
    <xf numFmtId="0" fontId="20" fillId="53" borderId="0" xfId="8" applyFont="1" applyFill="1" applyAlignment="1">
      <alignment horizontal="center"/>
    </xf>
    <xf numFmtId="0" fontId="17" fillId="0" borderId="0" xfId="8" applyFont="1" applyAlignment="1">
      <alignment horizontal="center" wrapText="1"/>
    </xf>
    <xf numFmtId="0" fontId="17" fillId="47" borderId="0" xfId="8" applyFont="1" applyFill="1" applyAlignment="1">
      <alignment horizontal="center"/>
    </xf>
    <xf numFmtId="0" fontId="17" fillId="47" borderId="173" xfId="8" applyFont="1" applyFill="1" applyBorder="1" applyAlignment="1">
      <alignment horizontal="center"/>
    </xf>
    <xf numFmtId="0" fontId="23" fillId="0" borderId="0" xfId="0" applyFont="1"/>
    <xf numFmtId="0" fontId="22" fillId="31" borderId="129" xfId="8" applyFont="1" applyFill="1" applyBorder="1" applyAlignment="1"/>
    <xf numFmtId="9" fontId="22" fillId="31" borderId="108" xfId="8" applyNumberFormat="1" applyFont="1" applyFill="1" applyBorder="1" applyAlignment="1"/>
    <xf numFmtId="0" fontId="22" fillId="21" borderId="130" xfId="8" applyFont="1" applyFill="1" applyBorder="1" applyAlignment="1"/>
    <xf numFmtId="2" fontId="22" fillId="31" borderId="107" xfId="8" applyNumberFormat="1" applyFont="1" applyFill="1" applyBorder="1" applyAlignment="1"/>
    <xf numFmtId="0" fontId="22" fillId="31" borderId="131" xfId="8" applyFont="1" applyFill="1" applyBorder="1" applyAlignment="1"/>
    <xf numFmtId="9" fontId="22" fillId="31" borderId="84" xfId="8" applyNumberFormat="1" applyFont="1" applyFill="1" applyBorder="1" applyAlignment="1"/>
    <xf numFmtId="0" fontId="22" fillId="21" borderId="81" xfId="8" applyFont="1" applyFill="1" applyBorder="1" applyAlignment="1"/>
    <xf numFmtId="2" fontId="22" fillId="31" borderId="82" xfId="8" applyNumberFormat="1" applyFont="1" applyFill="1" applyBorder="1" applyAlignment="1"/>
    <xf numFmtId="0" fontId="22" fillId="31" borderId="22" xfId="8" applyFont="1" applyFill="1" applyBorder="1" applyAlignment="1"/>
    <xf numFmtId="9" fontId="22" fillId="31" borderId="21" xfId="8" applyNumberFormat="1" applyFont="1" applyFill="1" applyBorder="1" applyAlignment="1"/>
    <xf numFmtId="0" fontId="22" fillId="0" borderId="106" xfId="8" applyFont="1" applyBorder="1" applyAlignment="1">
      <alignment horizontal="center"/>
    </xf>
    <xf numFmtId="0" fontId="22" fillId="21" borderId="130" xfId="8" applyFont="1" applyFill="1" applyBorder="1" applyAlignment="1">
      <alignment horizontal="center"/>
    </xf>
    <xf numFmtId="0" fontId="22" fillId="0" borderId="130" xfId="8" applyFont="1" applyBorder="1" applyAlignment="1">
      <alignment horizontal="center"/>
    </xf>
    <xf numFmtId="9" fontId="22" fillId="21" borderId="130" xfId="8" applyNumberFormat="1" applyFont="1" applyFill="1" applyBorder="1" applyAlignment="1"/>
    <xf numFmtId="1" fontId="22" fillId="31" borderId="130" xfId="8" applyNumberFormat="1" applyFont="1" applyFill="1" applyBorder="1" applyAlignment="1"/>
    <xf numFmtId="2" fontId="22" fillId="31" borderId="130" xfId="8" applyNumberFormat="1" applyFont="1" applyFill="1" applyBorder="1" applyAlignment="1"/>
    <xf numFmtId="0" fontId="22" fillId="3" borderId="106" xfId="8" applyFont="1" applyFill="1" applyBorder="1" applyAlignment="1"/>
    <xf numFmtId="0" fontId="22" fillId="3" borderId="130" xfId="8" applyFont="1" applyFill="1" applyBorder="1" applyAlignment="1"/>
    <xf numFmtId="2" fontId="22" fillId="3" borderId="130" xfId="8" applyNumberFormat="1" applyFont="1" applyFill="1" applyBorder="1" applyAlignment="1">
      <alignment shrinkToFit="1"/>
    </xf>
    <xf numFmtId="1" fontId="22" fillId="3" borderId="130" xfId="8" applyNumberFormat="1" applyFont="1" applyFill="1" applyBorder="1" applyAlignment="1">
      <alignment shrinkToFit="1"/>
    </xf>
    <xf numFmtId="165" fontId="22" fillId="3" borderId="106" xfId="8" applyNumberFormat="1" applyFont="1" applyFill="1" applyBorder="1" applyAlignment="1"/>
    <xf numFmtId="165" fontId="22" fillId="3" borderId="130" xfId="8" applyNumberFormat="1" applyFont="1" applyFill="1" applyBorder="1" applyAlignment="1"/>
    <xf numFmtId="165" fontId="22" fillId="21" borderId="130" xfId="8" applyNumberFormat="1" applyFont="1" applyFill="1" applyBorder="1" applyAlignment="1"/>
    <xf numFmtId="2" fontId="22" fillId="32" borderId="130" xfId="8" applyNumberFormat="1" applyFont="1" applyFill="1" applyBorder="1" applyAlignment="1"/>
    <xf numFmtId="2" fontId="22" fillId="32" borderId="107" xfId="8" applyNumberFormat="1" applyFont="1" applyFill="1" applyBorder="1" applyAlignment="1"/>
    <xf numFmtId="2" fontId="22" fillId="32" borderId="108" xfId="8" applyNumberFormat="1" applyFont="1" applyFill="1" applyBorder="1" applyAlignment="1"/>
    <xf numFmtId="0" fontId="22" fillId="0" borderId="80" xfId="8" applyFont="1" applyBorder="1" applyAlignment="1">
      <alignment horizontal="center"/>
    </xf>
    <xf numFmtId="0" fontId="22" fillId="21" borderId="81" xfId="8" applyFont="1" applyFill="1" applyBorder="1" applyAlignment="1">
      <alignment horizontal="center"/>
    </xf>
    <xf numFmtId="0" fontId="22" fillId="0" borderId="81" xfId="8" applyFont="1" applyBorder="1" applyAlignment="1">
      <alignment horizontal="center"/>
    </xf>
    <xf numFmtId="9" fontId="22" fillId="21" borderId="81" xfId="8" applyNumberFormat="1" applyFont="1" applyFill="1" applyBorder="1" applyAlignment="1"/>
    <xf numFmtId="1" fontId="22" fillId="31" borderId="81" xfId="8" applyNumberFormat="1" applyFont="1" applyFill="1" applyBorder="1" applyAlignment="1"/>
    <xf numFmtId="2" fontId="22" fillId="31" borderId="81" xfId="8" applyNumberFormat="1" applyFont="1" applyFill="1" applyBorder="1" applyAlignment="1"/>
    <xf numFmtId="0" fontId="22" fillId="3" borderId="80" xfId="8" applyFont="1" applyFill="1" applyBorder="1" applyAlignment="1"/>
    <xf numFmtId="0" fontId="22" fillId="3" borderId="81" xfId="8" applyFont="1" applyFill="1" applyBorder="1" applyAlignment="1"/>
    <xf numFmtId="2" fontId="22" fillId="3" borderId="81" xfId="8" applyNumberFormat="1" applyFont="1" applyFill="1" applyBorder="1" applyAlignment="1">
      <alignment shrinkToFit="1"/>
    </xf>
    <xf numFmtId="1" fontId="22" fillId="3" borderId="81" xfId="8" applyNumberFormat="1" applyFont="1" applyFill="1" applyBorder="1" applyAlignment="1">
      <alignment shrinkToFit="1"/>
    </xf>
    <xf numFmtId="165" fontId="22" fillId="3" borderId="80" xfId="8" applyNumberFormat="1" applyFont="1" applyFill="1" applyBorder="1" applyAlignment="1"/>
    <xf numFmtId="165" fontId="22" fillId="3" borderId="81" xfId="8" applyNumberFormat="1" applyFont="1" applyFill="1" applyBorder="1" applyAlignment="1"/>
    <xf numFmtId="165" fontId="22" fillId="21" borderId="81" xfId="8" applyNumberFormat="1" applyFont="1" applyFill="1" applyBorder="1" applyAlignment="1"/>
    <xf numFmtId="2" fontId="22" fillId="32" borderId="81" xfId="8" applyNumberFormat="1" applyFont="1" applyFill="1" applyBorder="1" applyAlignment="1"/>
    <xf numFmtId="2" fontId="22" fillId="32" borderId="82" xfId="8" applyNumberFormat="1" applyFont="1" applyFill="1" applyBorder="1" applyAlignment="1"/>
    <xf numFmtId="2" fontId="22" fillId="32" borderId="90" xfId="8" applyNumberFormat="1" applyFont="1" applyFill="1" applyBorder="1" applyAlignment="1"/>
    <xf numFmtId="1" fontId="22" fillId="31" borderId="91" xfId="8" applyNumberFormat="1" applyFont="1" applyFill="1" applyBorder="1" applyAlignment="1"/>
    <xf numFmtId="2" fontId="22" fillId="31" borderId="91" xfId="8" applyNumberFormat="1" applyFont="1" applyFill="1" applyBorder="1" applyAlignment="1"/>
    <xf numFmtId="2" fontId="22" fillId="31" borderId="112" xfId="8" applyNumberFormat="1" applyFont="1" applyFill="1" applyBorder="1" applyAlignment="1"/>
    <xf numFmtId="0" fontId="23" fillId="21" borderId="201" xfId="8" applyFont="1" applyFill="1" applyBorder="1" applyAlignment="1">
      <alignment vertical="top" shrinkToFit="1"/>
    </xf>
    <xf numFmtId="0" fontId="23" fillId="21" borderId="203" xfId="8" applyFont="1" applyFill="1" applyBorder="1" applyAlignment="1">
      <alignment vertical="top" shrinkToFit="1"/>
    </xf>
    <xf numFmtId="0" fontId="23" fillId="21" borderId="201" xfId="8" applyFont="1" applyFill="1" applyBorder="1" applyAlignment="1">
      <alignment vertical="center" shrinkToFit="1"/>
    </xf>
    <xf numFmtId="0" fontId="23" fillId="21" borderId="203" xfId="8" applyFont="1" applyFill="1" applyBorder="1" applyAlignment="1">
      <alignment vertical="center" shrinkToFit="1"/>
    </xf>
    <xf numFmtId="0" fontId="19" fillId="8" borderId="243" xfId="0" applyFont="1" applyFill="1" applyBorder="1" applyAlignment="1">
      <alignment vertical="center"/>
    </xf>
    <xf numFmtId="0" fontId="23" fillId="8" borderId="240" xfId="0" applyFont="1" applyFill="1" applyBorder="1" applyAlignment="1">
      <alignment vertical="center"/>
    </xf>
    <xf numFmtId="0" fontId="17" fillId="44" borderId="98" xfId="8" applyFont="1" applyFill="1" applyBorder="1" applyAlignment="1"/>
    <xf numFmtId="0" fontId="17" fillId="44" borderId="204" xfId="8" applyFont="1" applyFill="1" applyBorder="1" applyAlignment="1"/>
    <xf numFmtId="0" fontId="17" fillId="64" borderId="204" xfId="8" applyFont="1" applyFill="1" applyBorder="1" applyAlignment="1"/>
    <xf numFmtId="167" fontId="66" fillId="0" borderId="65" xfId="8" applyNumberFormat="1" applyFont="1" applyBorder="1" applyAlignment="1" applyProtection="1">
      <alignment horizontal="center" vertical="center" wrapText="1"/>
      <protection locked="0"/>
    </xf>
    <xf numFmtId="0" fontId="20" fillId="4" borderId="219" xfId="1" applyFont="1" applyFill="1" applyBorder="1" applyAlignment="1">
      <alignment horizontal="center" vertical="center" wrapText="1"/>
    </xf>
    <xf numFmtId="0" fontId="17" fillId="0" borderId="0" xfId="0" applyFont="1" applyAlignment="1"/>
    <xf numFmtId="0" fontId="17" fillId="0" borderId="0" xfId="0" quotePrefix="1" applyFont="1" applyAlignment="1">
      <alignment horizontal="right"/>
    </xf>
    <xf numFmtId="0" fontId="29" fillId="0" borderId="162" xfId="0" quotePrefix="1" applyFont="1" applyBorder="1" applyAlignment="1">
      <alignment horizontal="center" vertical="center"/>
    </xf>
    <xf numFmtId="0" fontId="19" fillId="0" borderId="162" xfId="0" applyFont="1" applyFill="1" applyBorder="1" applyAlignment="1">
      <alignment horizontal="center" vertical="center"/>
    </xf>
    <xf numFmtId="0" fontId="19" fillId="0" borderId="0" xfId="0" applyFont="1" applyFill="1" applyBorder="1" applyAlignment="1">
      <alignment horizontal="center" vertical="center"/>
    </xf>
    <xf numFmtId="0" fontId="22" fillId="0" borderId="0" xfId="0" applyFont="1" applyBorder="1" applyAlignment="1">
      <alignment horizontal="left" vertical="center" wrapText="1"/>
    </xf>
    <xf numFmtId="0" fontId="22" fillId="0" borderId="202" xfId="0" applyFont="1" applyBorder="1" applyAlignment="1">
      <alignment horizontal="left" vertical="center" wrapText="1"/>
    </xf>
    <xf numFmtId="0" fontId="22" fillId="0" borderId="189" xfId="0" applyFont="1" applyBorder="1" applyAlignment="1">
      <alignment horizontal="left" vertical="center" wrapText="1"/>
    </xf>
    <xf numFmtId="0" fontId="15" fillId="0" borderId="0" xfId="0" applyFont="1" applyBorder="1" applyAlignment="1">
      <alignment vertical="center" shrinkToFit="1"/>
    </xf>
    <xf numFmtId="0" fontId="19" fillId="8" borderId="184" xfId="0" applyFont="1" applyFill="1" applyBorder="1" applyAlignment="1">
      <alignment horizontal="center"/>
    </xf>
    <xf numFmtId="0" fontId="17" fillId="21" borderId="246" xfId="8" applyFont="1" applyFill="1" applyBorder="1" applyAlignment="1" applyProtection="1">
      <alignment horizontal="center" vertical="center"/>
      <protection locked="0"/>
    </xf>
    <xf numFmtId="0" fontId="17" fillId="0" borderId="203" xfId="0" applyFont="1" applyBorder="1" applyAlignment="1">
      <alignment horizontal="left"/>
    </xf>
    <xf numFmtId="0" fontId="17" fillId="29" borderId="244" xfId="1" applyFont="1" applyFill="1" applyBorder="1" applyAlignment="1">
      <alignment horizontal="center" vertical="center"/>
    </xf>
    <xf numFmtId="0" fontId="17" fillId="29" borderId="141" xfId="1" applyFont="1" applyFill="1" applyBorder="1" applyAlignment="1">
      <alignment horizontal="center" vertical="center"/>
    </xf>
    <xf numFmtId="0" fontId="17" fillId="21" borderId="141" xfId="1" applyFont="1" applyFill="1" applyBorder="1" applyAlignment="1">
      <alignment horizontal="center" vertical="center"/>
    </xf>
    <xf numFmtId="0" fontId="17" fillId="21" borderId="141" xfId="1" applyFont="1" applyFill="1" applyBorder="1" applyAlignment="1">
      <alignment vertical="center"/>
    </xf>
    <xf numFmtId="0" fontId="17" fillId="21" borderId="143" xfId="1" applyFont="1" applyFill="1" applyBorder="1" applyAlignment="1">
      <alignment horizontal="center" vertical="center"/>
    </xf>
    <xf numFmtId="0" fontId="23" fillId="0" borderId="245" xfId="1" applyFont="1" applyBorder="1" applyAlignment="1">
      <alignment horizontal="center"/>
    </xf>
    <xf numFmtId="0" fontId="20" fillId="4" borderId="228" xfId="1" applyFont="1" applyFill="1" applyBorder="1" applyAlignment="1">
      <alignment horizontal="center" vertical="center"/>
    </xf>
    <xf numFmtId="0" fontId="28" fillId="15" borderId="247" xfId="0" applyFont="1" applyFill="1" applyBorder="1" applyAlignment="1">
      <alignment horizontal="center" vertical="center"/>
    </xf>
    <xf numFmtId="0" fontId="28" fillId="15" borderId="245" xfId="0" applyFont="1" applyFill="1" applyBorder="1" applyAlignment="1">
      <alignment horizontal="center" vertical="center"/>
    </xf>
    <xf numFmtId="0" fontId="14" fillId="0" borderId="245" xfId="0" applyFont="1" applyBorder="1" applyAlignment="1">
      <alignment horizontal="center" vertical="center"/>
    </xf>
    <xf numFmtId="49" fontId="14" fillId="59" borderId="245" xfId="0" applyNumberFormat="1" applyFont="1" applyFill="1" applyBorder="1" applyAlignment="1">
      <alignment horizontal="center" vertical="center"/>
    </xf>
    <xf numFmtId="49" fontId="14" fillId="0" borderId="245" xfId="0" applyNumberFormat="1" applyFont="1" applyBorder="1" applyAlignment="1">
      <alignment horizontal="center" vertical="center"/>
    </xf>
    <xf numFmtId="49" fontId="14" fillId="59" borderId="248" xfId="0" applyNumberFormat="1" applyFont="1" applyFill="1" applyBorder="1" applyAlignment="1">
      <alignment horizontal="center" vertical="center"/>
    </xf>
    <xf numFmtId="0" fontId="17" fillId="0" borderId="162" xfId="1" applyFont="1" applyFill="1" applyBorder="1"/>
    <xf numFmtId="0" fontId="17" fillId="21" borderId="85" xfId="1" applyFont="1" applyFill="1" applyBorder="1" applyAlignment="1">
      <alignment horizontal="center" vertical="center"/>
    </xf>
    <xf numFmtId="0" fontId="23" fillId="0" borderId="248" xfId="1" applyFont="1" applyBorder="1" applyAlignment="1">
      <alignment horizontal="center"/>
    </xf>
    <xf numFmtId="0" fontId="17" fillId="0" borderId="0" xfId="0" quotePrefix="1" applyFont="1" applyAlignment="1">
      <alignment horizontal="right" vertical="top"/>
    </xf>
    <xf numFmtId="0" fontId="26" fillId="0" borderId="0" xfId="0" applyFont="1" applyAlignment="1">
      <alignment horizontal="right"/>
    </xf>
    <xf numFmtId="0" fontId="17" fillId="0" borderId="0" xfId="1" quotePrefix="1" applyFont="1" applyAlignment="1">
      <alignment horizontal="right"/>
    </xf>
    <xf numFmtId="0" fontId="17" fillId="9" borderId="189" xfId="1" applyFont="1" applyFill="1" applyBorder="1" applyAlignment="1">
      <alignment horizontal="center" vertical="center" shrinkToFit="1"/>
    </xf>
    <xf numFmtId="0" fontId="17" fillId="9" borderId="0" xfId="1" applyFont="1" applyFill="1" applyAlignment="1">
      <alignment horizontal="center" vertical="center" shrinkToFit="1"/>
    </xf>
    <xf numFmtId="0" fontId="17" fillId="3" borderId="0" xfId="1" applyFont="1" applyFill="1" applyBorder="1" applyAlignment="1">
      <alignment horizontal="left" wrapText="1"/>
    </xf>
    <xf numFmtId="0" fontId="17" fillId="3" borderId="0" xfId="1" applyFont="1" applyFill="1" applyBorder="1" applyAlignment="1">
      <alignment horizontal="center" wrapText="1"/>
    </xf>
    <xf numFmtId="0" fontId="17" fillId="3" borderId="0" xfId="1" applyFont="1" applyFill="1" applyBorder="1" applyAlignment="1">
      <alignment wrapText="1"/>
    </xf>
    <xf numFmtId="0" fontId="17" fillId="58" borderId="0" xfId="1" applyFont="1" applyFill="1" applyBorder="1" applyAlignment="1">
      <alignment horizontal="left" wrapText="1"/>
    </xf>
    <xf numFmtId="0" fontId="17" fillId="3" borderId="0" xfId="1" applyFont="1" applyFill="1" applyBorder="1" applyAlignment="1">
      <alignment horizontal="left" vertical="center" wrapText="1"/>
    </xf>
    <xf numFmtId="0" fontId="17" fillId="0" borderId="0" xfId="1" applyFont="1" applyBorder="1" applyAlignment="1">
      <alignment horizontal="left"/>
    </xf>
    <xf numFmtId="0" fontId="17" fillId="58" borderId="0" xfId="1" applyFont="1" applyFill="1" applyBorder="1" applyAlignment="1">
      <alignment horizontal="left"/>
    </xf>
    <xf numFmtId="0" fontId="23" fillId="3" borderId="0" xfId="1" applyFont="1" applyFill="1" applyBorder="1" applyAlignment="1">
      <alignment horizontal="left" wrapText="1"/>
    </xf>
    <xf numFmtId="0" fontId="23" fillId="3" borderId="0" xfId="1" applyFont="1" applyFill="1" applyBorder="1" applyAlignment="1">
      <alignment horizontal="left"/>
    </xf>
    <xf numFmtId="0" fontId="72" fillId="8" borderId="0" xfId="0" applyFont="1" applyFill="1" applyBorder="1" applyAlignment="1">
      <alignment vertical="top" wrapText="1"/>
    </xf>
    <xf numFmtId="0" fontId="72" fillId="8" borderId="0" xfId="0" applyFont="1" applyFill="1" applyBorder="1"/>
    <xf numFmtId="0" fontId="13" fillId="12" borderId="255" xfId="1" applyFont="1" applyFill="1" applyBorder="1" applyAlignment="1" applyProtection="1">
      <alignment horizontal="center"/>
      <protection locked="0"/>
    </xf>
    <xf numFmtId="0" fontId="13" fillId="13" borderId="256" xfId="1" applyFont="1" applyFill="1" applyBorder="1" applyAlignment="1" applyProtection="1">
      <alignment horizontal="center"/>
      <protection locked="0"/>
    </xf>
    <xf numFmtId="0" fontId="13" fillId="12" borderId="256" xfId="1" applyFont="1" applyFill="1" applyBorder="1" applyAlignment="1" applyProtection="1">
      <alignment horizontal="center"/>
      <protection locked="0"/>
    </xf>
    <xf numFmtId="0" fontId="13" fillId="13" borderId="257" xfId="1" applyFont="1" applyFill="1" applyBorder="1" applyAlignment="1" applyProtection="1">
      <alignment horizontal="center"/>
      <protection locked="0"/>
    </xf>
    <xf numFmtId="0" fontId="19" fillId="19" borderId="61" xfId="1" applyFont="1" applyFill="1" applyBorder="1" applyAlignment="1">
      <alignment horizontal="center" vertical="center" shrinkToFit="1"/>
    </xf>
    <xf numFmtId="0" fontId="72" fillId="8" borderId="260" xfId="0" applyFont="1" applyFill="1" applyBorder="1"/>
    <xf numFmtId="0" fontId="71" fillId="0" borderId="262" xfId="0" applyFont="1" applyBorder="1"/>
    <xf numFmtId="168" fontId="13" fillId="0" borderId="82" xfId="1" applyNumberFormat="1" applyFont="1" applyBorder="1" applyAlignment="1" applyProtection="1">
      <alignment horizontal="center" wrapText="1"/>
      <protection locked="0"/>
    </xf>
    <xf numFmtId="168" fontId="13" fillId="12" borderId="82" xfId="1" applyNumberFormat="1" applyFont="1" applyFill="1" applyBorder="1" applyAlignment="1" applyProtection="1">
      <alignment horizontal="center" wrapText="1"/>
      <protection locked="0"/>
    </xf>
    <xf numFmtId="168" fontId="13" fillId="12" borderId="259" xfId="1" applyNumberFormat="1" applyFont="1" applyFill="1" applyBorder="1" applyAlignment="1" applyProtection="1">
      <alignment horizontal="center" wrapText="1"/>
      <protection locked="0"/>
    </xf>
    <xf numFmtId="0" fontId="71" fillId="0" borderId="258" xfId="0" applyFont="1" applyBorder="1" applyAlignment="1">
      <alignment wrapText="1"/>
    </xf>
    <xf numFmtId="167" fontId="15" fillId="11" borderId="266" xfId="1" applyNumberFormat="1" applyFont="1" applyFill="1" applyBorder="1" applyAlignment="1">
      <alignment horizontal="center" shrinkToFit="1"/>
    </xf>
    <xf numFmtId="0" fontId="17" fillId="0" borderId="0" xfId="0" applyFont="1"/>
    <xf numFmtId="0" fontId="31" fillId="21" borderId="44" xfId="3" applyFont="1" applyFill="1" applyBorder="1" applyAlignment="1">
      <alignment horizontal="center" vertical="top"/>
    </xf>
    <xf numFmtId="0" fontId="33" fillId="29" borderId="272" xfId="3" applyFont="1" applyFill="1" applyBorder="1" applyAlignment="1">
      <alignment horizontal="center"/>
    </xf>
    <xf numFmtId="0" fontId="33" fillId="21" borderId="85" xfId="3" applyFont="1" applyFill="1" applyBorder="1" applyAlignment="1">
      <alignment horizontal="center"/>
    </xf>
    <xf numFmtId="0" fontId="17" fillId="66" borderId="89" xfId="3" applyFont="1" applyFill="1" applyBorder="1" applyAlignment="1" applyProtection="1">
      <protection locked="0"/>
    </xf>
    <xf numFmtId="0" fontId="17" fillId="66" borderId="83" xfId="3" applyFont="1" applyFill="1" applyBorder="1" applyAlignment="1" applyProtection="1">
      <protection locked="0"/>
    </xf>
    <xf numFmtId="0" fontId="17" fillId="66" borderId="46" xfId="3" applyFont="1" applyFill="1" applyBorder="1" applyAlignment="1" applyProtection="1">
      <protection locked="0"/>
    </xf>
    <xf numFmtId="0" fontId="17" fillId="66" borderId="82" xfId="3" applyFont="1" applyFill="1" applyBorder="1" applyAlignment="1" applyProtection="1">
      <protection locked="0"/>
    </xf>
    <xf numFmtId="0" fontId="17" fillId="66" borderId="46" xfId="3" applyFont="1" applyFill="1" applyBorder="1" applyAlignment="1" applyProtection="1">
      <alignment shrinkToFit="1"/>
      <protection locked="0"/>
    </xf>
    <xf numFmtId="0" fontId="17" fillId="66" borderId="84" xfId="3" applyFont="1" applyFill="1" applyBorder="1" applyAlignment="1" applyProtection="1">
      <protection locked="0"/>
    </xf>
    <xf numFmtId="0" fontId="17" fillId="66" borderId="89" xfId="3" applyFont="1" applyFill="1" applyBorder="1" applyAlignment="1" applyProtection="1">
      <alignment vertical="center"/>
      <protection locked="0"/>
    </xf>
    <xf numFmtId="0" fontId="17" fillId="66" borderId="83" xfId="3" applyFont="1" applyFill="1" applyBorder="1" applyAlignment="1" applyProtection="1">
      <alignment vertical="center"/>
      <protection locked="0"/>
    </xf>
    <xf numFmtId="0" fontId="17" fillId="66" borderId="46" xfId="3" applyFont="1" applyFill="1" applyBorder="1" applyAlignment="1" applyProtection="1">
      <alignment vertical="center"/>
      <protection locked="0"/>
    </xf>
    <xf numFmtId="0" fontId="31" fillId="29" borderId="112" xfId="3" applyFont="1" applyFill="1" applyBorder="1" applyAlignment="1"/>
    <xf numFmtId="0" fontId="18" fillId="3" borderId="285" xfId="3" applyFont="1" applyFill="1" applyBorder="1" applyAlignment="1" applyProtection="1">
      <protection locked="0"/>
    </xf>
    <xf numFmtId="0" fontId="23" fillId="29" borderId="111" xfId="3" applyFont="1" applyFill="1" applyBorder="1" applyAlignment="1">
      <alignment horizontal="center" vertical="center"/>
    </xf>
    <xf numFmtId="0" fontId="17" fillId="3" borderId="290" xfId="3" applyFont="1" applyFill="1" applyBorder="1" applyAlignment="1" applyProtection="1">
      <protection locked="0"/>
    </xf>
    <xf numFmtId="0" fontId="17" fillId="3" borderId="291" xfId="3" applyFont="1" applyFill="1" applyBorder="1" applyAlignment="1" applyProtection="1">
      <protection locked="0"/>
    </xf>
    <xf numFmtId="0" fontId="18" fillId="3" borderId="294" xfId="3" applyFont="1" applyFill="1" applyBorder="1" applyAlignment="1" applyProtection="1">
      <protection locked="0"/>
    </xf>
    <xf numFmtId="0" fontId="18" fillId="3" borderId="202" xfId="3" applyFont="1" applyFill="1" applyBorder="1" applyAlignment="1" applyProtection="1">
      <protection locked="0"/>
    </xf>
    <xf numFmtId="0" fontId="18" fillId="3" borderId="263" xfId="3" applyFont="1" applyFill="1" applyBorder="1" applyAlignment="1" applyProtection="1">
      <protection locked="0"/>
    </xf>
    <xf numFmtId="0" fontId="34" fillId="66" borderId="82" xfId="3" applyFont="1" applyFill="1" applyBorder="1" applyAlignment="1" applyProtection="1">
      <protection locked="0"/>
    </xf>
    <xf numFmtId="0" fontId="34" fillId="3" borderId="82" xfId="3" applyFont="1" applyFill="1" applyBorder="1" applyAlignment="1" applyProtection="1">
      <protection locked="0"/>
    </xf>
    <xf numFmtId="0" fontId="34" fillId="3" borderId="82" xfId="3" applyFont="1" applyFill="1" applyBorder="1" applyAlignment="1" applyProtection="1">
      <alignment vertical="center"/>
      <protection locked="0"/>
    </xf>
    <xf numFmtId="0" fontId="34" fillId="66" borderId="82" xfId="3" applyFont="1" applyFill="1" applyBorder="1" applyAlignment="1" applyProtection="1">
      <alignment vertical="center"/>
      <protection locked="0"/>
    </xf>
    <xf numFmtId="0" fontId="17" fillId="66" borderId="295" xfId="3" applyFont="1" applyFill="1" applyBorder="1" applyAlignment="1" applyProtection="1">
      <protection locked="0"/>
    </xf>
    <xf numFmtId="0" fontId="17" fillId="66" borderId="10" xfId="3" applyFont="1" applyFill="1" applyBorder="1" applyAlignment="1" applyProtection="1">
      <protection locked="0"/>
    </xf>
    <xf numFmtId="0" fontId="17" fillId="66" borderId="286" xfId="3" applyFont="1" applyFill="1" applyBorder="1" applyAlignment="1" applyProtection="1">
      <protection locked="0"/>
    </xf>
    <xf numFmtId="0" fontId="34" fillId="66" borderId="111" xfId="3" applyFont="1" applyFill="1" applyBorder="1" applyAlignment="1" applyProtection="1">
      <protection locked="0"/>
    </xf>
    <xf numFmtId="0" fontId="17" fillId="66" borderId="286" xfId="3" applyFont="1" applyFill="1" applyBorder="1" applyAlignment="1" applyProtection="1">
      <alignment shrinkToFit="1"/>
      <protection locked="0"/>
    </xf>
    <xf numFmtId="0" fontId="17" fillId="66" borderId="111" xfId="3" applyFont="1" applyFill="1" applyBorder="1" applyAlignment="1" applyProtection="1">
      <protection locked="0"/>
    </xf>
    <xf numFmtId="0" fontId="17" fillId="66" borderId="11" xfId="3" applyFont="1" applyFill="1" applyBorder="1" applyAlignment="1" applyProtection="1">
      <protection locked="0"/>
    </xf>
    <xf numFmtId="0" fontId="17" fillId="0" borderId="131" xfId="3" applyFont="1" applyFill="1" applyBorder="1" applyAlignment="1" applyProtection="1">
      <alignment horizontal="center"/>
      <protection locked="0"/>
    </xf>
    <xf numFmtId="0" fontId="33" fillId="29" borderId="310" xfId="3" applyFont="1" applyFill="1" applyBorder="1" applyAlignment="1">
      <alignment horizontal="center"/>
    </xf>
    <xf numFmtId="0" fontId="33" fillId="21" borderId="317" xfId="3" applyFont="1" applyFill="1" applyBorder="1" applyAlignment="1">
      <alignment horizontal="center"/>
    </xf>
    <xf numFmtId="0" fontId="33" fillId="21" borderId="256" xfId="3" applyFont="1" applyFill="1" applyBorder="1" applyAlignment="1">
      <alignment horizontal="center"/>
    </xf>
    <xf numFmtId="0" fontId="31" fillId="29" borderId="256" xfId="3" applyFont="1" applyFill="1" applyBorder="1" applyAlignment="1">
      <alignment horizontal="center"/>
    </xf>
    <xf numFmtId="0" fontId="33" fillId="29" borderId="81" xfId="3" applyFont="1" applyFill="1" applyBorder="1" applyAlignment="1">
      <alignment horizontal="center"/>
    </xf>
    <xf numFmtId="0" fontId="34" fillId="21" borderId="256" xfId="3" applyFont="1" applyFill="1" applyBorder="1" applyAlignment="1">
      <alignment horizontal="center"/>
    </xf>
    <xf numFmtId="49" fontId="17" fillId="3" borderId="81" xfId="1" applyNumberFormat="1" applyFont="1" applyFill="1" applyBorder="1" applyAlignment="1" applyProtection="1">
      <alignment horizontal="center" wrapText="1" shrinkToFit="1"/>
      <protection locked="0"/>
    </xf>
    <xf numFmtId="0" fontId="17" fillId="3" borderId="82" xfId="9" applyFont="1" applyFill="1" applyBorder="1" applyAlignment="1" applyProtection="1">
      <alignment horizontal="left"/>
      <protection locked="0"/>
    </xf>
    <xf numFmtId="49" fontId="17" fillId="3" borderId="111" xfId="3" applyNumberFormat="1" applyFont="1" applyFill="1" applyBorder="1" applyAlignment="1" applyProtection="1">
      <alignment horizontal="center" wrapText="1" shrinkToFit="1"/>
      <protection locked="0"/>
    </xf>
    <xf numFmtId="0" fontId="34" fillId="21" borderId="320" xfId="3" applyFont="1" applyFill="1" applyBorder="1" applyAlignment="1">
      <alignment horizontal="center"/>
    </xf>
    <xf numFmtId="49" fontId="17" fillId="3" borderId="112" xfId="3" applyNumberFormat="1" applyFont="1" applyFill="1" applyBorder="1" applyAlignment="1" applyProtection="1">
      <alignment horizontal="center" wrapText="1" shrinkToFit="1"/>
      <protection locked="0"/>
    </xf>
    <xf numFmtId="0" fontId="34" fillId="21" borderId="317" xfId="3" applyFont="1" applyFill="1" applyBorder="1" applyAlignment="1">
      <alignment horizontal="center"/>
    </xf>
    <xf numFmtId="0" fontId="17" fillId="3" borderId="321" xfId="3" applyFont="1" applyFill="1" applyBorder="1" applyAlignment="1"/>
    <xf numFmtId="0" fontId="17" fillId="3" borderId="83" xfId="3" applyFont="1" applyFill="1" applyBorder="1" applyAlignment="1"/>
    <xf numFmtId="0" fontId="17" fillId="3" borderId="84" xfId="3" applyFont="1" applyFill="1" applyBorder="1" applyAlignment="1"/>
    <xf numFmtId="0" fontId="17" fillId="3" borderId="322" xfId="3" applyFont="1" applyFill="1" applyBorder="1" applyAlignment="1"/>
    <xf numFmtId="0" fontId="17" fillId="3" borderId="309" xfId="3" applyFont="1" applyFill="1" applyBorder="1" applyAlignment="1"/>
    <xf numFmtId="0" fontId="17" fillId="3" borderId="92" xfId="3" applyFont="1" applyFill="1" applyBorder="1" applyAlignment="1"/>
    <xf numFmtId="0" fontId="17" fillId="3" borderId="323" xfId="3" applyFont="1" applyFill="1" applyBorder="1" applyAlignment="1"/>
    <xf numFmtId="0" fontId="33" fillId="21" borderId="256" xfId="3" applyFont="1" applyFill="1" applyBorder="1"/>
    <xf numFmtId="0" fontId="24" fillId="21" borderId="81" xfId="3" applyFont="1" applyFill="1" applyBorder="1"/>
    <xf numFmtId="0" fontId="23" fillId="3" borderId="81" xfId="3" applyFont="1" applyFill="1" applyBorder="1" applyAlignment="1">
      <alignment horizontal="center" vertical="center"/>
    </xf>
    <xf numFmtId="0" fontId="24" fillId="21" borderId="81" xfId="3" applyFont="1" applyFill="1" applyBorder="1" applyAlignment="1">
      <alignment horizontal="center"/>
    </xf>
    <xf numFmtId="0" fontId="31" fillId="29" borderId="327" xfId="3" applyFont="1" applyFill="1" applyBorder="1" applyAlignment="1">
      <alignment horizontal="center"/>
    </xf>
    <xf numFmtId="0" fontId="33" fillId="29" borderId="333" xfId="3" applyFont="1" applyFill="1" applyBorder="1" applyAlignment="1">
      <alignment horizontal="center"/>
    </xf>
    <xf numFmtId="0" fontId="17" fillId="0" borderId="0" xfId="0" applyFont="1"/>
    <xf numFmtId="0" fontId="31" fillId="69" borderId="338" xfId="3" applyFont="1" applyFill="1" applyBorder="1" applyAlignment="1">
      <alignment horizontal="left"/>
    </xf>
    <xf numFmtId="18" fontId="17" fillId="57" borderId="339" xfId="3" applyNumberFormat="1" applyFont="1" applyFill="1" applyBorder="1" applyAlignment="1" applyProtection="1">
      <alignment vertical="center"/>
      <protection locked="0"/>
    </xf>
    <xf numFmtId="0" fontId="26" fillId="57" borderId="0" xfId="0" applyFont="1" applyFill="1" applyAlignment="1">
      <alignment horizontal="left"/>
    </xf>
    <xf numFmtId="0" fontId="17" fillId="57" borderId="0" xfId="0" applyFont="1" applyFill="1" applyAlignment="1">
      <alignment horizontal="left"/>
    </xf>
    <xf numFmtId="0" fontId="45" fillId="57" borderId="0" xfId="0" applyFont="1" applyFill="1" applyAlignment="1">
      <alignment horizontal="left" vertical="center"/>
    </xf>
    <xf numFmtId="0" fontId="17" fillId="0" borderId="0" xfId="0" applyFont="1"/>
    <xf numFmtId="0" fontId="26" fillId="0" borderId="0" xfId="0" applyFont="1"/>
    <xf numFmtId="0" fontId="31" fillId="69" borderId="337" xfId="3" applyFont="1" applyFill="1" applyBorder="1" applyAlignment="1">
      <alignment horizontal="left" vertical="center"/>
    </xf>
    <xf numFmtId="18" fontId="17" fillId="0" borderId="345" xfId="3" applyNumberFormat="1" applyFont="1" applyBorder="1" applyAlignment="1" applyProtection="1">
      <alignment vertical="center"/>
      <protection locked="0"/>
    </xf>
    <xf numFmtId="0" fontId="17" fillId="3" borderId="0" xfId="1" applyFont="1" applyFill="1" applyBorder="1" applyAlignment="1">
      <alignment horizontal="left" wrapText="1"/>
    </xf>
    <xf numFmtId="0" fontId="17" fillId="3" borderId="2" xfId="1" applyFont="1" applyFill="1" applyBorder="1" applyAlignment="1">
      <alignment horizontal="left" wrapText="1"/>
    </xf>
    <xf numFmtId="0" fontId="17" fillId="3" borderId="49" xfId="1" applyFont="1" applyFill="1" applyBorder="1" applyAlignment="1">
      <alignment horizontal="left" wrapText="1"/>
    </xf>
    <xf numFmtId="0" fontId="17" fillId="3" borderId="43" xfId="1" applyFont="1" applyFill="1" applyBorder="1" applyAlignment="1">
      <alignment horizontal="left" wrapText="1"/>
    </xf>
    <xf numFmtId="0" fontId="28" fillId="0" borderId="2" xfId="1" applyFont="1" applyFill="1" applyBorder="1" applyAlignment="1">
      <alignment horizontal="center" wrapText="1"/>
    </xf>
    <xf numFmtId="0" fontId="28" fillId="0" borderId="2" xfId="1" applyFont="1" applyFill="1" applyBorder="1" applyAlignment="1">
      <alignment horizontal="center" vertical="center" wrapText="1"/>
    </xf>
    <xf numFmtId="0" fontId="17" fillId="0" borderId="2" xfId="1" applyFont="1" applyFill="1" applyBorder="1" applyAlignment="1">
      <alignment horizontal="center"/>
    </xf>
    <xf numFmtId="14" fontId="17" fillId="0" borderId="2" xfId="1" applyNumberFormat="1" applyFont="1" applyFill="1" applyBorder="1" applyAlignment="1">
      <alignment horizontal="center"/>
    </xf>
    <xf numFmtId="0" fontId="23" fillId="58" borderId="267" xfId="1" applyFont="1" applyFill="1" applyBorder="1" applyAlignment="1">
      <alignment horizontal="left" wrapText="1"/>
    </xf>
    <xf numFmtId="0" fontId="23" fillId="58" borderId="189" xfId="1" applyFont="1" applyFill="1" applyBorder="1" applyAlignment="1">
      <alignment horizontal="left" wrapText="1"/>
    </xf>
    <xf numFmtId="0" fontId="23" fillId="58" borderId="268" xfId="1" applyFont="1" applyFill="1" applyBorder="1" applyAlignment="1">
      <alignment horizontal="left" wrapText="1"/>
    </xf>
    <xf numFmtId="14" fontId="17" fillId="57" borderId="0" xfId="1" applyNumberFormat="1" applyFont="1" applyFill="1" applyBorder="1" applyAlignment="1">
      <alignment horizontal="center"/>
    </xf>
    <xf numFmtId="14" fontId="17" fillId="57" borderId="0" xfId="1" applyNumberFormat="1" applyFont="1" applyFill="1" applyBorder="1" applyAlignment="1">
      <alignment horizontal="left" vertical="top" wrapText="1"/>
    </xf>
    <xf numFmtId="14" fontId="17" fillId="0" borderId="0" xfId="1" applyNumberFormat="1" applyFont="1" applyFill="1" applyBorder="1" applyAlignment="1">
      <alignment horizontal="center"/>
    </xf>
    <xf numFmtId="0" fontId="17" fillId="0" borderId="0" xfId="1" applyFont="1" applyBorder="1" applyAlignment="1">
      <alignment horizontal="left"/>
    </xf>
    <xf numFmtId="0" fontId="17" fillId="0" borderId="0" xfId="1" applyFont="1" applyAlignment="1">
      <alignment horizontal="left"/>
    </xf>
    <xf numFmtId="0" fontId="23" fillId="0" borderId="0" xfId="1" applyFont="1"/>
    <xf numFmtId="0" fontId="17" fillId="58" borderId="0" xfId="1" applyFont="1" applyFill="1" applyBorder="1" applyAlignment="1">
      <alignment horizontal="left"/>
    </xf>
    <xf numFmtId="0" fontId="23" fillId="3" borderId="0" xfId="1" applyFont="1" applyFill="1" applyBorder="1" applyAlignment="1">
      <alignment horizontal="left" wrapText="1"/>
    </xf>
    <xf numFmtId="49" fontId="36" fillId="58" borderId="0" xfId="1" applyNumberFormat="1" applyFont="1" applyFill="1" applyBorder="1" applyAlignment="1">
      <alignment horizontal="center" wrapText="1"/>
    </xf>
    <xf numFmtId="0" fontId="34" fillId="3" borderId="0" xfId="1" applyFont="1" applyFill="1" applyBorder="1" applyAlignment="1">
      <alignment horizontal="left" wrapText="1"/>
    </xf>
    <xf numFmtId="0" fontId="23" fillId="3" borderId="0" xfId="1" applyFont="1" applyFill="1" applyBorder="1" applyAlignment="1">
      <alignment horizontal="left"/>
    </xf>
    <xf numFmtId="0" fontId="17" fillId="3" borderId="0" xfId="1" applyFont="1" applyFill="1" applyBorder="1" applyAlignment="1">
      <alignment horizontal="center" wrapText="1"/>
    </xf>
    <xf numFmtId="0" fontId="18" fillId="57" borderId="204" xfId="1" applyFont="1" applyFill="1" applyBorder="1" applyAlignment="1">
      <alignment horizontal="left" vertical="center" wrapText="1"/>
    </xf>
    <xf numFmtId="0" fontId="17" fillId="3" borderId="0" xfId="2" applyNumberFormat="1" applyFont="1" applyFill="1" applyBorder="1" applyAlignment="1" applyProtection="1">
      <alignment horizontal="center" vertical="top" wrapText="1"/>
    </xf>
    <xf numFmtId="0" fontId="17" fillId="3" borderId="0" xfId="1" applyFont="1" applyFill="1" applyBorder="1" applyAlignment="1">
      <alignment wrapText="1"/>
    </xf>
    <xf numFmtId="0" fontId="23" fillId="22" borderId="0" xfId="1" applyFont="1" applyFill="1" applyBorder="1" applyAlignment="1">
      <alignment horizontal="left" vertical="center" wrapText="1"/>
    </xf>
    <xf numFmtId="0" fontId="23" fillId="3" borderId="49" xfId="1" applyFont="1" applyFill="1" applyBorder="1" applyAlignment="1">
      <alignment horizontal="center"/>
    </xf>
    <xf numFmtId="0" fontId="17" fillId="3" borderId="0" xfId="1" applyFont="1" applyFill="1" applyBorder="1" applyAlignment="1">
      <alignment horizontal="left" vertical="center" wrapText="1"/>
    </xf>
    <xf numFmtId="0" fontId="17" fillId="0" borderId="0" xfId="1" applyFont="1" applyAlignment="1">
      <alignment horizontal="left" wrapText="1"/>
    </xf>
    <xf numFmtId="0" fontId="17" fillId="58" borderId="0" xfId="1" applyFont="1" applyFill="1" applyBorder="1" applyAlignment="1">
      <alignment horizontal="left" wrapText="1"/>
    </xf>
    <xf numFmtId="0" fontId="17" fillId="58" borderId="0" xfId="1" applyFont="1" applyFill="1" applyBorder="1" applyAlignment="1">
      <alignment horizontal="left" vertical="top" wrapText="1"/>
    </xf>
    <xf numFmtId="0" fontId="23" fillId="0" borderId="0" xfId="1" applyFont="1" applyBorder="1" applyAlignment="1">
      <alignment horizontal="left"/>
    </xf>
    <xf numFmtId="0" fontId="45" fillId="3" borderId="0" xfId="1" applyFont="1" applyFill="1" applyBorder="1" applyAlignment="1">
      <alignment horizontal="left" wrapText="1"/>
    </xf>
    <xf numFmtId="0" fontId="17" fillId="3" borderId="93" xfId="1" applyFont="1" applyFill="1" applyBorder="1" applyAlignment="1">
      <alignment horizontal="center" vertical="center" wrapText="1"/>
    </xf>
    <xf numFmtId="0" fontId="17" fillId="3" borderId="221" xfId="1" applyFont="1" applyFill="1" applyBorder="1" applyAlignment="1">
      <alignment horizontal="center" vertical="center" wrapText="1"/>
    </xf>
    <xf numFmtId="0" fontId="17" fillId="3" borderId="205" xfId="1" applyFont="1" applyFill="1" applyBorder="1" applyAlignment="1">
      <alignment horizontal="center" vertical="center" wrapText="1"/>
    </xf>
    <xf numFmtId="0" fontId="31" fillId="3" borderId="292" xfId="3" applyFont="1" applyFill="1" applyBorder="1" applyAlignment="1" applyProtection="1">
      <alignment horizontal="left" vertical="top"/>
      <protection locked="0"/>
    </xf>
    <xf numFmtId="0" fontId="31" fillId="3" borderId="157" xfId="3" applyFont="1" applyFill="1" applyBorder="1" applyAlignment="1" applyProtection="1">
      <alignment horizontal="left" vertical="top"/>
      <protection locked="0"/>
    </xf>
    <xf numFmtId="0" fontId="31" fillId="3" borderId="293" xfId="3" applyFont="1" applyFill="1" applyBorder="1" applyAlignment="1" applyProtection="1">
      <alignment horizontal="left" vertical="top"/>
      <protection locked="0"/>
    </xf>
    <xf numFmtId="0" fontId="31" fillId="3" borderId="341" xfId="3" applyFont="1" applyFill="1" applyBorder="1" applyAlignment="1" applyProtection="1">
      <alignment horizontal="left" vertical="top"/>
      <protection locked="0"/>
    </xf>
    <xf numFmtId="0" fontId="31" fillId="3" borderId="201" xfId="3" applyFont="1" applyFill="1" applyBorder="1" applyAlignment="1" applyProtection="1">
      <alignment horizontal="left" vertical="top"/>
      <protection locked="0"/>
    </xf>
    <xf numFmtId="0" fontId="31" fillId="3" borderId="202" xfId="3" applyFont="1" applyFill="1" applyBorder="1" applyAlignment="1" applyProtection="1">
      <alignment horizontal="left" vertical="top"/>
      <protection locked="0"/>
    </xf>
    <xf numFmtId="0" fontId="31" fillId="68" borderId="287" xfId="3" applyFont="1" applyFill="1" applyBorder="1" applyAlignment="1">
      <alignment horizontal="left" vertical="center"/>
    </xf>
    <xf numFmtId="0" fontId="31" fillId="68" borderId="288" xfId="3" applyFont="1" applyFill="1" applyBorder="1" applyAlignment="1">
      <alignment horizontal="left" vertical="center"/>
    </xf>
    <xf numFmtId="0" fontId="31" fillId="21" borderId="289" xfId="3" applyFont="1" applyFill="1" applyBorder="1" applyAlignment="1">
      <alignment horizontal="right" vertical="center"/>
    </xf>
    <xf numFmtId="0" fontId="31" fillId="21" borderId="288" xfId="3" applyFont="1" applyFill="1" applyBorder="1" applyAlignment="1">
      <alignment horizontal="right" vertical="center"/>
    </xf>
    <xf numFmtId="0" fontId="48" fillId="4" borderId="330" xfId="3" applyFont="1" applyFill="1" applyBorder="1" applyAlignment="1">
      <alignment horizontal="center"/>
    </xf>
    <xf numFmtId="0" fontId="48" fillId="4" borderId="284" xfId="3" applyFont="1" applyFill="1" applyBorder="1" applyAlignment="1">
      <alignment horizontal="center"/>
    </xf>
    <xf numFmtId="0" fontId="48" fillId="4" borderId="331" xfId="3" applyFont="1" applyFill="1" applyBorder="1" applyAlignment="1">
      <alignment horizontal="center"/>
    </xf>
    <xf numFmtId="18" fontId="17" fillId="0" borderId="334" xfId="3" applyNumberFormat="1" applyFont="1" applyBorder="1" applyAlignment="1" applyProtection="1">
      <alignment horizontal="center" vertical="center"/>
      <protection locked="0"/>
    </xf>
    <xf numFmtId="18" fontId="17" fillId="0" borderId="332" xfId="3" applyNumberFormat="1" applyFont="1" applyBorder="1" applyAlignment="1" applyProtection="1">
      <alignment horizontal="center" vertical="center"/>
      <protection locked="0"/>
    </xf>
    <xf numFmtId="0" fontId="31" fillId="69" borderId="346" xfId="3" applyFont="1" applyFill="1" applyBorder="1" applyAlignment="1">
      <alignment horizontal="left" vertical="center"/>
    </xf>
    <xf numFmtId="0" fontId="31" fillId="69" borderId="342" xfId="3" applyFont="1" applyFill="1" applyBorder="1" applyAlignment="1">
      <alignment horizontal="left" vertical="center"/>
    </xf>
    <xf numFmtId="0" fontId="31" fillId="69" borderId="343" xfId="3" applyFont="1" applyFill="1" applyBorder="1" applyAlignment="1">
      <alignment horizontal="left" vertical="center"/>
    </xf>
    <xf numFmtId="0" fontId="31" fillId="69" borderId="344" xfId="3" applyFont="1" applyFill="1" applyBorder="1" applyAlignment="1">
      <alignment horizontal="left" vertical="center"/>
    </xf>
    <xf numFmtId="0" fontId="37" fillId="4" borderId="312" xfId="3" applyFont="1" applyFill="1" applyBorder="1" applyAlignment="1">
      <alignment horizontal="center"/>
    </xf>
    <xf numFmtId="0" fontId="37" fillId="4" borderId="88" xfId="3" applyFont="1" applyFill="1" applyBorder="1" applyAlignment="1">
      <alignment horizontal="center"/>
    </xf>
    <xf numFmtId="0" fontId="37" fillId="4" borderId="42" xfId="3" applyFont="1" applyFill="1" applyBorder="1" applyAlignment="1">
      <alignment horizontal="center"/>
    </xf>
    <xf numFmtId="0" fontId="37" fillId="4" borderId="313" xfId="3" applyFont="1" applyFill="1" applyBorder="1" applyAlignment="1">
      <alignment horizontal="center"/>
    </xf>
    <xf numFmtId="0" fontId="23" fillId="29" borderId="302" xfId="3" applyFont="1" applyFill="1" applyBorder="1" applyAlignment="1">
      <alignment horizontal="center"/>
    </xf>
    <xf numFmtId="0" fontId="23" fillId="29" borderId="303" xfId="3" applyFont="1" applyFill="1" applyBorder="1" applyAlignment="1">
      <alignment horizontal="center"/>
    </xf>
    <xf numFmtId="0" fontId="23" fillId="29" borderId="269" xfId="3" applyFont="1" applyFill="1" applyBorder="1" applyAlignment="1">
      <alignment horizontal="center"/>
    </xf>
    <xf numFmtId="0" fontId="23" fillId="29" borderId="314" xfId="3" applyFont="1" applyFill="1" applyBorder="1" applyAlignment="1">
      <alignment horizontal="center"/>
    </xf>
    <xf numFmtId="0" fontId="23" fillId="29" borderId="315" xfId="3" applyFont="1" applyFill="1" applyBorder="1" applyAlignment="1">
      <alignment horizontal="center"/>
    </xf>
    <xf numFmtId="0" fontId="23" fillId="29" borderId="316" xfId="3" applyFont="1" applyFill="1" applyBorder="1" applyAlignment="1">
      <alignment horizontal="center"/>
    </xf>
    <xf numFmtId="0" fontId="17" fillId="0" borderId="90" xfId="3" applyFont="1" applyBorder="1" applyAlignment="1" applyProtection="1">
      <alignment horizontal="left"/>
      <protection locked="0"/>
    </xf>
    <xf numFmtId="0" fontId="17" fillId="0" borderId="82" xfId="3" applyFont="1" applyBorder="1" applyAlignment="1" applyProtection="1">
      <alignment horizontal="left"/>
      <protection locked="0"/>
    </xf>
    <xf numFmtId="0" fontId="33" fillId="21" borderId="85" xfId="3" applyFont="1" applyFill="1" applyBorder="1" applyAlignment="1">
      <alignment horizontal="center"/>
    </xf>
    <xf numFmtId="0" fontId="33" fillId="21" borderId="80" xfId="3" applyFont="1" applyFill="1" applyBorder="1" applyAlignment="1">
      <alignment horizontal="center"/>
    </xf>
    <xf numFmtId="0" fontId="17" fillId="0" borderId="318" xfId="3" applyFont="1" applyBorder="1" applyAlignment="1" applyProtection="1">
      <alignment horizontal="left"/>
      <protection locked="0"/>
    </xf>
    <xf numFmtId="0" fontId="17" fillId="0" borderId="83" xfId="3" applyFont="1" applyBorder="1" applyAlignment="1" applyProtection="1">
      <alignment horizontal="left"/>
      <protection locked="0"/>
    </xf>
    <xf numFmtId="0" fontId="17" fillId="0" borderId="51" xfId="3" applyFont="1" applyBorder="1" applyAlignment="1" applyProtection="1">
      <alignment horizontal="left"/>
      <protection locked="0"/>
    </xf>
    <xf numFmtId="0" fontId="33" fillId="29" borderId="90" xfId="3" applyFont="1" applyFill="1" applyBorder="1" applyAlignment="1">
      <alignment horizontal="center"/>
    </xf>
    <xf numFmtId="0" fontId="33" fillId="29" borderId="82" xfId="3" applyFont="1" applyFill="1" applyBorder="1" applyAlignment="1">
      <alignment horizontal="center"/>
    </xf>
    <xf numFmtId="0" fontId="31" fillId="29" borderId="256" xfId="3" applyFont="1" applyFill="1" applyBorder="1" applyAlignment="1">
      <alignment horizontal="center"/>
    </xf>
    <xf numFmtId="0" fontId="31" fillId="29" borderId="80" xfId="3" applyFont="1" applyFill="1" applyBorder="1" applyAlignment="1">
      <alignment horizontal="center"/>
    </xf>
    <xf numFmtId="0" fontId="33" fillId="29" borderId="114" xfId="3" applyFont="1" applyFill="1" applyBorder="1" applyAlignment="1">
      <alignment horizontal="center"/>
    </xf>
    <xf numFmtId="0" fontId="33" fillId="29" borderId="319" xfId="3" applyFont="1" applyFill="1" applyBorder="1" applyAlignment="1">
      <alignment horizontal="center"/>
    </xf>
    <xf numFmtId="0" fontId="33" fillId="21" borderId="52" xfId="3" applyFont="1" applyFill="1" applyBorder="1" applyAlignment="1">
      <alignment horizontal="center"/>
    </xf>
    <xf numFmtId="0" fontId="33" fillId="21" borderId="46" xfId="3" applyFont="1" applyFill="1" applyBorder="1" applyAlignment="1">
      <alignment horizontal="center"/>
    </xf>
    <xf numFmtId="0" fontId="34" fillId="21" borderId="52" xfId="3" applyFont="1" applyFill="1" applyBorder="1" applyAlignment="1">
      <alignment horizontal="center"/>
    </xf>
    <xf numFmtId="0" fontId="34" fillId="21" borderId="46" xfId="3" applyFont="1" applyFill="1" applyBorder="1" applyAlignment="1">
      <alignment horizontal="center"/>
    </xf>
    <xf numFmtId="0" fontId="34" fillId="21" borderId="256" xfId="3" applyFont="1" applyFill="1" applyBorder="1" applyAlignment="1">
      <alignment horizontal="center"/>
    </xf>
    <xf numFmtId="0" fontId="34" fillId="21" borderId="80" xfId="3" applyFont="1" applyFill="1" applyBorder="1" applyAlignment="1">
      <alignment horizontal="center"/>
    </xf>
    <xf numFmtId="0" fontId="49" fillId="4" borderId="302" xfId="3" applyFont="1" applyFill="1" applyBorder="1" applyAlignment="1">
      <alignment horizontal="center"/>
    </xf>
    <xf numFmtId="0" fontId="49" fillId="4" borderId="303" xfId="3" applyFont="1" applyFill="1" applyBorder="1" applyAlignment="1">
      <alignment horizontal="center"/>
    </xf>
    <xf numFmtId="0" fontId="49" fillId="4" borderId="304" xfId="3" applyFont="1" applyFill="1" applyBorder="1" applyAlignment="1">
      <alignment horizontal="center"/>
    </xf>
    <xf numFmtId="0" fontId="49" fillId="4" borderId="305" xfId="3" applyFont="1" applyFill="1" applyBorder="1" applyAlignment="1">
      <alignment horizontal="center"/>
    </xf>
    <xf numFmtId="0" fontId="33" fillId="29" borderId="306" xfId="3" applyFont="1" applyFill="1" applyBorder="1" applyAlignment="1">
      <alignment horizontal="center" vertical="center"/>
    </xf>
    <xf numFmtId="0" fontId="33" fillId="29" borderId="255" xfId="3" applyFont="1" applyFill="1" applyBorder="1" applyAlignment="1">
      <alignment horizontal="center" vertical="center"/>
    </xf>
    <xf numFmtId="0" fontId="17" fillId="0" borderId="307" xfId="3" applyFont="1" applyFill="1" applyBorder="1" applyAlignment="1" applyProtection="1">
      <alignment horizontal="center"/>
      <protection locked="0"/>
    </xf>
    <xf numFmtId="0" fontId="17" fillId="0" borderId="283" xfId="3" applyFont="1" applyFill="1" applyBorder="1" applyAlignment="1" applyProtection="1">
      <alignment horizontal="center"/>
      <protection locked="0"/>
    </xf>
    <xf numFmtId="0" fontId="17" fillId="0" borderId="131" xfId="3" applyFont="1" applyFill="1" applyBorder="1" applyAlignment="1" applyProtection="1">
      <alignment horizontal="center"/>
      <protection locked="0"/>
    </xf>
    <xf numFmtId="0" fontId="17" fillId="3" borderId="270" xfId="3" applyFont="1" applyFill="1" applyBorder="1" applyAlignment="1" applyProtection="1">
      <alignment horizontal="center"/>
      <protection locked="0"/>
    </xf>
    <xf numFmtId="0" fontId="17" fillId="3" borderId="308" xfId="3" applyFont="1" applyFill="1" applyBorder="1" applyAlignment="1" applyProtection="1">
      <alignment horizontal="center"/>
      <protection locked="0"/>
    </xf>
    <xf numFmtId="0" fontId="31" fillId="21" borderId="112" xfId="3" applyFont="1" applyFill="1" applyBorder="1" applyAlignment="1">
      <alignment horizontal="center" vertical="top"/>
    </xf>
    <xf numFmtId="0" fontId="31" fillId="21" borderId="271" xfId="3" applyFont="1" applyFill="1" applyBorder="1" applyAlignment="1">
      <alignment horizontal="center" vertical="top"/>
    </xf>
    <xf numFmtId="0" fontId="31" fillId="21" borderId="111" xfId="1" applyFont="1" applyFill="1" applyBorder="1" applyAlignment="1">
      <alignment horizontal="center" vertical="top"/>
    </xf>
    <xf numFmtId="0" fontId="31" fillId="21" borderId="309" xfId="1" applyFont="1" applyFill="1" applyBorder="1" applyAlignment="1">
      <alignment horizontal="center" vertical="top"/>
    </xf>
    <xf numFmtId="167" fontId="17" fillId="0" borderId="272" xfId="3" applyNumberFormat="1" applyFont="1" applyBorder="1" applyAlignment="1" applyProtection="1">
      <alignment horizontal="center" shrinkToFit="1"/>
      <protection locked="0"/>
    </xf>
    <xf numFmtId="0" fontId="33" fillId="29" borderId="272" xfId="3" applyFont="1" applyFill="1" applyBorder="1" applyAlignment="1">
      <alignment horizontal="center"/>
    </xf>
    <xf numFmtId="164" fontId="17" fillId="0" borderId="49" xfId="3" applyNumberFormat="1" applyFont="1" applyBorder="1" applyAlignment="1" applyProtection="1">
      <alignment horizontal="center"/>
      <protection locked="0"/>
    </xf>
    <xf numFmtId="18" fontId="17" fillId="0" borderId="45" xfId="3" applyNumberFormat="1" applyFont="1" applyBorder="1" applyAlignment="1" applyProtection="1">
      <alignment horizontal="center" vertical="center"/>
      <protection locked="0"/>
    </xf>
    <xf numFmtId="18" fontId="17" fillId="0" borderId="311" xfId="3" applyNumberFormat="1" applyFont="1" applyBorder="1" applyAlignment="1" applyProtection="1">
      <alignment horizontal="center" vertical="center"/>
      <protection locked="0"/>
    </xf>
    <xf numFmtId="0" fontId="31" fillId="65" borderId="274" xfId="3" applyFont="1" applyFill="1" applyBorder="1" applyAlignment="1">
      <alignment horizontal="center" vertical="top"/>
    </xf>
    <xf numFmtId="0" fontId="31" fillId="65" borderId="275" xfId="3" applyFont="1" applyFill="1" applyBorder="1" applyAlignment="1">
      <alignment horizontal="center" vertical="top"/>
    </xf>
    <xf numFmtId="0" fontId="31" fillId="65" borderId="276" xfId="3" applyFont="1" applyFill="1" applyBorder="1" applyAlignment="1">
      <alignment horizontal="center" vertical="top"/>
    </xf>
    <xf numFmtId="0" fontId="31" fillId="65" borderId="277" xfId="3" applyFont="1" applyFill="1" applyBorder="1" applyAlignment="1">
      <alignment horizontal="center" vertical="top"/>
    </xf>
    <xf numFmtId="0" fontId="31" fillId="65" borderId="278" xfId="3" applyFont="1" applyFill="1" applyBorder="1" applyAlignment="1">
      <alignment horizontal="center" vertical="top"/>
    </xf>
    <xf numFmtId="0" fontId="31" fillId="21" borderId="280" xfId="3" applyFont="1" applyFill="1" applyBorder="1" applyAlignment="1">
      <alignment horizontal="center" vertical="top"/>
    </xf>
    <xf numFmtId="0" fontId="31" fillId="21" borderId="281" xfId="3" applyFont="1" applyFill="1" applyBorder="1" applyAlignment="1">
      <alignment horizontal="center" vertical="top"/>
    </xf>
    <xf numFmtId="0" fontId="31" fillId="21" borderId="282" xfId="3" applyFont="1" applyFill="1" applyBorder="1" applyAlignment="1">
      <alignment horizontal="center" vertical="top"/>
    </xf>
    <xf numFmtId="0" fontId="31" fillId="21" borderId="75" xfId="3" applyFont="1" applyFill="1" applyBorder="1" applyAlignment="1">
      <alignment horizontal="center" vertical="top"/>
    </xf>
    <xf numFmtId="0" fontId="31" fillId="21" borderId="216" xfId="3" applyFont="1" applyFill="1" applyBorder="1" applyAlignment="1">
      <alignment horizontal="center" vertical="top"/>
    </xf>
    <xf numFmtId="0" fontId="33" fillId="29" borderId="273" xfId="3" applyFont="1" applyFill="1" applyBorder="1" applyAlignment="1">
      <alignment horizontal="center" vertical="center" wrapText="1"/>
    </xf>
    <xf numFmtId="0" fontId="33" fillId="29" borderId="279" xfId="3" applyFont="1" applyFill="1" applyBorder="1" applyAlignment="1">
      <alignment horizontal="center" vertical="center"/>
    </xf>
    <xf numFmtId="0" fontId="34" fillId="21" borderId="320" xfId="3" applyFont="1" applyFill="1" applyBorder="1" applyAlignment="1">
      <alignment horizontal="center"/>
    </xf>
    <xf numFmtId="0" fontId="34" fillId="21" borderId="113" xfId="3" applyFont="1" applyFill="1" applyBorder="1" applyAlignment="1">
      <alignment horizontal="center"/>
    </xf>
    <xf numFmtId="0" fontId="31" fillId="29" borderId="320" xfId="3" applyFont="1" applyFill="1" applyBorder="1" applyAlignment="1">
      <alignment horizontal="left"/>
    </xf>
    <xf numFmtId="0" fontId="31" fillId="29" borderId="113" xfId="3" applyFont="1" applyFill="1" applyBorder="1" applyAlignment="1">
      <alignment horizontal="left"/>
    </xf>
    <xf numFmtId="0" fontId="31" fillId="29" borderId="320" xfId="3" applyFont="1" applyFill="1" applyBorder="1" applyAlignment="1">
      <alignment horizontal="left" shrinkToFit="1"/>
    </xf>
    <xf numFmtId="0" fontId="31" fillId="29" borderId="112" xfId="3" applyFont="1" applyFill="1" applyBorder="1" applyAlignment="1">
      <alignment horizontal="left" shrinkToFit="1"/>
    </xf>
    <xf numFmtId="0" fontId="33" fillId="29" borderId="335" xfId="3" applyFont="1" applyFill="1" applyBorder="1" applyAlignment="1">
      <alignment horizontal="center"/>
    </xf>
    <xf numFmtId="0" fontId="33" fillId="29" borderId="275" xfId="3" applyFont="1" applyFill="1" applyBorder="1" applyAlignment="1">
      <alignment horizontal="center"/>
    </xf>
    <xf numFmtId="0" fontId="33" fillId="29" borderId="336" xfId="3" applyFont="1" applyFill="1" applyBorder="1" applyAlignment="1">
      <alignment horizontal="center"/>
    </xf>
    <xf numFmtId="0" fontId="23" fillId="3" borderId="82" xfId="9" applyFont="1" applyFill="1" applyBorder="1" applyAlignment="1">
      <alignment horizontal="center" vertical="center"/>
    </xf>
    <xf numFmtId="0" fontId="23" fillId="3" borderId="322" xfId="9" applyFont="1" applyFill="1" applyBorder="1" applyAlignment="1">
      <alignment horizontal="center" vertical="center"/>
    </xf>
    <xf numFmtId="0" fontId="23" fillId="29" borderId="111" xfId="3" applyFont="1" applyFill="1" applyBorder="1" applyAlignment="1">
      <alignment horizontal="center" vertical="center"/>
    </xf>
    <xf numFmtId="0" fontId="23" fillId="29" borderId="309" xfId="3" applyFont="1" applyFill="1" applyBorder="1" applyAlignment="1">
      <alignment horizontal="center" vertical="center"/>
    </xf>
    <xf numFmtId="0" fontId="18" fillId="21" borderId="21" xfId="3" applyFont="1" applyFill="1" applyBorder="1" applyAlignment="1">
      <alignment horizontal="left"/>
    </xf>
    <xf numFmtId="0" fontId="31" fillId="29" borderId="39" xfId="3" applyFont="1" applyFill="1" applyBorder="1" applyAlignment="1">
      <alignment horizontal="center"/>
    </xf>
    <xf numFmtId="0" fontId="18" fillId="21" borderId="328" xfId="3" applyFont="1" applyFill="1" applyBorder="1" applyAlignment="1">
      <alignment horizontal="left"/>
    </xf>
    <xf numFmtId="0" fontId="33" fillId="29" borderId="329" xfId="3" applyFont="1" applyFill="1" applyBorder="1" applyAlignment="1">
      <alignment horizontal="center"/>
    </xf>
    <xf numFmtId="0" fontId="33" fillId="29" borderId="41" xfId="3" applyFont="1" applyFill="1" applyBorder="1" applyAlignment="1">
      <alignment horizontal="center"/>
    </xf>
    <xf numFmtId="0" fontId="33" fillId="29" borderId="50" xfId="3" applyFont="1" applyFill="1" applyBorder="1" applyAlignment="1">
      <alignment horizontal="center"/>
    </xf>
    <xf numFmtId="0" fontId="33" fillId="29" borderId="321" xfId="3" applyFont="1" applyFill="1" applyBorder="1" applyAlignment="1">
      <alignment horizontal="center"/>
    </xf>
    <xf numFmtId="0" fontId="31" fillId="29" borderId="46" xfId="3" applyFont="1" applyFill="1" applyBorder="1" applyAlignment="1">
      <alignment horizontal="center"/>
    </xf>
    <xf numFmtId="0" fontId="23" fillId="3" borderId="299" xfId="3" applyFont="1" applyFill="1" applyBorder="1" applyAlignment="1">
      <alignment horizontal="center" vertical="center" wrapText="1"/>
    </xf>
    <xf numFmtId="0" fontId="23" fillId="3" borderId="300" xfId="3" applyFont="1" applyFill="1" applyBorder="1" applyAlignment="1">
      <alignment horizontal="center" vertical="center" wrapText="1"/>
    </xf>
    <xf numFmtId="0" fontId="23" fillId="3" borderId="301" xfId="3" applyFont="1" applyFill="1" applyBorder="1" applyAlignment="1">
      <alignment horizontal="center" vertical="center" wrapText="1"/>
    </xf>
    <xf numFmtId="0" fontId="48" fillId="4" borderId="164" xfId="3" applyFont="1" applyFill="1" applyBorder="1" applyAlignment="1">
      <alignment horizontal="center"/>
    </xf>
    <xf numFmtId="0" fontId="48" fillId="4" borderId="325" xfId="3" applyFont="1" applyFill="1" applyBorder="1" applyAlignment="1">
      <alignment horizontal="center"/>
    </xf>
    <xf numFmtId="0" fontId="48" fillId="4" borderId="326" xfId="3" applyFont="1" applyFill="1" applyBorder="1" applyAlignment="1">
      <alignment horizontal="center"/>
    </xf>
    <xf numFmtId="0" fontId="33" fillId="29" borderId="302" xfId="3" applyFont="1" applyFill="1" applyBorder="1" applyAlignment="1">
      <alignment horizontal="center"/>
    </xf>
    <xf numFmtId="0" fontId="33" fillId="29" borderId="303" xfId="3" applyFont="1" applyFill="1" applyBorder="1" applyAlignment="1">
      <alignment horizontal="center"/>
    </xf>
    <xf numFmtId="0" fontId="33" fillId="29" borderId="270" xfId="3" applyFont="1" applyFill="1" applyBorder="1" applyAlignment="1">
      <alignment horizontal="center"/>
    </xf>
    <xf numFmtId="0" fontId="33" fillId="29" borderId="324" xfId="3" applyFont="1" applyFill="1" applyBorder="1" applyAlignment="1">
      <alignment horizontal="center"/>
    </xf>
    <xf numFmtId="0" fontId="34" fillId="21" borderId="8" xfId="3" applyFont="1" applyFill="1" applyBorder="1" applyAlignment="1">
      <alignment horizontal="center"/>
    </xf>
    <xf numFmtId="0" fontId="18" fillId="3" borderId="258" xfId="3" applyFont="1" applyFill="1" applyBorder="1" applyAlignment="1">
      <alignment horizontal="center"/>
    </xf>
    <xf numFmtId="0" fontId="18" fillId="3" borderId="202" xfId="3" applyFont="1" applyFill="1" applyBorder="1" applyAlignment="1">
      <alignment horizontal="center"/>
    </xf>
    <xf numFmtId="0" fontId="18" fillId="3" borderId="263" xfId="3" applyFont="1" applyFill="1" applyBorder="1" applyAlignment="1">
      <alignment horizontal="center"/>
    </xf>
    <xf numFmtId="0" fontId="18" fillId="3" borderId="0" xfId="3" applyFont="1" applyFill="1" applyBorder="1" applyAlignment="1">
      <alignment horizontal="center"/>
    </xf>
    <xf numFmtId="0" fontId="18" fillId="3" borderId="0" xfId="3" applyFont="1" applyFill="1" applyBorder="1" applyAlignment="1">
      <alignment horizontal="center" wrapText="1"/>
    </xf>
    <xf numFmtId="0" fontId="18" fillId="3" borderId="330" xfId="3" applyFont="1" applyFill="1" applyBorder="1" applyAlignment="1">
      <alignment horizontal="center" wrapText="1"/>
    </xf>
    <xf numFmtId="0" fontId="18" fillId="3" borderId="284" xfId="3" applyFont="1" applyFill="1" applyBorder="1" applyAlignment="1">
      <alignment horizontal="center" wrapText="1"/>
    </xf>
    <xf numFmtId="0" fontId="18" fillId="3" borderId="331" xfId="3" applyFont="1" applyFill="1" applyBorder="1" applyAlignment="1">
      <alignment horizontal="center" wrapText="1"/>
    </xf>
    <xf numFmtId="0" fontId="48" fillId="4" borderId="41" xfId="3" applyFont="1" applyFill="1" applyBorder="1" applyAlignment="1">
      <alignment horizontal="center" vertical="center"/>
    </xf>
    <xf numFmtId="0" fontId="33" fillId="29" borderId="9" xfId="3" applyFont="1" applyFill="1" applyBorder="1" applyAlignment="1">
      <alignment horizontal="center"/>
    </xf>
    <xf numFmtId="0" fontId="33" fillId="29" borderId="5" xfId="3" applyFont="1" applyFill="1" applyBorder="1" applyAlignment="1">
      <alignment horizontal="center"/>
    </xf>
    <xf numFmtId="0" fontId="33" fillId="29" borderId="20" xfId="3" applyFont="1" applyFill="1" applyBorder="1" applyAlignment="1">
      <alignment horizontal="center"/>
    </xf>
    <xf numFmtId="0" fontId="18" fillId="67" borderId="296" xfId="3" applyFont="1" applyFill="1" applyBorder="1" applyAlignment="1" applyProtection="1">
      <alignment horizontal="center"/>
      <protection locked="0"/>
    </xf>
    <xf numFmtId="0" fontId="18" fillId="67" borderId="297" xfId="3" applyFont="1" applyFill="1" applyBorder="1" applyAlignment="1" applyProtection="1">
      <alignment horizontal="center"/>
      <protection locked="0"/>
    </xf>
    <xf numFmtId="0" fontId="18" fillId="67" borderId="298" xfId="3" applyFont="1" applyFill="1" applyBorder="1" applyAlignment="1" applyProtection="1">
      <alignment horizontal="center"/>
      <protection locked="0"/>
    </xf>
    <xf numFmtId="0" fontId="15" fillId="0" borderId="147" xfId="1" applyFont="1" applyBorder="1" applyAlignment="1" applyProtection="1">
      <alignment horizontal="center" shrinkToFit="1"/>
      <protection locked="0"/>
    </xf>
    <xf numFmtId="0" fontId="15" fillId="11" borderId="147" xfId="1" applyFont="1" applyFill="1" applyBorder="1" applyAlignment="1" applyProtection="1">
      <alignment horizontal="center" shrinkToFit="1"/>
      <protection locked="0"/>
    </xf>
    <xf numFmtId="0" fontId="14" fillId="11" borderId="0" xfId="1" applyFont="1" applyFill="1" applyBorder="1" applyAlignment="1">
      <alignment horizontal="center" vertical="center" shrinkToFit="1"/>
    </xf>
    <xf numFmtId="0" fontId="14" fillId="11" borderId="49" xfId="1" applyFont="1" applyFill="1" applyBorder="1" applyAlignment="1">
      <alignment horizontal="center" vertical="center" shrinkToFit="1"/>
    </xf>
    <xf numFmtId="0" fontId="17" fillId="0" borderId="168" xfId="1" applyFont="1" applyBorder="1" applyAlignment="1">
      <alignment horizontal="center" shrinkToFit="1"/>
    </xf>
    <xf numFmtId="0" fontId="17" fillId="11" borderId="168" xfId="1" applyFont="1" applyFill="1" applyBorder="1" applyAlignment="1">
      <alignment horizontal="center" shrinkToFit="1"/>
    </xf>
    <xf numFmtId="0" fontId="13" fillId="0" borderId="147" xfId="1" applyFont="1" applyFill="1" applyBorder="1" applyAlignment="1" applyProtection="1">
      <alignment horizontal="center" shrinkToFit="1"/>
      <protection locked="0"/>
    </xf>
    <xf numFmtId="0" fontId="17" fillId="0" borderId="168" xfId="1" applyFont="1" applyFill="1" applyBorder="1" applyAlignment="1">
      <alignment horizontal="center" shrinkToFit="1"/>
    </xf>
    <xf numFmtId="0" fontId="13" fillId="0" borderId="242" xfId="1" applyFont="1" applyFill="1" applyBorder="1" applyAlignment="1" applyProtection="1">
      <alignment horizontal="center" shrinkToFit="1"/>
      <protection locked="0"/>
    </xf>
    <xf numFmtId="0" fontId="17" fillId="0" borderId="49" xfId="1" applyFont="1" applyFill="1" applyBorder="1" applyAlignment="1">
      <alignment horizontal="center" shrinkToFit="1"/>
    </xf>
    <xf numFmtId="0" fontId="23" fillId="21" borderId="200" xfId="8" applyFont="1" applyFill="1" applyBorder="1" applyAlignment="1">
      <alignment horizontal="center" vertical="top" shrinkToFit="1"/>
    </xf>
    <xf numFmtId="0" fontId="23" fillId="21" borderId="190" xfId="8" applyFont="1" applyFill="1" applyBorder="1" applyAlignment="1">
      <alignment horizontal="center" vertical="top" shrinkToFit="1"/>
    </xf>
    <xf numFmtId="0" fontId="17" fillId="25" borderId="190" xfId="0" applyFont="1" applyFill="1" applyBorder="1" applyAlignment="1">
      <alignment horizontal="center" vertical="center"/>
    </xf>
    <xf numFmtId="0" fontId="17" fillId="25" borderId="203" xfId="0" applyFont="1" applyFill="1" applyBorder="1" applyAlignment="1">
      <alignment horizontal="center" vertical="center"/>
    </xf>
    <xf numFmtId="0" fontId="17" fillId="10" borderId="201" xfId="0" applyFont="1" applyFill="1" applyBorder="1" applyAlignment="1">
      <alignment horizontal="center" vertical="center"/>
    </xf>
    <xf numFmtId="0" fontId="17" fillId="10" borderId="202" xfId="0" applyFont="1" applyFill="1" applyBorder="1" applyAlignment="1">
      <alignment horizontal="center" vertical="center"/>
    </xf>
    <xf numFmtId="0" fontId="17" fillId="10" borderId="203" xfId="0" applyFont="1" applyFill="1" applyBorder="1" applyAlignment="1">
      <alignment horizontal="center" vertical="center"/>
    </xf>
    <xf numFmtId="0" fontId="17" fillId="25" borderId="189" xfId="0" applyFont="1" applyFill="1" applyBorder="1" applyAlignment="1">
      <alignment horizontal="center" vertical="center"/>
    </xf>
    <xf numFmtId="0" fontId="17" fillId="25" borderId="202" xfId="0" applyFont="1" applyFill="1" applyBorder="1" applyAlignment="1">
      <alignment horizontal="center" vertical="center"/>
    </xf>
    <xf numFmtId="0" fontId="17" fillId="0" borderId="200" xfId="0" applyFont="1" applyBorder="1" applyAlignment="1">
      <alignment horizontal="center" vertical="center"/>
    </xf>
    <xf numFmtId="0" fontId="17" fillId="0" borderId="189" xfId="0" applyFont="1" applyBorder="1" applyAlignment="1">
      <alignment horizontal="center" vertical="center"/>
    </xf>
    <xf numFmtId="0" fontId="17" fillId="0" borderId="190" xfId="0" applyFont="1" applyBorder="1" applyAlignment="1">
      <alignment horizontal="center" vertical="center"/>
    </xf>
    <xf numFmtId="0" fontId="17" fillId="25" borderId="142" xfId="0" applyFont="1" applyFill="1" applyBorder="1" applyAlignment="1">
      <alignment horizontal="center" vertical="center"/>
    </xf>
    <xf numFmtId="0" fontId="17" fillId="25" borderId="60" xfId="0" applyFont="1" applyFill="1" applyBorder="1" applyAlignment="1">
      <alignment horizontal="center" vertical="center"/>
    </xf>
    <xf numFmtId="0" fontId="19" fillId="8" borderId="189" xfId="0" applyFont="1" applyFill="1" applyBorder="1" applyAlignment="1">
      <alignment horizontal="center" vertical="center"/>
    </xf>
    <xf numFmtId="0" fontId="19" fillId="8" borderId="190" xfId="0" applyFont="1" applyFill="1" applyBorder="1" applyAlignment="1">
      <alignment horizontal="center" vertical="center"/>
    </xf>
    <xf numFmtId="0" fontId="19" fillId="8" borderId="202" xfId="0" applyFont="1" applyFill="1" applyBorder="1" applyAlignment="1">
      <alignment horizontal="center" vertical="center"/>
    </xf>
    <xf numFmtId="0" fontId="19" fillId="8" borderId="203" xfId="0" applyFont="1" applyFill="1" applyBorder="1" applyAlignment="1">
      <alignment horizontal="center" vertical="center"/>
    </xf>
    <xf numFmtId="0" fontId="15" fillId="20" borderId="142" xfId="0" applyFont="1" applyFill="1" applyBorder="1" applyAlignment="1">
      <alignment horizontal="center" vertical="center"/>
    </xf>
    <xf numFmtId="0" fontId="15" fillId="20" borderId="158" xfId="0" applyFont="1" applyFill="1" applyBorder="1" applyAlignment="1">
      <alignment horizontal="center" vertical="center"/>
    </xf>
    <xf numFmtId="0" fontId="17" fillId="0" borderId="162" xfId="0" applyFont="1" applyBorder="1" applyAlignment="1">
      <alignment horizontal="center" vertical="center"/>
    </xf>
    <xf numFmtId="0" fontId="17" fillId="0" borderId="0" xfId="0" applyFont="1" applyBorder="1" applyAlignment="1">
      <alignment horizontal="center" vertical="center"/>
    </xf>
    <xf numFmtId="0" fontId="17" fillId="0" borderId="61" xfId="0" applyFont="1" applyBorder="1" applyAlignment="1">
      <alignment horizontal="center" vertical="center"/>
    </xf>
    <xf numFmtId="0" fontId="29" fillId="22" borderId="140" xfId="8" applyFont="1" applyFill="1" applyBorder="1" applyAlignment="1">
      <alignment horizontal="center" vertical="center" wrapText="1" shrinkToFit="1"/>
    </xf>
    <xf numFmtId="0" fontId="29" fillId="22" borderId="162" xfId="8" applyFont="1" applyFill="1" applyBorder="1" applyAlignment="1">
      <alignment horizontal="center" vertical="center" wrapText="1" shrinkToFit="1"/>
    </xf>
    <xf numFmtId="0" fontId="17" fillId="10" borderId="162" xfId="0" applyFont="1" applyFill="1" applyBorder="1" applyAlignment="1">
      <alignment horizontal="center" vertical="center"/>
    </xf>
    <xf numFmtId="0" fontId="17" fillId="10" borderId="0" xfId="0" applyFont="1" applyFill="1" applyBorder="1" applyAlignment="1">
      <alignment horizontal="center" vertical="center"/>
    </xf>
    <xf numFmtId="0" fontId="17" fillId="10" borderId="61" xfId="0" applyFont="1" applyFill="1" applyBorder="1" applyAlignment="1">
      <alignment horizontal="center" vertical="center"/>
    </xf>
    <xf numFmtId="0" fontId="29" fillId="22" borderId="144" xfId="8" applyFont="1" applyFill="1" applyBorder="1" applyAlignment="1">
      <alignment horizontal="center" vertical="center" wrapText="1" shrinkToFit="1"/>
    </xf>
    <xf numFmtId="0" fontId="29" fillId="22" borderId="164" xfId="8" applyFont="1" applyFill="1" applyBorder="1" applyAlignment="1">
      <alignment horizontal="center" vertical="center" wrapText="1" shrinkToFit="1"/>
    </xf>
    <xf numFmtId="0" fontId="15" fillId="0" borderId="142" xfId="0" applyFont="1" applyBorder="1" applyAlignment="1">
      <alignment horizontal="center" vertical="center"/>
    </xf>
    <xf numFmtId="0" fontId="15" fillId="0" borderId="60" xfId="0" applyFont="1" applyBorder="1" applyAlignment="1">
      <alignment horizontal="center" vertical="center"/>
    </xf>
    <xf numFmtId="0" fontId="29" fillId="21" borderId="128" xfId="8" applyFont="1" applyFill="1" applyBorder="1" applyAlignment="1">
      <alignment horizontal="center" vertical="center" wrapText="1" shrinkToFit="1"/>
    </xf>
    <xf numFmtId="0" fontId="29" fillId="21" borderId="165" xfId="8" applyFont="1" applyFill="1" applyBorder="1" applyAlignment="1">
      <alignment horizontal="center" vertical="center" wrapText="1" shrinkToFit="1"/>
    </xf>
    <xf numFmtId="0" fontId="29" fillId="21" borderId="69" xfId="8" applyFont="1" applyFill="1" applyBorder="1" applyAlignment="1">
      <alignment horizontal="center" vertical="center" wrapText="1" shrinkToFit="1"/>
    </xf>
    <xf numFmtId="0" fontId="15" fillId="20" borderId="60" xfId="0" applyFont="1" applyFill="1" applyBorder="1" applyAlignment="1">
      <alignment horizontal="center" vertical="center"/>
    </xf>
    <xf numFmtId="0" fontId="29" fillId="22" borderId="70" xfId="8" applyFont="1" applyFill="1" applyBorder="1" applyAlignment="1">
      <alignment horizontal="center" vertical="center" wrapText="1" shrinkToFit="1"/>
    </xf>
    <xf numFmtId="0" fontId="29" fillId="22" borderId="145" xfId="8" applyFont="1" applyFill="1" applyBorder="1" applyAlignment="1">
      <alignment horizontal="center" vertical="center" wrapText="1" shrinkToFit="1"/>
    </xf>
    <xf numFmtId="0" fontId="13" fillId="0" borderId="182" xfId="0" applyFont="1" applyFill="1" applyBorder="1" applyAlignment="1" applyProtection="1">
      <alignment horizontal="center" shrinkToFit="1"/>
      <protection locked="0"/>
    </xf>
    <xf numFmtId="0" fontId="17" fillId="0" borderId="0" xfId="8" applyFont="1" applyFill="1" applyBorder="1" applyAlignment="1">
      <alignment horizontal="center" vertical="center" shrinkToFit="1"/>
    </xf>
    <xf numFmtId="0" fontId="17" fillId="20" borderId="157" xfId="8" applyFont="1" applyFill="1" applyBorder="1" applyAlignment="1">
      <alignment horizontal="center" vertical="center" shrinkToFit="1"/>
    </xf>
    <xf numFmtId="0" fontId="17" fillId="0" borderId="0" xfId="8" applyFont="1" applyFill="1" applyBorder="1" applyAlignment="1">
      <alignment horizontal="center" vertical="top" shrinkToFit="1"/>
    </xf>
    <xf numFmtId="0" fontId="17" fillId="0" borderId="157" xfId="8" applyFont="1" applyFill="1" applyBorder="1" applyAlignment="1">
      <alignment horizontal="center" vertical="center" shrinkToFit="1"/>
    </xf>
    <xf numFmtId="0" fontId="29" fillId="21" borderId="150" xfId="8" applyFont="1" applyFill="1" applyBorder="1" applyAlignment="1">
      <alignment horizontal="center" vertical="center" wrapText="1" shrinkToFit="1"/>
    </xf>
    <xf numFmtId="0" fontId="15" fillId="0" borderId="182" xfId="0" applyFont="1" applyFill="1" applyBorder="1" applyAlignment="1" applyProtection="1">
      <alignment horizontal="center" shrinkToFit="1"/>
      <protection locked="0"/>
    </xf>
    <xf numFmtId="0" fontId="14" fillId="20" borderId="0" xfId="8" applyFont="1" applyFill="1" applyBorder="1" applyAlignment="1">
      <alignment horizontal="center" vertical="center" shrinkToFit="1"/>
    </xf>
    <xf numFmtId="0" fontId="29" fillId="21" borderId="142" xfId="8" applyFont="1" applyFill="1" applyBorder="1" applyAlignment="1">
      <alignment horizontal="center" vertical="center" wrapText="1" shrinkToFit="1"/>
    </xf>
    <xf numFmtId="0" fontId="19" fillId="8" borderId="0" xfId="0" applyFont="1" applyFill="1" applyBorder="1" applyAlignment="1">
      <alignment horizontal="center" vertical="center"/>
    </xf>
    <xf numFmtId="167" fontId="15" fillId="20" borderId="182" xfId="0" applyNumberFormat="1" applyFont="1" applyFill="1" applyBorder="1" applyAlignment="1">
      <alignment horizontal="center" shrinkToFit="1"/>
    </xf>
    <xf numFmtId="0" fontId="13" fillId="0" borderId="182" xfId="0" applyFont="1" applyFill="1" applyBorder="1" applyAlignment="1">
      <alignment horizontal="center" shrinkToFit="1"/>
    </xf>
    <xf numFmtId="0" fontId="17" fillId="0" borderId="78" xfId="0" applyFont="1" applyFill="1" applyBorder="1" applyAlignment="1">
      <alignment horizontal="center" vertical="center"/>
    </xf>
    <xf numFmtId="0" fontId="17" fillId="15" borderId="78" xfId="0" applyFont="1" applyFill="1" applyBorder="1" applyAlignment="1">
      <alignment horizontal="center" vertical="center"/>
    </xf>
    <xf numFmtId="0" fontId="14" fillId="15" borderId="0" xfId="0" applyFont="1" applyFill="1" applyBorder="1" applyAlignment="1">
      <alignment horizontal="center" vertical="center" shrinkToFit="1"/>
    </xf>
    <xf numFmtId="0" fontId="14" fillId="15" borderId="78" xfId="0" applyFont="1" applyFill="1" applyBorder="1" applyAlignment="1">
      <alignment horizontal="center" vertical="center" shrinkToFit="1"/>
    </xf>
    <xf numFmtId="0" fontId="15" fillId="0" borderId="182" xfId="0" applyFont="1" applyFill="1" applyBorder="1" applyAlignment="1">
      <alignment horizontal="center"/>
    </xf>
    <xf numFmtId="167" fontId="15" fillId="15" borderId="182" xfId="0" applyNumberFormat="1" applyFont="1" applyFill="1" applyBorder="1" applyAlignment="1">
      <alignment horizontal="center" shrinkToFit="1"/>
    </xf>
    <xf numFmtId="0" fontId="19" fillId="8" borderId="184" xfId="0" applyFont="1" applyFill="1" applyBorder="1" applyAlignment="1">
      <alignment horizontal="center"/>
    </xf>
    <xf numFmtId="0" fontId="27" fillId="26" borderId="0" xfId="1" applyFont="1" applyFill="1" applyBorder="1" applyAlignment="1">
      <alignment horizontal="center" vertical="center" shrinkToFit="1"/>
    </xf>
    <xf numFmtId="0" fontId="19" fillId="26" borderId="78" xfId="0" applyFont="1" applyFill="1" applyBorder="1" applyAlignment="1">
      <alignment horizontal="center" vertical="center"/>
    </xf>
    <xf numFmtId="0" fontId="57" fillId="0" borderId="189" xfId="1" applyFont="1" applyFill="1" applyBorder="1" applyAlignment="1"/>
    <xf numFmtId="0" fontId="19" fillId="8" borderId="185" xfId="0" applyFont="1" applyFill="1" applyBorder="1" applyAlignment="1">
      <alignment horizontal="center"/>
    </xf>
    <xf numFmtId="0" fontId="19" fillId="8" borderId="189" xfId="0" applyFont="1" applyFill="1" applyBorder="1" applyAlignment="1">
      <alignment horizontal="center"/>
    </xf>
    <xf numFmtId="0" fontId="19" fillId="8" borderId="190" xfId="0" applyFont="1" applyFill="1" applyBorder="1" applyAlignment="1">
      <alignment horizontal="center"/>
    </xf>
    <xf numFmtId="0" fontId="19" fillId="8" borderId="186" xfId="0" applyFont="1" applyFill="1" applyBorder="1" applyAlignment="1">
      <alignment horizontal="center"/>
    </xf>
    <xf numFmtId="0" fontId="19" fillId="8" borderId="187" xfId="0" applyFont="1" applyFill="1" applyBorder="1" applyAlignment="1">
      <alignment horizontal="center"/>
    </xf>
    <xf numFmtId="0" fontId="63" fillId="0" borderId="121" xfId="8" applyFont="1" applyBorder="1" applyAlignment="1" applyProtection="1">
      <alignment vertical="top" wrapText="1"/>
      <protection locked="0"/>
    </xf>
    <xf numFmtId="0" fontId="63" fillId="0" borderId="122" xfId="8" applyFont="1" applyBorder="1" applyAlignment="1" applyProtection="1">
      <alignment vertical="top" wrapText="1"/>
      <protection locked="0"/>
    </xf>
    <xf numFmtId="0" fontId="63" fillId="0" borderId="123" xfId="8" applyFont="1" applyBorder="1" applyAlignment="1" applyProtection="1">
      <alignment vertical="top" wrapText="1"/>
      <protection locked="0"/>
    </xf>
    <xf numFmtId="0" fontId="61" fillId="0" borderId="196" xfId="0" applyFont="1" applyBorder="1" applyAlignment="1" applyProtection="1">
      <alignment vertical="center" wrapText="1"/>
      <protection locked="0"/>
    </xf>
    <xf numFmtId="0" fontId="61" fillId="0" borderId="192" xfId="0" applyFont="1" applyBorder="1" applyAlignment="1" applyProtection="1">
      <alignment vertical="center" wrapText="1"/>
      <protection locked="0"/>
    </xf>
    <xf numFmtId="0" fontId="61" fillId="0" borderId="53" xfId="0" applyFont="1" applyBorder="1" applyAlignment="1" applyProtection="1">
      <alignment vertical="center" wrapText="1"/>
      <protection locked="0"/>
    </xf>
    <xf numFmtId="0" fontId="61" fillId="0" borderId="55" xfId="0" applyFont="1" applyBorder="1" applyAlignment="1" applyProtection="1">
      <alignment vertical="center" wrapText="1"/>
      <protection locked="0"/>
    </xf>
    <xf numFmtId="0" fontId="15" fillId="0" borderId="0" xfId="8" applyFont="1" applyAlignment="1">
      <alignment horizontal="left" wrapText="1"/>
    </xf>
    <xf numFmtId="0" fontId="58" fillId="0" borderId="0" xfId="0" applyFont="1" applyAlignment="1">
      <alignment horizontal="left" wrapText="1"/>
    </xf>
    <xf numFmtId="0" fontId="38" fillId="0" borderId="65" xfId="8" applyFont="1" applyBorder="1" applyAlignment="1" applyProtection="1">
      <alignment horizontal="center" vertical="center" wrapText="1"/>
      <protection locked="0"/>
    </xf>
    <xf numFmtId="0" fontId="38" fillId="0" borderId="66" xfId="8" applyFont="1" applyBorder="1" applyAlignment="1" applyProtection="1">
      <alignment horizontal="center" vertical="center" wrapText="1"/>
      <protection locked="0"/>
    </xf>
    <xf numFmtId="0" fontId="38" fillId="0" borderId="122" xfId="8" applyFont="1" applyBorder="1" applyAlignment="1" applyProtection="1">
      <alignment horizontal="center" vertical="center" wrapText="1"/>
      <protection locked="0"/>
    </xf>
    <xf numFmtId="0" fontId="38" fillId="0" borderId="123" xfId="8" applyFont="1" applyBorder="1" applyAlignment="1" applyProtection="1">
      <alignment horizontal="center" vertical="center" wrapText="1"/>
      <protection locked="0"/>
    </xf>
    <xf numFmtId="0" fontId="60" fillId="0" borderId="0" xfId="8" applyFont="1" applyBorder="1" applyAlignment="1">
      <alignment horizontal="left" vertical="center" wrapText="1"/>
    </xf>
    <xf numFmtId="0" fontId="1" fillId="0" borderId="0" xfId="0" applyFont="1" applyBorder="1" applyAlignment="1">
      <alignment vertical="center" wrapText="1"/>
    </xf>
    <xf numFmtId="0" fontId="22" fillId="31" borderId="36" xfId="1" applyFont="1" applyFill="1" applyBorder="1" applyAlignment="1">
      <alignment horizontal="center" vertical="center"/>
    </xf>
    <xf numFmtId="0" fontId="22" fillId="31" borderId="38" xfId="1" applyFont="1" applyFill="1" applyBorder="1" applyAlignment="1">
      <alignment horizontal="center" vertical="center"/>
    </xf>
    <xf numFmtId="0" fontId="22" fillId="31" borderId="89" xfId="8" applyFont="1" applyFill="1" applyBorder="1" applyAlignment="1">
      <alignment horizontal="center"/>
    </xf>
    <xf numFmtId="0" fontId="22" fillId="31" borderId="84" xfId="8" applyFont="1" applyFill="1" applyBorder="1" applyAlignment="1">
      <alignment horizontal="center"/>
    </xf>
    <xf numFmtId="0" fontId="22" fillId="31" borderId="40" xfId="8" applyFont="1" applyFill="1" applyBorder="1" applyAlignment="1">
      <alignment horizontal="center"/>
    </xf>
    <xf numFmtId="0" fontId="22" fillId="31" borderId="13" xfId="8" applyFont="1" applyFill="1" applyBorder="1" applyAlignment="1">
      <alignment horizontal="center"/>
    </xf>
    <xf numFmtId="0" fontId="21" fillId="4" borderId="36" xfId="1" applyFont="1" applyFill="1" applyBorder="1" applyAlignment="1">
      <alignment horizontal="center" vertical="center" textRotation="90" wrapText="1"/>
    </xf>
    <xf numFmtId="0" fontId="21" fillId="4" borderId="38" xfId="1" applyFont="1" applyFill="1" applyBorder="1" applyAlignment="1">
      <alignment horizontal="center" vertical="center" textRotation="90" wrapText="1"/>
    </xf>
    <xf numFmtId="0" fontId="22" fillId="31" borderId="109" xfId="8" applyFont="1" applyFill="1" applyBorder="1" applyAlignment="1">
      <alignment horizontal="center"/>
    </xf>
    <xf numFmtId="0" fontId="22" fillId="31" borderId="56" xfId="8" applyFont="1" applyFill="1" applyBorder="1" applyAlignment="1">
      <alignment horizontal="center"/>
    </xf>
    <xf numFmtId="0" fontId="39" fillId="0" borderId="0" xfId="1" applyFont="1" applyBorder="1" applyAlignment="1">
      <alignment horizontal="center" vertical="center"/>
    </xf>
    <xf numFmtId="0" fontId="17" fillId="0" borderId="0" xfId="1" applyFont="1" applyBorder="1" applyAlignment="1">
      <alignment horizontal="center"/>
    </xf>
    <xf numFmtId="167" fontId="17" fillId="0" borderId="49" xfId="1" applyNumberFormat="1" applyFont="1" applyBorder="1" applyAlignment="1">
      <alignment horizontal="center"/>
    </xf>
    <xf numFmtId="0" fontId="21" fillId="4" borderId="37" xfId="1" applyFont="1" applyFill="1" applyBorder="1" applyAlignment="1">
      <alignment horizontal="center"/>
    </xf>
    <xf numFmtId="0" fontId="20" fillId="4" borderId="37" xfId="1" applyFont="1" applyFill="1" applyBorder="1" applyAlignment="1">
      <alignment horizontal="center"/>
    </xf>
    <xf numFmtId="0" fontId="22" fillId="31" borderId="25" xfId="1" applyFont="1" applyFill="1" applyBorder="1" applyAlignment="1">
      <alignment horizontal="center" vertical="center"/>
    </xf>
    <xf numFmtId="0" fontId="22" fillId="31" borderId="93" xfId="8" applyFont="1" applyFill="1" applyBorder="1" applyAlignment="1">
      <alignment horizontal="center" vertical="center"/>
    </xf>
    <xf numFmtId="0" fontId="31" fillId="31" borderId="221" xfId="8" applyFont="1" applyFill="1" applyBorder="1" applyAlignment="1">
      <alignment horizontal="center" vertical="center" wrapText="1"/>
    </xf>
    <xf numFmtId="0" fontId="31" fillId="31" borderId="205" xfId="8" applyFont="1" applyFill="1" applyBorder="1" applyAlignment="1">
      <alignment horizontal="center" vertical="center" wrapText="1"/>
    </xf>
    <xf numFmtId="0" fontId="17" fillId="21" borderId="204" xfId="8" applyFont="1" applyFill="1" applyBorder="1" applyAlignment="1">
      <alignment horizontal="right" vertical="center"/>
    </xf>
    <xf numFmtId="2" fontId="17" fillId="21" borderId="204" xfId="8" applyNumberFormat="1" applyFont="1" applyFill="1" applyBorder="1" applyAlignment="1">
      <alignment horizontal="left" vertical="center"/>
    </xf>
    <xf numFmtId="0" fontId="17" fillId="21" borderId="94" xfId="8" applyFont="1" applyFill="1" applyBorder="1" applyAlignment="1">
      <alignment horizontal="right" vertical="center" wrapText="1"/>
    </xf>
    <xf numFmtId="166" fontId="23" fillId="21" borderId="221" xfId="8" applyNumberFormat="1" applyFont="1" applyFill="1" applyBorder="1" applyAlignment="1">
      <alignment horizontal="center" vertical="center"/>
    </xf>
    <xf numFmtId="9" fontId="17" fillId="21" borderId="93" xfId="8" applyNumberFormat="1" applyFont="1" applyFill="1" applyBorder="1" applyAlignment="1">
      <alignment horizontal="center" vertical="center"/>
    </xf>
    <xf numFmtId="0" fontId="17" fillId="21" borderId="204" xfId="8" applyFont="1" applyFill="1" applyBorder="1" applyAlignment="1">
      <alignment horizontal="center" vertical="center" wrapText="1"/>
    </xf>
    <xf numFmtId="0" fontId="17" fillId="21" borderId="100" xfId="8" applyFont="1" applyFill="1" applyBorder="1" applyAlignment="1">
      <alignment horizontal="center" vertical="center" wrapText="1"/>
    </xf>
    <xf numFmtId="0" fontId="17" fillId="21" borderId="49" xfId="8" applyFont="1" applyFill="1" applyBorder="1" applyAlignment="1">
      <alignment horizontal="center" vertical="center" wrapText="1"/>
    </xf>
    <xf numFmtId="0" fontId="17" fillId="21" borderId="43" xfId="8" applyFont="1" applyFill="1" applyBorder="1" applyAlignment="1">
      <alignment horizontal="center" vertical="center" wrapText="1"/>
    </xf>
    <xf numFmtId="0" fontId="17" fillId="21" borderId="49" xfId="8" applyFont="1" applyFill="1" applyBorder="1" applyAlignment="1">
      <alignment horizontal="right" vertical="center"/>
    </xf>
    <xf numFmtId="2" fontId="17" fillId="21" borderId="49" xfId="8" applyNumberFormat="1" applyFont="1" applyFill="1" applyBorder="1" applyAlignment="1">
      <alignment horizontal="left" vertical="center"/>
    </xf>
    <xf numFmtId="0" fontId="30" fillId="4" borderId="204" xfId="8" applyFont="1" applyFill="1" applyBorder="1" applyAlignment="1">
      <alignment horizontal="center" textRotation="90" wrapText="1"/>
    </xf>
    <xf numFmtId="0" fontId="30" fillId="4" borderId="0" xfId="8" applyFont="1" applyFill="1" applyBorder="1" applyAlignment="1">
      <alignment horizontal="center" textRotation="90" wrapText="1"/>
    </xf>
    <xf numFmtId="0" fontId="30" fillId="4" borderId="49" xfId="8" applyFont="1" applyFill="1" applyBorder="1" applyAlignment="1">
      <alignment horizontal="center" textRotation="90" wrapText="1"/>
    </xf>
    <xf numFmtId="0" fontId="20" fillId="4" borderId="100" xfId="8" applyFont="1" applyFill="1" applyBorder="1" applyAlignment="1">
      <alignment horizontal="center" textRotation="90" wrapText="1"/>
    </xf>
    <xf numFmtId="0" fontId="20" fillId="4" borderId="2" xfId="8" applyFont="1" applyFill="1" applyBorder="1" applyAlignment="1">
      <alignment horizontal="center" textRotation="90" wrapText="1"/>
    </xf>
    <xf numFmtId="0" fontId="20" fillId="4" borderId="43" xfId="8" applyFont="1" applyFill="1" applyBorder="1" applyAlignment="1">
      <alignment horizontal="center" textRotation="90" wrapText="1"/>
    </xf>
    <xf numFmtId="0" fontId="68" fillId="21" borderId="125" xfId="8" applyFont="1" applyFill="1" applyBorder="1" applyAlignment="1">
      <alignment horizontal="center" vertical="top" wrapText="1"/>
    </xf>
    <xf numFmtId="0" fontId="68" fillId="21" borderId="39" xfId="8" applyFont="1" applyFill="1" applyBorder="1" applyAlignment="1">
      <alignment horizontal="center" vertical="top" wrapText="1"/>
    </xf>
    <xf numFmtId="0" fontId="17" fillId="31" borderId="42" xfId="8" applyFont="1" applyFill="1" applyBorder="1" applyAlignment="1">
      <alignment horizontal="center" vertical="center" wrapText="1"/>
    </xf>
    <xf numFmtId="0" fontId="17" fillId="31" borderId="97" xfId="8" applyFont="1" applyFill="1" applyBorder="1" applyAlignment="1">
      <alignment horizontal="center" vertical="center" wrapText="1"/>
    </xf>
    <xf numFmtId="0" fontId="20" fillId="4" borderId="97" xfId="8" applyFont="1" applyFill="1" applyBorder="1" applyAlignment="1">
      <alignment horizontal="center" vertical="center"/>
    </xf>
    <xf numFmtId="0" fontId="22" fillId="31" borderId="221" xfId="8" applyFont="1" applyFill="1" applyBorder="1" applyAlignment="1">
      <alignment horizontal="center" vertical="center"/>
    </xf>
    <xf numFmtId="0" fontId="17" fillId="21" borderId="82" xfId="8" applyFont="1" applyFill="1" applyBorder="1" applyAlignment="1">
      <alignment horizontal="center" vertical="center" wrapText="1"/>
    </xf>
    <xf numFmtId="0" fontId="17" fillId="21" borderId="51" xfId="8" applyFont="1" applyFill="1" applyBorder="1" applyAlignment="1">
      <alignment horizontal="center" vertical="center" wrapText="1"/>
    </xf>
    <xf numFmtId="0" fontId="17" fillId="0" borderId="82" xfId="8" applyFont="1" applyFill="1" applyBorder="1" applyAlignment="1">
      <alignment horizontal="center" vertical="center" wrapText="1"/>
    </xf>
    <xf numFmtId="0" fontId="17" fillId="0" borderId="51" xfId="8" applyFont="1" applyFill="1" applyBorder="1" applyAlignment="1">
      <alignment horizontal="center" vertical="center" wrapText="1"/>
    </xf>
    <xf numFmtId="0" fontId="68" fillId="61" borderId="109" xfId="8" applyFont="1" applyFill="1" applyBorder="1" applyAlignment="1">
      <alignment horizontal="center" vertical="top" wrapText="1"/>
    </xf>
    <xf numFmtId="0" fontId="68" fillId="61" borderId="4" xfId="8" applyFont="1" applyFill="1" applyBorder="1" applyAlignment="1">
      <alignment horizontal="center" vertical="top" wrapText="1"/>
    </xf>
    <xf numFmtId="0" fontId="41" fillId="4" borderId="104" xfId="8" applyFont="1" applyFill="1" applyBorder="1" applyAlignment="1">
      <alignment horizontal="center"/>
    </xf>
    <xf numFmtId="0" fontId="41" fillId="4" borderId="100" xfId="8" applyFont="1" applyFill="1" applyBorder="1" applyAlignment="1">
      <alignment horizontal="center"/>
    </xf>
    <xf numFmtId="167" fontId="22" fillId="0" borderId="93" xfId="8" applyNumberFormat="1" applyFont="1" applyFill="1" applyBorder="1" applyAlignment="1">
      <alignment horizontal="center" vertical="center"/>
    </xf>
    <xf numFmtId="0" fontId="28" fillId="0" borderId="221" xfId="8" applyFont="1" applyFill="1" applyBorder="1" applyAlignment="1">
      <alignment horizontal="center" vertical="center"/>
    </xf>
    <xf numFmtId="0" fontId="22" fillId="0" borderId="205" xfId="8" applyFont="1" applyFill="1" applyBorder="1" applyAlignment="1">
      <alignment horizontal="center" vertical="center" shrinkToFit="1"/>
    </xf>
    <xf numFmtId="0" fontId="29" fillId="22" borderId="101" xfId="8" applyFont="1" applyFill="1" applyBorder="1" applyAlignment="1">
      <alignment horizontal="center" vertical="center" wrapText="1"/>
    </xf>
    <xf numFmtId="0" fontId="29" fillId="22" borderId="93" xfId="8" applyFont="1" applyFill="1" applyBorder="1" applyAlignment="1">
      <alignment horizontal="center" vertical="center"/>
    </xf>
    <xf numFmtId="0" fontId="29" fillId="22" borderId="221" xfId="8" applyFont="1" applyFill="1" applyBorder="1" applyAlignment="1">
      <alignment horizontal="center" vertical="center"/>
    </xf>
    <xf numFmtId="0" fontId="29" fillId="22" borderId="205" xfId="8" applyFont="1" applyFill="1" applyBorder="1" applyAlignment="1">
      <alignment horizontal="center" vertical="center"/>
    </xf>
    <xf numFmtId="0" fontId="23" fillId="22" borderId="93" xfId="8" applyFont="1" applyFill="1" applyBorder="1" applyAlignment="1">
      <alignment horizontal="center" vertical="center"/>
    </xf>
    <xf numFmtId="0" fontId="23" fillId="22" borderId="205" xfId="8" applyFont="1" applyFill="1" applyBorder="1" applyAlignment="1">
      <alignment horizontal="center" vertical="center"/>
    </xf>
    <xf numFmtId="0" fontId="17" fillId="21" borderId="241" xfId="8" applyFont="1" applyFill="1" applyBorder="1" applyAlignment="1">
      <alignment horizontal="center" vertical="center" wrapText="1"/>
    </xf>
    <xf numFmtId="49" fontId="13" fillId="12" borderId="249" xfId="1" applyNumberFormat="1" applyFont="1" applyFill="1" applyBorder="1" applyAlignment="1" applyProtection="1">
      <alignment horizontal="center" wrapText="1"/>
      <protection locked="0"/>
    </xf>
    <xf numFmtId="49" fontId="13" fillId="12" borderId="261" xfId="1" applyNumberFormat="1" applyFont="1" applyFill="1" applyBorder="1" applyAlignment="1" applyProtection="1">
      <alignment horizontal="center" wrapText="1"/>
      <protection locked="0"/>
    </xf>
    <xf numFmtId="49" fontId="13" fillId="0" borderId="249" xfId="1" applyNumberFormat="1" applyFont="1" applyBorder="1" applyAlignment="1" applyProtection="1">
      <alignment horizontal="center" wrapText="1"/>
      <protection locked="0"/>
    </xf>
    <xf numFmtId="49" fontId="13" fillId="0" borderId="261" xfId="1" applyNumberFormat="1" applyFont="1" applyBorder="1" applyAlignment="1" applyProtection="1">
      <alignment horizontal="center" wrapText="1"/>
      <protection locked="0"/>
    </xf>
    <xf numFmtId="49" fontId="13" fillId="12" borderId="265" xfId="1" applyNumberFormat="1" applyFont="1" applyFill="1" applyBorder="1" applyAlignment="1" applyProtection="1">
      <alignment horizontal="center" wrapText="1"/>
      <protection locked="0"/>
    </xf>
    <xf numFmtId="49" fontId="13" fillId="12" borderId="264" xfId="1" applyNumberFormat="1" applyFont="1" applyFill="1" applyBorder="1" applyAlignment="1" applyProtection="1">
      <alignment horizontal="center" wrapText="1"/>
      <protection locked="0"/>
    </xf>
    <xf numFmtId="0" fontId="0" fillId="0" borderId="262" xfId="0" applyBorder="1" applyAlignment="1">
      <alignment horizontal="center"/>
    </xf>
    <xf numFmtId="0" fontId="0" fillId="0" borderId="263" xfId="0" applyBorder="1" applyAlignment="1">
      <alignment horizontal="center"/>
    </xf>
    <xf numFmtId="0" fontId="14" fillId="11" borderId="250" xfId="1" applyFont="1" applyFill="1" applyBorder="1" applyAlignment="1">
      <alignment horizontal="center" vertical="center" shrinkToFit="1"/>
    </xf>
    <xf numFmtId="0" fontId="14" fillId="11" borderId="251" xfId="1" applyFont="1" applyFill="1" applyBorder="1" applyAlignment="1">
      <alignment horizontal="center" vertical="center" shrinkToFit="1"/>
    </xf>
    <xf numFmtId="0" fontId="14" fillId="11" borderId="253" xfId="1" applyFont="1" applyFill="1" applyBorder="1" applyAlignment="1">
      <alignment horizontal="center" vertical="center" shrinkToFit="1"/>
    </xf>
    <xf numFmtId="0" fontId="16" fillId="19" borderId="252" xfId="1" applyFont="1" applyFill="1" applyBorder="1" applyAlignment="1">
      <alignment horizontal="center" vertical="center" shrinkToFit="1"/>
    </xf>
    <xf numFmtId="0" fontId="16" fillId="19" borderId="254" xfId="1" applyFont="1" applyFill="1" applyBorder="1" applyAlignment="1">
      <alignment horizontal="center" vertical="center" shrinkToFit="1"/>
    </xf>
    <xf numFmtId="0" fontId="17" fillId="0" borderId="62" xfId="0" applyFont="1" applyBorder="1" applyAlignment="1">
      <alignment horizontal="center" wrapText="1"/>
    </xf>
    <xf numFmtId="0" fontId="17" fillId="0" borderId="63" xfId="0" applyFont="1" applyBorder="1" applyAlignment="1">
      <alignment horizontal="center" wrapText="1"/>
    </xf>
    <xf numFmtId="0" fontId="17" fillId="0" borderId="176" xfId="0" applyFont="1" applyBorder="1" applyAlignment="1">
      <alignment horizontal="center" wrapText="1"/>
    </xf>
    <xf numFmtId="0" fontId="17" fillId="0" borderId="53" xfId="0" applyFont="1" applyBorder="1" applyAlignment="1">
      <alignment horizontal="center" wrapText="1"/>
    </xf>
    <xf numFmtId="0" fontId="17" fillId="0" borderId="54" xfId="0" applyFont="1" applyBorder="1" applyAlignment="1">
      <alignment horizontal="center" wrapText="1"/>
    </xf>
    <xf numFmtId="0" fontId="17" fillId="0" borderId="55" xfId="0" applyFont="1" applyBorder="1" applyAlignment="1">
      <alignment horizontal="center" wrapText="1"/>
    </xf>
    <xf numFmtId="0" fontId="15" fillId="0" borderId="160" xfId="0" applyFont="1" applyBorder="1" applyAlignment="1">
      <alignment horizontal="center"/>
    </xf>
    <xf numFmtId="0" fontId="15" fillId="0" borderId="177" xfId="0" applyFont="1" applyBorder="1" applyAlignment="1">
      <alignment horizontal="center"/>
    </xf>
    <xf numFmtId="167" fontId="15" fillId="9" borderId="147" xfId="0" applyNumberFormat="1" applyFont="1" applyFill="1" applyBorder="1" applyAlignment="1">
      <alignment horizontal="center" shrinkToFit="1"/>
    </xf>
    <xf numFmtId="0" fontId="15" fillId="0" borderId="147" xfId="0" applyFont="1" applyBorder="1" applyAlignment="1">
      <alignment horizontal="center" shrinkToFit="1"/>
    </xf>
    <xf numFmtId="0" fontId="14" fillId="9" borderId="0" xfId="0" applyFont="1" applyFill="1" applyAlignment="1">
      <alignment horizontal="center" vertical="center" shrinkToFit="1"/>
    </xf>
    <xf numFmtId="0" fontId="17" fillId="9" borderId="157" xfId="0" applyFont="1" applyFill="1" applyBorder="1" applyAlignment="1">
      <alignment horizontal="center" shrinkToFit="1"/>
    </xf>
    <xf numFmtId="0" fontId="15" fillId="0" borderId="157" xfId="0" applyFont="1" applyBorder="1" applyAlignment="1">
      <alignment horizontal="center" vertical="top" shrinkToFit="1"/>
    </xf>
    <xf numFmtId="0" fontId="15" fillId="0" borderId="78" xfId="0" applyFont="1" applyBorder="1" applyAlignment="1">
      <alignment horizontal="center" vertical="top" shrinkToFit="1"/>
    </xf>
    <xf numFmtId="0" fontId="25" fillId="30" borderId="78" xfId="0" applyFont="1" applyFill="1" applyBorder="1" applyAlignment="1">
      <alignment horizontal="center" shrinkToFit="1"/>
    </xf>
    <xf numFmtId="0" fontId="17" fillId="0" borderId="214" xfId="1" applyFont="1" applyBorder="1" applyAlignment="1">
      <alignment vertical="center"/>
    </xf>
    <xf numFmtId="0" fontId="17" fillId="0" borderId="86" xfId="1" applyFont="1" applyBorder="1" applyAlignment="1">
      <alignment vertical="center"/>
    </xf>
    <xf numFmtId="0" fontId="17" fillId="0" borderId="215" xfId="1" applyFont="1" applyBorder="1" applyAlignment="1">
      <alignment vertical="center"/>
    </xf>
    <xf numFmtId="0" fontId="17" fillId="21" borderId="212" xfId="1" applyFont="1" applyFill="1" applyBorder="1" applyAlignment="1">
      <alignment vertical="center"/>
    </xf>
    <xf numFmtId="0" fontId="17" fillId="21" borderId="210" xfId="1" applyFont="1" applyFill="1" applyBorder="1" applyAlignment="1">
      <alignment vertical="center"/>
    </xf>
    <xf numFmtId="0" fontId="17" fillId="21" borderId="213" xfId="1" applyFont="1" applyFill="1" applyBorder="1" applyAlignment="1">
      <alignment vertical="center"/>
    </xf>
    <xf numFmtId="0" fontId="17" fillId="21" borderId="75" xfId="1" applyFont="1" applyFill="1" applyBorder="1" applyAlignment="1">
      <alignment vertical="center"/>
    </xf>
    <xf numFmtId="0" fontId="17" fillId="21" borderId="216" xfId="1" applyFont="1" applyFill="1" applyBorder="1" applyAlignment="1">
      <alignment vertical="center"/>
    </xf>
    <xf numFmtId="0" fontId="17" fillId="21" borderId="217" xfId="1" applyFont="1" applyFill="1" applyBorder="1" applyAlignment="1">
      <alignment vertical="center"/>
    </xf>
    <xf numFmtId="49" fontId="17" fillId="18" borderId="206" xfId="1" applyNumberFormat="1" applyFont="1" applyFill="1" applyBorder="1" applyAlignment="1">
      <alignment horizontal="center" vertical="center"/>
    </xf>
    <xf numFmtId="49" fontId="17" fillId="18" borderId="207" xfId="1" applyNumberFormat="1" applyFont="1" applyFill="1" applyBorder="1" applyAlignment="1">
      <alignment horizontal="center" vertical="center"/>
    </xf>
    <xf numFmtId="49" fontId="17" fillId="18" borderId="208" xfId="1" applyNumberFormat="1" applyFont="1" applyFill="1" applyBorder="1" applyAlignment="1">
      <alignment horizontal="center" vertical="center"/>
    </xf>
    <xf numFmtId="49" fontId="17" fillId="18" borderId="209" xfId="1" applyNumberFormat="1" applyFont="1" applyFill="1" applyBorder="1" applyAlignment="1">
      <alignment horizontal="center" vertical="center"/>
    </xf>
    <xf numFmtId="0" fontId="17" fillId="0" borderId="189" xfId="1" applyFont="1" applyBorder="1" applyAlignment="1">
      <alignment horizontal="center" shrinkToFit="1"/>
    </xf>
    <xf numFmtId="0" fontId="17" fillId="0" borderId="35" xfId="1" applyFont="1" applyBorder="1" applyAlignment="1">
      <alignment horizontal="center" shrinkToFit="1"/>
    </xf>
    <xf numFmtId="0" fontId="17" fillId="0" borderId="210" xfId="1" applyFont="1" applyFill="1" applyBorder="1" applyAlignment="1">
      <alignment horizontal="center" vertical="top" shrinkToFit="1"/>
    </xf>
    <xf numFmtId="0" fontId="17" fillId="9" borderId="0" xfId="1" applyFont="1" applyFill="1" applyBorder="1" applyAlignment="1">
      <alignment horizontal="center" vertical="center" shrinkToFit="1"/>
    </xf>
    <xf numFmtId="0" fontId="17" fillId="9" borderId="242" xfId="1" applyFont="1" applyFill="1" applyBorder="1" applyAlignment="1">
      <alignment horizontal="center" vertical="center" shrinkToFit="1"/>
    </xf>
    <xf numFmtId="0" fontId="20" fillId="4" borderId="157" xfId="1" applyFont="1" applyFill="1" applyBorder="1" applyAlignment="1">
      <alignment horizontal="center" vertical="center"/>
    </xf>
    <xf numFmtId="0" fontId="17" fillId="0" borderId="0" xfId="1" applyFont="1" applyAlignment="1">
      <alignment horizontal="center" shrinkToFit="1"/>
    </xf>
    <xf numFmtId="0" fontId="17" fillId="9" borderId="35" xfId="1" applyFont="1" applyFill="1" applyBorder="1" applyAlignment="1">
      <alignment horizontal="center" vertical="center" shrinkToFit="1"/>
    </xf>
    <xf numFmtId="0" fontId="17" fillId="0" borderId="34" xfId="1" applyFont="1" applyBorder="1" applyAlignment="1">
      <alignment vertical="center"/>
    </xf>
    <xf numFmtId="0" fontId="17" fillId="0" borderId="35" xfId="1" applyFont="1" applyBorder="1" applyAlignment="1">
      <alignment vertical="center"/>
    </xf>
    <xf numFmtId="0" fontId="17" fillId="0" borderId="211" xfId="1" applyFont="1" applyBorder="1" applyAlignment="1">
      <alignment vertical="center"/>
    </xf>
    <xf numFmtId="49" fontId="17" fillId="0" borderId="59" xfId="1" applyNumberFormat="1" applyFont="1" applyBorder="1" applyAlignment="1">
      <alignment horizontal="center" vertical="center"/>
    </xf>
    <xf numFmtId="49" fontId="17" fillId="0" borderId="57" xfId="1" applyNumberFormat="1" applyFont="1" applyBorder="1" applyAlignment="1">
      <alignment horizontal="center" vertical="center"/>
    </xf>
    <xf numFmtId="49" fontId="17" fillId="0" borderId="58" xfId="1" applyNumberFormat="1" applyFont="1" applyBorder="1" applyAlignment="1">
      <alignment horizontal="center" vertical="center"/>
    </xf>
    <xf numFmtId="0" fontId="14" fillId="9" borderId="0" xfId="1" applyFont="1" applyFill="1" applyBorder="1" applyAlignment="1">
      <alignment horizontal="center" vertical="center" shrinkToFit="1"/>
    </xf>
    <xf numFmtId="167" fontId="15" fillId="9" borderId="0" xfId="1" applyNumberFormat="1" applyFont="1" applyFill="1" applyAlignment="1">
      <alignment horizontal="center" shrinkToFit="1"/>
    </xf>
    <xf numFmtId="167" fontId="15" fillId="9" borderId="35" xfId="1" applyNumberFormat="1" applyFont="1" applyFill="1" applyBorder="1" applyAlignment="1">
      <alignment horizontal="center" shrinkToFit="1"/>
    </xf>
    <xf numFmtId="0" fontId="17" fillId="0" borderId="0" xfId="1" applyFont="1" applyBorder="1" applyAlignment="1">
      <alignment horizontal="right" vertical="center" shrinkToFit="1"/>
    </xf>
    <xf numFmtId="0" fontId="17" fillId="0" borderId="29" xfId="1" applyFont="1" applyBorder="1" applyAlignment="1">
      <alignment horizontal="center"/>
    </xf>
    <xf numFmtId="0" fontId="17" fillId="0" borderId="204" xfId="1" applyFont="1" applyBorder="1" applyAlignment="1">
      <alignment horizontal="center"/>
    </xf>
    <xf numFmtId="0" fontId="20" fillId="4" borderId="44" xfId="1" applyFont="1" applyFill="1" applyBorder="1" applyAlignment="1">
      <alignment horizontal="center" vertical="center"/>
    </xf>
    <xf numFmtId="0" fontId="17" fillId="0" borderId="33" xfId="1" applyFont="1" applyBorder="1" applyAlignment="1">
      <alignment vertical="center"/>
    </xf>
    <xf numFmtId="0" fontId="16" fillId="30" borderId="0" xfId="1" applyFont="1" applyFill="1" applyBorder="1" applyAlignment="1">
      <alignment horizontal="center" vertical="center" shrinkToFit="1"/>
    </xf>
    <xf numFmtId="0" fontId="20" fillId="4" borderId="2" xfId="1" applyFont="1" applyFill="1" applyBorder="1" applyAlignment="1">
      <alignment horizontal="center" vertical="center"/>
    </xf>
    <xf numFmtId="0" fontId="17" fillId="0" borderId="205" xfId="1" applyFont="1" applyBorder="1" applyAlignment="1">
      <alignment horizontal="center" vertical="center" wrapText="1"/>
    </xf>
    <xf numFmtId="0" fontId="17" fillId="0" borderId="37" xfId="1" applyFont="1" applyBorder="1" applyAlignment="1">
      <alignment horizontal="center" vertical="center" wrapText="1"/>
    </xf>
    <xf numFmtId="0" fontId="17" fillId="0" borderId="12" xfId="1" applyFont="1" applyBorder="1" applyAlignment="1">
      <alignment vertical="center"/>
    </xf>
    <xf numFmtId="0" fontId="20" fillId="4" borderId="0" xfId="1" applyFont="1" applyFill="1" applyBorder="1" applyAlignment="1">
      <alignment horizontal="center" vertical="center"/>
    </xf>
    <xf numFmtId="0" fontId="17" fillId="0" borderId="18" xfId="1" applyFont="1" applyBorder="1" applyAlignment="1">
      <alignment vertical="center"/>
    </xf>
    <xf numFmtId="0" fontId="17" fillId="0" borderId="7" xfId="1" applyFont="1" applyBorder="1" applyAlignment="1">
      <alignment vertical="center"/>
    </xf>
    <xf numFmtId="0" fontId="20" fillId="4" borderId="138" xfId="1" applyFont="1" applyFill="1" applyBorder="1" applyAlignment="1">
      <alignment horizontal="center" vertical="center"/>
    </xf>
    <xf numFmtId="0" fontId="14" fillId="20" borderId="0" xfId="1" applyFont="1" applyFill="1" applyAlignment="1">
      <alignment horizontal="center" vertical="center" shrinkToFit="1"/>
    </xf>
    <xf numFmtId="0" fontId="14" fillId="20" borderId="78" xfId="1" applyFont="1" applyFill="1" applyBorder="1" applyAlignment="1">
      <alignment horizontal="center" vertical="center" shrinkToFit="1"/>
    </xf>
    <xf numFmtId="0" fontId="14" fillId="20" borderId="202" xfId="1" applyFont="1" applyFill="1" applyBorder="1" applyAlignment="1">
      <alignment horizontal="center" vertical="center" shrinkToFit="1"/>
    </xf>
    <xf numFmtId="0" fontId="13" fillId="0" borderId="242" xfId="1" applyFont="1" applyFill="1" applyBorder="1" applyAlignment="1">
      <alignment horizontal="center" shrinkToFit="1"/>
    </xf>
    <xf numFmtId="167" fontId="15" fillId="20" borderId="147" xfId="1" applyNumberFormat="1" applyFont="1" applyFill="1" applyBorder="1" applyAlignment="1">
      <alignment horizontal="center" shrinkToFit="1"/>
    </xf>
    <xf numFmtId="0" fontId="15" fillId="0" borderId="147" xfId="1" applyFont="1" applyBorder="1" applyAlignment="1">
      <alignment horizontal="center" shrinkToFit="1"/>
    </xf>
    <xf numFmtId="14" fontId="17" fillId="0" borderId="202" xfId="1" applyNumberFormat="1" applyFont="1" applyFill="1" applyBorder="1" applyAlignment="1">
      <alignment horizontal="center" shrinkToFit="1"/>
    </xf>
    <xf numFmtId="0" fontId="17" fillId="20" borderId="63" xfId="1" applyFont="1" applyFill="1" applyBorder="1" applyAlignment="1">
      <alignment horizontal="center" shrinkToFit="1"/>
    </xf>
    <xf numFmtId="0" fontId="17" fillId="0" borderId="157" xfId="1" applyFont="1" applyBorder="1" applyAlignment="1">
      <alignment horizontal="center" shrinkToFit="1"/>
    </xf>
    <xf numFmtId="14" fontId="17" fillId="0" borderId="63" xfId="1" applyNumberFormat="1" applyFont="1" applyFill="1" applyBorder="1" applyAlignment="1">
      <alignment horizontal="center" shrinkToFit="1"/>
    </xf>
    <xf numFmtId="0" fontId="20" fillId="4" borderId="155" xfId="1" applyFont="1" applyFill="1" applyBorder="1" applyAlignment="1">
      <alignment horizontal="center" vertical="center"/>
    </xf>
    <xf numFmtId="0" fontId="20" fillId="4" borderId="156" xfId="1" applyFont="1" applyFill="1" applyBorder="1" applyAlignment="1">
      <alignment horizontal="center" vertical="center"/>
    </xf>
    <xf numFmtId="0" fontId="17" fillId="0" borderId="131" xfId="1" applyFont="1" applyFill="1" applyBorder="1" applyAlignment="1">
      <alignment horizontal="center" vertical="center"/>
    </xf>
    <xf numFmtId="167" fontId="15" fillId="20" borderId="242" xfId="1" applyNumberFormat="1" applyFont="1" applyFill="1" applyBorder="1" applyAlignment="1">
      <alignment horizontal="center" shrinkToFit="1"/>
    </xf>
    <xf numFmtId="0" fontId="17" fillId="20" borderId="202" xfId="1" applyFont="1" applyFill="1" applyBorder="1" applyAlignment="1">
      <alignment horizontal="center" shrinkToFit="1"/>
    </xf>
    <xf numFmtId="0" fontId="28" fillId="0" borderId="0" xfId="1" applyFont="1" applyBorder="1" applyAlignment="1">
      <alignment horizontal="center" shrinkToFit="1"/>
    </xf>
    <xf numFmtId="0" fontId="14" fillId="0" borderId="0" xfId="1" applyFont="1" applyBorder="1" applyAlignment="1">
      <alignment horizontal="center"/>
    </xf>
    <xf numFmtId="0" fontId="14" fillId="0" borderId="204" xfId="1" applyFont="1" applyBorder="1" applyAlignment="1">
      <alignment horizontal="center"/>
    </xf>
    <xf numFmtId="0" fontId="14" fillId="0" borderId="340" xfId="1" applyFont="1" applyBorder="1" applyAlignment="1">
      <alignment horizontal="center"/>
    </xf>
    <xf numFmtId="0" fontId="20" fillId="4" borderId="0" xfId="1" applyFont="1" applyFill="1" applyBorder="1" applyAlignment="1">
      <alignment horizontal="center"/>
    </xf>
    <xf numFmtId="0" fontId="17" fillId="34" borderId="0" xfId="8" applyFont="1" applyFill="1" applyBorder="1" applyAlignment="1">
      <alignment horizontal="center" vertical="center"/>
    </xf>
    <xf numFmtId="49" fontId="17" fillId="34" borderId="0" xfId="8" applyNumberFormat="1" applyFont="1" applyFill="1" applyBorder="1" applyAlignment="1">
      <alignment horizontal="center" vertical="center"/>
    </xf>
    <xf numFmtId="0" fontId="17" fillId="34" borderId="0" xfId="8" applyFont="1" applyFill="1" applyBorder="1" applyAlignment="1">
      <alignment vertical="center"/>
    </xf>
    <xf numFmtId="0" fontId="17" fillId="0" borderId="0" xfId="8" applyFont="1" applyBorder="1" applyAlignment="1">
      <alignment horizontal="center" vertical="center"/>
    </xf>
    <xf numFmtId="49" fontId="17" fillId="0" borderId="0" xfId="8" applyNumberFormat="1" applyFont="1" applyBorder="1" applyAlignment="1">
      <alignment horizontal="center" vertical="center"/>
    </xf>
    <xf numFmtId="0" fontId="17" fillId="0" borderId="0" xfId="8" applyFont="1" applyBorder="1" applyAlignment="1">
      <alignment vertical="center"/>
    </xf>
    <xf numFmtId="0" fontId="17" fillId="49" borderId="173" xfId="8" applyFont="1" applyFill="1" applyBorder="1" applyAlignment="1">
      <alignment horizontal="center" wrapText="1"/>
    </xf>
    <xf numFmtId="0" fontId="17" fillId="48" borderId="0" xfId="8" applyFont="1" applyFill="1" applyBorder="1" applyAlignment="1">
      <alignment horizontal="center"/>
    </xf>
    <xf numFmtId="0" fontId="17" fillId="62" borderId="0" xfId="8" applyFont="1" applyFill="1" applyBorder="1" applyAlignment="1">
      <alignment horizontal="center" vertical="center" wrapText="1"/>
    </xf>
    <xf numFmtId="0" fontId="17" fillId="34" borderId="0" xfId="8" applyFont="1" applyFill="1" applyBorder="1" applyAlignment="1">
      <alignment horizontal="center" vertical="center" wrapText="1"/>
    </xf>
    <xf numFmtId="0" fontId="23" fillId="7" borderId="0" xfId="8" applyFont="1" applyFill="1" applyBorder="1" applyAlignment="1">
      <alignment horizontal="center" vertical="center"/>
    </xf>
    <xf numFmtId="0" fontId="23" fillId="32" borderId="0" xfId="1" applyFont="1" applyFill="1" applyBorder="1" applyAlignment="1">
      <alignment horizontal="center" vertical="center" wrapText="1"/>
    </xf>
    <xf numFmtId="0" fontId="17" fillId="37" borderId="0" xfId="1" applyFont="1" applyFill="1" applyBorder="1" applyAlignment="1">
      <alignment horizontal="center" vertical="center"/>
    </xf>
    <xf numFmtId="0" fontId="34" fillId="57" borderId="0" xfId="0" applyFont="1" applyFill="1" applyAlignment="1">
      <alignment horizontal="left"/>
    </xf>
    <xf numFmtId="0" fontId="17" fillId="57" borderId="0" xfId="0" applyFont="1" applyFill="1" applyAlignment="1">
      <alignment horizontal="left"/>
    </xf>
    <xf numFmtId="0" fontId="0" fillId="57" borderId="0" xfId="0" applyFill="1" applyAlignment="1">
      <alignment horizontal="left"/>
    </xf>
    <xf numFmtId="0" fontId="26" fillId="57" borderId="0" xfId="0" applyFont="1" applyFill="1" applyAlignment="1">
      <alignment horizontal="left"/>
    </xf>
    <xf numFmtId="0" fontId="23" fillId="57" borderId="0" xfId="0" applyFont="1" applyFill="1" applyAlignment="1">
      <alignment horizontal="left"/>
    </xf>
    <xf numFmtId="0" fontId="53" fillId="57" borderId="0" xfId="0" applyFont="1" applyFill="1" applyAlignment="1">
      <alignment horizontal="left"/>
    </xf>
    <xf numFmtId="0" fontId="45" fillId="57" borderId="0" xfId="0" applyFont="1" applyFill="1" applyAlignment="1">
      <alignment horizontal="left" vertical="center"/>
    </xf>
    <xf numFmtId="0" fontId="17" fillId="57" borderId="0" xfId="0" applyFont="1" applyFill="1" applyAlignment="1">
      <alignment horizontal="left" wrapText="1"/>
    </xf>
    <xf numFmtId="0" fontId="26" fillId="57" borderId="0" xfId="0" applyFont="1" applyFill="1" applyAlignment="1">
      <alignment horizontal="left" wrapText="1"/>
    </xf>
    <xf numFmtId="0" fontId="52" fillId="57" borderId="0" xfId="0" applyFont="1" applyFill="1" applyAlignment="1">
      <alignment horizontal="left"/>
    </xf>
    <xf numFmtId="0" fontId="26" fillId="0" borderId="0" xfId="0" applyFont="1" applyAlignment="1">
      <alignment horizontal="left"/>
    </xf>
    <xf numFmtId="0" fontId="17" fillId="0" borderId="0" xfId="0" applyFont="1" applyAlignment="1">
      <alignment horizontal="left" vertical="center" wrapText="1"/>
    </xf>
    <xf numFmtId="0" fontId="26" fillId="0" borderId="0" xfId="0" applyFont="1" applyAlignment="1">
      <alignment horizontal="left" vertical="center" wrapText="1"/>
    </xf>
    <xf numFmtId="15" fontId="23" fillId="0" borderId="0" xfId="0" applyNumberFormat="1" applyFont="1" applyAlignment="1">
      <alignment horizontal="left"/>
    </xf>
    <xf numFmtId="0" fontId="44" fillId="0" borderId="0" xfId="0" applyFont="1" applyAlignment="1">
      <alignment horizontal="left"/>
    </xf>
    <xf numFmtId="0" fontId="17" fillId="0" borderId="0" xfId="0" applyFont="1" applyAlignment="1">
      <alignment horizontal="left"/>
    </xf>
    <xf numFmtId="17" fontId="44" fillId="0" borderId="0" xfId="0" applyNumberFormat="1" applyFont="1" applyAlignment="1">
      <alignment horizontal="left"/>
    </xf>
    <xf numFmtId="14" fontId="26" fillId="0" borderId="0" xfId="0" applyNumberFormat="1" applyFont="1" applyAlignment="1">
      <alignment horizontal="center"/>
    </xf>
    <xf numFmtId="0" fontId="17" fillId="0" borderId="0" xfId="0" applyFont="1" applyAlignment="1">
      <alignment horizontal="left" wrapText="1"/>
    </xf>
    <xf numFmtId="0" fontId="26" fillId="0" borderId="0" xfId="0" applyFont="1" applyAlignment="1">
      <alignment horizontal="left" wrapText="1"/>
    </xf>
    <xf numFmtId="0" fontId="45" fillId="0" borderId="0" xfId="0" applyFont="1" applyAlignment="1">
      <alignment horizontal="left" vertical="center"/>
    </xf>
    <xf numFmtId="0" fontId="17" fillId="0" borderId="0" xfId="0" applyFont="1" applyAlignment="1">
      <alignment horizontal="left" vertical="top" wrapText="1"/>
    </xf>
    <xf numFmtId="0" fontId="26" fillId="0" borderId="0" xfId="0" applyFont="1" applyAlignment="1">
      <alignment horizontal="left" vertical="top" wrapText="1"/>
    </xf>
    <xf numFmtId="0" fontId="23" fillId="0" borderId="0" xfId="0" applyFont="1" applyAlignment="1">
      <alignment horizontal="left"/>
    </xf>
    <xf numFmtId="15" fontId="44" fillId="0" borderId="0" xfId="0" applyNumberFormat="1" applyFont="1" applyAlignment="1">
      <alignment horizontal="left"/>
    </xf>
    <xf numFmtId="0" fontId="17" fillId="0" borderId="0" xfId="0" applyFont="1" applyAlignment="1">
      <alignment vertical="top" wrapText="1"/>
    </xf>
    <xf numFmtId="0" fontId="17" fillId="0" borderId="0" xfId="0" applyFont="1" applyAlignment="1">
      <alignment wrapText="1"/>
    </xf>
    <xf numFmtId="0" fontId="4" fillId="0" borderId="0" xfId="9" applyAlignment="1">
      <alignment horizontal="center"/>
    </xf>
    <xf numFmtId="0" fontId="0" fillId="0" borderId="0" xfId="9" applyFont="1" applyAlignment="1">
      <alignment horizontal="center"/>
    </xf>
    <xf numFmtId="0" fontId="0" fillId="0" borderId="0" xfId="9" applyNumberFormat="1" applyFont="1" applyAlignment="1">
      <alignment horizontal="center"/>
    </xf>
    <xf numFmtId="0" fontId="71" fillId="0" borderId="0" xfId="9" applyFont="1" applyAlignment="1">
      <alignment horizontal="right"/>
    </xf>
    <xf numFmtId="14" fontId="71" fillId="0" borderId="0" xfId="9" applyNumberFormat="1" applyFont="1" applyAlignment="1">
      <alignment horizontal="right"/>
    </xf>
    <xf numFmtId="169" fontId="71" fillId="0" borderId="0" xfId="9" applyNumberFormat="1" applyFont="1"/>
    <xf numFmtId="0" fontId="4" fillId="0" borderId="0" xfId="9"/>
    <xf numFmtId="14" fontId="4" fillId="0" borderId="0" xfId="9" applyNumberFormat="1"/>
    <xf numFmtId="169" fontId="4" fillId="0" borderId="0" xfId="9" applyNumberFormat="1" applyFill="1"/>
    <xf numFmtId="1" fontId="4" fillId="0" borderId="0" xfId="9" applyNumberFormat="1" applyFill="1"/>
    <xf numFmtId="0" fontId="0" fillId="0" borderId="0" xfId="9" applyNumberFormat="1" applyFont="1" applyFill="1" applyAlignment="1">
      <alignment horizontal="center"/>
    </xf>
    <xf numFmtId="0" fontId="71" fillId="0" borderId="0" xfId="9" applyFont="1" applyAlignment="1">
      <alignment horizontal="center"/>
    </xf>
    <xf numFmtId="0" fontId="0" fillId="0" borderId="0" xfId="9" quotePrefix="1" applyFont="1" applyAlignment="1">
      <alignment horizontal="center"/>
    </xf>
    <xf numFmtId="0" fontId="0" fillId="0" borderId="0" xfId="9" applyFont="1"/>
    <xf numFmtId="0" fontId="4" fillId="0" borderId="0" xfId="9" applyNumberFormat="1"/>
    <xf numFmtId="14" fontId="76" fillId="0" borderId="0" xfId="9" applyNumberFormat="1" applyFont="1"/>
    <xf numFmtId="0" fontId="76" fillId="0" borderId="0" xfId="9" applyFont="1"/>
    <xf numFmtId="0" fontId="76" fillId="0" borderId="0" xfId="9" applyFont="1" applyAlignment="1">
      <alignment horizontal="center"/>
    </xf>
    <xf numFmtId="169" fontId="76" fillId="0" borderId="0" xfId="9" applyNumberFormat="1" applyFont="1"/>
    <xf numFmtId="0" fontId="76" fillId="0" borderId="0" xfId="9" quotePrefix="1" applyFont="1"/>
    <xf numFmtId="0" fontId="76" fillId="0" borderId="0" xfId="9" applyNumberFormat="1" applyFont="1"/>
    <xf numFmtId="0" fontId="4" fillId="0" borderId="0" xfId="9" applyFill="1"/>
    <xf numFmtId="0" fontId="0" fillId="0" borderId="0" xfId="9" applyFont="1" applyFill="1"/>
    <xf numFmtId="0" fontId="4" fillId="0" borderId="0" xfId="9" quotePrefix="1"/>
    <xf numFmtId="0" fontId="0" fillId="0" borderId="0" xfId="9" quotePrefix="1" applyFont="1"/>
    <xf numFmtId="0" fontId="0" fillId="0" borderId="0" xfId="9" quotePrefix="1" applyFont="1" applyFill="1"/>
    <xf numFmtId="0" fontId="77" fillId="0" borderId="0" xfId="9" applyFont="1" applyAlignment="1">
      <alignment horizontal="center"/>
    </xf>
    <xf numFmtId="14" fontId="76" fillId="0" borderId="0" xfId="9" applyNumberFormat="1" applyFont="1" applyAlignment="1">
      <alignment horizontal="center"/>
    </xf>
    <xf numFmtId="169" fontId="76" fillId="0" borderId="0" xfId="9" applyNumberFormat="1" applyFont="1" applyAlignment="1">
      <alignment horizontal="center"/>
    </xf>
    <xf numFmtId="1" fontId="76" fillId="0" borderId="0" xfId="9" applyNumberFormat="1" applyFont="1" applyAlignment="1">
      <alignment horizontal="center"/>
    </xf>
    <xf numFmtId="0" fontId="76" fillId="0" borderId="0" xfId="9" applyNumberFormat="1" applyFont="1" applyAlignment="1">
      <alignment horizontal="center"/>
    </xf>
    <xf numFmtId="0" fontId="76" fillId="0" borderId="0" xfId="9" applyFont="1" applyFill="1" applyAlignment="1">
      <alignment horizontal="center"/>
    </xf>
    <xf numFmtId="169" fontId="76" fillId="0" borderId="0" xfId="9" applyNumberFormat="1" applyFont="1" applyFill="1" applyAlignment="1">
      <alignment horizontal="center"/>
    </xf>
  </cellXfs>
  <cellStyles count="690">
    <cellStyle name="ContentsHyperlink" xfId="414"/>
    <cellStyle name="Excel Built-in Normal" xfId="1"/>
    <cellStyle name="Excel Built-in Normal 2" xfId="8"/>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5" builtinId="9" hidden="1"/>
    <cellStyle name="Followed Hyperlink" xfId="416"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_stats pack with instructions" xfId="2"/>
    <cellStyle name="Normal" xfId="0" builtinId="0"/>
    <cellStyle name="Normal 2" xfId="3"/>
    <cellStyle name="Normal 2 2" xfId="9"/>
    <cellStyle name="Normal 3" xfId="4"/>
    <cellStyle name="Normal 3 2" xfId="10"/>
    <cellStyle name="Normal 4" xfId="5"/>
    <cellStyle name="Normal 4 2" xfId="11"/>
    <cellStyle name="Normal 5" xfId="7"/>
    <cellStyle name="Normal 6" xfId="6"/>
    <cellStyle name="Normal 7" xfId="12"/>
    <cellStyle name="Normal 8" xfId="688"/>
    <cellStyle name="TableStyleLight1" xfId="689"/>
  </cellStyles>
  <dxfs count="73">
    <dxf>
      <font>
        <b val="0"/>
        <i val="0"/>
        <strike val="0"/>
        <condense val="0"/>
        <extend val="0"/>
        <outline val="0"/>
        <shadow val="0"/>
        <u val="none"/>
        <vertAlign val="baseline"/>
        <sz val="10"/>
        <color auto="1"/>
        <name val="Tahoma"/>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Tahoma"/>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Tahoma"/>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auto="1"/>
        <name val="Tahoma"/>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auto="1"/>
        <name val="Tahoma"/>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auto="1"/>
        <name val="Tahoma"/>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auto="1"/>
        <name val="Tahoma"/>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auto="1"/>
        <name val="Tahoma"/>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auto="1"/>
        <name val="Tahoma"/>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Tahoma"/>
        <scheme val="none"/>
      </font>
      <numFmt numFmtId="169" formatCode="[$-F400]h:mm:ss\ AM/PM"/>
      <alignment horizontal="center" vertical="bottom" textRotation="0" wrapText="0" indent="0" justifyLastLine="0" shrinkToFit="0" readingOrder="0"/>
    </dxf>
    <dxf>
      <font>
        <b val="0"/>
        <i val="0"/>
        <strike val="0"/>
        <condense val="0"/>
        <extend val="0"/>
        <outline val="0"/>
        <shadow val="0"/>
        <u val="none"/>
        <vertAlign val="baseline"/>
        <sz val="10"/>
        <color auto="1"/>
        <name val="Tahoma"/>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0"/>
        <color auto="1"/>
        <name val="Tahoma"/>
        <scheme val="none"/>
      </font>
      <alignment horizontal="center" vertical="bottom" textRotation="0" wrapText="0" indent="0" justifyLastLine="0" shrinkToFit="0" readingOrder="0"/>
    </dxf>
    <dxf>
      <font>
        <b/>
        <i val="0"/>
        <strike val="0"/>
        <condense val="0"/>
        <extend val="0"/>
        <outline val="0"/>
        <shadow val="0"/>
        <u val="none"/>
        <vertAlign val="baseline"/>
        <sz val="10"/>
        <color auto="1"/>
        <name val="Tahoma"/>
        <scheme val="none"/>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numFmt numFmtId="169" formatCode="[$-F400]h:mm:ss\ AM/PM"/>
    </dxf>
    <dxf>
      <font>
        <b val="0"/>
        <i val="0"/>
        <strike val="0"/>
        <condense val="0"/>
        <extend val="0"/>
        <outline val="0"/>
        <shadow val="0"/>
        <u val="none"/>
        <vertAlign val="baseline"/>
        <sz val="10"/>
        <color auto="1"/>
        <name val="Tahoma"/>
        <scheme val="none"/>
      </font>
      <numFmt numFmtId="19" formatCode="m/d/yyyy"/>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numFmt numFmtId="0" formatCode="General"/>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numFmt numFmtId="169" formatCode="[$-F400]h:mm:ss\ AM/PM"/>
    </dxf>
    <dxf>
      <font>
        <b val="0"/>
        <i val="0"/>
        <strike val="0"/>
        <condense val="0"/>
        <extend val="0"/>
        <outline val="0"/>
        <shadow val="0"/>
        <u val="none"/>
        <vertAlign val="baseline"/>
        <sz val="10"/>
        <color auto="1"/>
        <name val="Tahoma"/>
        <scheme val="none"/>
      </font>
      <numFmt numFmtId="19" formatCode="m/d/yyyy"/>
    </dxf>
    <dxf>
      <font>
        <b val="0"/>
        <i val="0"/>
        <strike val="0"/>
        <condense val="0"/>
        <extend val="0"/>
        <outline val="0"/>
        <shadow val="0"/>
        <u val="none"/>
        <vertAlign val="baseline"/>
        <sz val="10"/>
        <color auto="1"/>
        <name val="Tahoma"/>
        <scheme val="none"/>
      </font>
    </dxf>
    <dxf>
      <font>
        <b val="0"/>
        <i val="0"/>
        <strike val="0"/>
        <condense val="0"/>
        <extend val="0"/>
        <outline val="0"/>
        <shadow val="0"/>
        <u val="none"/>
        <vertAlign val="baseline"/>
        <sz val="10"/>
        <color auto="1"/>
        <name val="Tahoma"/>
        <scheme val="none"/>
      </font>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 formatCode="0"/>
      <fill>
        <patternFill patternType="none">
          <fgColor indexed="64"/>
          <bgColor indexed="65"/>
        </patternFill>
      </fill>
    </dxf>
    <dxf>
      <numFmt numFmtId="1" formatCode="0"/>
    </dxf>
    <dxf>
      <numFmt numFmtId="19" formatCode="m/d/yyyy"/>
    </dxf>
    <dxf>
      <alignment horizontal="center" vertical="bottom" textRotation="0" wrapText="0" indent="0" justifyLastLine="0" shrinkToFit="0" readingOrder="0"/>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3ECB5"/>
      <rgbColor rgb="000000FF"/>
      <rgbColor rgb="00FFFF00"/>
      <rgbColor rgb="00FF8AFF"/>
      <rgbColor rgb="00CEE7FF"/>
      <rgbColor rgb="00FF26FF"/>
      <rgbColor rgb="0092D048"/>
      <rgbColor rgb="00000080"/>
      <rgbColor rgb="00FFB9FF"/>
      <rgbColor rgb="00C1A3E4"/>
      <rgbColor rgb="000061C1"/>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FFFF"/>
      <rgbColor rgb="00E6F2FF"/>
      <rgbColor rgb="00E9F5DA"/>
      <rgbColor rgb="00FFFF66"/>
      <rgbColor rgb="0099CCFF"/>
      <rgbColor rgb="00FFD0FF"/>
      <rgbColor rgb="00EBE0F5"/>
      <rgbColor rgb="00FFCC99"/>
      <rgbColor rgb="0000B0F0"/>
      <rgbColor rgb="0085C2FF"/>
      <rgbColor rgb="00FFE8FF"/>
      <rgbColor rgb="00FFCC00"/>
      <rgbColor rgb="00F69240"/>
      <rgbColor rgb="00FF6600"/>
      <rgbColor rgb="009A67D3"/>
      <rgbColor rgb="00D9D9D9"/>
      <rgbColor rgb="00003366"/>
      <rgbColor rgb="00BEE292"/>
      <rgbColor rgb="004A701D"/>
      <rgbColor rgb="00C400C4"/>
      <rgbColor rgb="00993300"/>
      <rgbColor rgb="00D7C2ED"/>
      <rgbColor rgb="007335B7"/>
      <rgbColor rgb="00595959"/>
    </indexedColors>
    <mruColors>
      <color rgb="FF00FFFF"/>
      <color rgb="FFFFCCFF"/>
      <color rgb="FF0000FF"/>
      <color rgb="FF99FF99"/>
      <color rgb="FF66FF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3.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4.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5.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6.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7.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8.vml.rels><?xml version="1.0" encoding="UTF-8" standalone="yes"?>
<Relationships xmlns="http://schemas.openxmlformats.org/package/2006/relationships"><Relationship Id="rId1" Type="http://schemas.openxmlformats.org/officeDocument/2006/relationships/image" Target="../media/image2.w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Derby/DB%20Dev/Stats_Test_Book%20v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ersonal/Derby/DB%20Dev/Game%20Stats%20-%20Template%20-%202015-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IBRF"/>
      <sheetName val="Score"/>
      <sheetName val="Penalties"/>
      <sheetName val="Lineups"/>
      <sheetName val="Expulsion-Suspension Form"/>
      <sheetName val="Export_IGRF"/>
      <sheetName val="Export_Score"/>
      <sheetName val="Export_Penalties"/>
      <sheetName val="Export_Lineups"/>
      <sheetName val="Bout Summary"/>
      <sheetName val="Penalty Summary"/>
      <sheetName val="Official Reviews"/>
      <sheetName val="Actions"/>
      <sheetName val="Errors"/>
      <sheetName val="Bout Clock"/>
      <sheetName val="Penalty Box"/>
      <sheetName val="Penalty Box (Scrimmage)"/>
      <sheetName val="Whiteboards"/>
      <sheetName val="Dual Trackers"/>
      <sheetName val="NOTT Score"/>
      <sheetName val="LU"/>
      <sheetName val="PT"/>
      <sheetName val="SK"/>
      <sheetName val="Credits"/>
      <sheetName val="Colophon"/>
    </sheetNames>
    <sheetDataSet>
      <sheetData sheetId="0"/>
      <sheetData sheetId="1">
        <row r="5">
          <cell r="B5">
            <v>41734</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Star Passes"/>
      <sheetName val="IGRF"/>
      <sheetName val="Score"/>
      <sheetName val="Penalties"/>
      <sheetName val="Lineups"/>
      <sheetName val="BlockerAction"/>
      <sheetName val="Export_IGRF"/>
      <sheetName val="Export_Score"/>
      <sheetName val="Export_Lineups"/>
      <sheetName val="Export_Penalties"/>
      <sheetName val="Expulsion-Suspension Form"/>
      <sheetName val="Game Summary"/>
      <sheetName val="Penalty Summary"/>
      <sheetName val="Official Reviews"/>
      <sheetName val="Actions"/>
      <sheetName val="Errors"/>
      <sheetName val="Game Clock"/>
      <sheetName val="Penalty Box"/>
      <sheetName val="Whiteboards"/>
      <sheetName val="Dual Trackers"/>
      <sheetName val="NOTT Score"/>
      <sheetName val="LU"/>
      <sheetName val="PT"/>
      <sheetName val="SK"/>
      <sheetName val="Credits"/>
      <sheetName val="Colophon"/>
    </sheetNames>
    <sheetDataSet>
      <sheetData sheetId="0" refreshError="1"/>
      <sheetData sheetId="1" refreshError="1"/>
      <sheetData sheetId="2">
        <row r="5">
          <cell r="B5">
            <v>42077</v>
          </cell>
        </row>
      </sheetData>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ables/table1.xml><?xml version="1.0" encoding="utf-8"?>
<table xmlns="http://schemas.openxmlformats.org/spreadsheetml/2006/main" id="1" name="IGRF" displayName="IGRF" ref="A1:F41" totalsRowShown="0" headerRowDxfId="67">
  <sortState ref="A2:G42">
    <sortCondition ref="D2:D42"/>
    <sortCondition ref="E2:E42"/>
  </sortState>
  <tableColumns count="6">
    <tableColumn id="1" name="Date" dataDxfId="66">
      <calculatedColumnFormula>$I$1</calculatedColumnFormula>
    </tableColumn>
    <tableColumn id="7" name="Time" dataDxfId="65">
      <calculatedColumnFormula>$J$1</calculatedColumnFormula>
    </tableColumn>
    <tableColumn id="6" name="League" dataDxfId="64" dataCellStyle="Normal 2 2"/>
    <tableColumn id="2" name="Team">
      <calculatedColumnFormula>[1]IBRF!$H$9</calculatedColumnFormula>
    </tableColumn>
    <tableColumn id="4" name="SkaterIdx" dataDxfId="63" dataCellStyle="Normal 2 2">
      <calculatedColumnFormula>IF(ISBLANK([1]IBRF!H27),"",[1]IBRF!H27)</calculatedColumnFormula>
    </tableColumn>
    <tableColumn id="5" name="SkaterName" dataDxfId="62"/>
  </tableColumns>
  <tableStyleInfo name="TableStyleLight10" showFirstColumn="0" showLastColumn="0" showRowStripes="1" showColumnStripes="0"/>
</table>
</file>

<file path=xl/tables/table2.xml><?xml version="1.0" encoding="utf-8"?>
<table xmlns="http://schemas.openxmlformats.org/spreadsheetml/2006/main" id="2" name="ScoreData" displayName="ScoreData" ref="A1:T153" totalsRowShown="0" headerRowDxfId="61" dataDxfId="60">
  <tableColumns count="20">
    <tableColumn id="7" name="GameDate" dataDxfId="59">
      <calculatedColumnFormula>[1]IBRF!$B$5</calculatedColumnFormula>
    </tableColumn>
    <tableColumn id="8" name="GameTime" dataDxfId="58">
      <calculatedColumnFormula>$X$1</calculatedColumnFormula>
    </tableColumn>
    <tableColumn id="1" name="Period" dataDxfId="57"/>
    <tableColumn id="2" name="JamNum" dataDxfId="56">
      <calculatedColumnFormula>IF(ScoreData[[#This Row],[Passed?]],D1,INDIRECT($X$24&amp;ScoreData[[#This Row],[Jam]]&amp;ScoreData[[#This Row],[RefRow]]))</calculatedColumnFormula>
    </tableColumn>
    <tableColumn id="3" name="Team" dataDxfId="55">
      <calculatedColumnFormula>#REF!</calculatedColumnFormula>
    </tableColumn>
    <tableColumn id="20" name="JammerNum" dataDxfId="54" dataCellStyle="Normal 2 2">
      <calculatedColumnFormula>IF(INDIRECT($X$24&amp;ScoreData[[#This Row],[Jammer]]&amp;ScoreData[[#This Row],[RefRow]])=0,"",INDIRECT($X$24&amp;ScoreData[[#This Row],[Jammer]]&amp;ScoreData[[#This Row],[RefRow]]))</calculatedColumnFormula>
    </tableColumn>
    <tableColumn id="11" name="Lead?" dataDxfId="53" dataCellStyle="Normal 2 2">
      <calculatedColumnFormula>IF(INDIRECT($X$24&amp;ScoreData[[#This Row],[Lead]]&amp;ScoreData[[#This Row],[RefRow]])="X","YES","NO")</calculatedColumnFormula>
    </tableColumn>
    <tableColumn id="13" name="Call?" dataDxfId="52" dataCellStyle="Normal 2 2">
      <calculatedColumnFormula>IF(INDIRECT($X$24&amp;ScoreData[[#This Row],[Call]]&amp;ScoreData[[#This Row],[RefRow]])="X","YES","NO")</calculatedColumnFormula>
    </tableColumn>
    <tableColumn id="14" name="Passes" dataDxfId="51" dataCellStyle="Normal 2 2">
      <calculatedColumnFormula>INDIRECT($X$24&amp;ScoreData[[#This Row],[Pass]]&amp;ScoreData[[#This Row],[RefRow]])</calculatedColumnFormula>
    </tableColumn>
    <tableColumn id="15" name="Points" dataDxfId="50" dataCellStyle="Normal 2 2">
      <calculatedColumnFormula>IF(INDIRECT($X$24&amp;ScoreData[[#This Row],[Point]]&amp;ScoreData[[#This Row],[RefRow]])=0,"",INDIRECT($X$24&amp;ScoreData[[#This Row],[Point]]&amp;ScoreData[[#This Row],[RefRow]]))</calculatedColumnFormula>
    </tableColumn>
    <tableColumn id="5" name="Passed?" dataDxfId="49" dataCellStyle="Normal 2 2">
      <calculatedColumnFormula>IF(OR(INDIRECT($X$24&amp;ScoreData[[#This Row],[Jam]]&amp;ScoreData[[#This Row],[RefRow]])="SP",INDIRECT($X$24&amp;ScoreData[[#This Row],[Jam]]&amp;ScoreData[[#This Row],[RefRow]])="SP*"),TRUE,FALSE)</calculatedColumnFormula>
    </tableColumn>
    <tableColumn id="18" name="Home?" dataDxfId="48" dataCellStyle="Normal 2 2"/>
    <tableColumn id="19" name="Jam" dataDxfId="47" dataCellStyle="Normal 2 2">
      <calculatedColumnFormula array="1">IFERROR(INDEX(ScoreSearch[],MATCH(ScoreData[[#This Row],[Home?]]&amp;ScoreData[[#Headers],[Jam]],ScoreSearch[Home?]&amp;ScoreSearch[Item],1),3),"")</calculatedColumnFormula>
    </tableColumn>
    <tableColumn id="21" name="Jammer" dataDxfId="46" dataCellStyle="Normal 2 2">
      <calculatedColumnFormula array="1">IFERROR(INDEX(ScoreSearch[],MATCH(ScoreData[[#This Row],[Home?]]&amp;ScoreData[[#Headers],[Jammer]],ScoreSearch[Home?]&amp;ScoreSearch[Item],1),3),"")</calculatedColumnFormula>
    </tableColumn>
    <tableColumn id="12" name="Lead" dataDxfId="45" dataCellStyle="Normal 2 2">
      <calculatedColumnFormula array="1">IFERROR(INDEX(ScoreSearch[],MATCH(ScoreData[[#This Row],[Home?]]&amp;ScoreData[[#Headers],[Lead]],ScoreSearch[Home?]&amp;ScoreSearch[Item],1),3),"")</calculatedColumnFormula>
    </tableColumn>
    <tableColumn id="16" name="Call" dataDxfId="44" dataCellStyle="Normal 2 2">
      <calculatedColumnFormula array="1">IFERROR(INDEX(ScoreSearch[],MATCH(ScoreData[[#This Row],[Home?]]&amp;ScoreData[[#Headers],[Call]],ScoreSearch[Home?]&amp;ScoreSearch[Item],1),3),"")</calculatedColumnFormula>
    </tableColumn>
    <tableColumn id="17" name="Penalty" dataDxfId="43" dataCellStyle="Normal 2 2">
      <calculatedColumnFormula array="1">IFERROR(INDEX(ScoreSearch[],MATCH(ScoreData[[#This Row],[Home?]]&amp;ScoreData[[#Headers],[Penalty]],ScoreSearch[Home?]&amp;ScoreSearch[Item],1),3),"")</calculatedColumnFormula>
    </tableColumn>
    <tableColumn id="9" name="Point" dataDxfId="42" dataCellStyle="Normal 2 2">
      <calculatedColumnFormula array="1">IFERROR(INDEX(ScoreSearch[],MATCH(ScoreData[[#This Row],[Home?]]&amp;ScoreData[[#Headers],[Point]],ScoreSearch[Home?]&amp;ScoreSearch[Item],1),3),"")</calculatedColumnFormula>
    </tableColumn>
    <tableColumn id="10" name="Pass" dataDxfId="41" dataCellStyle="Normal 2 2">
      <calculatedColumnFormula array="1">IFERROR(INDEX(ScoreSearch[],MATCH(ScoreData[[#This Row],[Home?]]&amp;ScoreData[[#Headers],[Pass]],ScoreSearch[Home?]&amp;ScoreSearch[Item],1),3),"")</calculatedColumnFormula>
    </tableColumn>
    <tableColumn id="6" name="RefRow" dataDxfId="40"/>
  </tableColumns>
  <tableStyleInfo name="TableStyleLight10" showFirstColumn="0" showLastColumn="0" showRowStripes="1" showColumnStripes="0"/>
</table>
</file>

<file path=xl/tables/table3.xml><?xml version="1.0" encoding="utf-8"?>
<table xmlns="http://schemas.openxmlformats.org/spreadsheetml/2006/main" id="3" name="ScoreSearch" displayName="ScoreSearch" ref="V26:X40" totalsRowShown="0" headerRowCellStyle="Normal 2" dataCellStyle="Normal 2">
  <autoFilter ref="V26:X40"/>
  <sortState ref="V27:X40">
    <sortCondition ref="V27:V40"/>
    <sortCondition ref="W27:W40"/>
  </sortState>
  <tableColumns count="3">
    <tableColumn id="1" name="Home?" dataCellStyle="Normal 2"/>
    <tableColumn id="2" name="Item" dataCellStyle="Normal 2"/>
    <tableColumn id="3" name="Value" dataCellStyle="Normal 2"/>
  </tableColumns>
  <tableStyleInfo name="TableStyleLight9" showFirstColumn="0" showLastColumn="0" showRowStripes="1" showColumnStripes="0"/>
</table>
</file>

<file path=xl/tables/table4.xml><?xml version="1.0" encoding="utf-8"?>
<table xmlns="http://schemas.openxmlformats.org/spreadsheetml/2006/main" id="4" name="LineupsData" displayName="LineupsData" ref="A1:W153" totalsRowShown="0" headerRowDxfId="39" dataDxfId="38">
  <autoFilter ref="A1:W153"/>
  <tableColumns count="23">
    <tableColumn id="7" name="GameDate" dataDxfId="37">
      <calculatedColumnFormula>[1]IBRF!$B$5</calculatedColumnFormula>
    </tableColumn>
    <tableColumn id="8" name="GameTime" dataDxfId="36">
      <calculatedColumnFormula>$AA$1</calculatedColumnFormula>
    </tableColumn>
    <tableColumn id="1" name="Period" dataDxfId="35"/>
    <tableColumn id="2" name="JamNum" dataDxfId="34">
      <calculatedColumnFormula array="1">IF(LineupsData[[#This Row],[Passed?]],D1,IF(INDIRECT($AA$24&amp;INDEX(LineupsSearch[],MATCH(LineupsData[[#This Row],[Home?]]&amp;"Jam",LineupsSearch[Home?]&amp;LineupsSearch[Item],1),3)&amp;LineupsData[[#This Row],[RefRow]])="",0,INDIRECT($AA$24&amp;INDEX(LineupsSearch[],MATCH(LineupsData[[#This Row],[Home?]]&amp;"Jam",LineupsSearch[Home?]&amp;LineupsSearch[Item],1),3)&amp;LineupsData[[#This Row],[RefRow]])))</calculatedColumnFormula>
    </tableColumn>
    <tableColumn id="3" name="Team" dataDxfId="33">
      <calculatedColumnFormula>#REF!</calculatedColumnFormula>
    </tableColumn>
    <tableColumn id="14" name="Jammer" dataDxfId="32" dataCellStyle="Normal 2 2">
      <calculatedColumnFormula array="1">INDIRECT($AA$24&amp;INDEX(LineupsSearch[],MATCH(LineupsData[[#This Row],[Home?]]&amp;LineupsData[[#Headers],[Jammer]],LineupsSearch[Home?]&amp;LineupsSearch[Item],1),3)&amp;LineupsData[[#This Row],[RefRow]])</calculatedColumnFormula>
    </tableColumn>
    <tableColumn id="15" name="J_Box" dataDxfId="31" dataCellStyle="Normal 2 2">
      <calculatedColumnFormula array="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calculatedColumnFormula>
    </tableColumn>
    <tableColumn id="4" name="J_#P" dataDxfId="30" dataCellStyle="Normal 2 2">
      <calculatedColumnFormula>IFERROR(LEN(IF(OR(LEFT(LineupsData[[#This Row],[J_Box]],1)="$",LEFT(LineupsData[[#This Row],[J_Box]],1)="S"),RIGHT(LineupsData[[#This Row],[J_Box]],LEN(LineupsData[[#This Row],[J_Box]])-1),LineupsData[[#This Row],[J_Box]])),"")</calculatedColumnFormula>
    </tableColumn>
    <tableColumn id="11" name="Pivot" dataDxfId="29" dataCellStyle="Normal 2 2">
      <calculatedColumnFormula array="1">INDIRECT($AA$24&amp;INDEX(LineupsSearch[],MATCH(LineupsData[[#This Row],[Home?]]&amp;LineupsData[[#Headers],[Pivot]],LineupsSearch[Home?]&amp;LineupsSearch[Item],1),3)&amp;LineupsData[[#This Row],[RefRow]])</calculatedColumnFormula>
    </tableColumn>
    <tableColumn id="13" name="P_Box" dataDxfId="28" dataCellStyle="Normal 2 2">
      <calculatedColumnFormula array="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calculatedColumnFormula>
    </tableColumn>
    <tableColumn id="9" name="P_#P" dataDxfId="27" dataCellStyle="Normal 2 2">
      <calculatedColumnFormula>IFERROR(LEN(IF(OR(LEFT(LineupsData[[#This Row],[P_Box]],1)="$",LEFT(LineupsData[[#This Row],[P_Box]],1)="S"),RIGHT(LineupsData[[#This Row],[P_Box]],LEN(LineupsData[[#This Row],[P_Box]])-1),LineupsData[[#This Row],[P_Box]])),"")</calculatedColumnFormula>
    </tableColumn>
    <tableColumn id="26" name="B1" dataDxfId="26" dataCellStyle="Normal 2 2">
      <calculatedColumnFormula array="1">INDIRECT($AA$24&amp;INDEX(LineupsSearch[],MATCH(LineupsData[[#This Row],[Home?]]&amp;LineupsData[[#Headers],[B1]],LineupsSearch[Home?]&amp;LineupsSearch[Item],1),3)&amp;LineupsData[[#This Row],[RefRow]])</calculatedColumnFormula>
    </tableColumn>
    <tableColumn id="27" name="B1_Box" dataDxfId="25" dataCellStyle="Normal 2 2">
      <calculatedColumnFormula array="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calculatedColumnFormula>
    </tableColumn>
    <tableColumn id="10" name="B1_#P" dataDxfId="24" dataCellStyle="Normal 2 2">
      <calculatedColumnFormula>IFERROR(LEN(IF(OR(LEFT(LineupsData[[#This Row],[B1_Box]],1)="$",LEFT(LineupsData[[#This Row],[B1_Box]],1)="S"),RIGHT(LineupsData[[#This Row],[B1_Box]],LEN(LineupsData[[#This Row],[B1_Box]])-1),LineupsData[[#This Row],[B1_Box]])),"")</calculatedColumnFormula>
    </tableColumn>
    <tableColumn id="24" name="B2" dataDxfId="23" dataCellStyle="Normal 2 2">
      <calculatedColumnFormula array="1">INDIRECT($AA$24&amp;INDEX(LineupsSearch[],MATCH(LineupsData[[#This Row],[Home?]]&amp;LineupsData[[#Headers],[B2]],LineupsSearch[Home?]&amp;LineupsSearch[Item],1),3)&amp;LineupsData[[#This Row],[RefRow]])</calculatedColumnFormula>
    </tableColumn>
    <tableColumn id="25" name="B2_Box" dataDxfId="22" dataCellStyle="Normal 2 2">
      <calculatedColumnFormula array="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calculatedColumnFormula>
    </tableColumn>
    <tableColumn id="12" name="B2_#P" dataDxfId="21" dataCellStyle="Normal 2 2">
      <calculatedColumnFormula>IFERROR(LEN(IF(OR(LEFT(LineupsData[[#This Row],[B2_Box]],1)="$",LEFT(LineupsData[[#This Row],[B2_Box]],1)="S"),RIGHT(LineupsData[[#This Row],[B2_Box]],LEN(LineupsData[[#This Row],[B2_Box]])-1),LineupsData[[#This Row],[B2_Box]])),"")</calculatedColumnFormula>
    </tableColumn>
    <tableColumn id="22" name="B3" dataDxfId="20" dataCellStyle="Normal 2 2">
      <calculatedColumnFormula array="1">INDIRECT($AA$24&amp;INDEX(LineupsSearch[],MATCH(LineupsData[[#This Row],[Home?]]&amp;LineupsData[[#Headers],[B3]],LineupsSearch[Home?]&amp;LineupsSearch[Item],1),3)&amp;LineupsData[[#This Row],[RefRow]])</calculatedColumnFormula>
    </tableColumn>
    <tableColumn id="23" name="B3_Box" dataDxfId="19" dataCellStyle="Normal 2 2">
      <calculatedColumnFormula array="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calculatedColumnFormula>
    </tableColumn>
    <tableColumn id="16" name="B3_#P" dataDxfId="18" dataCellStyle="Normal 2 2">
      <calculatedColumnFormula>IFERROR(LEN(IF(OR(LEFT(LineupsData[[#This Row],[B3_Box]],1)="$",LEFT(LineupsData[[#This Row],[B3_Box]],1)="S"),RIGHT(LineupsData[[#This Row],[B3_Box]],LEN(LineupsData[[#This Row],[B3_Box]])-1),LineupsData[[#This Row],[B3_Box]])),"")</calculatedColumnFormula>
    </tableColumn>
    <tableColumn id="5" name="Passed?" dataDxfId="17" dataCellStyle="Normal 2 2">
      <calculatedColumnFormula array="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calculatedColumnFormula>
    </tableColumn>
    <tableColumn id="18" name="Home?" dataDxfId="16" dataCellStyle="Normal 2 2"/>
    <tableColumn id="6" name="RefRow" dataDxfId="15"/>
  </tableColumns>
  <tableStyleInfo name="TableStyleLight10" showFirstColumn="0" showLastColumn="0" showRowStripes="1" showColumnStripes="0"/>
</table>
</file>

<file path=xl/tables/table5.xml><?xml version="1.0" encoding="utf-8"?>
<table xmlns="http://schemas.openxmlformats.org/spreadsheetml/2006/main" id="5" name="LineupsSearch" displayName="LineupsSearch" ref="Y26:AC48" totalsRowShown="0" headerRowCellStyle="Normal 2" dataCellStyle="Normal 2">
  <autoFilter ref="Y26:AC48"/>
  <sortState ref="Y27:AA48">
    <sortCondition ref="Y27:Y48"/>
    <sortCondition ref="Z27:Z48"/>
  </sortState>
  <tableColumns count="5">
    <tableColumn id="1" name="Home?" dataCellStyle="Normal 2"/>
    <tableColumn id="2" name="Item" dataCellStyle="Normal 2"/>
    <tableColumn id="3" name="Value" dataCellStyle="Normal 2"/>
    <tableColumn id="4" name="Value2" dataCellStyle="Normal 2"/>
    <tableColumn id="5" name="Value3" dataCellStyle="Normal 2"/>
  </tableColumns>
  <tableStyleInfo name="TableStyleLight9" showFirstColumn="0" showLastColumn="0" showRowStripes="1" showColumnStripes="0"/>
</table>
</file>

<file path=xl/tables/table6.xml><?xml version="1.0" encoding="utf-8"?>
<table xmlns="http://schemas.openxmlformats.org/spreadsheetml/2006/main" id="6" name="PenaltyNames91419" displayName="PenaltyNames91419" ref="M8:N24" totalsRowShown="0" headerRowDxfId="14">
  <autoFilter ref="M8:N24"/>
  <tableColumns count="2">
    <tableColumn id="1" name="Penalty ID" dataDxfId="13"/>
    <tableColumn id="2" name="Penalty Name"/>
  </tableColumns>
  <tableStyleInfo name="TableStyleLight2" showFirstColumn="0" showLastColumn="0" showRowStripes="1" showColumnStripes="0"/>
</table>
</file>

<file path=xl/tables/table7.xml><?xml version="1.0" encoding="utf-8"?>
<table xmlns="http://schemas.openxmlformats.org/spreadsheetml/2006/main" id="7" name="PenaltyData" displayName="PenaltyData" ref="A1:K721" totalsRowShown="0" headerRowDxfId="12" dataDxfId="11">
  <autoFilter ref="A1:K721"/>
  <tableColumns count="11">
    <tableColumn id="10" name="GameDate" dataDxfId="10">
      <calculatedColumnFormula>$N$1</calculatedColumnFormula>
    </tableColumn>
    <tableColumn id="12" name="GameTime" dataDxfId="9">
      <calculatedColumnFormula>$O$1</calculatedColumnFormula>
    </tableColumn>
    <tableColumn id="1" name="Period" dataDxfId="8"/>
    <tableColumn id="9" name="Team" dataDxfId="7" dataCellStyle="Normal 2 2"/>
    <tableColumn id="3" name="Jam" dataDxfId="6">
      <calculatedColumnFormula>VALUE(INDIRECT("Penalties!"&amp;PenaltyData[[#This Row],[REF]]&amp;(PenaltyData[[#This Row],[ROW]]+1)))</calculatedColumnFormula>
    </tableColumn>
    <tableColumn id="2" name="PlayerIdx" dataDxfId="5">
      <calculatedColumnFormula>IF(INDIRECT("Penalties!"&amp;$N$28&amp;PenaltyData[[#This Row],[ROW]],TRUE)=0, "",INDIRECT("Penalties!"&amp;$N$28&amp;PenaltyData[[#This Row],[ROW]],TRUE))</calculatedColumnFormula>
    </tableColumn>
    <tableColumn id="11" name="PenaltyIdx" dataDxfId="4">
      <calculatedColumnFormula>COUNTIFS($H$1:H2,"&lt;&gt;0", $F$1:F2,PenaltyData[[#This Row],[PlayerIdx]],$D$1:D2,PenaltyData[[#This Row],[Team]])</calculatedColumnFormula>
    </tableColumn>
    <tableColumn id="4" name="Penalty" dataDxfId="3">
      <calculatedColumnFormula>INDIRECT("Penalties!"&amp;PenaltyData[[#This Row],[REF]]&amp;PenaltyData[[#This Row],[ROW]])</calculatedColumnFormula>
    </tableColumn>
    <tableColumn id="6" name="PenaltyName" dataDxfId="2">
      <calculatedColumnFormula>IFERROR(VLOOKUP(PenaltyData[[#This Row],[Penalty]],PenaltyNames91419[],2,FALSE),"")</calculatedColumnFormula>
    </tableColumn>
    <tableColumn id="7" name="REF" dataDxfId="1"/>
    <tableColumn id="8" name="ROW"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85C2FF"/>
      </a:accent1>
      <a:accent2>
        <a:srgbClr val="FF8AFF"/>
      </a:accent2>
      <a:accent3>
        <a:srgbClr val="92D048"/>
      </a:accent3>
      <a:accent4>
        <a:srgbClr val="9A67D3"/>
      </a:accent4>
      <a:accent5>
        <a:srgbClr val="FFFF66"/>
      </a:accent5>
      <a:accent6>
        <a:srgbClr val="F69240"/>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vmlDrawing" Target="../drawings/vmlDrawing12.vml"/><Relationship Id="rId1" Type="http://schemas.openxmlformats.org/officeDocument/2006/relationships/printerSettings" Target="../printerSettings/printerSettings13.bin"/><Relationship Id="rId4" Type="http://schemas.openxmlformats.org/officeDocument/2006/relationships/comments" Target="../comments6.xml"/></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1"/>
  </sheetPr>
  <dimension ref="A1:CQ212"/>
  <sheetViews>
    <sheetView zoomScaleNormal="100" workbookViewId="0">
      <selection sqref="A1:K1"/>
    </sheetView>
  </sheetViews>
  <sheetFormatPr defaultColWidth="8.6640625" defaultRowHeight="13.8" x14ac:dyDescent="0.3"/>
  <cols>
    <col min="1" max="1" width="5.88671875" style="3" customWidth="1"/>
    <col min="2" max="2" width="16.109375" style="3" customWidth="1"/>
    <col min="3" max="10" width="6.88671875" style="3" customWidth="1"/>
    <col min="11" max="11" width="12.33203125" style="3" customWidth="1"/>
    <col min="12" max="95" width="9.109375" style="80" customWidth="1"/>
    <col min="96" max="16384" width="8.6640625" style="3"/>
  </cols>
  <sheetData>
    <row r="1" spans="1:95" ht="27" customHeight="1" x14ac:dyDescent="0.35">
      <c r="A1" s="761" t="s">
        <v>214</v>
      </c>
      <c r="B1" s="761"/>
      <c r="C1" s="761"/>
      <c r="D1" s="761"/>
      <c r="E1" s="761"/>
      <c r="F1" s="761"/>
      <c r="G1" s="761"/>
      <c r="H1" s="761"/>
      <c r="I1" s="761"/>
      <c r="J1" s="761"/>
      <c r="K1" s="761"/>
    </row>
    <row r="2" spans="1:95" ht="18" customHeight="1" x14ac:dyDescent="0.3">
      <c r="A2" s="762" t="s">
        <v>425</v>
      </c>
      <c r="B2" s="762"/>
      <c r="C2" s="762"/>
      <c r="D2" s="762"/>
      <c r="E2" s="762"/>
      <c r="F2" s="762"/>
      <c r="G2" s="762"/>
      <c r="H2" s="762"/>
      <c r="I2" s="762"/>
      <c r="J2" s="762"/>
      <c r="K2" s="762"/>
    </row>
    <row r="3" spans="1:95" ht="15.75" customHeight="1" x14ac:dyDescent="0.3">
      <c r="A3" s="763" t="s">
        <v>561</v>
      </c>
      <c r="B3" s="763"/>
      <c r="C3" s="763"/>
      <c r="D3" s="763"/>
      <c r="E3" s="763"/>
      <c r="F3" s="763"/>
      <c r="G3" s="763"/>
      <c r="H3" s="763"/>
      <c r="I3" s="763"/>
      <c r="J3" s="763"/>
      <c r="K3" s="763"/>
    </row>
    <row r="4" spans="1:95" ht="15.75" customHeight="1" x14ac:dyDescent="0.3">
      <c r="A4" s="764" t="s">
        <v>457</v>
      </c>
      <c r="B4" s="764"/>
      <c r="C4" s="764"/>
      <c r="D4" s="764"/>
      <c r="E4" s="764"/>
      <c r="F4" s="764"/>
      <c r="G4" s="764"/>
      <c r="H4" s="764"/>
      <c r="I4" s="764"/>
      <c r="J4" s="764"/>
      <c r="K4" s="764"/>
    </row>
    <row r="5" spans="1:95" ht="15.75" customHeight="1" x14ac:dyDescent="0.3">
      <c r="A5" s="770"/>
      <c r="B5" s="770"/>
      <c r="C5" s="770"/>
      <c r="D5" s="770"/>
      <c r="E5" s="770"/>
      <c r="F5" s="770"/>
      <c r="G5" s="770"/>
      <c r="H5" s="770"/>
      <c r="I5" s="770"/>
      <c r="J5" s="770"/>
      <c r="K5" s="770"/>
    </row>
    <row r="6" spans="1:95" ht="15.75" customHeight="1" x14ac:dyDescent="0.3">
      <c r="A6" s="768" t="s">
        <v>355</v>
      </c>
      <c r="B6" s="768"/>
      <c r="C6" s="768"/>
      <c r="D6" s="768"/>
      <c r="E6" s="768"/>
      <c r="F6" s="768"/>
      <c r="G6" s="768"/>
      <c r="H6" s="768"/>
      <c r="I6" s="768"/>
      <c r="J6" s="768"/>
      <c r="K6" s="768"/>
    </row>
    <row r="7" spans="1:95" ht="24" customHeight="1" x14ac:dyDescent="0.3">
      <c r="A7" s="256"/>
      <c r="B7" s="256"/>
      <c r="C7" s="256"/>
      <c r="D7" s="256"/>
      <c r="E7" s="256"/>
      <c r="F7" s="256"/>
      <c r="G7" s="256"/>
      <c r="H7" s="256"/>
      <c r="I7" s="256"/>
      <c r="J7" s="256"/>
      <c r="K7" s="256"/>
    </row>
    <row r="8" spans="1:95" ht="52.5" customHeight="1" x14ac:dyDescent="0.3">
      <c r="A8" s="769" t="s">
        <v>430</v>
      </c>
      <c r="B8" s="769"/>
      <c r="C8" s="769"/>
      <c r="D8" s="769"/>
      <c r="E8" s="769"/>
      <c r="F8" s="769"/>
      <c r="G8" s="769"/>
      <c r="H8" s="769"/>
      <c r="I8" s="769"/>
      <c r="J8" s="769"/>
      <c r="K8" s="769"/>
    </row>
    <row r="9" spans="1:95" s="7" customFormat="1" ht="9" customHeight="1" thickBot="1" x14ac:dyDescent="0.35">
      <c r="A9" s="257"/>
      <c r="B9" s="257"/>
      <c r="C9" s="257"/>
      <c r="D9" s="257"/>
      <c r="E9" s="257"/>
      <c r="F9" s="257"/>
      <c r="G9" s="257"/>
      <c r="H9" s="257"/>
      <c r="I9" s="257"/>
      <c r="J9" s="257"/>
      <c r="K9" s="257"/>
      <c r="L9" s="239"/>
      <c r="M9" s="239"/>
      <c r="N9" s="239"/>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row>
    <row r="10" spans="1:95" ht="9" customHeight="1" x14ac:dyDescent="0.3">
      <c r="A10" s="765"/>
      <c r="B10" s="766"/>
      <c r="C10" s="766"/>
      <c r="D10" s="766"/>
      <c r="E10" s="766"/>
      <c r="F10" s="766"/>
      <c r="G10" s="766"/>
      <c r="H10" s="766"/>
      <c r="I10" s="766"/>
      <c r="J10" s="766"/>
      <c r="K10" s="767"/>
    </row>
    <row r="11" spans="1:95" ht="15" customHeight="1" x14ac:dyDescent="0.3">
      <c r="A11" s="242" t="s">
        <v>218</v>
      </c>
      <c r="B11" s="757" t="s">
        <v>536</v>
      </c>
      <c r="C11" s="757"/>
      <c r="D11" s="757"/>
      <c r="E11" s="757"/>
      <c r="F11" s="757"/>
      <c r="G11" s="757"/>
      <c r="H11" s="757"/>
      <c r="I11" s="757"/>
      <c r="J11" s="757"/>
      <c r="K11" s="758"/>
    </row>
    <row r="12" spans="1:95" ht="15" customHeight="1" x14ac:dyDescent="0.3">
      <c r="A12" s="242" t="s">
        <v>201</v>
      </c>
      <c r="B12" s="757" t="s">
        <v>537</v>
      </c>
      <c r="C12" s="757"/>
      <c r="D12" s="757"/>
      <c r="E12" s="757"/>
      <c r="F12" s="757"/>
      <c r="G12" s="757"/>
      <c r="H12" s="757"/>
      <c r="I12" s="757"/>
      <c r="J12" s="757"/>
      <c r="K12" s="758"/>
    </row>
    <row r="13" spans="1:95" ht="15" customHeight="1" x14ac:dyDescent="0.3">
      <c r="A13" s="242" t="s">
        <v>203</v>
      </c>
      <c r="B13" s="757" t="s">
        <v>538</v>
      </c>
      <c r="C13" s="757"/>
      <c r="D13" s="757"/>
      <c r="E13" s="757"/>
      <c r="F13" s="757"/>
      <c r="G13" s="757"/>
      <c r="H13" s="757"/>
      <c r="I13" s="757"/>
      <c r="J13" s="757"/>
      <c r="K13" s="758"/>
    </row>
    <row r="14" spans="1:95" ht="9" customHeight="1" thickBot="1" x14ac:dyDescent="0.35">
      <c r="A14" s="81"/>
      <c r="B14" s="759"/>
      <c r="C14" s="759"/>
      <c r="D14" s="759"/>
      <c r="E14" s="759"/>
      <c r="F14" s="759"/>
      <c r="G14" s="759"/>
      <c r="H14" s="759"/>
      <c r="I14" s="759"/>
      <c r="J14" s="759"/>
      <c r="K14" s="760"/>
    </row>
    <row r="15" spans="1:95" ht="66" customHeight="1" thickBot="1" x14ac:dyDescent="0.35">
      <c r="A15" s="791" t="s">
        <v>481</v>
      </c>
      <c r="B15" s="792"/>
      <c r="C15" s="792"/>
      <c r="D15" s="792"/>
      <c r="E15" s="792"/>
      <c r="F15" s="792"/>
      <c r="G15" s="792"/>
      <c r="H15" s="792"/>
      <c r="I15" s="792"/>
      <c r="J15" s="792"/>
      <c r="K15" s="793"/>
    </row>
    <row r="16" spans="1:95" ht="9" customHeight="1" x14ac:dyDescent="0.3">
      <c r="A16" s="243"/>
      <c r="B16" s="243"/>
      <c r="C16" s="243"/>
      <c r="D16" s="243"/>
      <c r="E16" s="243"/>
      <c r="F16" s="243"/>
      <c r="G16" s="243"/>
      <c r="H16" s="243"/>
      <c r="I16" s="243"/>
      <c r="J16" s="243"/>
      <c r="K16" s="243"/>
    </row>
    <row r="17" spans="1:11" ht="18" customHeight="1" x14ac:dyDescent="0.3">
      <c r="A17" s="790" t="s">
        <v>215</v>
      </c>
      <c r="B17" s="790"/>
      <c r="C17" s="790"/>
      <c r="D17" s="790"/>
      <c r="E17" s="790"/>
      <c r="F17" s="790"/>
      <c r="G17" s="790"/>
      <c r="H17" s="790"/>
      <c r="I17" s="790"/>
      <c r="J17" s="790"/>
      <c r="K17" s="790"/>
    </row>
    <row r="18" spans="1:11" ht="6" customHeight="1" x14ac:dyDescent="0.3">
      <c r="A18" s="82"/>
      <c r="B18" s="82"/>
      <c r="C18" s="82"/>
      <c r="D18" s="82"/>
      <c r="E18" s="82"/>
      <c r="F18" s="82"/>
      <c r="G18" s="82"/>
      <c r="H18" s="82"/>
      <c r="I18" s="82"/>
      <c r="J18" s="82"/>
      <c r="K18" s="82"/>
    </row>
    <row r="19" spans="1:11" ht="15" customHeight="1" x14ac:dyDescent="0.3">
      <c r="A19" s="775" t="s">
        <v>216</v>
      </c>
      <c r="B19" s="775"/>
      <c r="C19" s="775"/>
      <c r="D19" s="775"/>
      <c r="E19" s="775"/>
      <c r="F19" s="775"/>
      <c r="G19" s="775"/>
      <c r="H19" s="775"/>
      <c r="I19" s="775"/>
      <c r="J19" s="775"/>
      <c r="K19" s="775"/>
    </row>
    <row r="20" spans="1:11" ht="15" customHeight="1" x14ac:dyDescent="0.3">
      <c r="A20" s="757" t="s">
        <v>354</v>
      </c>
      <c r="B20" s="757"/>
      <c r="C20" s="757"/>
      <c r="D20" s="757"/>
      <c r="E20" s="757"/>
      <c r="F20" s="757"/>
      <c r="G20" s="757"/>
      <c r="H20" s="757"/>
      <c r="I20" s="757"/>
      <c r="J20" s="757"/>
      <c r="K20" s="757"/>
    </row>
    <row r="21" spans="1:11" ht="15" customHeight="1" x14ac:dyDescent="0.3">
      <c r="A21" s="668"/>
      <c r="B21" s="757" t="s">
        <v>484</v>
      </c>
      <c r="C21" s="757"/>
      <c r="D21" s="757"/>
      <c r="E21" s="757"/>
      <c r="F21" s="757"/>
      <c r="G21" s="757"/>
      <c r="H21" s="757"/>
      <c r="I21" s="757"/>
      <c r="J21" s="668"/>
      <c r="K21" s="666"/>
    </row>
    <row r="22" spans="1:11" ht="15" customHeight="1" x14ac:dyDescent="0.3">
      <c r="A22" s="757" t="s">
        <v>426</v>
      </c>
      <c r="B22" s="757"/>
      <c r="C22" s="757"/>
      <c r="D22" s="757"/>
      <c r="E22" s="757"/>
      <c r="F22" s="757"/>
      <c r="G22" s="757"/>
      <c r="H22" s="757"/>
      <c r="I22" s="757"/>
      <c r="J22" s="757"/>
      <c r="K22" s="757"/>
    </row>
    <row r="23" spans="1:11" ht="15" customHeight="1" x14ac:dyDescent="0.3">
      <c r="A23" s="668"/>
      <c r="B23" s="757" t="s">
        <v>485</v>
      </c>
      <c r="C23" s="757"/>
      <c r="D23" s="757"/>
      <c r="E23" s="757"/>
      <c r="F23" s="757"/>
      <c r="G23" s="757"/>
      <c r="H23" s="757"/>
      <c r="I23" s="757"/>
      <c r="J23" s="757"/>
      <c r="K23" s="757"/>
    </row>
    <row r="24" spans="1:11" ht="6.75" customHeight="1" x14ac:dyDescent="0.3">
      <c r="A24" s="670"/>
      <c r="B24" s="670"/>
      <c r="C24" s="670"/>
      <c r="D24" s="670"/>
      <c r="E24" s="670"/>
      <c r="F24" s="670"/>
      <c r="G24" s="670"/>
      <c r="H24" s="670"/>
      <c r="I24" s="670"/>
      <c r="J24" s="670"/>
      <c r="K24" s="670"/>
    </row>
    <row r="25" spans="1:11" x14ac:dyDescent="0.3">
      <c r="A25" s="244" t="s">
        <v>387</v>
      </c>
      <c r="B25" s="666"/>
      <c r="C25" s="666"/>
      <c r="D25" s="83"/>
      <c r="E25" s="83"/>
      <c r="F25" s="83"/>
      <c r="G25" s="666"/>
      <c r="H25" s="666"/>
      <c r="I25" s="666"/>
      <c r="J25" s="666"/>
      <c r="K25" s="666"/>
    </row>
    <row r="26" spans="1:11" ht="6" customHeight="1" x14ac:dyDescent="0.3">
      <c r="A26" s="244"/>
      <c r="B26" s="666"/>
      <c r="C26" s="666"/>
      <c r="D26" s="83"/>
      <c r="E26" s="83"/>
      <c r="F26" s="83"/>
      <c r="G26" s="666"/>
      <c r="H26" s="666"/>
      <c r="I26" s="666"/>
      <c r="J26" s="666"/>
      <c r="K26" s="666"/>
    </row>
    <row r="27" spans="1:11" ht="15" customHeight="1" x14ac:dyDescent="0.3">
      <c r="A27" s="775" t="s">
        <v>431</v>
      </c>
      <c r="B27" s="775"/>
      <c r="C27" s="775"/>
      <c r="D27" s="775"/>
      <c r="E27" s="673"/>
      <c r="F27" s="673"/>
      <c r="G27" s="673"/>
      <c r="H27" s="673"/>
      <c r="I27" s="673"/>
      <c r="J27" s="673"/>
      <c r="K27" s="673"/>
    </row>
    <row r="28" spans="1:11" ht="28.5" customHeight="1" x14ac:dyDescent="0.3">
      <c r="A28" s="757" t="s">
        <v>539</v>
      </c>
      <c r="B28" s="757"/>
      <c r="C28" s="757"/>
      <c r="D28" s="757"/>
      <c r="E28" s="757"/>
      <c r="F28" s="757"/>
      <c r="G28" s="757"/>
      <c r="H28" s="757"/>
      <c r="I28" s="757"/>
      <c r="J28" s="757"/>
      <c r="K28" s="757"/>
    </row>
    <row r="29" spans="1:11" ht="15" customHeight="1" x14ac:dyDescent="0.3">
      <c r="A29" s="757" t="s">
        <v>490</v>
      </c>
      <c r="B29" s="757"/>
      <c r="C29" s="757"/>
      <c r="D29" s="757"/>
      <c r="E29" s="757"/>
      <c r="F29" s="757"/>
      <c r="G29" s="757"/>
      <c r="H29" s="757"/>
      <c r="I29" s="757"/>
      <c r="J29" s="757"/>
      <c r="K29" s="757"/>
    </row>
    <row r="30" spans="1:11" ht="15" customHeight="1" x14ac:dyDescent="0.3">
      <c r="A30" s="777"/>
      <c r="B30" s="777"/>
      <c r="C30" s="777"/>
      <c r="D30" s="777"/>
      <c r="E30" s="777"/>
      <c r="F30" s="777"/>
      <c r="G30" s="777"/>
      <c r="H30" s="777"/>
      <c r="I30" s="777"/>
      <c r="J30" s="777"/>
      <c r="K30" s="777"/>
    </row>
    <row r="31" spans="1:11" ht="6" customHeight="1" x14ac:dyDescent="0.3">
      <c r="A31" s="83"/>
      <c r="B31" s="84"/>
      <c r="C31" s="83"/>
      <c r="D31" s="83"/>
      <c r="E31" s="85"/>
      <c r="F31" s="83"/>
      <c r="G31" s="83"/>
      <c r="H31" s="83"/>
      <c r="I31" s="83"/>
      <c r="J31" s="83"/>
      <c r="K31" s="83"/>
    </row>
    <row r="32" spans="1:11" ht="15" customHeight="1" x14ac:dyDescent="0.3">
      <c r="A32" s="244" t="s">
        <v>217</v>
      </c>
      <c r="B32" s="668"/>
      <c r="C32" s="668"/>
      <c r="D32" s="668"/>
      <c r="E32" s="668"/>
      <c r="F32" s="668"/>
      <c r="G32" s="668"/>
      <c r="H32" s="668"/>
      <c r="I32" s="668"/>
      <c r="J32" s="668"/>
      <c r="K32" s="668"/>
    </row>
    <row r="33" spans="1:11" ht="15" customHeight="1" x14ac:dyDescent="0.3">
      <c r="A33" s="245" t="s">
        <v>218</v>
      </c>
      <c r="B33" s="668" t="s">
        <v>427</v>
      </c>
      <c r="C33" s="668"/>
      <c r="D33" s="668"/>
      <c r="E33" s="668"/>
      <c r="F33" s="668"/>
      <c r="G33" s="668"/>
      <c r="H33" s="668"/>
      <c r="I33" s="668"/>
      <c r="J33" s="668"/>
      <c r="K33" s="668"/>
    </row>
    <row r="34" spans="1:11" ht="15" customHeight="1" x14ac:dyDescent="0.3">
      <c r="A34" s="7"/>
      <c r="B34" s="86" t="s">
        <v>223</v>
      </c>
      <c r="C34" s="85"/>
      <c r="D34" s="85"/>
      <c r="E34" s="85"/>
      <c r="F34" s="85"/>
      <c r="G34" s="85"/>
      <c r="H34" s="85"/>
      <c r="I34" s="85"/>
      <c r="J34" s="85"/>
      <c r="K34" s="85"/>
    </row>
    <row r="35" spans="1:11" ht="15" customHeight="1" x14ac:dyDescent="0.3">
      <c r="A35" s="245"/>
      <c r="B35" s="86" t="s">
        <v>388</v>
      </c>
      <c r="C35" s="85"/>
      <c r="D35" s="85"/>
      <c r="E35" s="85"/>
      <c r="F35" s="85"/>
      <c r="G35" s="85"/>
      <c r="H35" s="85"/>
      <c r="I35" s="85"/>
      <c r="J35" s="85"/>
      <c r="K35" s="85"/>
    </row>
    <row r="36" spans="1:11" ht="15" customHeight="1" x14ac:dyDescent="0.3">
      <c r="A36" s="245"/>
      <c r="B36" s="86" t="s">
        <v>220</v>
      </c>
      <c r="C36" s="85"/>
      <c r="D36" s="85"/>
      <c r="E36" s="85"/>
      <c r="F36" s="85"/>
      <c r="G36" s="85"/>
      <c r="H36" s="85"/>
      <c r="I36" s="85"/>
      <c r="J36" s="85"/>
      <c r="K36" s="85"/>
    </row>
    <row r="37" spans="1:11" ht="15" customHeight="1" x14ac:dyDescent="0.3">
      <c r="A37" s="245"/>
      <c r="B37" s="86" t="s">
        <v>221</v>
      </c>
      <c r="C37" s="85"/>
      <c r="D37" s="85"/>
      <c r="E37" s="85"/>
      <c r="F37" s="85"/>
      <c r="G37" s="85"/>
      <c r="H37" s="85"/>
      <c r="I37" s="85"/>
      <c r="J37" s="85"/>
      <c r="K37" s="85"/>
    </row>
    <row r="38" spans="1:11" ht="15" customHeight="1" x14ac:dyDescent="0.3">
      <c r="A38" s="245" t="s">
        <v>201</v>
      </c>
      <c r="B38" s="42" t="s">
        <v>448</v>
      </c>
      <c r="C38" s="85"/>
      <c r="D38" s="85"/>
      <c r="E38" s="85"/>
      <c r="F38" s="85"/>
      <c r="G38" s="85"/>
      <c r="H38" s="85"/>
      <c r="I38" s="85"/>
      <c r="J38" s="85"/>
      <c r="K38" s="85"/>
    </row>
    <row r="39" spans="1:11" ht="15" customHeight="1" x14ac:dyDescent="0.3">
      <c r="A39" s="245"/>
      <c r="B39" s="86" t="s">
        <v>535</v>
      </c>
      <c r="C39" s="85"/>
      <c r="D39" s="85"/>
      <c r="E39" s="85"/>
      <c r="F39" s="85"/>
      <c r="G39" s="85"/>
      <c r="H39" s="85"/>
      <c r="I39" s="85"/>
      <c r="J39" s="85"/>
      <c r="K39" s="85"/>
    </row>
    <row r="40" spans="1:11" ht="15" customHeight="1" x14ac:dyDescent="0.3">
      <c r="A40" s="245" t="s">
        <v>203</v>
      </c>
      <c r="B40" s="86" t="s">
        <v>540</v>
      </c>
      <c r="C40" s="85"/>
      <c r="D40" s="85"/>
      <c r="E40" s="85"/>
      <c r="F40" s="85"/>
      <c r="G40" s="85"/>
      <c r="H40" s="85"/>
      <c r="I40" s="85"/>
      <c r="J40" s="85"/>
      <c r="K40" s="85"/>
    </row>
    <row r="41" spans="1:11" ht="15" customHeight="1" x14ac:dyDescent="0.3">
      <c r="A41" s="245"/>
      <c r="B41" s="86"/>
      <c r="C41" s="85"/>
      <c r="D41" s="85"/>
      <c r="E41" s="85"/>
      <c r="F41" s="85"/>
      <c r="G41" s="85"/>
      <c r="H41" s="85"/>
      <c r="I41" s="85"/>
      <c r="J41" s="85"/>
      <c r="K41" s="85"/>
    </row>
    <row r="42" spans="1:11" ht="12.75" customHeight="1" x14ac:dyDescent="0.3">
      <c r="A42" s="776" t="s">
        <v>541</v>
      </c>
      <c r="B42" s="776"/>
      <c r="C42" s="776"/>
      <c r="D42" s="776"/>
      <c r="E42" s="776"/>
      <c r="F42" s="776"/>
      <c r="G42" s="776"/>
      <c r="H42" s="776"/>
      <c r="I42" s="776"/>
      <c r="J42" s="776"/>
      <c r="K42" s="776"/>
    </row>
    <row r="43" spans="1:11" ht="12.75" customHeight="1" x14ac:dyDescent="0.3">
      <c r="A43" s="776" t="s">
        <v>491</v>
      </c>
      <c r="B43" s="776"/>
      <c r="C43" s="776"/>
      <c r="D43" s="776"/>
      <c r="E43" s="776"/>
      <c r="F43" s="776"/>
      <c r="G43" s="776"/>
      <c r="H43" s="776"/>
      <c r="I43" s="776"/>
      <c r="J43" s="776"/>
      <c r="K43" s="776"/>
    </row>
    <row r="44" spans="1:11" ht="3.75" customHeight="1" x14ac:dyDescent="0.3">
      <c r="A44" s="245"/>
      <c r="B44" s="86"/>
      <c r="C44" s="85"/>
      <c r="D44" s="85"/>
      <c r="E44" s="85"/>
      <c r="F44" s="85"/>
      <c r="G44" s="85"/>
      <c r="H44" s="85"/>
      <c r="I44" s="85"/>
      <c r="J44" s="85"/>
      <c r="K44" s="85"/>
    </row>
    <row r="45" spans="1:11" ht="15" customHeight="1" x14ac:dyDescent="0.3">
      <c r="A45" s="778" t="s">
        <v>492</v>
      </c>
      <c r="B45" s="778"/>
      <c r="C45" s="778"/>
      <c r="D45" s="778"/>
      <c r="E45" s="778"/>
      <c r="F45" s="778"/>
      <c r="G45" s="778"/>
      <c r="H45" s="778"/>
      <c r="I45" s="778"/>
      <c r="J45" s="778"/>
      <c r="K45" s="778"/>
    </row>
    <row r="46" spans="1:11" ht="9" customHeight="1" x14ac:dyDescent="0.3">
      <c r="A46" s="674"/>
      <c r="B46" s="674"/>
      <c r="C46" s="674"/>
      <c r="D46" s="674"/>
      <c r="E46" s="674"/>
      <c r="F46" s="674"/>
      <c r="G46" s="674"/>
      <c r="H46" s="674"/>
      <c r="I46" s="674"/>
      <c r="J46" s="674"/>
      <c r="K46" s="674"/>
    </row>
    <row r="47" spans="1:11" ht="15" customHeight="1" x14ac:dyDescent="0.3">
      <c r="A47" s="778" t="s">
        <v>542</v>
      </c>
      <c r="B47" s="778"/>
      <c r="C47" s="778"/>
      <c r="D47" s="778"/>
      <c r="E47" s="778"/>
      <c r="F47" s="778"/>
      <c r="G47" s="778"/>
      <c r="H47" s="778"/>
      <c r="I47" s="778"/>
      <c r="J47" s="778"/>
      <c r="K47" s="778"/>
    </row>
    <row r="48" spans="1:11" ht="15" customHeight="1" x14ac:dyDescent="0.3">
      <c r="A48" s="245" t="s">
        <v>218</v>
      </c>
      <c r="B48" s="86" t="s">
        <v>428</v>
      </c>
      <c r="C48" s="87" t="s">
        <v>564</v>
      </c>
      <c r="D48" s="668"/>
      <c r="E48" s="668"/>
      <c r="F48" s="668"/>
      <c r="G48" s="668"/>
      <c r="H48" s="668"/>
      <c r="I48" s="668"/>
      <c r="J48" s="668"/>
      <c r="K48" s="668"/>
    </row>
    <row r="49" spans="1:11" ht="15" customHeight="1" x14ac:dyDescent="0.3">
      <c r="A49" s="245" t="s">
        <v>201</v>
      </c>
      <c r="B49" s="86" t="s">
        <v>202</v>
      </c>
      <c r="C49" s="757" t="s">
        <v>546</v>
      </c>
      <c r="D49" s="757"/>
      <c r="E49" s="757"/>
      <c r="F49" s="757"/>
      <c r="G49" s="757"/>
      <c r="H49" s="779"/>
      <c r="I49" s="779"/>
      <c r="J49" s="779"/>
      <c r="K49" s="779"/>
    </row>
    <row r="50" spans="1:11" ht="15" customHeight="1" x14ac:dyDescent="0.3">
      <c r="A50" s="245" t="s">
        <v>203</v>
      </c>
      <c r="B50" s="86" t="s">
        <v>204</v>
      </c>
      <c r="C50" s="757" t="s">
        <v>547</v>
      </c>
      <c r="D50" s="757"/>
      <c r="E50" s="757"/>
      <c r="F50" s="757"/>
      <c r="G50" s="757"/>
      <c r="H50" s="781"/>
      <c r="I50" s="781"/>
      <c r="J50" s="781"/>
      <c r="K50" s="781"/>
    </row>
    <row r="51" spans="1:11" ht="15" customHeight="1" x14ac:dyDescent="0.3">
      <c r="A51" s="245" t="s">
        <v>205</v>
      </c>
      <c r="B51" s="86" t="s">
        <v>206</v>
      </c>
      <c r="C51" s="757" t="s">
        <v>546</v>
      </c>
      <c r="D51" s="757"/>
      <c r="E51" s="757"/>
      <c r="F51" s="757"/>
      <c r="G51" s="757"/>
      <c r="H51" s="779"/>
      <c r="I51" s="779"/>
      <c r="J51" s="779"/>
      <c r="K51" s="779"/>
    </row>
    <row r="52" spans="1:11" ht="15" customHeight="1" x14ac:dyDescent="0.3">
      <c r="A52" s="245" t="s">
        <v>207</v>
      </c>
      <c r="B52" s="87" t="s">
        <v>208</v>
      </c>
      <c r="C52" s="782" t="s">
        <v>389</v>
      </c>
      <c r="D52" s="782"/>
      <c r="E52" s="782"/>
      <c r="F52" s="782"/>
      <c r="G52" s="782"/>
      <c r="H52" s="782"/>
      <c r="I52" s="782"/>
      <c r="J52" s="782"/>
      <c r="K52" s="782"/>
    </row>
    <row r="53" spans="1:11" ht="15" customHeight="1" x14ac:dyDescent="0.3">
      <c r="A53" s="245"/>
      <c r="B53" s="87" t="s">
        <v>209</v>
      </c>
      <c r="C53" s="666"/>
      <c r="D53" s="666"/>
      <c r="E53" s="666"/>
      <c r="F53" s="666"/>
      <c r="G53" s="666"/>
      <c r="H53" s="667"/>
      <c r="I53" s="667"/>
      <c r="J53" s="667"/>
      <c r="K53" s="667"/>
    </row>
    <row r="54" spans="1:11" ht="6" customHeight="1" x14ac:dyDescent="0.3">
      <c r="A54" s="245"/>
      <c r="B54" s="86"/>
      <c r="C54" s="666"/>
      <c r="D54" s="666"/>
      <c r="E54" s="666"/>
      <c r="F54" s="666"/>
      <c r="G54" s="666"/>
      <c r="H54" s="667"/>
      <c r="I54" s="667"/>
      <c r="J54" s="667"/>
      <c r="K54" s="667"/>
    </row>
    <row r="55" spans="1:11" ht="15" customHeight="1" x14ac:dyDescent="0.3">
      <c r="A55" s="789" t="s">
        <v>543</v>
      </c>
      <c r="B55" s="789"/>
      <c r="C55" s="789"/>
      <c r="D55" s="789"/>
      <c r="E55" s="789"/>
      <c r="F55" s="789"/>
      <c r="G55" s="789"/>
      <c r="H55" s="789"/>
      <c r="I55" s="789"/>
      <c r="J55" s="789"/>
      <c r="K55" s="789"/>
    </row>
    <row r="56" spans="1:11" ht="15" customHeight="1" x14ac:dyDescent="0.3">
      <c r="A56" s="245" t="s">
        <v>218</v>
      </c>
      <c r="B56" s="671" t="s">
        <v>470</v>
      </c>
      <c r="C56" s="771" t="s">
        <v>546</v>
      </c>
      <c r="D56" s="771"/>
      <c r="E56" s="771"/>
      <c r="F56" s="771"/>
      <c r="G56" s="771"/>
      <c r="H56" s="771"/>
      <c r="I56" s="771"/>
      <c r="J56" s="771"/>
      <c r="K56" s="771"/>
    </row>
    <row r="57" spans="1:11" ht="15" customHeight="1" x14ac:dyDescent="0.3">
      <c r="A57" s="245" t="s">
        <v>201</v>
      </c>
      <c r="B57" s="241" t="s">
        <v>224</v>
      </c>
      <c r="C57" s="774" t="s">
        <v>229</v>
      </c>
      <c r="D57" s="774"/>
      <c r="E57" s="774"/>
      <c r="F57" s="774"/>
      <c r="G57" s="774"/>
      <c r="H57" s="774"/>
      <c r="I57" s="774"/>
      <c r="J57" s="774"/>
      <c r="K57" s="774"/>
    </row>
    <row r="58" spans="1:11" ht="15" customHeight="1" x14ac:dyDescent="0.3">
      <c r="A58" s="663" t="s">
        <v>203</v>
      </c>
      <c r="B58" s="3" t="s">
        <v>471</v>
      </c>
      <c r="C58" s="772" t="s">
        <v>548</v>
      </c>
      <c r="D58" s="772"/>
      <c r="E58" s="772"/>
      <c r="F58" s="772"/>
      <c r="G58" s="772"/>
      <c r="H58" s="772"/>
      <c r="I58" s="772"/>
      <c r="J58" s="772"/>
      <c r="K58" s="772"/>
    </row>
    <row r="59" spans="1:11" ht="15" customHeight="1" x14ac:dyDescent="0.3">
      <c r="A59" s="663" t="s">
        <v>205</v>
      </c>
      <c r="B59" s="86" t="s">
        <v>432</v>
      </c>
      <c r="C59" s="757" t="s">
        <v>549</v>
      </c>
      <c r="D59" s="757"/>
      <c r="E59" s="757"/>
      <c r="F59" s="757"/>
      <c r="G59" s="757"/>
      <c r="H59" s="781"/>
      <c r="I59" s="781"/>
      <c r="J59" s="781"/>
      <c r="K59" s="781"/>
    </row>
    <row r="60" spans="1:11" ht="6" customHeight="1" x14ac:dyDescent="0.3">
      <c r="A60" s="247"/>
      <c r="B60" s="241"/>
      <c r="C60" s="248"/>
      <c r="D60" s="249"/>
      <c r="E60" s="249"/>
      <c r="F60" s="249"/>
      <c r="G60" s="249"/>
      <c r="H60" s="249"/>
      <c r="I60" s="249"/>
      <c r="J60" s="249"/>
      <c r="K60" s="249"/>
    </row>
    <row r="61" spans="1:11" ht="15" customHeight="1" x14ac:dyDescent="0.3">
      <c r="A61" s="250" t="s">
        <v>472</v>
      </c>
      <c r="B61" s="241"/>
      <c r="C61" s="241"/>
      <c r="D61" s="249"/>
      <c r="E61" s="249"/>
      <c r="F61" s="249"/>
      <c r="G61" s="249"/>
      <c r="H61" s="249"/>
      <c r="I61" s="249"/>
      <c r="J61" s="249"/>
      <c r="K61" s="249"/>
    </row>
    <row r="62" spans="1:11" ht="15" customHeight="1" x14ac:dyDescent="0.3">
      <c r="A62" s="247" t="s">
        <v>218</v>
      </c>
      <c r="B62" s="251" t="s">
        <v>210</v>
      </c>
      <c r="C62" s="252"/>
      <c r="D62" s="252"/>
      <c r="E62" s="252"/>
      <c r="F62" s="252"/>
      <c r="G62" s="252"/>
      <c r="H62" s="252"/>
      <c r="I62" s="252"/>
      <c r="J62" s="252"/>
      <c r="K62" s="252"/>
    </row>
    <row r="63" spans="1:11" ht="15" customHeight="1" x14ac:dyDescent="0.3">
      <c r="A63" s="247" t="s">
        <v>201</v>
      </c>
      <c r="B63" s="251" t="s">
        <v>211</v>
      </c>
      <c r="C63" s="252"/>
      <c r="D63" s="252"/>
      <c r="E63" s="252"/>
      <c r="F63" s="252"/>
      <c r="G63" s="252"/>
      <c r="H63" s="252"/>
      <c r="I63" s="252"/>
      <c r="J63" s="252"/>
      <c r="K63" s="252"/>
    </row>
    <row r="64" spans="1:11" ht="15" customHeight="1" x14ac:dyDescent="0.3">
      <c r="A64" s="247" t="s">
        <v>203</v>
      </c>
      <c r="B64" s="251" t="s">
        <v>212</v>
      </c>
      <c r="C64" s="253" t="s">
        <v>2</v>
      </c>
      <c r="D64" s="252"/>
      <c r="E64" s="252"/>
      <c r="F64" s="252"/>
      <c r="G64" s="252"/>
      <c r="H64" s="252"/>
      <c r="I64" s="252"/>
      <c r="J64" s="252"/>
      <c r="K64" s="252"/>
    </row>
    <row r="65" spans="1:11" ht="15" customHeight="1" x14ac:dyDescent="0.3">
      <c r="A65" s="663" t="s">
        <v>205</v>
      </c>
      <c r="B65" s="3" t="s">
        <v>486</v>
      </c>
      <c r="C65" s="3" t="s">
        <v>487</v>
      </c>
      <c r="D65" s="252"/>
      <c r="E65" s="252"/>
      <c r="F65" s="252"/>
      <c r="G65" s="252"/>
      <c r="H65" s="252"/>
      <c r="I65" s="252"/>
      <c r="J65" s="252"/>
      <c r="K65" s="252"/>
    </row>
    <row r="66" spans="1:11" ht="15" customHeight="1" x14ac:dyDescent="0.3">
      <c r="A66" s="247" t="s">
        <v>207</v>
      </c>
      <c r="B66" s="253" t="s">
        <v>433</v>
      </c>
      <c r="C66" s="249"/>
      <c r="D66" s="249"/>
      <c r="E66" s="249"/>
      <c r="F66" s="249"/>
      <c r="G66" s="249"/>
      <c r="H66" s="249"/>
      <c r="I66" s="249"/>
      <c r="J66" s="249"/>
      <c r="K66" s="249"/>
    </row>
    <row r="67" spans="1:11" ht="15" customHeight="1" x14ac:dyDescent="0.3">
      <c r="D67" s="249"/>
      <c r="E67" s="249"/>
      <c r="F67" s="249"/>
      <c r="G67" s="249"/>
      <c r="H67" s="249"/>
      <c r="I67" s="249"/>
      <c r="J67" s="249"/>
      <c r="K67" s="249"/>
    </row>
    <row r="68" spans="1:11" ht="15" customHeight="1" x14ac:dyDescent="0.3">
      <c r="A68" s="773" t="s">
        <v>483</v>
      </c>
      <c r="B68" s="773"/>
      <c r="C68" s="773"/>
      <c r="D68" s="773"/>
      <c r="E68" s="249"/>
      <c r="F68" s="249"/>
      <c r="G68" s="249"/>
      <c r="H68" s="249"/>
      <c r="I68" s="249"/>
      <c r="J68" s="249"/>
      <c r="K68" s="249"/>
    </row>
    <row r="69" spans="1:11" ht="28.5" customHeight="1" x14ac:dyDescent="0.3">
      <c r="B69" s="786" t="s">
        <v>488</v>
      </c>
      <c r="C69" s="786"/>
      <c r="D69" s="786"/>
      <c r="E69" s="786"/>
      <c r="F69" s="786"/>
      <c r="G69" s="786"/>
      <c r="H69" s="786"/>
      <c r="I69" s="786"/>
      <c r="J69" s="786"/>
      <c r="K69" s="786"/>
    </row>
    <row r="70" spans="1:11" ht="9" customHeight="1" x14ac:dyDescent="0.3">
      <c r="A70" s="254"/>
      <c r="B70" s="253"/>
      <c r="C70" s="249"/>
      <c r="D70" s="249"/>
      <c r="E70" s="249"/>
      <c r="F70" s="249"/>
      <c r="G70" s="249"/>
      <c r="H70" s="249"/>
      <c r="I70" s="249"/>
      <c r="J70" s="249"/>
      <c r="K70" s="249"/>
    </row>
    <row r="71" spans="1:11" ht="15" customHeight="1" x14ac:dyDescent="0.3">
      <c r="A71" s="240" t="s">
        <v>350</v>
      </c>
      <c r="B71" s="240"/>
      <c r="C71" s="240"/>
      <c r="D71" s="240"/>
      <c r="E71" s="240"/>
      <c r="F71" s="240"/>
      <c r="G71" s="240"/>
      <c r="H71" s="240"/>
      <c r="I71" s="240"/>
      <c r="J71" s="240"/>
      <c r="K71" s="240"/>
    </row>
    <row r="72" spans="1:11" ht="15" customHeight="1" x14ac:dyDescent="0.3">
      <c r="A72" s="249"/>
      <c r="B72" s="672" t="s">
        <v>562</v>
      </c>
      <c r="C72" s="669"/>
      <c r="D72" s="669"/>
      <c r="E72" s="669"/>
      <c r="F72" s="669"/>
      <c r="G72" s="669"/>
      <c r="H72" s="669"/>
      <c r="I72" s="669"/>
      <c r="J72" s="669"/>
      <c r="K72" s="669"/>
    </row>
    <row r="73" spans="1:11" ht="27" customHeight="1" x14ac:dyDescent="0.3">
      <c r="A73" s="249"/>
      <c r="B73" s="787" t="s">
        <v>544</v>
      </c>
      <c r="C73" s="787"/>
      <c r="D73" s="787"/>
      <c r="E73" s="787"/>
      <c r="F73" s="787"/>
      <c r="G73" s="787"/>
      <c r="H73" s="787"/>
      <c r="I73" s="787"/>
      <c r="J73" s="787"/>
      <c r="K73" s="787"/>
    </row>
    <row r="74" spans="1:11" ht="27.75" customHeight="1" x14ac:dyDescent="0.3">
      <c r="A74" s="249"/>
      <c r="B74" s="788" t="s">
        <v>482</v>
      </c>
      <c r="C74" s="788"/>
      <c r="D74" s="788"/>
      <c r="E74" s="788"/>
      <c r="F74" s="788"/>
      <c r="G74" s="788"/>
      <c r="H74" s="788"/>
      <c r="I74" s="788"/>
      <c r="J74" s="788"/>
      <c r="K74" s="788"/>
    </row>
    <row r="75" spans="1:11" ht="6" customHeight="1" x14ac:dyDescent="0.3">
      <c r="A75" s="249"/>
      <c r="B75" s="669"/>
      <c r="C75" s="669"/>
      <c r="D75" s="669"/>
      <c r="E75" s="669"/>
      <c r="F75" s="669"/>
      <c r="G75" s="669"/>
      <c r="H75" s="669"/>
      <c r="I75" s="669"/>
      <c r="J75" s="669"/>
      <c r="K75" s="669"/>
    </row>
    <row r="76" spans="1:11" ht="15" customHeight="1" x14ac:dyDescent="0.3">
      <c r="A76" s="255" t="s">
        <v>351</v>
      </c>
      <c r="B76" s="251"/>
      <c r="C76" s="249"/>
      <c r="D76" s="249"/>
      <c r="E76" s="249"/>
      <c r="F76" s="249"/>
      <c r="G76" s="249"/>
      <c r="H76" s="249"/>
      <c r="I76" s="249"/>
      <c r="J76" s="249"/>
      <c r="K76" s="249"/>
    </row>
    <row r="77" spans="1:11" ht="28.5" customHeight="1" x14ac:dyDescent="0.3">
      <c r="A77" s="85"/>
      <c r="B77" s="757" t="s">
        <v>563</v>
      </c>
      <c r="C77" s="757"/>
      <c r="D77" s="757"/>
      <c r="E77" s="757"/>
      <c r="F77" s="757"/>
      <c r="G77" s="757"/>
      <c r="H77" s="757"/>
      <c r="I77" s="757"/>
      <c r="J77" s="757"/>
      <c r="K77" s="757"/>
    </row>
    <row r="78" spans="1:11" ht="6" customHeight="1" x14ac:dyDescent="0.3">
      <c r="A78" s="85"/>
      <c r="B78" s="666"/>
      <c r="C78" s="666"/>
      <c r="D78" s="666"/>
      <c r="E78" s="666"/>
      <c r="F78" s="666"/>
      <c r="G78" s="666"/>
      <c r="H78" s="666"/>
      <c r="I78" s="666"/>
      <c r="J78" s="666"/>
      <c r="K78" s="666"/>
    </row>
    <row r="79" spans="1:11" ht="15" customHeight="1" x14ac:dyDescent="0.3">
      <c r="A79" s="246" t="s">
        <v>493</v>
      </c>
      <c r="B79" s="85"/>
      <c r="C79" s="85"/>
      <c r="D79" s="85"/>
      <c r="E79" s="85"/>
      <c r="F79" s="85"/>
      <c r="G79" s="85"/>
      <c r="H79" s="85"/>
      <c r="I79" s="85"/>
      <c r="J79" s="85"/>
      <c r="K79" s="85"/>
    </row>
    <row r="80" spans="1:11" ht="48.75" customHeight="1" x14ac:dyDescent="0.3">
      <c r="A80" s="85"/>
      <c r="B80" s="785" t="s">
        <v>545</v>
      </c>
      <c r="C80" s="785"/>
      <c r="D80" s="785"/>
      <c r="E80" s="785"/>
      <c r="F80" s="785"/>
      <c r="G80" s="785"/>
      <c r="H80" s="785"/>
      <c r="I80" s="785"/>
      <c r="J80" s="785"/>
      <c r="K80" s="785"/>
    </row>
    <row r="81" spans="1:11" ht="6" customHeight="1" x14ac:dyDescent="0.3">
      <c r="A81" s="85"/>
      <c r="B81" s="670"/>
      <c r="C81" s="670"/>
      <c r="D81" s="670"/>
      <c r="E81" s="670"/>
      <c r="F81" s="670"/>
      <c r="G81" s="670"/>
      <c r="H81" s="670"/>
      <c r="I81" s="670"/>
      <c r="J81" s="670"/>
      <c r="K81" s="670"/>
    </row>
    <row r="82" spans="1:11" ht="45" customHeight="1" x14ac:dyDescent="0.3">
      <c r="A82" s="783" t="s">
        <v>455</v>
      </c>
      <c r="B82" s="783"/>
      <c r="C82" s="783"/>
      <c r="D82" s="783"/>
      <c r="E82" s="783"/>
      <c r="F82" s="783"/>
      <c r="G82" s="783"/>
      <c r="H82" s="783"/>
      <c r="I82" s="783"/>
      <c r="J82" s="783"/>
      <c r="K82" s="783"/>
    </row>
    <row r="83" spans="1:11" ht="15" customHeight="1" thickBot="1" x14ac:dyDescent="0.35">
      <c r="A83" s="784" t="s">
        <v>166</v>
      </c>
      <c r="B83" s="784"/>
      <c r="C83" s="784"/>
      <c r="D83" s="784"/>
      <c r="E83" s="784"/>
      <c r="F83" s="784"/>
      <c r="G83" s="784"/>
      <c r="H83" s="784"/>
      <c r="I83" s="784"/>
      <c r="J83" s="784"/>
      <c r="K83" s="784"/>
    </row>
    <row r="84" spans="1:11" ht="75" customHeight="1" x14ac:dyDescent="0.3">
      <c r="A84" s="780" t="s">
        <v>356</v>
      </c>
      <c r="B84" s="780"/>
      <c r="C84" s="780"/>
      <c r="D84" s="780"/>
      <c r="E84" s="780"/>
      <c r="F84" s="780"/>
      <c r="G84" s="780"/>
      <c r="H84" s="780"/>
      <c r="I84" s="780"/>
      <c r="J84" s="780"/>
      <c r="K84" s="780"/>
    </row>
    <row r="85" spans="1:11" ht="7.5" customHeight="1" x14ac:dyDescent="0.3">
      <c r="A85" s="80"/>
      <c r="B85" s="80"/>
      <c r="C85" s="80"/>
      <c r="D85" s="80"/>
      <c r="E85" s="80"/>
      <c r="F85" s="80"/>
      <c r="G85" s="80"/>
      <c r="H85" s="80"/>
      <c r="I85" s="80"/>
      <c r="J85" s="80"/>
      <c r="K85" s="80"/>
    </row>
    <row r="86" spans="1:11" ht="5.25" customHeight="1" x14ac:dyDescent="0.3">
      <c r="A86" s="80"/>
      <c r="B86" s="80"/>
      <c r="C86" s="80"/>
      <c r="D86" s="80"/>
      <c r="E86" s="80"/>
      <c r="F86" s="80"/>
      <c r="G86" s="80"/>
      <c r="H86" s="80"/>
      <c r="I86" s="80"/>
      <c r="J86" s="80"/>
      <c r="K86" s="80"/>
    </row>
    <row r="87" spans="1:11" ht="4.5" customHeight="1" x14ac:dyDescent="0.3">
      <c r="A87" s="80"/>
      <c r="B87" s="80"/>
      <c r="C87" s="80"/>
      <c r="D87" s="80"/>
      <c r="E87" s="80"/>
      <c r="F87" s="80"/>
      <c r="G87" s="80"/>
      <c r="H87" s="80"/>
      <c r="I87" s="80"/>
      <c r="J87" s="80"/>
      <c r="K87" s="80"/>
    </row>
    <row r="88" spans="1:11" ht="6" customHeight="1" x14ac:dyDescent="0.3">
      <c r="A88" s="80"/>
      <c r="B88" s="80"/>
      <c r="C88" s="80"/>
      <c r="D88" s="80"/>
      <c r="E88" s="80"/>
      <c r="F88" s="80"/>
      <c r="G88" s="80"/>
      <c r="H88" s="80"/>
      <c r="I88" s="80"/>
      <c r="J88" s="80"/>
      <c r="K88" s="80"/>
    </row>
    <row r="89" spans="1:11" ht="6" customHeight="1" x14ac:dyDescent="0.3">
      <c r="A89" s="80"/>
      <c r="B89" s="80"/>
      <c r="C89" s="80"/>
      <c r="D89" s="80"/>
      <c r="E89" s="80"/>
      <c r="F89" s="80"/>
      <c r="G89" s="80"/>
      <c r="H89" s="80"/>
      <c r="I89" s="80"/>
      <c r="J89" s="80"/>
      <c r="K89" s="80"/>
    </row>
    <row r="90" spans="1:11" x14ac:dyDescent="0.3">
      <c r="A90" s="80"/>
      <c r="B90" s="80"/>
      <c r="C90" s="80"/>
      <c r="D90" s="80"/>
      <c r="E90" s="80"/>
      <c r="F90" s="80"/>
      <c r="G90" s="80"/>
      <c r="H90" s="80"/>
      <c r="I90" s="80"/>
      <c r="J90" s="80"/>
      <c r="K90" s="80"/>
    </row>
    <row r="91" spans="1:11" x14ac:dyDescent="0.3">
      <c r="A91" s="80"/>
      <c r="B91" s="80"/>
      <c r="C91" s="80"/>
      <c r="D91" s="80"/>
      <c r="E91" s="80"/>
      <c r="F91" s="80"/>
      <c r="G91" s="80"/>
      <c r="H91" s="80"/>
      <c r="I91" s="80"/>
      <c r="J91" s="80"/>
      <c r="K91" s="80"/>
    </row>
    <row r="92" spans="1:11" x14ac:dyDescent="0.3">
      <c r="A92" s="80"/>
      <c r="B92" s="80"/>
      <c r="C92" s="80"/>
      <c r="D92" s="80"/>
      <c r="E92" s="80"/>
      <c r="F92" s="80"/>
      <c r="G92" s="80"/>
      <c r="H92" s="80"/>
      <c r="I92" s="80"/>
      <c r="J92" s="80"/>
      <c r="K92" s="80"/>
    </row>
    <row r="93" spans="1:11" x14ac:dyDescent="0.3">
      <c r="A93" s="80"/>
      <c r="B93" s="80"/>
      <c r="C93" s="80"/>
      <c r="D93" s="80"/>
      <c r="E93" s="80"/>
      <c r="F93" s="80"/>
      <c r="G93" s="80"/>
      <c r="H93" s="80"/>
      <c r="I93" s="80"/>
      <c r="J93" s="80"/>
      <c r="K93" s="80"/>
    </row>
    <row r="94" spans="1:11" x14ac:dyDescent="0.3">
      <c r="A94" s="80"/>
      <c r="B94" s="80"/>
      <c r="C94" s="80"/>
      <c r="D94" s="80"/>
      <c r="E94" s="80"/>
      <c r="F94" s="80"/>
      <c r="G94" s="80"/>
      <c r="H94" s="80"/>
      <c r="I94" s="80"/>
      <c r="J94" s="80"/>
      <c r="K94" s="80"/>
    </row>
    <row r="95" spans="1:11" x14ac:dyDescent="0.3">
      <c r="A95" s="80"/>
      <c r="B95" s="80"/>
      <c r="C95" s="80"/>
      <c r="D95" s="80"/>
      <c r="E95" s="80"/>
      <c r="F95" s="80"/>
      <c r="G95" s="80"/>
      <c r="H95" s="80"/>
      <c r="I95" s="80"/>
      <c r="J95" s="80"/>
      <c r="K95" s="80"/>
    </row>
    <row r="96" spans="1:11" x14ac:dyDescent="0.3">
      <c r="A96" s="80"/>
      <c r="B96" s="80"/>
      <c r="C96" s="80"/>
      <c r="D96" s="80"/>
      <c r="E96" s="80"/>
      <c r="F96" s="80"/>
      <c r="G96" s="80"/>
      <c r="H96" s="80"/>
      <c r="I96" s="80"/>
      <c r="J96" s="80"/>
      <c r="K96" s="80"/>
    </row>
    <row r="97" spans="1:11" x14ac:dyDescent="0.3">
      <c r="A97" s="80"/>
      <c r="B97" s="80"/>
      <c r="C97" s="80"/>
      <c r="D97" s="80"/>
      <c r="E97" s="80"/>
      <c r="F97" s="80"/>
      <c r="G97" s="80"/>
      <c r="H97" s="80"/>
      <c r="I97" s="80"/>
      <c r="J97" s="80"/>
      <c r="K97" s="80"/>
    </row>
    <row r="98" spans="1:11" x14ac:dyDescent="0.3">
      <c r="A98" s="80"/>
      <c r="B98" s="80"/>
      <c r="C98" s="80"/>
      <c r="D98" s="80"/>
      <c r="E98" s="80"/>
      <c r="F98" s="80"/>
      <c r="G98" s="80"/>
      <c r="H98" s="80"/>
      <c r="I98" s="80"/>
      <c r="J98" s="80"/>
      <c r="K98" s="80"/>
    </row>
    <row r="99" spans="1:11" x14ac:dyDescent="0.3">
      <c r="A99" s="80"/>
      <c r="B99" s="80"/>
      <c r="C99" s="80"/>
      <c r="D99" s="80"/>
      <c r="E99" s="80"/>
      <c r="F99" s="80"/>
      <c r="G99" s="80"/>
      <c r="H99" s="80"/>
      <c r="I99" s="80"/>
      <c r="J99" s="80"/>
      <c r="K99" s="80"/>
    </row>
    <row r="100" spans="1:11" x14ac:dyDescent="0.3">
      <c r="A100" s="80"/>
      <c r="B100" s="80"/>
      <c r="C100" s="80"/>
      <c r="D100" s="80"/>
      <c r="E100" s="80"/>
      <c r="F100" s="80"/>
      <c r="G100" s="80"/>
      <c r="H100" s="80"/>
      <c r="I100" s="80"/>
      <c r="J100" s="80"/>
      <c r="K100" s="80"/>
    </row>
    <row r="101" spans="1:11" x14ac:dyDescent="0.3">
      <c r="A101" s="80"/>
      <c r="B101" s="80"/>
      <c r="C101" s="80"/>
      <c r="D101" s="80"/>
      <c r="E101" s="80"/>
      <c r="F101" s="80"/>
      <c r="G101" s="80"/>
      <c r="H101" s="80"/>
      <c r="I101" s="80"/>
      <c r="J101" s="80"/>
      <c r="K101" s="80"/>
    </row>
    <row r="102" spans="1:11" x14ac:dyDescent="0.3">
      <c r="A102" s="80"/>
      <c r="B102" s="80"/>
      <c r="C102" s="80"/>
      <c r="D102" s="80"/>
      <c r="E102" s="80"/>
      <c r="F102" s="80"/>
      <c r="G102" s="80"/>
      <c r="H102" s="80"/>
      <c r="I102" s="80"/>
      <c r="J102" s="80"/>
      <c r="K102" s="80"/>
    </row>
    <row r="103" spans="1:11" x14ac:dyDescent="0.3">
      <c r="A103" s="80"/>
      <c r="B103" s="80"/>
      <c r="C103" s="80"/>
      <c r="D103" s="80"/>
      <c r="E103" s="80"/>
      <c r="F103" s="80"/>
      <c r="G103" s="80"/>
      <c r="H103" s="80"/>
      <c r="I103" s="80"/>
      <c r="J103" s="80"/>
      <c r="K103" s="80"/>
    </row>
    <row r="104" spans="1:11" x14ac:dyDescent="0.3">
      <c r="A104" s="80"/>
      <c r="B104" s="80"/>
      <c r="C104" s="80"/>
      <c r="D104" s="80"/>
      <c r="E104" s="80"/>
      <c r="F104" s="80"/>
      <c r="G104" s="80"/>
      <c r="H104" s="80"/>
      <c r="I104" s="80"/>
      <c r="J104" s="80"/>
      <c r="K104" s="80"/>
    </row>
    <row r="105" spans="1:11" x14ac:dyDescent="0.3">
      <c r="A105" s="80"/>
      <c r="B105" s="80"/>
      <c r="C105" s="80"/>
      <c r="D105" s="80"/>
      <c r="E105" s="80"/>
      <c r="F105" s="80"/>
      <c r="G105" s="80"/>
      <c r="H105" s="80"/>
      <c r="I105" s="80"/>
      <c r="J105" s="80"/>
      <c r="K105" s="80"/>
    </row>
    <row r="106" spans="1:11" x14ac:dyDescent="0.3">
      <c r="A106" s="80"/>
      <c r="B106" s="80"/>
      <c r="C106" s="80"/>
      <c r="D106" s="80"/>
      <c r="E106" s="80"/>
      <c r="F106" s="80"/>
      <c r="G106" s="80"/>
      <c r="H106" s="80"/>
      <c r="I106" s="80"/>
      <c r="J106" s="80"/>
      <c r="K106" s="80"/>
    </row>
    <row r="107" spans="1:11" x14ac:dyDescent="0.3">
      <c r="A107" s="80"/>
      <c r="B107" s="80"/>
      <c r="C107" s="80"/>
      <c r="D107" s="80"/>
      <c r="E107" s="80"/>
      <c r="F107" s="80"/>
      <c r="G107" s="80"/>
      <c r="H107" s="80"/>
      <c r="I107" s="80"/>
      <c r="J107" s="80"/>
      <c r="K107" s="80"/>
    </row>
    <row r="108" spans="1:11" x14ac:dyDescent="0.3">
      <c r="A108" s="80"/>
      <c r="B108" s="80"/>
      <c r="C108" s="80"/>
      <c r="D108" s="80"/>
      <c r="E108" s="80"/>
      <c r="F108" s="80"/>
      <c r="G108" s="80"/>
      <c r="H108" s="80"/>
      <c r="I108" s="80"/>
      <c r="J108" s="80"/>
      <c r="K108" s="80"/>
    </row>
    <row r="109" spans="1:11" x14ac:dyDescent="0.3">
      <c r="A109" s="80"/>
      <c r="B109" s="80"/>
      <c r="C109" s="80"/>
      <c r="D109" s="80"/>
      <c r="E109" s="80"/>
      <c r="F109" s="80"/>
      <c r="G109" s="80"/>
      <c r="H109" s="80"/>
      <c r="I109" s="80"/>
      <c r="J109" s="80"/>
      <c r="K109" s="80"/>
    </row>
    <row r="110" spans="1:11" x14ac:dyDescent="0.3">
      <c r="A110" s="80"/>
      <c r="B110" s="80"/>
      <c r="C110" s="80"/>
      <c r="D110" s="80"/>
      <c r="E110" s="80"/>
      <c r="F110" s="80"/>
      <c r="G110" s="80"/>
      <c r="H110" s="80"/>
      <c r="I110" s="80"/>
      <c r="J110" s="80"/>
      <c r="K110" s="80"/>
    </row>
    <row r="111" spans="1:11" x14ac:dyDescent="0.3">
      <c r="A111" s="80"/>
      <c r="B111" s="80"/>
      <c r="C111" s="80"/>
      <c r="D111" s="80"/>
      <c r="E111" s="80"/>
      <c r="F111" s="80"/>
      <c r="G111" s="80"/>
      <c r="H111" s="80"/>
      <c r="I111" s="80"/>
      <c r="J111" s="80"/>
      <c r="K111" s="80"/>
    </row>
    <row r="112" spans="1:11" x14ac:dyDescent="0.3">
      <c r="A112" s="80"/>
      <c r="B112" s="80"/>
      <c r="C112" s="80"/>
      <c r="D112" s="80"/>
      <c r="E112" s="80"/>
      <c r="F112" s="80"/>
      <c r="G112" s="80"/>
      <c r="H112" s="80"/>
      <c r="I112" s="80"/>
      <c r="J112" s="80"/>
      <c r="K112" s="80"/>
    </row>
    <row r="113" spans="1:11" x14ac:dyDescent="0.3">
      <c r="A113" s="80"/>
      <c r="B113" s="80"/>
      <c r="C113" s="80"/>
      <c r="D113" s="80"/>
      <c r="E113" s="80"/>
      <c r="F113" s="80"/>
      <c r="G113" s="80"/>
      <c r="H113" s="80"/>
      <c r="I113" s="80"/>
      <c r="J113" s="80"/>
      <c r="K113" s="80"/>
    </row>
    <row r="114" spans="1:11" x14ac:dyDescent="0.3">
      <c r="A114" s="80"/>
      <c r="B114" s="80"/>
      <c r="C114" s="80"/>
      <c r="D114" s="80"/>
      <c r="E114" s="80"/>
      <c r="F114" s="80"/>
      <c r="G114" s="80"/>
      <c r="H114" s="80"/>
      <c r="I114" s="80"/>
      <c r="J114" s="80"/>
      <c r="K114" s="80"/>
    </row>
    <row r="115" spans="1:11" x14ac:dyDescent="0.3">
      <c r="A115" s="80"/>
      <c r="B115" s="80"/>
      <c r="C115" s="80"/>
      <c r="D115" s="80"/>
      <c r="E115" s="80"/>
      <c r="F115" s="80"/>
      <c r="G115" s="80"/>
      <c r="H115" s="80"/>
      <c r="I115" s="80"/>
      <c r="J115" s="80"/>
      <c r="K115" s="80"/>
    </row>
    <row r="116" spans="1:11" x14ac:dyDescent="0.3">
      <c r="A116" s="80"/>
      <c r="B116" s="80"/>
      <c r="C116" s="80"/>
      <c r="D116" s="80"/>
      <c r="E116" s="80"/>
      <c r="F116" s="80"/>
      <c r="G116" s="80"/>
      <c r="H116" s="80"/>
      <c r="I116" s="80"/>
      <c r="J116" s="80"/>
      <c r="K116" s="80"/>
    </row>
    <row r="117" spans="1:11" x14ac:dyDescent="0.3">
      <c r="A117" s="80"/>
      <c r="B117" s="80"/>
      <c r="C117" s="80"/>
      <c r="D117" s="80"/>
      <c r="E117" s="80"/>
      <c r="F117" s="80"/>
      <c r="G117" s="80"/>
      <c r="H117" s="80"/>
      <c r="I117" s="80"/>
      <c r="J117" s="80"/>
      <c r="K117" s="80"/>
    </row>
    <row r="118" spans="1:11" x14ac:dyDescent="0.3">
      <c r="A118" s="80"/>
      <c r="B118" s="80"/>
      <c r="C118" s="80"/>
      <c r="D118" s="80"/>
      <c r="E118" s="80"/>
      <c r="F118" s="80"/>
      <c r="G118" s="80"/>
      <c r="H118" s="80"/>
      <c r="I118" s="80"/>
      <c r="J118" s="80"/>
      <c r="K118" s="80"/>
    </row>
    <row r="119" spans="1:11" x14ac:dyDescent="0.3">
      <c r="A119" s="80"/>
      <c r="B119" s="80"/>
      <c r="C119" s="80"/>
      <c r="D119" s="80"/>
      <c r="E119" s="80"/>
      <c r="F119" s="80"/>
      <c r="G119" s="80"/>
      <c r="H119" s="80"/>
      <c r="I119" s="80"/>
      <c r="J119" s="80"/>
      <c r="K119" s="80"/>
    </row>
    <row r="120" spans="1:11" x14ac:dyDescent="0.3">
      <c r="A120" s="80"/>
      <c r="B120" s="80"/>
      <c r="C120" s="80"/>
      <c r="D120" s="80"/>
      <c r="E120" s="80"/>
      <c r="F120" s="80"/>
      <c r="G120" s="80"/>
      <c r="H120" s="80"/>
      <c r="I120" s="80"/>
      <c r="J120" s="80"/>
      <c r="K120" s="80"/>
    </row>
    <row r="121" spans="1:11" x14ac:dyDescent="0.3">
      <c r="A121" s="80"/>
      <c r="B121" s="80"/>
      <c r="C121" s="80"/>
      <c r="D121" s="80"/>
      <c r="E121" s="80"/>
      <c r="F121" s="80"/>
      <c r="G121" s="80"/>
      <c r="H121" s="80"/>
      <c r="I121" s="80"/>
      <c r="J121" s="80"/>
      <c r="K121" s="80"/>
    </row>
    <row r="122" spans="1:11" x14ac:dyDescent="0.3">
      <c r="A122" s="80"/>
      <c r="B122" s="80"/>
      <c r="C122" s="80"/>
      <c r="D122" s="80"/>
      <c r="E122" s="80"/>
      <c r="F122" s="80"/>
      <c r="G122" s="80"/>
      <c r="H122" s="80"/>
      <c r="I122" s="80"/>
      <c r="J122" s="80"/>
      <c r="K122" s="80"/>
    </row>
    <row r="123" spans="1:11" x14ac:dyDescent="0.3">
      <c r="A123" s="80"/>
      <c r="B123" s="80"/>
      <c r="C123" s="80"/>
      <c r="D123" s="80"/>
      <c r="E123" s="80"/>
      <c r="F123" s="80"/>
      <c r="G123" s="80"/>
      <c r="H123" s="80"/>
      <c r="I123" s="80"/>
      <c r="J123" s="80"/>
      <c r="K123" s="80"/>
    </row>
    <row r="124" spans="1:11" x14ac:dyDescent="0.3">
      <c r="A124" s="80"/>
      <c r="B124" s="80"/>
      <c r="C124" s="80"/>
      <c r="D124" s="80"/>
      <c r="E124" s="80"/>
      <c r="F124" s="80"/>
      <c r="G124" s="80"/>
      <c r="H124" s="80"/>
      <c r="I124" s="80"/>
      <c r="J124" s="80"/>
      <c r="K124" s="80"/>
    </row>
    <row r="125" spans="1:11" x14ac:dyDescent="0.3">
      <c r="A125" s="80"/>
      <c r="B125" s="80"/>
      <c r="C125" s="80"/>
      <c r="D125" s="80"/>
      <c r="E125" s="80"/>
      <c r="F125" s="80"/>
      <c r="G125" s="80"/>
      <c r="H125" s="80"/>
      <c r="I125" s="80"/>
      <c r="J125" s="80"/>
      <c r="K125" s="80"/>
    </row>
    <row r="126" spans="1:11" x14ac:dyDescent="0.3">
      <c r="A126" s="80"/>
      <c r="B126" s="80"/>
      <c r="C126" s="80"/>
      <c r="D126" s="80"/>
      <c r="E126" s="80"/>
      <c r="F126" s="80"/>
      <c r="G126" s="80"/>
      <c r="H126" s="80"/>
      <c r="I126" s="80"/>
      <c r="J126" s="80"/>
      <c r="K126" s="80"/>
    </row>
    <row r="127" spans="1:11" x14ac:dyDescent="0.3">
      <c r="A127" s="80"/>
      <c r="B127" s="80"/>
      <c r="C127" s="80"/>
      <c r="D127" s="80"/>
      <c r="E127" s="80"/>
      <c r="F127" s="80"/>
      <c r="G127" s="80"/>
      <c r="H127" s="80"/>
      <c r="I127" s="80"/>
      <c r="J127" s="80"/>
      <c r="K127" s="80"/>
    </row>
    <row r="128" spans="1:11" x14ac:dyDescent="0.3">
      <c r="A128" s="80"/>
      <c r="B128" s="80"/>
      <c r="C128" s="80"/>
      <c r="D128" s="80"/>
      <c r="E128" s="80"/>
      <c r="F128" s="80"/>
      <c r="G128" s="80"/>
      <c r="H128" s="80"/>
      <c r="I128" s="80"/>
      <c r="J128" s="80"/>
      <c r="K128" s="80"/>
    </row>
    <row r="129" spans="1:11" x14ac:dyDescent="0.3">
      <c r="A129" s="80"/>
      <c r="B129" s="80"/>
      <c r="C129" s="80"/>
      <c r="D129" s="80"/>
      <c r="E129" s="80"/>
      <c r="F129" s="80"/>
      <c r="G129" s="80"/>
      <c r="H129" s="80"/>
      <c r="I129" s="80"/>
      <c r="J129" s="80"/>
      <c r="K129" s="80"/>
    </row>
    <row r="130" spans="1:11" x14ac:dyDescent="0.3">
      <c r="A130" s="80"/>
      <c r="B130" s="80"/>
      <c r="C130" s="80"/>
      <c r="D130" s="80"/>
      <c r="E130" s="80"/>
      <c r="F130" s="80"/>
      <c r="G130" s="80"/>
      <c r="H130" s="80"/>
      <c r="I130" s="80"/>
      <c r="J130" s="80"/>
      <c r="K130" s="80"/>
    </row>
    <row r="131" spans="1:11" x14ac:dyDescent="0.3">
      <c r="A131" s="80"/>
      <c r="B131" s="80"/>
      <c r="C131" s="80"/>
      <c r="D131" s="80"/>
      <c r="E131" s="80"/>
      <c r="F131" s="80"/>
      <c r="G131" s="80"/>
      <c r="H131" s="80"/>
      <c r="I131" s="80"/>
      <c r="J131" s="80"/>
      <c r="K131" s="80"/>
    </row>
    <row r="132" spans="1:11" x14ac:dyDescent="0.3">
      <c r="A132" s="80"/>
      <c r="B132" s="80"/>
      <c r="C132" s="80"/>
      <c r="D132" s="80"/>
      <c r="E132" s="80"/>
      <c r="F132" s="80"/>
      <c r="G132" s="80"/>
      <c r="H132" s="80"/>
      <c r="I132" s="80"/>
      <c r="J132" s="80"/>
      <c r="K132" s="80"/>
    </row>
    <row r="133" spans="1:11" x14ac:dyDescent="0.3">
      <c r="A133" s="80"/>
      <c r="B133" s="80"/>
      <c r="C133" s="80"/>
      <c r="D133" s="80"/>
      <c r="E133" s="80"/>
      <c r="F133" s="80"/>
      <c r="G133" s="80"/>
      <c r="H133" s="80"/>
      <c r="I133" s="80"/>
      <c r="J133" s="80"/>
      <c r="K133" s="80"/>
    </row>
    <row r="134" spans="1:11" x14ac:dyDescent="0.3">
      <c r="A134" s="80"/>
      <c r="B134" s="80"/>
      <c r="C134" s="80"/>
      <c r="D134" s="80"/>
      <c r="E134" s="80"/>
      <c r="F134" s="80"/>
      <c r="G134" s="80"/>
      <c r="H134" s="80"/>
      <c r="I134" s="80"/>
      <c r="J134" s="80"/>
      <c r="K134" s="80"/>
    </row>
    <row r="135" spans="1:11" x14ac:dyDescent="0.3">
      <c r="A135" s="80"/>
      <c r="B135" s="80"/>
      <c r="C135" s="80"/>
      <c r="D135" s="80"/>
      <c r="E135" s="80"/>
      <c r="F135" s="80"/>
      <c r="G135" s="80"/>
      <c r="H135" s="80"/>
      <c r="I135" s="80"/>
      <c r="J135" s="80"/>
      <c r="K135" s="80"/>
    </row>
    <row r="136" spans="1:11" x14ac:dyDescent="0.3">
      <c r="A136" s="80"/>
      <c r="B136" s="80"/>
      <c r="C136" s="80"/>
      <c r="D136" s="80"/>
      <c r="E136" s="80"/>
      <c r="F136" s="80"/>
      <c r="G136" s="80"/>
      <c r="H136" s="80"/>
      <c r="I136" s="80"/>
      <c r="J136" s="80"/>
      <c r="K136" s="80"/>
    </row>
    <row r="137" spans="1:11" x14ac:dyDescent="0.3">
      <c r="A137" s="80"/>
      <c r="B137" s="80"/>
      <c r="C137" s="80"/>
      <c r="D137" s="80"/>
      <c r="E137" s="80"/>
      <c r="F137" s="80"/>
      <c r="G137" s="80"/>
      <c r="H137" s="80"/>
      <c r="I137" s="80"/>
      <c r="J137" s="80"/>
      <c r="K137" s="80"/>
    </row>
    <row r="138" spans="1:11" x14ac:dyDescent="0.3">
      <c r="A138" s="80"/>
      <c r="B138" s="80"/>
      <c r="C138" s="80"/>
      <c r="D138" s="80"/>
      <c r="E138" s="80"/>
      <c r="F138" s="80"/>
      <c r="G138" s="80"/>
      <c r="H138" s="80"/>
      <c r="I138" s="80"/>
      <c r="J138" s="80"/>
      <c r="K138" s="80"/>
    </row>
    <row r="139" spans="1:11" x14ac:dyDescent="0.3">
      <c r="A139" s="80"/>
      <c r="B139" s="80"/>
      <c r="C139" s="80"/>
      <c r="D139" s="80"/>
      <c r="E139" s="80"/>
      <c r="F139" s="80"/>
      <c r="G139" s="80"/>
      <c r="H139" s="80"/>
      <c r="I139" s="80"/>
      <c r="J139" s="80"/>
      <c r="K139" s="80"/>
    </row>
    <row r="140" spans="1:11" x14ac:dyDescent="0.3">
      <c r="A140" s="80"/>
      <c r="B140" s="80"/>
      <c r="C140" s="80"/>
      <c r="D140" s="80"/>
      <c r="E140" s="80"/>
      <c r="F140" s="80"/>
      <c r="G140" s="80"/>
      <c r="H140" s="80"/>
      <c r="I140" s="80"/>
      <c r="J140" s="80"/>
      <c r="K140" s="80"/>
    </row>
    <row r="141" spans="1:11" x14ac:dyDescent="0.3">
      <c r="A141" s="80"/>
      <c r="B141" s="80"/>
      <c r="C141" s="80"/>
      <c r="D141" s="80"/>
      <c r="E141" s="80"/>
      <c r="F141" s="80"/>
      <c r="G141" s="80"/>
      <c r="H141" s="80"/>
      <c r="I141" s="80"/>
      <c r="J141" s="80"/>
      <c r="K141" s="80"/>
    </row>
    <row r="142" spans="1:11" x14ac:dyDescent="0.3">
      <c r="A142" s="80"/>
      <c r="B142" s="80"/>
      <c r="C142" s="80"/>
      <c r="D142" s="80"/>
      <c r="E142" s="80"/>
      <c r="F142" s="80"/>
      <c r="G142" s="80"/>
      <c r="H142" s="80"/>
      <c r="I142" s="80"/>
      <c r="J142" s="80"/>
      <c r="K142" s="80"/>
    </row>
    <row r="143" spans="1:11" x14ac:dyDescent="0.3">
      <c r="A143" s="80"/>
      <c r="B143" s="80"/>
      <c r="C143" s="80"/>
      <c r="D143" s="80"/>
      <c r="E143" s="80"/>
      <c r="F143" s="80"/>
      <c r="G143" s="80"/>
      <c r="H143" s="80"/>
      <c r="I143" s="80"/>
      <c r="J143" s="80"/>
      <c r="K143" s="80"/>
    </row>
    <row r="144" spans="1:11" x14ac:dyDescent="0.3">
      <c r="A144" s="80"/>
      <c r="B144" s="80"/>
      <c r="C144" s="80"/>
      <c r="D144" s="80"/>
      <c r="E144" s="80"/>
      <c r="F144" s="80"/>
      <c r="G144" s="80"/>
      <c r="H144" s="80"/>
      <c r="I144" s="80"/>
      <c r="J144" s="80"/>
      <c r="K144" s="80"/>
    </row>
    <row r="145" spans="1:11" x14ac:dyDescent="0.3">
      <c r="A145" s="80"/>
      <c r="B145" s="80"/>
      <c r="C145" s="80"/>
      <c r="D145" s="80"/>
      <c r="E145" s="80"/>
      <c r="F145" s="80"/>
      <c r="G145" s="80"/>
      <c r="H145" s="80"/>
      <c r="I145" s="80"/>
      <c r="J145" s="80"/>
      <c r="K145" s="80"/>
    </row>
    <row r="146" spans="1:11" x14ac:dyDescent="0.3">
      <c r="A146" s="80"/>
      <c r="B146" s="80"/>
      <c r="C146" s="80"/>
      <c r="D146" s="80"/>
      <c r="E146" s="80"/>
      <c r="F146" s="80"/>
      <c r="G146" s="80"/>
      <c r="H146" s="80"/>
      <c r="I146" s="80"/>
      <c r="J146" s="80"/>
      <c r="K146" s="80"/>
    </row>
    <row r="147" spans="1:11" x14ac:dyDescent="0.3">
      <c r="A147" s="80"/>
      <c r="B147" s="80"/>
      <c r="C147" s="80"/>
      <c r="D147" s="80"/>
      <c r="E147" s="80"/>
      <c r="F147" s="80"/>
      <c r="G147" s="80"/>
      <c r="H147" s="80"/>
      <c r="I147" s="80"/>
      <c r="J147" s="80"/>
      <c r="K147" s="80"/>
    </row>
    <row r="148" spans="1:11" x14ac:dyDescent="0.3">
      <c r="A148" s="80"/>
      <c r="B148" s="80"/>
      <c r="C148" s="80"/>
      <c r="D148" s="80"/>
      <c r="E148" s="80"/>
      <c r="F148" s="80"/>
      <c r="G148" s="80"/>
      <c r="H148" s="80"/>
      <c r="I148" s="80"/>
      <c r="J148" s="80"/>
      <c r="K148" s="80"/>
    </row>
    <row r="149" spans="1:11" x14ac:dyDescent="0.3">
      <c r="A149" s="80"/>
      <c r="B149" s="80"/>
      <c r="C149" s="80"/>
      <c r="D149" s="80"/>
      <c r="E149" s="80"/>
      <c r="F149" s="80"/>
      <c r="G149" s="80"/>
      <c r="H149" s="80"/>
      <c r="I149" s="80"/>
      <c r="J149" s="80"/>
      <c r="K149" s="80"/>
    </row>
    <row r="150" spans="1:11" x14ac:dyDescent="0.3">
      <c r="A150" s="80"/>
      <c r="B150" s="80"/>
      <c r="C150" s="80"/>
      <c r="D150" s="80"/>
      <c r="E150" s="80"/>
      <c r="F150" s="80"/>
      <c r="G150" s="80"/>
      <c r="H150" s="80"/>
      <c r="I150" s="80"/>
      <c r="J150" s="80"/>
      <c r="K150" s="80"/>
    </row>
    <row r="151" spans="1:11" x14ac:dyDescent="0.3">
      <c r="A151" s="80"/>
      <c r="B151" s="80"/>
      <c r="C151" s="80"/>
      <c r="D151" s="80"/>
      <c r="E151" s="80"/>
      <c r="F151" s="80"/>
      <c r="G151" s="80"/>
      <c r="H151" s="80"/>
      <c r="I151" s="80"/>
      <c r="J151" s="80"/>
      <c r="K151" s="80"/>
    </row>
    <row r="152" spans="1:11" x14ac:dyDescent="0.3">
      <c r="A152" s="80"/>
      <c r="B152" s="80"/>
      <c r="C152" s="80"/>
      <c r="D152" s="80"/>
      <c r="E152" s="80"/>
      <c r="F152" s="80"/>
      <c r="G152" s="80"/>
      <c r="H152" s="80"/>
      <c r="I152" s="80"/>
      <c r="J152" s="80"/>
      <c r="K152" s="80"/>
    </row>
    <row r="153" spans="1:11" x14ac:dyDescent="0.3">
      <c r="A153" s="80"/>
      <c r="B153" s="80"/>
      <c r="C153" s="80"/>
      <c r="D153" s="80"/>
      <c r="E153" s="80"/>
      <c r="F153" s="80"/>
      <c r="G153" s="80"/>
      <c r="H153" s="80"/>
      <c r="I153" s="80"/>
      <c r="J153" s="80"/>
      <c r="K153" s="80"/>
    </row>
    <row r="154" spans="1:11" x14ac:dyDescent="0.3">
      <c r="A154" s="80"/>
      <c r="B154" s="80"/>
      <c r="C154" s="80"/>
      <c r="D154" s="80"/>
      <c r="E154" s="80"/>
      <c r="F154" s="80"/>
      <c r="G154" s="80"/>
      <c r="H154" s="80"/>
      <c r="I154" s="80"/>
      <c r="J154" s="80"/>
      <c r="K154" s="80"/>
    </row>
    <row r="155" spans="1:11" x14ac:dyDescent="0.3">
      <c r="A155" s="80"/>
      <c r="B155" s="80"/>
      <c r="C155" s="80"/>
      <c r="D155" s="80"/>
      <c r="E155" s="80"/>
      <c r="F155" s="80"/>
      <c r="G155" s="80"/>
      <c r="H155" s="80"/>
      <c r="I155" s="80"/>
      <c r="J155" s="80"/>
      <c r="K155" s="80"/>
    </row>
    <row r="156" spans="1:11" x14ac:dyDescent="0.3">
      <c r="A156" s="80"/>
      <c r="B156" s="80"/>
      <c r="C156" s="80"/>
      <c r="D156" s="80"/>
      <c r="E156" s="80"/>
      <c r="F156" s="80"/>
      <c r="G156" s="80"/>
      <c r="H156" s="80"/>
      <c r="I156" s="80"/>
      <c r="J156" s="80"/>
      <c r="K156" s="80"/>
    </row>
    <row r="157" spans="1:11" x14ac:dyDescent="0.3">
      <c r="A157" s="80"/>
      <c r="B157" s="80"/>
      <c r="C157" s="80"/>
      <c r="D157" s="80"/>
      <c r="E157" s="80"/>
      <c r="F157" s="80"/>
      <c r="G157" s="80"/>
      <c r="H157" s="80"/>
      <c r="I157" s="80"/>
      <c r="J157" s="80"/>
      <c r="K157" s="80"/>
    </row>
    <row r="158" spans="1:11" x14ac:dyDescent="0.3">
      <c r="A158" s="80"/>
      <c r="B158" s="80"/>
      <c r="C158" s="80"/>
      <c r="D158" s="80"/>
      <c r="E158" s="80"/>
      <c r="F158" s="80"/>
      <c r="G158" s="80"/>
      <c r="H158" s="80"/>
      <c r="I158" s="80"/>
      <c r="J158" s="80"/>
      <c r="K158" s="80"/>
    </row>
    <row r="159" spans="1:11" x14ac:dyDescent="0.3">
      <c r="A159" s="80"/>
      <c r="B159" s="80"/>
      <c r="C159" s="80"/>
      <c r="D159" s="80"/>
      <c r="E159" s="80"/>
      <c r="F159" s="80"/>
      <c r="G159" s="80"/>
      <c r="H159" s="80"/>
      <c r="I159" s="80"/>
      <c r="J159" s="80"/>
      <c r="K159" s="80"/>
    </row>
    <row r="160" spans="1:11" x14ac:dyDescent="0.3">
      <c r="A160" s="80"/>
      <c r="B160" s="80"/>
      <c r="C160" s="80"/>
      <c r="D160" s="80"/>
      <c r="E160" s="80"/>
      <c r="F160" s="80"/>
      <c r="G160" s="80"/>
      <c r="H160" s="80"/>
      <c r="I160" s="80"/>
      <c r="J160" s="80"/>
      <c r="K160" s="80"/>
    </row>
    <row r="161" spans="1:11" x14ac:dyDescent="0.3">
      <c r="A161" s="80"/>
      <c r="B161" s="80"/>
      <c r="C161" s="80"/>
      <c r="D161" s="80"/>
      <c r="E161" s="80"/>
      <c r="F161" s="80"/>
      <c r="G161" s="80"/>
      <c r="H161" s="80"/>
      <c r="I161" s="80"/>
      <c r="J161" s="80"/>
      <c r="K161" s="80"/>
    </row>
    <row r="162" spans="1:11" x14ac:dyDescent="0.3">
      <c r="A162" s="80"/>
      <c r="B162" s="80"/>
      <c r="C162" s="80"/>
      <c r="D162" s="80"/>
      <c r="E162" s="80"/>
      <c r="F162" s="80"/>
      <c r="G162" s="80"/>
      <c r="H162" s="80"/>
      <c r="I162" s="80"/>
      <c r="J162" s="80"/>
      <c r="K162" s="80"/>
    </row>
    <row r="163" spans="1:11" x14ac:dyDescent="0.3">
      <c r="A163" s="80"/>
      <c r="B163" s="80"/>
      <c r="C163" s="80"/>
      <c r="D163" s="80"/>
      <c r="E163" s="80"/>
      <c r="F163" s="80"/>
      <c r="G163" s="80"/>
      <c r="H163" s="80"/>
      <c r="I163" s="80"/>
      <c r="J163" s="80"/>
      <c r="K163" s="80"/>
    </row>
    <row r="164" spans="1:11" x14ac:dyDescent="0.3">
      <c r="A164" s="80"/>
      <c r="B164" s="80"/>
      <c r="C164" s="80"/>
      <c r="D164" s="80"/>
      <c r="E164" s="80"/>
      <c r="F164" s="80"/>
      <c r="G164" s="80"/>
      <c r="H164" s="80"/>
      <c r="I164" s="80"/>
      <c r="J164" s="80"/>
      <c r="K164" s="80"/>
    </row>
    <row r="165" spans="1:11" x14ac:dyDescent="0.3">
      <c r="A165" s="80"/>
      <c r="B165" s="80"/>
      <c r="C165" s="80"/>
      <c r="D165" s="80"/>
      <c r="E165" s="80"/>
      <c r="F165" s="80"/>
      <c r="G165" s="80"/>
      <c r="H165" s="80"/>
      <c r="I165" s="80"/>
      <c r="J165" s="80"/>
      <c r="K165" s="80"/>
    </row>
    <row r="166" spans="1:11" x14ac:dyDescent="0.3">
      <c r="A166" s="80"/>
      <c r="B166" s="80"/>
      <c r="C166" s="80"/>
      <c r="D166" s="80"/>
      <c r="E166" s="80"/>
      <c r="F166" s="80"/>
      <c r="G166" s="80"/>
      <c r="H166" s="80"/>
      <c r="I166" s="80"/>
      <c r="J166" s="80"/>
      <c r="K166" s="80"/>
    </row>
    <row r="167" spans="1:11" x14ac:dyDescent="0.3">
      <c r="A167" s="80"/>
      <c r="B167" s="80"/>
      <c r="C167" s="80"/>
      <c r="D167" s="80"/>
      <c r="E167" s="80"/>
      <c r="F167" s="80"/>
      <c r="G167" s="80"/>
      <c r="H167" s="80"/>
      <c r="I167" s="80"/>
      <c r="J167" s="80"/>
      <c r="K167" s="80"/>
    </row>
    <row r="168" spans="1:11" x14ac:dyDescent="0.3">
      <c r="A168" s="80"/>
      <c r="B168" s="80"/>
      <c r="C168" s="80"/>
      <c r="D168" s="80"/>
      <c r="E168" s="80"/>
      <c r="F168" s="80"/>
      <c r="G168" s="80"/>
      <c r="H168" s="80"/>
      <c r="I168" s="80"/>
      <c r="J168" s="80"/>
      <c r="K168" s="80"/>
    </row>
    <row r="169" spans="1:11" x14ac:dyDescent="0.3">
      <c r="A169" s="80"/>
      <c r="B169" s="80"/>
      <c r="C169" s="80"/>
      <c r="D169" s="80"/>
      <c r="E169" s="80"/>
      <c r="F169" s="80"/>
      <c r="G169" s="80"/>
      <c r="H169" s="80"/>
      <c r="I169" s="80"/>
      <c r="J169" s="80"/>
      <c r="K169" s="80"/>
    </row>
    <row r="170" spans="1:11" x14ac:dyDescent="0.3">
      <c r="A170" s="80"/>
      <c r="B170" s="80"/>
      <c r="C170" s="80"/>
      <c r="D170" s="80"/>
      <c r="E170" s="80"/>
      <c r="F170" s="80"/>
      <c r="G170" s="80"/>
      <c r="H170" s="80"/>
      <c r="I170" s="80"/>
      <c r="J170" s="80"/>
      <c r="K170" s="80"/>
    </row>
    <row r="171" spans="1:11" x14ac:dyDescent="0.3">
      <c r="A171" s="80"/>
      <c r="B171" s="80"/>
      <c r="C171" s="80"/>
      <c r="D171" s="80"/>
      <c r="E171" s="80"/>
      <c r="F171" s="80"/>
      <c r="G171" s="80"/>
      <c r="H171" s="80"/>
      <c r="I171" s="80"/>
      <c r="J171" s="80"/>
      <c r="K171" s="80"/>
    </row>
    <row r="172" spans="1:11" x14ac:dyDescent="0.3">
      <c r="A172" s="80"/>
      <c r="B172" s="80"/>
      <c r="C172" s="80"/>
      <c r="D172" s="80"/>
      <c r="E172" s="80"/>
      <c r="F172" s="80"/>
      <c r="G172" s="80"/>
      <c r="H172" s="80"/>
      <c r="I172" s="80"/>
      <c r="J172" s="80"/>
      <c r="K172" s="80"/>
    </row>
    <row r="173" spans="1:11" x14ac:dyDescent="0.3">
      <c r="A173" s="80"/>
      <c r="B173" s="80"/>
      <c r="C173" s="80"/>
      <c r="D173" s="80"/>
      <c r="E173" s="80"/>
      <c r="F173" s="80"/>
      <c r="G173" s="80"/>
      <c r="H173" s="80"/>
      <c r="I173" s="80"/>
      <c r="J173" s="80"/>
      <c r="K173" s="80"/>
    </row>
    <row r="174" spans="1:11" x14ac:dyDescent="0.3">
      <c r="A174" s="80"/>
      <c r="B174" s="80"/>
      <c r="C174" s="80"/>
      <c r="D174" s="80"/>
      <c r="E174" s="80"/>
      <c r="F174" s="80"/>
      <c r="G174" s="80"/>
      <c r="H174" s="80"/>
      <c r="I174" s="80"/>
      <c r="J174" s="80"/>
      <c r="K174" s="80"/>
    </row>
    <row r="175" spans="1:11" x14ac:dyDescent="0.3">
      <c r="A175" s="80"/>
      <c r="B175" s="80"/>
      <c r="C175" s="80"/>
      <c r="D175" s="80"/>
      <c r="E175" s="80"/>
      <c r="F175" s="80"/>
      <c r="G175" s="80"/>
      <c r="H175" s="80"/>
      <c r="I175" s="80"/>
      <c r="J175" s="80"/>
      <c r="K175" s="80"/>
    </row>
    <row r="176" spans="1:11" x14ac:dyDescent="0.3">
      <c r="A176" s="80"/>
      <c r="B176" s="80"/>
      <c r="C176" s="80"/>
      <c r="D176" s="80"/>
      <c r="E176" s="80"/>
      <c r="F176" s="80"/>
      <c r="G176" s="80"/>
      <c r="H176" s="80"/>
      <c r="I176" s="80"/>
      <c r="J176" s="80"/>
      <c r="K176" s="80"/>
    </row>
    <row r="177" spans="1:11" x14ac:dyDescent="0.3">
      <c r="A177" s="80"/>
      <c r="B177" s="80"/>
      <c r="C177" s="80"/>
      <c r="D177" s="80"/>
      <c r="E177" s="80"/>
      <c r="F177" s="80"/>
      <c r="G177" s="80"/>
      <c r="H177" s="80"/>
      <c r="I177" s="80"/>
      <c r="J177" s="80"/>
      <c r="K177" s="80"/>
    </row>
    <row r="178" spans="1:11" x14ac:dyDescent="0.3">
      <c r="A178" s="80"/>
      <c r="B178" s="80"/>
      <c r="C178" s="80"/>
      <c r="D178" s="80"/>
      <c r="E178" s="80"/>
      <c r="F178" s="80"/>
      <c r="G178" s="80"/>
      <c r="H178" s="80"/>
      <c r="I178" s="80"/>
      <c r="J178" s="80"/>
      <c r="K178" s="80"/>
    </row>
    <row r="179" spans="1:11" x14ac:dyDescent="0.3">
      <c r="A179" s="80"/>
      <c r="B179" s="80"/>
      <c r="C179" s="80"/>
      <c r="D179" s="80"/>
      <c r="E179" s="80"/>
      <c r="F179" s="80"/>
      <c r="G179" s="80"/>
      <c r="H179" s="80"/>
      <c r="I179" s="80"/>
      <c r="J179" s="80"/>
      <c r="K179" s="80"/>
    </row>
    <row r="180" spans="1:11" x14ac:dyDescent="0.3">
      <c r="A180" s="80"/>
      <c r="B180" s="80"/>
      <c r="C180" s="80"/>
      <c r="D180" s="80"/>
      <c r="E180" s="80"/>
      <c r="F180" s="80"/>
      <c r="G180" s="80"/>
      <c r="H180" s="80"/>
      <c r="I180" s="80"/>
      <c r="J180" s="80"/>
      <c r="K180" s="80"/>
    </row>
    <row r="181" spans="1:11" x14ac:dyDescent="0.3">
      <c r="A181" s="80"/>
      <c r="B181" s="80"/>
      <c r="C181" s="80"/>
      <c r="D181" s="80"/>
      <c r="E181" s="80"/>
      <c r="F181" s="80"/>
      <c r="G181" s="80"/>
      <c r="H181" s="80"/>
      <c r="I181" s="80"/>
      <c r="J181" s="80"/>
      <c r="K181" s="80"/>
    </row>
    <row r="182" spans="1:11" x14ac:dyDescent="0.3">
      <c r="A182" s="80"/>
      <c r="B182" s="80"/>
      <c r="C182" s="80"/>
      <c r="D182" s="80"/>
      <c r="E182" s="80"/>
      <c r="F182" s="80"/>
      <c r="G182" s="80"/>
      <c r="H182" s="80"/>
      <c r="I182" s="80"/>
      <c r="J182" s="80"/>
      <c r="K182" s="80"/>
    </row>
    <row r="183" spans="1:11" x14ac:dyDescent="0.3">
      <c r="A183" s="80"/>
      <c r="B183" s="80"/>
      <c r="C183" s="80"/>
      <c r="D183" s="80"/>
      <c r="E183" s="80"/>
      <c r="F183" s="80"/>
      <c r="G183" s="80"/>
      <c r="H183" s="80"/>
      <c r="I183" s="80"/>
      <c r="J183" s="80"/>
      <c r="K183" s="80"/>
    </row>
    <row r="184" spans="1:11" x14ac:dyDescent="0.3">
      <c r="A184" s="80"/>
      <c r="B184" s="80"/>
      <c r="C184" s="80"/>
      <c r="D184" s="80"/>
      <c r="E184" s="80"/>
      <c r="F184" s="80"/>
      <c r="G184" s="80"/>
      <c r="H184" s="80"/>
      <c r="I184" s="80"/>
      <c r="J184" s="80"/>
      <c r="K184" s="80"/>
    </row>
    <row r="185" spans="1:11" x14ac:dyDescent="0.3">
      <c r="A185" s="80"/>
      <c r="B185" s="80"/>
      <c r="C185" s="80"/>
      <c r="D185" s="80"/>
      <c r="E185" s="80"/>
      <c r="F185" s="80"/>
      <c r="G185" s="80"/>
      <c r="H185" s="80"/>
      <c r="I185" s="80"/>
      <c r="J185" s="80"/>
      <c r="K185" s="80"/>
    </row>
    <row r="186" spans="1:11" x14ac:dyDescent="0.3">
      <c r="A186" s="80"/>
      <c r="B186" s="80"/>
      <c r="C186" s="80"/>
      <c r="D186" s="80"/>
      <c r="E186" s="80"/>
      <c r="F186" s="80"/>
      <c r="G186" s="80"/>
      <c r="H186" s="80"/>
      <c r="I186" s="80"/>
      <c r="J186" s="80"/>
      <c r="K186" s="80"/>
    </row>
    <row r="187" spans="1:11" x14ac:dyDescent="0.3">
      <c r="A187" s="80"/>
      <c r="B187" s="80"/>
      <c r="C187" s="80"/>
      <c r="D187" s="80"/>
      <c r="E187" s="80"/>
      <c r="F187" s="80"/>
      <c r="G187" s="80"/>
      <c r="H187" s="80"/>
      <c r="I187" s="80"/>
      <c r="J187" s="80"/>
      <c r="K187" s="80"/>
    </row>
    <row r="188" spans="1:11" x14ac:dyDescent="0.3">
      <c r="A188" s="80"/>
      <c r="B188" s="80"/>
      <c r="C188" s="80"/>
      <c r="D188" s="80"/>
      <c r="E188" s="80"/>
      <c r="F188" s="80"/>
      <c r="G188" s="80"/>
      <c r="H188" s="80"/>
      <c r="I188" s="80"/>
      <c r="J188" s="80"/>
      <c r="K188" s="80"/>
    </row>
    <row r="189" spans="1:11" x14ac:dyDescent="0.3">
      <c r="A189" s="80"/>
      <c r="B189" s="80"/>
      <c r="C189" s="80"/>
      <c r="D189" s="80"/>
      <c r="E189" s="80"/>
      <c r="F189" s="80"/>
      <c r="G189" s="80"/>
      <c r="H189" s="80"/>
      <c r="I189" s="80"/>
      <c r="J189" s="80"/>
      <c r="K189" s="80"/>
    </row>
    <row r="190" spans="1:11" x14ac:dyDescent="0.3">
      <c r="A190" s="80"/>
      <c r="B190" s="80"/>
      <c r="C190" s="80"/>
      <c r="D190" s="80"/>
      <c r="E190" s="80"/>
      <c r="F190" s="80"/>
      <c r="G190" s="80"/>
      <c r="H190" s="80"/>
      <c r="I190" s="80"/>
      <c r="J190" s="80"/>
      <c r="K190" s="80"/>
    </row>
    <row r="191" spans="1:11" x14ac:dyDescent="0.3">
      <c r="A191" s="80"/>
      <c r="B191" s="80"/>
      <c r="C191" s="80"/>
      <c r="D191" s="80"/>
      <c r="E191" s="80"/>
      <c r="F191" s="80"/>
      <c r="G191" s="80"/>
      <c r="H191" s="80"/>
      <c r="I191" s="80"/>
      <c r="J191" s="80"/>
      <c r="K191" s="80"/>
    </row>
    <row r="192" spans="1:11" x14ac:dyDescent="0.3">
      <c r="A192" s="80"/>
      <c r="B192" s="80"/>
      <c r="C192" s="80"/>
      <c r="D192" s="80"/>
      <c r="E192" s="80"/>
      <c r="F192" s="80"/>
      <c r="G192" s="80"/>
      <c r="H192" s="80"/>
      <c r="I192" s="80"/>
      <c r="J192" s="80"/>
      <c r="K192" s="80"/>
    </row>
    <row r="193" spans="1:11" x14ac:dyDescent="0.3">
      <c r="A193" s="80"/>
      <c r="B193" s="80"/>
      <c r="C193" s="80"/>
      <c r="D193" s="80"/>
      <c r="E193" s="80"/>
      <c r="F193" s="80"/>
      <c r="G193" s="80"/>
      <c r="H193" s="80"/>
      <c r="I193" s="80"/>
      <c r="J193" s="80"/>
      <c r="K193" s="80"/>
    </row>
    <row r="194" spans="1:11" x14ac:dyDescent="0.3">
      <c r="A194" s="80"/>
      <c r="B194" s="80"/>
      <c r="C194" s="80"/>
      <c r="D194" s="80"/>
      <c r="E194" s="80"/>
      <c r="F194" s="80"/>
      <c r="G194" s="80"/>
      <c r="H194" s="80"/>
      <c r="I194" s="80"/>
      <c r="J194" s="80"/>
      <c r="K194" s="80"/>
    </row>
    <row r="195" spans="1:11" x14ac:dyDescent="0.3">
      <c r="A195" s="80"/>
      <c r="B195" s="80"/>
      <c r="C195" s="80"/>
      <c r="D195" s="80"/>
      <c r="E195" s="80"/>
      <c r="F195" s="80"/>
      <c r="G195" s="80"/>
      <c r="H195" s="80"/>
      <c r="I195" s="80"/>
      <c r="J195" s="80"/>
      <c r="K195" s="80"/>
    </row>
    <row r="196" spans="1:11" x14ac:dyDescent="0.3">
      <c r="A196" s="80"/>
      <c r="B196" s="80"/>
      <c r="C196" s="80"/>
      <c r="D196" s="80"/>
      <c r="E196" s="80"/>
      <c r="F196" s="80"/>
      <c r="G196" s="80"/>
      <c r="H196" s="80"/>
      <c r="I196" s="80"/>
      <c r="J196" s="80"/>
      <c r="K196" s="80"/>
    </row>
    <row r="197" spans="1:11" x14ac:dyDescent="0.3">
      <c r="A197" s="80"/>
      <c r="B197" s="80"/>
      <c r="C197" s="80"/>
      <c r="D197" s="80"/>
      <c r="E197" s="80"/>
      <c r="F197" s="80"/>
      <c r="G197" s="80"/>
      <c r="H197" s="80"/>
      <c r="I197" s="80"/>
      <c r="J197" s="80"/>
      <c r="K197" s="80"/>
    </row>
    <row r="198" spans="1:11" x14ac:dyDescent="0.3">
      <c r="A198" s="80"/>
      <c r="B198" s="80"/>
      <c r="C198" s="80"/>
      <c r="D198" s="80"/>
      <c r="E198" s="80"/>
      <c r="F198" s="80"/>
      <c r="G198" s="80"/>
      <c r="H198" s="80"/>
      <c r="I198" s="80"/>
      <c r="J198" s="80"/>
      <c r="K198" s="80"/>
    </row>
    <row r="199" spans="1:11" x14ac:dyDescent="0.3">
      <c r="A199" s="80"/>
      <c r="B199" s="80"/>
      <c r="C199" s="80"/>
      <c r="D199" s="80"/>
      <c r="E199" s="80"/>
      <c r="F199" s="80"/>
      <c r="G199" s="80"/>
      <c r="H199" s="80"/>
      <c r="I199" s="80"/>
      <c r="J199" s="80"/>
      <c r="K199" s="80"/>
    </row>
    <row r="200" spans="1:11" x14ac:dyDescent="0.3">
      <c r="A200" s="80"/>
      <c r="B200" s="80"/>
      <c r="C200" s="80"/>
      <c r="D200" s="80"/>
      <c r="E200" s="80"/>
      <c r="F200" s="80"/>
      <c r="G200" s="80"/>
      <c r="H200" s="80"/>
      <c r="I200" s="80"/>
      <c r="J200" s="80"/>
      <c r="K200" s="80"/>
    </row>
    <row r="201" spans="1:11" x14ac:dyDescent="0.3">
      <c r="A201" s="80"/>
      <c r="B201" s="80"/>
      <c r="C201" s="80"/>
      <c r="D201" s="80"/>
      <c r="E201" s="80"/>
      <c r="F201" s="80"/>
      <c r="G201" s="80"/>
      <c r="H201" s="80"/>
      <c r="I201" s="80"/>
      <c r="J201" s="80"/>
      <c r="K201" s="80"/>
    </row>
    <row r="202" spans="1:11" x14ac:dyDescent="0.3">
      <c r="A202" s="80"/>
      <c r="B202" s="80"/>
      <c r="C202" s="80"/>
      <c r="D202" s="80"/>
      <c r="E202" s="80"/>
      <c r="F202" s="80"/>
      <c r="G202" s="80"/>
      <c r="H202" s="80"/>
      <c r="I202" s="80"/>
      <c r="J202" s="80"/>
      <c r="K202" s="80"/>
    </row>
    <row r="203" spans="1:11" x14ac:dyDescent="0.3">
      <c r="A203" s="80"/>
      <c r="B203" s="80"/>
      <c r="C203" s="80"/>
      <c r="D203" s="80"/>
      <c r="E203" s="80"/>
      <c r="F203" s="80"/>
      <c r="G203" s="80"/>
      <c r="H203" s="80"/>
      <c r="I203" s="80"/>
      <c r="J203" s="80"/>
      <c r="K203" s="80"/>
    </row>
    <row r="204" spans="1:11" x14ac:dyDescent="0.3">
      <c r="A204" s="80"/>
      <c r="B204" s="80"/>
      <c r="C204" s="80"/>
      <c r="D204" s="80"/>
      <c r="E204" s="80"/>
      <c r="F204" s="80"/>
      <c r="G204" s="80"/>
      <c r="H204" s="80"/>
      <c r="I204" s="80"/>
      <c r="J204" s="80"/>
      <c r="K204" s="80"/>
    </row>
    <row r="205" spans="1:11" x14ac:dyDescent="0.3">
      <c r="A205" s="80"/>
      <c r="B205" s="80"/>
      <c r="C205" s="80"/>
      <c r="D205" s="80"/>
      <c r="E205" s="80"/>
      <c r="F205" s="80"/>
      <c r="G205" s="80"/>
      <c r="H205" s="80"/>
      <c r="I205" s="80"/>
      <c r="J205" s="80"/>
      <c r="K205" s="80"/>
    </row>
    <row r="206" spans="1:11" x14ac:dyDescent="0.3">
      <c r="A206" s="80"/>
      <c r="B206" s="80"/>
      <c r="C206" s="80"/>
      <c r="D206" s="80"/>
      <c r="E206" s="80"/>
      <c r="F206" s="80"/>
      <c r="G206" s="80"/>
      <c r="H206" s="80"/>
      <c r="I206" s="80"/>
      <c r="J206" s="80"/>
      <c r="K206" s="80"/>
    </row>
    <row r="207" spans="1:11" x14ac:dyDescent="0.3">
      <c r="A207" s="80"/>
      <c r="B207" s="80"/>
      <c r="C207" s="80"/>
      <c r="D207" s="80"/>
      <c r="E207" s="80"/>
      <c r="F207" s="80"/>
      <c r="G207" s="80"/>
      <c r="H207" s="80"/>
      <c r="I207" s="80"/>
      <c r="J207" s="80"/>
      <c r="K207" s="80"/>
    </row>
    <row r="208" spans="1:11" x14ac:dyDescent="0.3">
      <c r="A208" s="80"/>
      <c r="B208" s="80"/>
      <c r="C208" s="80"/>
      <c r="D208" s="80"/>
      <c r="E208" s="80"/>
      <c r="F208" s="80"/>
      <c r="G208" s="80"/>
      <c r="H208" s="80"/>
      <c r="I208" s="80"/>
      <c r="J208" s="80"/>
      <c r="K208" s="80"/>
    </row>
    <row r="209" spans="1:11" x14ac:dyDescent="0.3">
      <c r="A209" s="80"/>
      <c r="B209" s="80"/>
      <c r="C209" s="80"/>
      <c r="D209" s="80"/>
      <c r="E209" s="80"/>
      <c r="F209" s="80"/>
      <c r="G209" s="80"/>
      <c r="H209" s="80"/>
      <c r="I209" s="80"/>
      <c r="J209" s="80"/>
      <c r="K209" s="80"/>
    </row>
    <row r="210" spans="1:11" x14ac:dyDescent="0.3">
      <c r="A210" s="80"/>
      <c r="B210" s="80"/>
      <c r="C210" s="80"/>
      <c r="D210" s="80"/>
      <c r="E210" s="80"/>
      <c r="F210" s="80"/>
      <c r="G210" s="80"/>
      <c r="H210" s="80"/>
      <c r="I210" s="80"/>
      <c r="J210" s="80"/>
      <c r="K210" s="80"/>
    </row>
    <row r="211" spans="1:11" x14ac:dyDescent="0.3">
      <c r="A211" s="80"/>
      <c r="B211" s="80"/>
      <c r="C211" s="80"/>
      <c r="D211" s="80"/>
      <c r="E211" s="80"/>
      <c r="F211" s="80"/>
      <c r="G211" s="80"/>
      <c r="H211" s="80"/>
      <c r="I211" s="80"/>
      <c r="J211" s="80"/>
      <c r="K211" s="80"/>
    </row>
    <row r="212" spans="1:11" x14ac:dyDescent="0.3">
      <c r="A212" s="80"/>
      <c r="B212" s="80"/>
      <c r="C212" s="80"/>
      <c r="D212" s="80"/>
      <c r="E212" s="80"/>
      <c r="F212" s="80"/>
      <c r="G212" s="80"/>
      <c r="H212" s="80"/>
      <c r="I212" s="80"/>
      <c r="J212" s="80"/>
      <c r="K212" s="80"/>
    </row>
  </sheetData>
  <sheetProtection selectLockedCells="1" selectUnlockedCells="1"/>
  <mergeCells count="49">
    <mergeCell ref="A17:K17"/>
    <mergeCell ref="A19:K19"/>
    <mergeCell ref="A15:K15"/>
    <mergeCell ref="A22:K22"/>
    <mergeCell ref="A20:K20"/>
    <mergeCell ref="A84:K84"/>
    <mergeCell ref="C50:G50"/>
    <mergeCell ref="H50:K50"/>
    <mergeCell ref="C51:G51"/>
    <mergeCell ref="H51:K51"/>
    <mergeCell ref="C52:K52"/>
    <mergeCell ref="H59:K59"/>
    <mergeCell ref="A82:K82"/>
    <mergeCell ref="A83:K83"/>
    <mergeCell ref="C59:G59"/>
    <mergeCell ref="B77:K77"/>
    <mergeCell ref="B80:K80"/>
    <mergeCell ref="B69:K69"/>
    <mergeCell ref="B73:K73"/>
    <mergeCell ref="B74:K74"/>
    <mergeCell ref="A55:K55"/>
    <mergeCell ref="C56:K56"/>
    <mergeCell ref="B21:I21"/>
    <mergeCell ref="C58:K58"/>
    <mergeCell ref="A68:D68"/>
    <mergeCell ref="B23:K23"/>
    <mergeCell ref="A28:K28"/>
    <mergeCell ref="C57:K57"/>
    <mergeCell ref="A27:D27"/>
    <mergeCell ref="A42:K42"/>
    <mergeCell ref="A43:K43"/>
    <mergeCell ref="A29:K29"/>
    <mergeCell ref="A30:K30"/>
    <mergeCell ref="A45:K45"/>
    <mergeCell ref="A47:K47"/>
    <mergeCell ref="C49:G49"/>
    <mergeCell ref="H49:K49"/>
    <mergeCell ref="B11:K11"/>
    <mergeCell ref="B12:K12"/>
    <mergeCell ref="B13:K13"/>
    <mergeCell ref="B14:K14"/>
    <mergeCell ref="A1:K1"/>
    <mergeCell ref="A2:K2"/>
    <mergeCell ref="A3:K3"/>
    <mergeCell ref="A4:K4"/>
    <mergeCell ref="A10:K10"/>
    <mergeCell ref="A6:K6"/>
    <mergeCell ref="A8:K8"/>
    <mergeCell ref="A5:K5"/>
  </mergeCells>
  <phoneticPr fontId="8" type="noConversion"/>
  <pageMargins left="0.75" right="0.75" top="0.5" bottom="0.5" header="0.5" footer="0.3"/>
  <pageSetup firstPageNumber="0" pageOrder="overThenDown" orientation="portrait" horizontalDpi="300" verticalDpi="300" r:id="rId1"/>
  <headerFooter alignWithMargins="0">
    <oddHeader>&amp;L&amp;K000000&amp;G</oddHeader>
    <oddFooter>&amp;C&amp;"Calibri,Regular"&amp;K000000© 2015 Women's Flat Track Derby Association (WFTDA)&amp;R&amp;"Calibri,Regular"&amp;K000000Rev. 150103</oddFooter>
  </headerFooter>
  <rowBreaks count="1" manualBreakCount="1">
    <brk id="43" max="10" man="1"/>
  </rowBreaks>
  <legacyDrawingHF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5"/>
  </sheetPr>
  <dimension ref="A1:IV116"/>
  <sheetViews>
    <sheetView topLeftCell="A11" zoomScaleNormal="100" zoomScaleSheetLayoutView="100" workbookViewId="0">
      <selection activeCell="I26" sqref="I25:I26"/>
    </sheetView>
  </sheetViews>
  <sheetFormatPr defaultColWidth="8.88671875" defaultRowHeight="13.8" x14ac:dyDescent="0.3"/>
  <cols>
    <col min="1" max="1" width="12.6640625" style="91" customWidth="1"/>
    <col min="2" max="3" width="11.6640625" style="91" customWidth="1"/>
    <col min="4" max="4" width="9.44140625" style="91" customWidth="1"/>
    <col min="5" max="5" width="5.6640625" style="91" customWidth="1"/>
    <col min="6" max="6" width="4.6640625" style="91" customWidth="1"/>
    <col min="7" max="7" width="8.6640625" style="91" customWidth="1"/>
    <col min="8" max="9" width="11.6640625" style="91" customWidth="1"/>
    <col min="10" max="10" width="9.44140625" style="91" customWidth="1"/>
    <col min="11" max="11" width="4.44140625" style="91" customWidth="1"/>
    <col min="12" max="12" width="6.109375" style="91" customWidth="1"/>
    <col min="13" max="13" width="8.88671875" style="90" customWidth="1"/>
    <col min="14" max="14" width="11" style="90" customWidth="1"/>
    <col min="15" max="179" width="8.88671875" style="90" customWidth="1"/>
    <col min="180" max="256" width="11.44140625" style="91" customWidth="1"/>
    <col min="257" max="16384" width="8.88671875" style="91"/>
  </cols>
  <sheetData>
    <row r="1" spans="1:256" s="88" customFormat="1" ht="18.600000000000001" customHeight="1" thickBot="1" x14ac:dyDescent="0.3">
      <c r="A1" s="895" t="s">
        <v>424</v>
      </c>
      <c r="B1" s="896"/>
      <c r="C1" s="896"/>
      <c r="D1" s="896"/>
      <c r="E1" s="896"/>
      <c r="F1" s="896"/>
      <c r="G1" s="896"/>
      <c r="H1" s="896"/>
      <c r="I1" s="896"/>
      <c r="J1" s="896"/>
      <c r="K1" s="896"/>
      <c r="L1" s="897"/>
      <c r="FX1" s="89"/>
      <c r="FY1" s="89"/>
      <c r="FZ1" s="89"/>
      <c r="GA1" s="89"/>
      <c r="GB1" s="89"/>
      <c r="GC1" s="89"/>
      <c r="GD1" s="89"/>
      <c r="GE1" s="89"/>
      <c r="GF1" s="89"/>
      <c r="GG1" s="89"/>
      <c r="GH1" s="89"/>
      <c r="GI1" s="89"/>
      <c r="GJ1" s="89"/>
      <c r="GK1" s="89"/>
      <c r="GL1" s="89"/>
      <c r="GM1" s="89"/>
      <c r="GN1" s="89"/>
      <c r="GO1" s="89"/>
      <c r="GP1" s="89"/>
      <c r="GQ1" s="89"/>
      <c r="GR1" s="89"/>
      <c r="GS1" s="89"/>
      <c r="GT1" s="89"/>
      <c r="GU1" s="89"/>
      <c r="GV1" s="89"/>
      <c r="GW1" s="89"/>
      <c r="GX1" s="89"/>
      <c r="GY1" s="89"/>
      <c r="GZ1" s="89"/>
      <c r="HA1" s="89"/>
      <c r="HB1" s="89"/>
      <c r="HC1" s="89"/>
      <c r="HD1" s="89"/>
      <c r="HE1" s="89"/>
      <c r="HF1" s="89"/>
      <c r="HG1" s="89"/>
      <c r="HH1" s="89"/>
      <c r="HI1" s="89"/>
      <c r="HJ1" s="89"/>
      <c r="HK1" s="89"/>
      <c r="HL1" s="89"/>
      <c r="HM1" s="89"/>
      <c r="HN1" s="89"/>
      <c r="HO1" s="89"/>
      <c r="HP1" s="89"/>
      <c r="HQ1" s="89"/>
      <c r="HR1" s="89"/>
      <c r="HS1" s="89"/>
      <c r="HT1" s="89"/>
      <c r="HU1" s="89"/>
      <c r="HV1" s="89"/>
      <c r="HW1" s="89"/>
      <c r="HX1" s="89"/>
      <c r="HY1" s="89"/>
      <c r="HZ1" s="89"/>
      <c r="IA1" s="89"/>
      <c r="IB1" s="89"/>
      <c r="IC1" s="89"/>
      <c r="ID1" s="89"/>
      <c r="IE1" s="89"/>
      <c r="IF1" s="89"/>
      <c r="IG1" s="89"/>
      <c r="IH1" s="89"/>
      <c r="II1" s="89"/>
      <c r="IJ1" s="89"/>
      <c r="IK1" s="89"/>
      <c r="IL1" s="89"/>
      <c r="IM1" s="89"/>
      <c r="IN1" s="89"/>
      <c r="IO1" s="89"/>
      <c r="IP1" s="89"/>
      <c r="IQ1" s="89"/>
      <c r="IR1" s="89"/>
      <c r="IS1" s="89"/>
      <c r="IT1" s="89"/>
      <c r="IU1" s="89"/>
      <c r="IV1" s="89"/>
    </row>
    <row r="2" spans="1:256" ht="12.75" customHeight="1" thickBot="1" x14ac:dyDescent="0.35">
      <c r="A2" s="842" t="s">
        <v>386</v>
      </c>
      <c r="B2" s="843"/>
      <c r="C2" s="843"/>
      <c r="D2" s="843"/>
      <c r="E2" s="843"/>
      <c r="F2" s="843"/>
      <c r="G2" s="843"/>
      <c r="H2" s="844"/>
      <c r="I2" s="844"/>
      <c r="J2" s="844"/>
      <c r="K2" s="843"/>
      <c r="L2" s="845"/>
    </row>
    <row r="3" spans="1:256" ht="14.25" customHeight="1" thickBot="1" x14ac:dyDescent="0.35">
      <c r="A3" s="846" t="s">
        <v>167</v>
      </c>
      <c r="B3" s="848" t="s">
        <v>569</v>
      </c>
      <c r="C3" s="848"/>
      <c r="D3" s="848"/>
      <c r="E3" s="848"/>
      <c r="F3" s="848"/>
      <c r="G3" s="849"/>
      <c r="H3" s="850" t="s">
        <v>570</v>
      </c>
      <c r="I3" s="850"/>
      <c r="J3" s="721" t="s">
        <v>571</v>
      </c>
      <c r="K3" s="851">
        <v>2</v>
      </c>
      <c r="L3" s="852"/>
    </row>
    <row r="4" spans="1:256" s="92" customFormat="1" ht="12.75" customHeight="1" thickBot="1" x14ac:dyDescent="0.3">
      <c r="A4" s="847"/>
      <c r="B4" s="853" t="s">
        <v>529</v>
      </c>
      <c r="C4" s="853"/>
      <c r="D4" s="853"/>
      <c r="E4" s="853"/>
      <c r="F4" s="853"/>
      <c r="G4" s="853"/>
      <c r="H4" s="854" t="s">
        <v>530</v>
      </c>
      <c r="I4" s="854"/>
      <c r="J4" s="690" t="s">
        <v>168</v>
      </c>
      <c r="K4" s="855" t="s">
        <v>506</v>
      </c>
      <c r="L4" s="856"/>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IH4" s="93"/>
      <c r="II4" s="93"/>
      <c r="IJ4" s="93"/>
      <c r="IK4" s="93"/>
      <c r="IL4" s="93"/>
      <c r="IM4" s="93"/>
      <c r="IN4" s="93"/>
      <c r="IO4" s="93"/>
      <c r="IP4" s="93"/>
      <c r="IQ4" s="93"/>
      <c r="IR4" s="93"/>
      <c r="IS4" s="93"/>
      <c r="IT4" s="93"/>
      <c r="IU4" s="93"/>
      <c r="IV4" s="93"/>
    </row>
    <row r="5" spans="1:256" s="92" customFormat="1" ht="12.75" customHeight="1" x14ac:dyDescent="0.25">
      <c r="A5" s="872" t="s">
        <v>507</v>
      </c>
      <c r="B5" s="862"/>
      <c r="C5" s="863"/>
      <c r="D5" s="863"/>
      <c r="E5" s="863"/>
      <c r="F5" s="863"/>
      <c r="G5" s="863"/>
      <c r="H5" s="864" t="s">
        <v>572</v>
      </c>
      <c r="I5" s="865"/>
      <c r="J5" s="865"/>
      <c r="K5" s="865"/>
      <c r="L5" s="866"/>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IK5" s="93"/>
      <c r="IL5" s="93"/>
      <c r="IM5" s="93"/>
      <c r="IN5" s="93"/>
      <c r="IO5" s="93"/>
      <c r="IP5" s="93"/>
      <c r="IQ5" s="93"/>
      <c r="IR5" s="93"/>
      <c r="IS5" s="93"/>
      <c r="IT5" s="93"/>
      <c r="IU5" s="93"/>
      <c r="IV5" s="93"/>
    </row>
    <row r="6" spans="1:256" s="92" customFormat="1" ht="12.75" customHeight="1" thickBot="1" x14ac:dyDescent="0.3">
      <c r="A6" s="873"/>
      <c r="B6" s="870" t="s">
        <v>528</v>
      </c>
      <c r="C6" s="871"/>
      <c r="D6" s="871"/>
      <c r="E6" s="871"/>
      <c r="F6" s="871"/>
      <c r="G6" s="871"/>
      <c r="H6" s="867" t="s">
        <v>531</v>
      </c>
      <c r="I6" s="868"/>
      <c r="J6" s="868"/>
      <c r="K6" s="868"/>
      <c r="L6" s="869"/>
      <c r="FX6" s="93"/>
      <c r="FY6" s="93"/>
      <c r="FZ6" s="93"/>
      <c r="GA6" s="93"/>
      <c r="GB6" s="93"/>
      <c r="GC6" s="93"/>
      <c r="GD6" s="93"/>
      <c r="GE6" s="93"/>
      <c r="GF6" s="93"/>
      <c r="GG6" s="93"/>
      <c r="GH6" s="93"/>
      <c r="GI6" s="93"/>
      <c r="GJ6" s="93"/>
      <c r="GK6" s="93"/>
      <c r="GL6" s="93"/>
      <c r="GM6" s="93"/>
      <c r="GN6" s="93"/>
      <c r="GO6" s="93"/>
      <c r="GP6" s="93"/>
      <c r="GQ6" s="93"/>
      <c r="GR6" s="93"/>
      <c r="GS6" s="93"/>
      <c r="GT6" s="93"/>
      <c r="GU6" s="93"/>
      <c r="GV6" s="93"/>
      <c r="GW6" s="93"/>
      <c r="GX6" s="93"/>
      <c r="GY6" s="93"/>
      <c r="GZ6" s="93"/>
      <c r="HA6" s="93"/>
      <c r="HB6" s="93"/>
      <c r="HC6" s="93"/>
      <c r="HD6" s="93"/>
      <c r="HE6" s="93"/>
      <c r="HF6" s="93"/>
      <c r="HG6" s="93"/>
      <c r="HH6" s="93"/>
      <c r="HI6" s="93"/>
      <c r="HJ6" s="93"/>
      <c r="HK6" s="93"/>
      <c r="HL6" s="93"/>
      <c r="HM6" s="93"/>
      <c r="HN6" s="93"/>
      <c r="HO6" s="93"/>
      <c r="HP6" s="93"/>
      <c r="HQ6" s="93"/>
      <c r="HR6" s="93"/>
      <c r="HS6" s="93"/>
      <c r="HT6" s="93"/>
      <c r="HU6" s="93"/>
      <c r="HV6" s="93"/>
      <c r="HW6" s="93"/>
      <c r="HX6" s="93"/>
      <c r="HY6" s="93"/>
      <c r="HZ6" s="93"/>
      <c r="IA6" s="93"/>
      <c r="IB6" s="93"/>
      <c r="IC6" s="93"/>
      <c r="ID6" s="93"/>
      <c r="IE6" s="93"/>
      <c r="IF6" s="93"/>
      <c r="IG6" s="93"/>
      <c r="IH6" s="93"/>
      <c r="II6" s="93"/>
      <c r="IJ6" s="93"/>
      <c r="IK6" s="93"/>
      <c r="IL6" s="93"/>
      <c r="IM6" s="93"/>
      <c r="IN6" s="93"/>
      <c r="IO6" s="93"/>
      <c r="IP6" s="93"/>
      <c r="IQ6" s="93"/>
      <c r="IR6" s="93"/>
      <c r="IS6" s="93"/>
      <c r="IT6" s="93"/>
      <c r="IU6" s="93"/>
      <c r="IV6" s="93"/>
    </row>
    <row r="7" spans="1:256" s="94" customFormat="1" ht="14.25" customHeight="1" thickBot="1" x14ac:dyDescent="0.35">
      <c r="A7" s="722" t="s">
        <v>169</v>
      </c>
      <c r="B7" s="857">
        <v>42105</v>
      </c>
      <c r="C7" s="857"/>
      <c r="D7" s="857"/>
      <c r="E7" s="857"/>
      <c r="F7" s="858" t="s">
        <v>170</v>
      </c>
      <c r="G7" s="858"/>
      <c r="H7" s="859">
        <v>0.83333333333333337</v>
      </c>
      <c r="I7" s="859"/>
      <c r="J7" s="691" t="s">
        <v>509</v>
      </c>
      <c r="K7" s="860" t="s">
        <v>510</v>
      </c>
      <c r="L7" s="861"/>
      <c r="FX7" s="95"/>
      <c r="FY7" s="95"/>
      <c r="FZ7" s="95"/>
      <c r="GA7" s="95"/>
      <c r="GB7" s="95"/>
      <c r="GC7" s="95"/>
      <c r="GD7" s="95"/>
      <c r="GE7" s="95"/>
      <c r="GF7" s="95"/>
      <c r="GG7" s="95"/>
      <c r="GH7" s="95"/>
      <c r="GI7" s="95"/>
      <c r="GJ7" s="95"/>
      <c r="GK7" s="95"/>
      <c r="GL7" s="95"/>
      <c r="GM7" s="95"/>
      <c r="GN7" s="95"/>
      <c r="GO7" s="95"/>
      <c r="GP7" s="95"/>
      <c r="GQ7" s="95"/>
      <c r="GR7" s="95"/>
      <c r="GS7" s="95"/>
      <c r="GT7" s="95"/>
      <c r="GU7" s="95"/>
      <c r="GV7" s="95"/>
      <c r="GW7" s="95"/>
      <c r="GX7" s="95"/>
      <c r="GY7" s="95"/>
      <c r="GZ7" s="95"/>
      <c r="HA7" s="95"/>
      <c r="HB7" s="95"/>
      <c r="HC7" s="95"/>
      <c r="HD7" s="95"/>
      <c r="HE7" s="95"/>
      <c r="HF7" s="95"/>
      <c r="HG7" s="95"/>
      <c r="HH7" s="95"/>
      <c r="HI7" s="95"/>
      <c r="HJ7" s="95"/>
      <c r="HK7" s="95"/>
      <c r="HL7" s="95"/>
      <c r="HM7" s="95"/>
      <c r="HN7" s="95"/>
      <c r="HO7" s="95"/>
      <c r="HP7" s="95"/>
      <c r="HQ7" s="95"/>
      <c r="HR7" s="95"/>
      <c r="HS7" s="95"/>
      <c r="HT7" s="95"/>
      <c r="HU7" s="95"/>
      <c r="HV7" s="95"/>
      <c r="HW7" s="95"/>
      <c r="HX7" s="95"/>
      <c r="HY7" s="95"/>
      <c r="HZ7" s="95"/>
      <c r="IA7" s="95"/>
      <c r="IB7" s="95"/>
      <c r="IC7" s="95"/>
      <c r="ID7" s="95"/>
      <c r="IE7" s="95"/>
      <c r="IF7" s="95"/>
      <c r="IG7" s="95"/>
      <c r="IH7" s="95"/>
      <c r="II7" s="95"/>
      <c r="IJ7" s="95"/>
      <c r="IK7" s="95"/>
      <c r="IL7" s="95"/>
      <c r="IM7" s="95"/>
      <c r="IN7" s="95"/>
      <c r="IO7" s="95"/>
      <c r="IP7" s="95"/>
      <c r="IQ7" s="95"/>
      <c r="IR7" s="95"/>
      <c r="IS7" s="95"/>
      <c r="IT7" s="95"/>
      <c r="IU7" s="95"/>
      <c r="IV7" s="95"/>
    </row>
    <row r="8" spans="1:256" ht="14.4" thickBot="1" x14ac:dyDescent="0.35">
      <c r="A8" s="813" t="s">
        <v>519</v>
      </c>
      <c r="B8" s="814"/>
      <c r="C8" s="814"/>
      <c r="D8" s="814"/>
      <c r="E8" s="814"/>
      <c r="F8" s="815"/>
      <c r="G8" s="815"/>
      <c r="H8" s="815"/>
      <c r="I8" s="815"/>
      <c r="J8" s="815"/>
      <c r="K8" s="815"/>
      <c r="L8" s="816"/>
    </row>
    <row r="9" spans="1:256" ht="13.5" customHeight="1" x14ac:dyDescent="0.3">
      <c r="A9" s="817" t="s">
        <v>171</v>
      </c>
      <c r="B9" s="818"/>
      <c r="C9" s="818"/>
      <c r="D9" s="818"/>
      <c r="E9" s="819"/>
      <c r="F9" s="820" t="s">
        <v>172</v>
      </c>
      <c r="G9" s="821"/>
      <c r="H9" s="821"/>
      <c r="I9" s="821"/>
      <c r="J9" s="821"/>
      <c r="K9" s="821"/>
      <c r="L9" s="822"/>
    </row>
    <row r="10" spans="1:256" ht="17.100000000000001" customHeight="1" x14ac:dyDescent="0.3">
      <c r="A10" s="723" t="s">
        <v>173</v>
      </c>
      <c r="B10" s="823" t="s">
        <v>572</v>
      </c>
      <c r="C10" s="823"/>
      <c r="D10" s="823"/>
      <c r="E10" s="824"/>
      <c r="F10" s="825" t="s">
        <v>173</v>
      </c>
      <c r="G10" s="826"/>
      <c r="H10" s="823" t="s">
        <v>573</v>
      </c>
      <c r="I10" s="823"/>
      <c r="J10" s="823"/>
      <c r="K10" s="823"/>
      <c r="L10" s="827"/>
    </row>
    <row r="11" spans="1:256" ht="17.100000000000001" customHeight="1" x14ac:dyDescent="0.3">
      <c r="A11" s="692" t="s">
        <v>174</v>
      </c>
      <c r="B11" s="823" t="s">
        <v>574</v>
      </c>
      <c r="C11" s="823"/>
      <c r="D11" s="823"/>
      <c r="E11" s="824"/>
      <c r="F11" s="825" t="s">
        <v>174</v>
      </c>
      <c r="G11" s="826"/>
      <c r="H11" s="824" t="s">
        <v>575</v>
      </c>
      <c r="I11" s="828"/>
      <c r="J11" s="828"/>
      <c r="K11" s="828"/>
      <c r="L11" s="829"/>
    </row>
    <row r="12" spans="1:256" ht="17.100000000000001" customHeight="1" x14ac:dyDescent="0.3">
      <c r="A12" s="724" t="s">
        <v>508</v>
      </c>
      <c r="B12" s="824"/>
      <c r="C12" s="828"/>
      <c r="D12" s="828"/>
      <c r="E12" s="829"/>
      <c r="F12" s="836" t="s">
        <v>508</v>
      </c>
      <c r="G12" s="837"/>
      <c r="H12" s="824"/>
      <c r="I12" s="828"/>
      <c r="J12" s="828"/>
      <c r="K12" s="828"/>
      <c r="L12" s="829"/>
    </row>
    <row r="13" spans="1:256" ht="17.100000000000001" customHeight="1" x14ac:dyDescent="0.3">
      <c r="A13" s="725" t="s">
        <v>175</v>
      </c>
      <c r="B13" s="726" t="s">
        <v>526</v>
      </c>
      <c r="C13" s="830" t="s">
        <v>527</v>
      </c>
      <c r="D13" s="830"/>
      <c r="E13" s="831"/>
      <c r="F13" s="832" t="s">
        <v>175</v>
      </c>
      <c r="G13" s="833"/>
      <c r="H13" s="726" t="s">
        <v>526</v>
      </c>
      <c r="I13" s="834" t="s">
        <v>527</v>
      </c>
      <c r="J13" s="834"/>
      <c r="K13" s="834"/>
      <c r="L13" s="835"/>
    </row>
    <row r="14" spans="1:256" ht="17.100000000000001" customHeight="1" x14ac:dyDescent="0.3">
      <c r="A14" s="727">
        <v>1</v>
      </c>
      <c r="B14" s="728" t="s">
        <v>576</v>
      </c>
      <c r="C14" s="729" t="s">
        <v>577</v>
      </c>
      <c r="D14" s="99"/>
      <c r="E14" s="100"/>
      <c r="F14" s="838">
        <v>1</v>
      </c>
      <c r="G14" s="839"/>
      <c r="H14" s="267" t="s">
        <v>604</v>
      </c>
      <c r="I14" s="266" t="s">
        <v>605</v>
      </c>
      <c r="J14" s="96"/>
      <c r="K14" s="96"/>
      <c r="L14" s="97"/>
    </row>
    <row r="15" spans="1:256" ht="17.100000000000001" customHeight="1" x14ac:dyDescent="0.3">
      <c r="A15" s="727">
        <v>2</v>
      </c>
      <c r="B15" s="728" t="s">
        <v>582</v>
      </c>
      <c r="C15" s="729" t="s">
        <v>583</v>
      </c>
      <c r="D15" s="99"/>
      <c r="E15" s="100"/>
      <c r="F15" s="838">
        <v>2</v>
      </c>
      <c r="G15" s="839"/>
      <c r="H15" s="730" t="s">
        <v>606</v>
      </c>
      <c r="I15" s="266" t="s">
        <v>607</v>
      </c>
      <c r="J15" s="96"/>
      <c r="K15" s="96"/>
      <c r="L15" s="97"/>
    </row>
    <row r="16" spans="1:256" ht="17.100000000000001" customHeight="1" x14ac:dyDescent="0.3">
      <c r="A16" s="727">
        <v>3</v>
      </c>
      <c r="B16" s="728" t="s">
        <v>581</v>
      </c>
      <c r="C16" s="729" t="s">
        <v>578</v>
      </c>
      <c r="D16" s="99"/>
      <c r="E16" s="100"/>
      <c r="F16" s="840">
        <v>3</v>
      </c>
      <c r="G16" s="841"/>
      <c r="H16" s="267" t="s">
        <v>608</v>
      </c>
      <c r="I16" s="266" t="s">
        <v>609</v>
      </c>
      <c r="J16" s="96"/>
      <c r="K16" s="96"/>
      <c r="L16" s="97"/>
    </row>
    <row r="17" spans="1:17" ht="17.100000000000001" customHeight="1" x14ac:dyDescent="0.3">
      <c r="A17" s="727">
        <v>4</v>
      </c>
      <c r="B17" s="728" t="s">
        <v>580</v>
      </c>
      <c r="C17" s="729" t="s">
        <v>579</v>
      </c>
      <c r="D17" s="99"/>
      <c r="E17" s="100"/>
      <c r="F17" s="840">
        <v>4</v>
      </c>
      <c r="G17" s="841"/>
      <c r="H17" s="730" t="s">
        <v>610</v>
      </c>
      <c r="I17" s="266" t="s">
        <v>611</v>
      </c>
      <c r="J17" s="96"/>
      <c r="K17" s="96"/>
      <c r="L17" s="97"/>
    </row>
    <row r="18" spans="1:17" ht="17.100000000000001" customHeight="1" x14ac:dyDescent="0.3">
      <c r="A18" s="727">
        <v>5</v>
      </c>
      <c r="B18" s="728" t="s">
        <v>584</v>
      </c>
      <c r="C18" s="729" t="s">
        <v>585</v>
      </c>
      <c r="D18" s="99"/>
      <c r="E18" s="100"/>
      <c r="F18" s="840">
        <v>5</v>
      </c>
      <c r="G18" s="841"/>
      <c r="H18" s="267" t="s">
        <v>612</v>
      </c>
      <c r="I18" s="266" t="s">
        <v>613</v>
      </c>
      <c r="J18" s="96"/>
      <c r="K18" s="96"/>
      <c r="L18" s="97"/>
    </row>
    <row r="19" spans="1:17" ht="17.100000000000001" customHeight="1" x14ac:dyDescent="0.3">
      <c r="A19" s="727">
        <v>6</v>
      </c>
      <c r="B19" s="728" t="s">
        <v>596</v>
      </c>
      <c r="C19" s="729" t="s">
        <v>597</v>
      </c>
      <c r="D19" s="99"/>
      <c r="E19" s="100"/>
      <c r="F19" s="840">
        <v>6</v>
      </c>
      <c r="G19" s="841"/>
      <c r="H19" s="730" t="s">
        <v>614</v>
      </c>
      <c r="I19" s="266" t="s">
        <v>615</v>
      </c>
      <c r="J19" s="96"/>
      <c r="K19" s="96"/>
      <c r="L19" s="97"/>
      <c r="N19" s="98"/>
      <c r="O19" s="98"/>
      <c r="P19" s="98"/>
      <c r="Q19" s="98"/>
    </row>
    <row r="20" spans="1:17" ht="17.100000000000001" customHeight="1" x14ac:dyDescent="0.3">
      <c r="A20" s="727">
        <v>7</v>
      </c>
      <c r="B20" s="728" t="s">
        <v>586</v>
      </c>
      <c r="C20" s="729" t="s">
        <v>587</v>
      </c>
      <c r="D20" s="99"/>
      <c r="E20" s="100"/>
      <c r="F20" s="840">
        <v>7</v>
      </c>
      <c r="G20" s="841"/>
      <c r="H20" s="267" t="s">
        <v>650</v>
      </c>
      <c r="I20" s="266" t="s">
        <v>616</v>
      </c>
      <c r="J20" s="96"/>
      <c r="K20" s="96"/>
      <c r="L20" s="97"/>
    </row>
    <row r="21" spans="1:17" ht="17.100000000000001" customHeight="1" x14ac:dyDescent="0.3">
      <c r="A21" s="727">
        <v>8</v>
      </c>
      <c r="B21" s="728" t="s">
        <v>588</v>
      </c>
      <c r="C21" s="729" t="s">
        <v>589</v>
      </c>
      <c r="D21" s="99"/>
      <c r="E21" s="100"/>
      <c r="F21" s="840">
        <v>8</v>
      </c>
      <c r="G21" s="841"/>
      <c r="H21" s="730" t="s">
        <v>617</v>
      </c>
      <c r="I21" s="266" t="s">
        <v>618</v>
      </c>
      <c r="J21" s="96"/>
      <c r="K21" s="96"/>
      <c r="L21" s="97"/>
    </row>
    <row r="22" spans="1:17" ht="17.100000000000001" customHeight="1" x14ac:dyDescent="0.3">
      <c r="A22" s="727">
        <v>9</v>
      </c>
      <c r="B22" s="728" t="s">
        <v>592</v>
      </c>
      <c r="C22" s="729" t="s">
        <v>593</v>
      </c>
      <c r="D22" s="99"/>
      <c r="E22" s="100"/>
      <c r="F22" s="840">
        <v>9</v>
      </c>
      <c r="G22" s="841"/>
      <c r="H22" s="267" t="s">
        <v>619</v>
      </c>
      <c r="I22" s="266" t="s">
        <v>620</v>
      </c>
      <c r="J22" s="96"/>
      <c r="K22" s="96"/>
      <c r="L22" s="97"/>
    </row>
    <row r="23" spans="1:17" ht="17.100000000000001" customHeight="1" x14ac:dyDescent="0.3">
      <c r="A23" s="727">
        <v>10</v>
      </c>
      <c r="B23" s="728" t="s">
        <v>590</v>
      </c>
      <c r="C23" s="729" t="s">
        <v>591</v>
      </c>
      <c r="D23" s="99"/>
      <c r="E23" s="100"/>
      <c r="F23" s="840">
        <v>10</v>
      </c>
      <c r="G23" s="841"/>
      <c r="H23" s="730" t="s">
        <v>621</v>
      </c>
      <c r="I23" s="266" t="s">
        <v>622</v>
      </c>
      <c r="J23" s="96"/>
      <c r="K23" s="96"/>
      <c r="L23" s="97"/>
    </row>
    <row r="24" spans="1:17" ht="17.100000000000001" customHeight="1" x14ac:dyDescent="0.3">
      <c r="A24" s="727">
        <v>11</v>
      </c>
      <c r="B24" s="728" t="s">
        <v>594</v>
      </c>
      <c r="C24" s="729" t="s">
        <v>595</v>
      </c>
      <c r="D24" s="99"/>
      <c r="E24" s="100"/>
      <c r="F24" s="840">
        <v>11</v>
      </c>
      <c r="G24" s="841"/>
      <c r="H24" s="267" t="s">
        <v>623</v>
      </c>
      <c r="I24" s="266" t="s">
        <v>624</v>
      </c>
      <c r="J24" s="96"/>
      <c r="K24" s="96"/>
      <c r="L24" s="97"/>
    </row>
    <row r="25" spans="1:17" ht="17.100000000000001" customHeight="1" x14ac:dyDescent="0.3">
      <c r="A25" s="727">
        <v>12</v>
      </c>
      <c r="B25" s="728" t="s">
        <v>598</v>
      </c>
      <c r="C25" s="729" t="s">
        <v>599</v>
      </c>
      <c r="D25" s="99"/>
      <c r="E25" s="100"/>
      <c r="F25" s="840">
        <v>12</v>
      </c>
      <c r="G25" s="841"/>
      <c r="H25" s="730" t="s">
        <v>625</v>
      </c>
      <c r="I25" s="266" t="s">
        <v>626</v>
      </c>
      <c r="J25" s="96"/>
      <c r="K25" s="96"/>
      <c r="L25" s="97"/>
    </row>
    <row r="26" spans="1:17" ht="17.100000000000001" customHeight="1" x14ac:dyDescent="0.3">
      <c r="A26" s="727">
        <v>13</v>
      </c>
      <c r="B26" s="728" t="s">
        <v>600</v>
      </c>
      <c r="C26" s="729" t="s">
        <v>601</v>
      </c>
      <c r="D26" s="99"/>
      <c r="E26" s="100"/>
      <c r="F26" s="840">
        <v>13</v>
      </c>
      <c r="G26" s="841"/>
      <c r="H26" s="267" t="s">
        <v>627</v>
      </c>
      <c r="I26" s="266" t="s">
        <v>628</v>
      </c>
      <c r="J26" s="96"/>
      <c r="K26" s="96"/>
      <c r="L26" s="97"/>
    </row>
    <row r="27" spans="1:17" ht="17.100000000000001" customHeight="1" x14ac:dyDescent="0.3">
      <c r="A27" s="731">
        <v>14</v>
      </c>
      <c r="B27" s="732" t="s">
        <v>602</v>
      </c>
      <c r="C27" s="729" t="s">
        <v>603</v>
      </c>
      <c r="D27" s="99"/>
      <c r="E27" s="100"/>
      <c r="F27" s="874">
        <v>14</v>
      </c>
      <c r="G27" s="875"/>
      <c r="H27" s="730" t="s">
        <v>629</v>
      </c>
      <c r="I27" s="266" t="s">
        <v>630</v>
      </c>
      <c r="J27" s="96"/>
      <c r="K27" s="96"/>
      <c r="L27" s="97"/>
      <c r="N27" s="98"/>
      <c r="O27" s="98"/>
      <c r="P27" s="98"/>
      <c r="Q27" s="98"/>
    </row>
    <row r="28" spans="1:17" ht="17.100000000000001" customHeight="1" x14ac:dyDescent="0.3">
      <c r="A28" s="727">
        <v>15</v>
      </c>
      <c r="B28" s="264"/>
      <c r="C28" s="729"/>
      <c r="D28" s="99"/>
      <c r="E28" s="100"/>
      <c r="F28" s="840">
        <v>15</v>
      </c>
      <c r="G28" s="841"/>
      <c r="H28" s="267"/>
      <c r="I28" s="266"/>
      <c r="J28" s="96"/>
      <c r="K28" s="96"/>
      <c r="L28" s="97"/>
    </row>
    <row r="29" spans="1:17" ht="17.100000000000001" customHeight="1" x14ac:dyDescent="0.3">
      <c r="A29" s="727">
        <v>16</v>
      </c>
      <c r="B29" s="264"/>
      <c r="C29" s="729"/>
      <c r="D29" s="99"/>
      <c r="E29" s="100"/>
      <c r="F29" s="840">
        <v>16</v>
      </c>
      <c r="G29" s="841"/>
      <c r="H29" s="267"/>
      <c r="I29" s="266"/>
      <c r="J29" s="101"/>
      <c r="K29" s="101"/>
      <c r="L29" s="102"/>
    </row>
    <row r="30" spans="1:17" ht="17.100000000000001" customHeight="1" x14ac:dyDescent="0.3">
      <c r="A30" s="733">
        <v>17</v>
      </c>
      <c r="B30" s="265"/>
      <c r="C30" s="729"/>
      <c r="D30" s="103"/>
      <c r="E30" s="104"/>
      <c r="F30" s="905">
        <v>17</v>
      </c>
      <c r="G30" s="905"/>
      <c r="H30" s="265"/>
      <c r="I30" s="266"/>
      <c r="J30" s="103"/>
      <c r="K30" s="103"/>
      <c r="L30" s="734"/>
    </row>
    <row r="31" spans="1:17" ht="17.100000000000001" customHeight="1" x14ac:dyDescent="0.3">
      <c r="A31" s="727">
        <v>18</v>
      </c>
      <c r="B31" s="264"/>
      <c r="C31" s="729"/>
      <c r="D31" s="735"/>
      <c r="E31" s="736"/>
      <c r="F31" s="841">
        <v>18</v>
      </c>
      <c r="G31" s="841"/>
      <c r="H31" s="264"/>
      <c r="I31" s="266"/>
      <c r="J31" s="735"/>
      <c r="K31" s="735"/>
      <c r="L31" s="737"/>
    </row>
    <row r="32" spans="1:17" ht="17.100000000000001" customHeight="1" x14ac:dyDescent="0.3">
      <c r="A32" s="727">
        <v>19</v>
      </c>
      <c r="B32" s="264"/>
      <c r="C32" s="729"/>
      <c r="D32" s="105"/>
      <c r="E32" s="106"/>
      <c r="F32" s="841">
        <v>19</v>
      </c>
      <c r="G32" s="841"/>
      <c r="H32" s="264"/>
      <c r="I32" s="266"/>
      <c r="J32" s="105"/>
      <c r="K32" s="105"/>
      <c r="L32" s="738"/>
    </row>
    <row r="33" spans="1:256" ht="17.100000000000001" customHeight="1" thickBot="1" x14ac:dyDescent="0.35">
      <c r="A33" s="731">
        <v>20</v>
      </c>
      <c r="B33" s="732"/>
      <c r="C33" s="729"/>
      <c r="D33" s="739"/>
      <c r="E33" s="107"/>
      <c r="F33" s="875">
        <v>20</v>
      </c>
      <c r="G33" s="875"/>
      <c r="H33" s="732"/>
      <c r="I33" s="266"/>
      <c r="J33" s="739"/>
      <c r="K33" s="739"/>
      <c r="L33" s="740"/>
      <c r="N33" s="98"/>
      <c r="O33" s="98"/>
      <c r="P33" s="98"/>
      <c r="Q33" s="98"/>
    </row>
    <row r="34" spans="1:256" ht="14.4" thickBot="1" x14ac:dyDescent="0.35">
      <c r="A34" s="804" t="s">
        <v>498</v>
      </c>
      <c r="B34" s="805"/>
      <c r="C34" s="805"/>
      <c r="D34" s="805"/>
      <c r="E34" s="805"/>
      <c r="F34" s="805"/>
      <c r="G34" s="805"/>
      <c r="H34" s="805"/>
      <c r="I34" s="805"/>
      <c r="J34" s="805"/>
      <c r="K34" s="805"/>
      <c r="L34" s="806"/>
    </row>
    <row r="35" spans="1:256" ht="15" customHeight="1" x14ac:dyDescent="0.3">
      <c r="A35" s="880" t="s">
        <v>177</v>
      </c>
      <c r="B35" s="881"/>
      <c r="C35" s="881"/>
      <c r="D35" s="881"/>
      <c r="E35" s="881"/>
      <c r="F35" s="882"/>
      <c r="G35" s="880" t="s">
        <v>178</v>
      </c>
      <c r="H35" s="881"/>
      <c r="I35" s="881"/>
      <c r="J35" s="881"/>
      <c r="K35" s="881"/>
      <c r="L35" s="882"/>
    </row>
    <row r="36" spans="1:256" ht="15" customHeight="1" x14ac:dyDescent="0.3">
      <c r="A36" s="741" t="s">
        <v>179</v>
      </c>
      <c r="B36" s="742" t="s">
        <v>525</v>
      </c>
      <c r="C36" s="743">
        <f>IF(COUNT(Score!A4:A41)=0,"",Score!R42)</f>
        <v>126</v>
      </c>
      <c r="D36" s="744" t="s">
        <v>204</v>
      </c>
      <c r="E36" s="883">
        <f>IF(COUNT(Score!A4:A41)=0,"",Penalties!L44)</f>
        <v>12</v>
      </c>
      <c r="F36" s="884"/>
      <c r="G36" s="741" t="s">
        <v>179</v>
      </c>
      <c r="H36" s="742" t="s">
        <v>525</v>
      </c>
      <c r="I36" s="743">
        <f>IF(COUNT(Score!T4:T41)=0,"",Score!AK42)</f>
        <v>25</v>
      </c>
      <c r="J36" s="744" t="s">
        <v>204</v>
      </c>
      <c r="K36" s="883">
        <f>IF(COUNT(Score!T4:T41)=0,"",Penalties!AA44)</f>
        <v>8</v>
      </c>
      <c r="L36" s="884"/>
    </row>
    <row r="37" spans="1:256" ht="15" customHeight="1" x14ac:dyDescent="0.3">
      <c r="A37" s="741" t="s">
        <v>181</v>
      </c>
      <c r="B37" s="742" t="s">
        <v>525</v>
      </c>
      <c r="C37" s="743">
        <f>IF(COUNT(Score!A46:A83)=0,"",Score!R84-C36)</f>
        <v>137</v>
      </c>
      <c r="D37" s="744" t="s">
        <v>204</v>
      </c>
      <c r="E37" s="883">
        <f>IF(COUNT(Score!A46:A83)=0,"",Penalties!AN44)</f>
        <v>18</v>
      </c>
      <c r="F37" s="884"/>
      <c r="G37" s="741" t="s">
        <v>181</v>
      </c>
      <c r="H37" s="742" t="s">
        <v>525</v>
      </c>
      <c r="I37" s="743">
        <f>IF(COUNT(Score!T46:T83)=0,"",Score!AK84-I36)</f>
        <v>50</v>
      </c>
      <c r="J37" s="744" t="s">
        <v>204</v>
      </c>
      <c r="K37" s="883">
        <f>IF(COUNT(Score!T46:T83)=0,"",Penalties!BC44)</f>
        <v>13</v>
      </c>
      <c r="L37" s="884"/>
    </row>
    <row r="38" spans="1:256" ht="15" customHeight="1" thickBot="1" x14ac:dyDescent="0.35">
      <c r="A38" s="876" t="s">
        <v>183</v>
      </c>
      <c r="B38" s="877"/>
      <c r="C38" s="704">
        <f>IF(COUNT(Score!A4:A41)=0,"",SUM(C36:C37))</f>
        <v>263</v>
      </c>
      <c r="D38" s="702" t="s">
        <v>182</v>
      </c>
      <c r="E38" s="885">
        <f>IF(COUNT(Score!A4:A41)=0,"",SUM(E36:E37))</f>
        <v>30</v>
      </c>
      <c r="F38" s="886"/>
      <c r="G38" s="878" t="s">
        <v>183</v>
      </c>
      <c r="H38" s="879"/>
      <c r="I38" s="704">
        <f>IF(COUNT(Score!T4:T41)=0,"",SUM(I36:I37))</f>
        <v>75</v>
      </c>
      <c r="J38" s="702" t="s">
        <v>182</v>
      </c>
      <c r="K38" s="885">
        <f>IF(COUNT(Score!T4:T41)=0,"",SUM(K36:K37))</f>
        <v>21</v>
      </c>
      <c r="L38" s="886"/>
    </row>
    <row r="39" spans="1:256" ht="15" customHeight="1" thickBot="1" x14ac:dyDescent="0.35">
      <c r="A39" s="755" t="s">
        <v>532</v>
      </c>
      <c r="B39" s="748"/>
      <c r="C39" s="749"/>
      <c r="D39" s="756"/>
      <c r="E39" s="812" t="s">
        <v>551</v>
      </c>
      <c r="F39" s="810"/>
      <c r="G39" s="810"/>
      <c r="H39" s="809"/>
      <c r="I39" s="810"/>
      <c r="J39" s="810"/>
      <c r="K39" s="810"/>
      <c r="L39" s="811"/>
    </row>
    <row r="40" spans="1:256" s="98" customFormat="1" ht="17.100000000000001" customHeight="1" x14ac:dyDescent="0.3">
      <c r="A40" s="800" t="s">
        <v>518</v>
      </c>
      <c r="B40" s="801"/>
      <c r="C40" s="802" t="s">
        <v>522</v>
      </c>
      <c r="D40" s="803"/>
      <c r="E40" s="705"/>
      <c r="F40" s="705"/>
      <c r="G40" s="705"/>
      <c r="H40" s="705"/>
      <c r="I40" s="705"/>
      <c r="J40" s="705"/>
      <c r="K40" s="705"/>
      <c r="L40" s="706"/>
      <c r="N40" s="90"/>
      <c r="O40" s="90"/>
      <c r="P40" s="90"/>
      <c r="Q40" s="90"/>
      <c r="FX40" s="108"/>
      <c r="FY40" s="108"/>
      <c r="FZ40" s="108"/>
      <c r="GA40" s="108"/>
      <c r="GB40" s="108"/>
      <c r="GC40" s="108"/>
      <c r="GD40" s="108"/>
      <c r="GE40" s="108"/>
      <c r="GF40" s="108"/>
      <c r="GG40" s="108"/>
      <c r="GH40" s="108"/>
      <c r="GI40" s="108"/>
      <c r="GJ40" s="108"/>
      <c r="GK40" s="108"/>
      <c r="GL40" s="108"/>
      <c r="GM40" s="108"/>
      <c r="GN40" s="108"/>
      <c r="GO40" s="108"/>
      <c r="GP40" s="108"/>
      <c r="GQ40" s="108"/>
      <c r="GR40" s="108"/>
      <c r="GS40" s="108"/>
      <c r="GT40" s="108"/>
      <c r="GU40" s="108"/>
      <c r="GV40" s="108"/>
      <c r="GW40" s="108"/>
      <c r="GX40" s="108"/>
      <c r="GY40" s="108"/>
      <c r="GZ40" s="108"/>
      <c r="HA40" s="108"/>
      <c r="HB40" s="108"/>
      <c r="HC40" s="108"/>
      <c r="HD40" s="108"/>
      <c r="HE40" s="108"/>
      <c r="HF40" s="108"/>
      <c r="HG40" s="108"/>
      <c r="HH40" s="108"/>
      <c r="HI40" s="108"/>
      <c r="HJ40" s="108"/>
      <c r="HK40" s="108"/>
      <c r="HL40" s="108"/>
      <c r="HM40" s="108"/>
      <c r="HN40" s="108"/>
      <c r="HO40" s="108"/>
      <c r="HP40" s="108"/>
      <c r="HQ40" s="108"/>
      <c r="HR40" s="108"/>
      <c r="HS40" s="108"/>
      <c r="HT40" s="108"/>
      <c r="HU40" s="108"/>
      <c r="HV40" s="108"/>
      <c r="HW40" s="108"/>
      <c r="HX40" s="108"/>
      <c r="HY40" s="108"/>
      <c r="HZ40" s="108"/>
      <c r="IA40" s="108"/>
      <c r="IB40" s="108"/>
      <c r="IC40" s="108"/>
      <c r="ID40" s="108"/>
      <c r="IE40" s="108"/>
      <c r="IF40" s="108"/>
      <c r="IG40" s="108"/>
      <c r="IH40" s="108"/>
      <c r="II40" s="108"/>
      <c r="IJ40" s="108"/>
      <c r="IK40" s="108"/>
      <c r="IL40" s="108"/>
      <c r="IM40" s="108"/>
      <c r="IN40" s="108"/>
      <c r="IO40" s="108"/>
      <c r="IP40" s="108"/>
      <c r="IQ40" s="108"/>
      <c r="IR40" s="108"/>
      <c r="IS40" s="108"/>
      <c r="IT40" s="108"/>
      <c r="IU40" s="108"/>
      <c r="IV40" s="108"/>
    </row>
    <row r="41" spans="1:256" x14ac:dyDescent="0.3">
      <c r="A41" s="794" t="s">
        <v>550</v>
      </c>
      <c r="B41" s="795"/>
      <c r="C41" s="795"/>
      <c r="D41" s="795"/>
      <c r="E41" s="795"/>
      <c r="F41" s="795"/>
      <c r="G41" s="795"/>
      <c r="H41" s="795"/>
      <c r="I41" s="795"/>
      <c r="J41" s="746" t="s">
        <v>509</v>
      </c>
      <c r="K41" s="807" t="s">
        <v>510</v>
      </c>
      <c r="L41" s="808"/>
    </row>
    <row r="42" spans="1:256" ht="15" customHeight="1" x14ac:dyDescent="0.3">
      <c r="A42" s="796"/>
      <c r="B42" s="797"/>
      <c r="C42" s="797"/>
      <c r="D42" s="797"/>
      <c r="E42" s="797"/>
      <c r="F42" s="797"/>
      <c r="G42" s="797"/>
      <c r="H42" s="797"/>
      <c r="I42" s="797"/>
      <c r="J42" s="703"/>
      <c r="K42" s="703"/>
      <c r="L42" s="707"/>
    </row>
    <row r="43" spans="1:256" ht="15" customHeight="1" x14ac:dyDescent="0.3">
      <c r="A43" s="794" t="s">
        <v>550</v>
      </c>
      <c r="B43" s="795"/>
      <c r="C43" s="795"/>
      <c r="D43" s="795"/>
      <c r="E43" s="795"/>
      <c r="F43" s="795"/>
      <c r="G43" s="795"/>
      <c r="H43" s="795"/>
      <c r="I43" s="795"/>
      <c r="J43" s="746" t="s">
        <v>509</v>
      </c>
      <c r="K43" s="807" t="s">
        <v>510</v>
      </c>
      <c r="L43" s="808"/>
    </row>
    <row r="44" spans="1:256" ht="15" customHeight="1" x14ac:dyDescent="0.3">
      <c r="A44" s="796"/>
      <c r="B44" s="797"/>
      <c r="C44" s="797"/>
      <c r="D44" s="797"/>
      <c r="E44" s="797"/>
      <c r="F44" s="797"/>
      <c r="G44" s="797"/>
      <c r="H44" s="797"/>
      <c r="I44" s="797"/>
      <c r="J44" s="703"/>
      <c r="K44" s="703"/>
      <c r="L44" s="707"/>
    </row>
    <row r="45" spans="1:256" ht="15" customHeight="1" x14ac:dyDescent="0.3">
      <c r="A45" s="794" t="s">
        <v>550</v>
      </c>
      <c r="B45" s="795"/>
      <c r="C45" s="795"/>
      <c r="D45" s="795"/>
      <c r="E45" s="795"/>
      <c r="F45" s="795"/>
      <c r="G45" s="795"/>
      <c r="H45" s="795"/>
      <c r="I45" s="795"/>
      <c r="J45" s="746" t="s">
        <v>509</v>
      </c>
      <c r="K45" s="807" t="s">
        <v>510</v>
      </c>
      <c r="L45" s="808"/>
      <c r="FO45" s="91"/>
      <c r="FP45" s="91"/>
      <c r="FQ45" s="91"/>
      <c r="FR45" s="91"/>
      <c r="FS45" s="91"/>
      <c r="FT45" s="91"/>
      <c r="FU45" s="91"/>
      <c r="FV45" s="91"/>
      <c r="FW45" s="91"/>
    </row>
    <row r="46" spans="1:256" ht="15" customHeight="1" thickBot="1" x14ac:dyDescent="0.35">
      <c r="A46" s="798"/>
      <c r="B46" s="799"/>
      <c r="C46" s="799"/>
      <c r="D46" s="799"/>
      <c r="E46" s="799"/>
      <c r="F46" s="799"/>
      <c r="G46" s="799"/>
      <c r="H46" s="799"/>
      <c r="I46" s="799"/>
      <c r="J46" s="708"/>
      <c r="K46" s="708"/>
      <c r="L46" s="709"/>
      <c r="FO46" s="91"/>
      <c r="FP46" s="91"/>
      <c r="FQ46" s="91"/>
      <c r="FR46" s="91"/>
      <c r="FS46" s="91"/>
      <c r="FT46" s="91"/>
      <c r="FU46" s="91"/>
      <c r="FV46" s="91"/>
      <c r="FW46" s="91"/>
    </row>
    <row r="47" spans="1:256" s="98" customFormat="1" ht="12" customHeight="1" thickBot="1" x14ac:dyDescent="0.35">
      <c r="A47" s="898" t="s">
        <v>499</v>
      </c>
      <c r="B47" s="899"/>
      <c r="C47" s="899"/>
      <c r="D47" s="899"/>
      <c r="E47" s="899"/>
      <c r="F47" s="899"/>
      <c r="G47" s="899"/>
      <c r="H47" s="899"/>
      <c r="I47" s="899"/>
      <c r="J47" s="899"/>
      <c r="K47" s="899"/>
      <c r="L47" s="900"/>
      <c r="N47" s="90"/>
      <c r="O47" s="90"/>
      <c r="P47" s="90"/>
      <c r="Q47" s="90"/>
      <c r="FX47" s="108"/>
      <c r="FY47" s="108"/>
      <c r="FZ47" s="108"/>
      <c r="GA47" s="108"/>
      <c r="GB47" s="108"/>
      <c r="GC47" s="108"/>
      <c r="GD47" s="108"/>
      <c r="GE47" s="108"/>
      <c r="GF47" s="108"/>
      <c r="GG47" s="108"/>
      <c r="GH47" s="108"/>
      <c r="GI47" s="108"/>
      <c r="GJ47" s="108"/>
      <c r="GK47" s="108"/>
      <c r="GL47" s="108"/>
      <c r="GM47" s="108"/>
      <c r="GN47" s="108"/>
      <c r="GO47" s="108"/>
      <c r="GP47" s="108"/>
      <c r="GQ47" s="108"/>
      <c r="GR47" s="108"/>
      <c r="GS47" s="108"/>
      <c r="GT47" s="108"/>
      <c r="GU47" s="108"/>
      <c r="GV47" s="108"/>
      <c r="GW47" s="108"/>
      <c r="GX47" s="108"/>
      <c r="GY47" s="108"/>
      <c r="GZ47" s="108"/>
      <c r="HA47" s="108"/>
      <c r="HB47" s="108"/>
      <c r="HC47" s="108"/>
      <c r="HD47" s="108"/>
      <c r="HE47" s="108"/>
      <c r="HF47" s="108"/>
      <c r="HG47" s="108"/>
      <c r="HH47" s="108"/>
      <c r="HI47" s="108"/>
      <c r="HJ47" s="108"/>
      <c r="HK47" s="108"/>
      <c r="HL47" s="108"/>
      <c r="HM47" s="108"/>
      <c r="HN47" s="108"/>
      <c r="HO47" s="108"/>
      <c r="HP47" s="108"/>
      <c r="HQ47" s="108"/>
      <c r="HR47" s="108"/>
      <c r="HS47" s="108"/>
      <c r="HT47" s="108"/>
      <c r="HU47" s="108"/>
      <c r="HV47" s="108"/>
      <c r="HW47" s="108"/>
      <c r="HX47" s="108"/>
      <c r="HY47" s="108"/>
      <c r="HZ47" s="108"/>
      <c r="IA47" s="108"/>
      <c r="IB47" s="108"/>
      <c r="IC47" s="108"/>
      <c r="ID47" s="108"/>
      <c r="IE47" s="108"/>
      <c r="IF47" s="108"/>
      <c r="IG47" s="108"/>
      <c r="IH47" s="108"/>
      <c r="II47" s="108"/>
      <c r="IJ47" s="108"/>
      <c r="IK47" s="108"/>
      <c r="IL47" s="108"/>
      <c r="IM47" s="108"/>
      <c r="IN47" s="108"/>
      <c r="IO47" s="108"/>
      <c r="IP47" s="108"/>
      <c r="IQ47" s="108"/>
      <c r="IR47" s="108"/>
      <c r="IS47" s="108"/>
      <c r="IT47" s="108"/>
      <c r="IU47" s="108"/>
      <c r="IV47" s="108"/>
    </row>
    <row r="48" spans="1:256" ht="12" customHeight="1" x14ac:dyDescent="0.3">
      <c r="A48" s="901" t="s">
        <v>184</v>
      </c>
      <c r="B48" s="902"/>
      <c r="C48" s="902"/>
      <c r="D48" s="902"/>
      <c r="E48" s="902"/>
      <c r="F48" s="903" t="s">
        <v>185</v>
      </c>
      <c r="G48" s="903"/>
      <c r="H48" s="903"/>
      <c r="I48" s="903"/>
      <c r="J48" s="903"/>
      <c r="K48" s="903"/>
      <c r="L48" s="904"/>
    </row>
    <row r="49" spans="1:179" x14ac:dyDescent="0.3">
      <c r="A49" s="725" t="s">
        <v>186</v>
      </c>
      <c r="B49" s="823" t="s">
        <v>599</v>
      </c>
      <c r="C49" s="823"/>
      <c r="D49" s="823"/>
      <c r="E49" s="823"/>
      <c r="F49" s="894" t="s">
        <v>186</v>
      </c>
      <c r="G49" s="894"/>
      <c r="H49" s="823" t="s">
        <v>622</v>
      </c>
      <c r="I49" s="823"/>
      <c r="J49" s="823"/>
      <c r="K49" s="823"/>
      <c r="L49" s="827"/>
    </row>
    <row r="50" spans="1:179" x14ac:dyDescent="0.3">
      <c r="A50" s="725" t="s">
        <v>187</v>
      </c>
      <c r="B50" s="823" t="s">
        <v>651</v>
      </c>
      <c r="C50" s="823"/>
      <c r="D50" s="823"/>
      <c r="E50" s="823"/>
      <c r="F50" s="894" t="s">
        <v>187</v>
      </c>
      <c r="G50" s="894"/>
      <c r="H50" s="823" t="s">
        <v>654</v>
      </c>
      <c r="I50" s="823"/>
      <c r="J50" s="823"/>
      <c r="K50" s="823"/>
      <c r="L50" s="827"/>
    </row>
    <row r="51" spans="1:179" ht="18" customHeight="1" thickBot="1" x14ac:dyDescent="0.35">
      <c r="A51" s="745" t="s">
        <v>188</v>
      </c>
      <c r="B51" s="887"/>
      <c r="C51" s="887"/>
      <c r="D51" s="887"/>
      <c r="E51" s="887"/>
      <c r="F51" s="888" t="s">
        <v>188</v>
      </c>
      <c r="G51" s="888"/>
      <c r="H51" s="887"/>
      <c r="I51" s="887"/>
      <c r="J51" s="887"/>
      <c r="K51" s="887"/>
      <c r="L51" s="889"/>
    </row>
    <row r="52" spans="1:179" ht="12" customHeight="1" x14ac:dyDescent="0.3">
      <c r="A52" s="890" t="s">
        <v>189</v>
      </c>
      <c r="B52" s="891"/>
      <c r="C52" s="891"/>
      <c r="D52" s="891"/>
      <c r="E52" s="891"/>
      <c r="F52" s="892" t="s">
        <v>190</v>
      </c>
      <c r="G52" s="892"/>
      <c r="H52" s="892"/>
      <c r="I52" s="892"/>
      <c r="J52" s="892"/>
      <c r="K52" s="892"/>
      <c r="L52" s="893"/>
    </row>
    <row r="53" spans="1:179" x14ac:dyDescent="0.3">
      <c r="A53" s="725" t="s">
        <v>186</v>
      </c>
      <c r="B53" s="823" t="s">
        <v>633</v>
      </c>
      <c r="C53" s="823"/>
      <c r="D53" s="823"/>
      <c r="E53" s="823"/>
      <c r="F53" s="894" t="s">
        <v>186</v>
      </c>
      <c r="G53" s="894"/>
      <c r="H53" s="823" t="s">
        <v>631</v>
      </c>
      <c r="I53" s="823"/>
      <c r="J53" s="823"/>
      <c r="K53" s="823"/>
      <c r="L53" s="827"/>
    </row>
    <row r="54" spans="1:179" x14ac:dyDescent="0.3">
      <c r="A54" s="725" t="s">
        <v>187</v>
      </c>
      <c r="B54" s="823" t="s">
        <v>652</v>
      </c>
      <c r="C54" s="823"/>
      <c r="D54" s="823"/>
      <c r="E54" s="823"/>
      <c r="F54" s="894" t="s">
        <v>187</v>
      </c>
      <c r="G54" s="894"/>
      <c r="H54" s="823" t="s">
        <v>653</v>
      </c>
      <c r="I54" s="823"/>
      <c r="J54" s="823"/>
      <c r="K54" s="823"/>
      <c r="L54" s="827"/>
    </row>
    <row r="55" spans="1:179" ht="18" customHeight="1" thickBot="1" x14ac:dyDescent="0.35">
      <c r="A55" s="745" t="s">
        <v>188</v>
      </c>
      <c r="B55" s="887"/>
      <c r="C55" s="887"/>
      <c r="D55" s="887"/>
      <c r="E55" s="887"/>
      <c r="F55" s="888" t="s">
        <v>188</v>
      </c>
      <c r="G55" s="888"/>
      <c r="H55" s="887"/>
      <c r="I55" s="887"/>
      <c r="J55" s="887"/>
      <c r="K55" s="887"/>
      <c r="L55" s="889"/>
    </row>
    <row r="56" spans="1:179" ht="33.75" customHeight="1" x14ac:dyDescent="0.3">
      <c r="A56" s="911" t="s">
        <v>478</v>
      </c>
      <c r="B56" s="912"/>
      <c r="C56" s="912"/>
      <c r="D56" s="912"/>
      <c r="E56" s="912"/>
      <c r="F56" s="912"/>
      <c r="G56" s="912"/>
      <c r="H56" s="912"/>
      <c r="I56" s="912"/>
      <c r="J56" s="912"/>
      <c r="K56" s="912"/>
      <c r="L56" s="913"/>
    </row>
    <row r="57" spans="1:179" ht="15" customHeight="1" thickBot="1" x14ac:dyDescent="0.35">
      <c r="A57" s="906" t="s">
        <v>565</v>
      </c>
      <c r="B57" s="907"/>
      <c r="C57" s="907"/>
      <c r="D57" s="907"/>
      <c r="E57" s="907"/>
      <c r="F57" s="907"/>
      <c r="G57" s="907"/>
      <c r="H57" s="907"/>
      <c r="I57" s="907"/>
      <c r="J57" s="907"/>
      <c r="K57" s="907"/>
      <c r="L57" s="908"/>
      <c r="FT57" s="91"/>
      <c r="FU57" s="91"/>
      <c r="FV57" s="91"/>
      <c r="FW57" s="91"/>
    </row>
    <row r="58" spans="1:179" ht="18.600000000000001" customHeight="1" x14ac:dyDescent="0.3">
      <c r="A58" s="914" t="s">
        <v>533</v>
      </c>
      <c r="B58" s="914"/>
      <c r="C58" s="914"/>
      <c r="D58" s="914"/>
      <c r="E58" s="914"/>
      <c r="F58" s="914"/>
      <c r="G58" s="914"/>
      <c r="H58" s="914"/>
      <c r="I58" s="914"/>
      <c r="J58" s="914"/>
      <c r="K58" s="914"/>
      <c r="L58" s="914"/>
    </row>
    <row r="59" spans="1:179" x14ac:dyDescent="0.3">
      <c r="A59" s="915" t="s">
        <v>524</v>
      </c>
      <c r="B59" s="915"/>
      <c r="C59" s="915"/>
      <c r="D59" s="916" t="s">
        <v>500</v>
      </c>
      <c r="E59" s="916"/>
      <c r="F59" s="916"/>
      <c r="G59" s="916"/>
      <c r="H59" s="916" t="s">
        <v>521</v>
      </c>
      <c r="I59" s="916"/>
      <c r="J59" s="917" t="s">
        <v>520</v>
      </c>
      <c r="K59" s="917"/>
      <c r="L59" s="917"/>
    </row>
    <row r="60" spans="1:179" x14ac:dyDescent="0.3">
      <c r="A60" s="299" t="s">
        <v>631</v>
      </c>
      <c r="B60" s="300"/>
      <c r="C60" s="301"/>
      <c r="D60" s="305" t="s">
        <v>505</v>
      </c>
      <c r="E60" s="300"/>
      <c r="F60" s="300"/>
      <c r="G60" s="301"/>
      <c r="H60" s="305" t="s">
        <v>572</v>
      </c>
      <c r="I60" s="307"/>
      <c r="J60" s="305"/>
      <c r="K60" s="300"/>
      <c r="L60" s="308"/>
    </row>
    <row r="61" spans="1:179" x14ac:dyDescent="0.3">
      <c r="A61" s="693" t="s">
        <v>643</v>
      </c>
      <c r="B61" s="694"/>
      <c r="C61" s="695"/>
      <c r="D61" s="696" t="s">
        <v>239</v>
      </c>
      <c r="E61" s="694"/>
      <c r="F61" s="694"/>
      <c r="G61" s="695"/>
      <c r="H61" s="696" t="s">
        <v>572</v>
      </c>
      <c r="I61" s="697"/>
      <c r="J61" s="696"/>
      <c r="K61" s="694"/>
      <c r="L61" s="698"/>
    </row>
    <row r="62" spans="1:179" x14ac:dyDescent="0.3">
      <c r="A62" s="302" t="s">
        <v>632</v>
      </c>
      <c r="B62" s="303"/>
      <c r="C62" s="304"/>
      <c r="D62" s="712" t="s">
        <v>511</v>
      </c>
      <c r="E62" s="303"/>
      <c r="F62" s="300"/>
      <c r="G62" s="304"/>
      <c r="H62" s="305" t="s">
        <v>573</v>
      </c>
      <c r="I62" s="307"/>
      <c r="J62" s="305"/>
      <c r="K62" s="300"/>
      <c r="L62" s="308"/>
    </row>
    <row r="63" spans="1:179" x14ac:dyDescent="0.3">
      <c r="A63" s="699" t="s">
        <v>655</v>
      </c>
      <c r="B63" s="700"/>
      <c r="C63" s="701"/>
      <c r="D63" s="713" t="s">
        <v>512</v>
      </c>
      <c r="E63" s="700"/>
      <c r="F63" s="694"/>
      <c r="G63" s="701"/>
      <c r="H63" s="696" t="s">
        <v>572</v>
      </c>
      <c r="I63" s="697"/>
      <c r="J63" s="696"/>
      <c r="K63" s="694"/>
      <c r="L63" s="698"/>
    </row>
    <row r="64" spans="1:179" x14ac:dyDescent="0.3">
      <c r="A64" s="302" t="s">
        <v>634</v>
      </c>
      <c r="B64" s="303"/>
      <c r="C64" s="304"/>
      <c r="D64" s="306" t="s">
        <v>513</v>
      </c>
      <c r="E64" s="303"/>
      <c r="F64" s="300"/>
      <c r="G64" s="304"/>
      <c r="H64" s="305" t="s">
        <v>572</v>
      </c>
      <c r="I64" s="307"/>
      <c r="J64" s="305"/>
      <c r="K64" s="300"/>
      <c r="L64" s="308"/>
    </row>
    <row r="65" spans="1:12" x14ac:dyDescent="0.3">
      <c r="A65" s="693" t="s">
        <v>635</v>
      </c>
      <c r="B65" s="694"/>
      <c r="C65" s="695"/>
      <c r="D65" s="696" t="s">
        <v>238</v>
      </c>
      <c r="E65" s="694"/>
      <c r="F65" s="694"/>
      <c r="G65" s="695"/>
      <c r="H65" s="696" t="s">
        <v>572</v>
      </c>
      <c r="I65" s="697"/>
      <c r="J65" s="696"/>
      <c r="K65" s="694"/>
      <c r="L65" s="698"/>
    </row>
    <row r="66" spans="1:12" x14ac:dyDescent="0.3">
      <c r="A66" s="299" t="s">
        <v>636</v>
      </c>
      <c r="B66" s="300"/>
      <c r="C66" s="301"/>
      <c r="D66" s="305" t="s">
        <v>238</v>
      </c>
      <c r="E66" s="300"/>
      <c r="F66" s="300"/>
      <c r="G66" s="301"/>
      <c r="H66" s="305" t="s">
        <v>637</v>
      </c>
      <c r="I66" s="307"/>
      <c r="J66" s="305"/>
      <c r="K66" s="300"/>
      <c r="L66" s="308"/>
    </row>
    <row r="67" spans="1:12" x14ac:dyDescent="0.3">
      <c r="A67" s="693" t="s">
        <v>638</v>
      </c>
      <c r="B67" s="694"/>
      <c r="C67" s="695"/>
      <c r="D67" s="696" t="s">
        <v>514</v>
      </c>
      <c r="E67" s="694"/>
      <c r="F67" s="694"/>
      <c r="G67" s="695"/>
      <c r="H67" s="696" t="s">
        <v>572</v>
      </c>
      <c r="I67" s="697"/>
      <c r="J67" s="696"/>
      <c r="K67" s="694"/>
      <c r="L67" s="698"/>
    </row>
    <row r="68" spans="1:12" x14ac:dyDescent="0.3">
      <c r="A68" s="299" t="s">
        <v>631</v>
      </c>
      <c r="B68" s="300"/>
      <c r="C68" s="301"/>
      <c r="D68" s="711" t="s">
        <v>515</v>
      </c>
      <c r="E68" s="300"/>
      <c r="F68" s="300"/>
      <c r="G68" s="301"/>
      <c r="H68" s="305" t="s">
        <v>572</v>
      </c>
      <c r="I68" s="307"/>
      <c r="J68" s="305"/>
      <c r="K68" s="300"/>
      <c r="L68" s="308"/>
    </row>
    <row r="69" spans="1:12" x14ac:dyDescent="0.3">
      <c r="A69" s="693" t="s">
        <v>639</v>
      </c>
      <c r="B69" s="694"/>
      <c r="C69" s="695"/>
      <c r="D69" s="696" t="s">
        <v>242</v>
      </c>
      <c r="E69" s="694"/>
      <c r="F69" s="694"/>
      <c r="G69" s="695"/>
      <c r="H69" s="696" t="s">
        <v>637</v>
      </c>
      <c r="I69" s="697"/>
      <c r="J69" s="696"/>
      <c r="K69" s="694"/>
      <c r="L69" s="698"/>
    </row>
    <row r="70" spans="1:12" x14ac:dyDescent="0.3">
      <c r="A70" s="299" t="s">
        <v>656</v>
      </c>
      <c r="B70" s="300"/>
      <c r="C70" s="301"/>
      <c r="D70" s="305" t="s">
        <v>242</v>
      </c>
      <c r="E70" s="300"/>
      <c r="F70" s="300"/>
      <c r="G70" s="301"/>
      <c r="H70" s="305" t="s">
        <v>573</v>
      </c>
      <c r="I70" s="307"/>
      <c r="J70" s="305"/>
      <c r="K70" s="300"/>
      <c r="L70" s="308"/>
    </row>
    <row r="71" spans="1:12" x14ac:dyDescent="0.3">
      <c r="A71" s="693" t="s">
        <v>641</v>
      </c>
      <c r="B71" s="694"/>
      <c r="C71" s="695"/>
      <c r="D71" s="710" t="s">
        <v>516</v>
      </c>
      <c r="E71" s="694"/>
      <c r="F71" s="694"/>
      <c r="G71" s="695"/>
      <c r="H71" s="696" t="s">
        <v>572</v>
      </c>
      <c r="I71" s="697"/>
      <c r="J71" s="696"/>
      <c r="K71" s="694"/>
      <c r="L71" s="698"/>
    </row>
    <row r="72" spans="1:12" x14ac:dyDescent="0.3">
      <c r="A72" s="299" t="s">
        <v>642</v>
      </c>
      <c r="B72" s="300"/>
      <c r="C72" s="301"/>
      <c r="D72" s="711" t="s">
        <v>516</v>
      </c>
      <c r="E72" s="300"/>
      <c r="F72" s="300"/>
      <c r="G72" s="301"/>
      <c r="H72" s="305" t="s">
        <v>572</v>
      </c>
      <c r="I72" s="307"/>
      <c r="J72" s="305"/>
      <c r="K72" s="300"/>
      <c r="L72" s="308"/>
    </row>
    <row r="73" spans="1:12" x14ac:dyDescent="0.3">
      <c r="A73" s="693"/>
      <c r="B73" s="694"/>
      <c r="C73" s="695"/>
      <c r="D73" s="710" t="s">
        <v>517</v>
      </c>
      <c r="E73" s="694"/>
      <c r="F73" s="694"/>
      <c r="G73" s="695"/>
      <c r="H73" s="696" t="s">
        <v>572</v>
      </c>
      <c r="I73" s="697"/>
      <c r="J73" s="696"/>
      <c r="K73" s="694"/>
      <c r="L73" s="698"/>
    </row>
    <row r="74" spans="1:12" x14ac:dyDescent="0.3">
      <c r="A74" s="299"/>
      <c r="B74" s="300"/>
      <c r="C74" s="301"/>
      <c r="D74" s="711" t="s">
        <v>243</v>
      </c>
      <c r="E74" s="300"/>
      <c r="F74" s="300"/>
      <c r="G74" s="301"/>
      <c r="H74" s="305"/>
      <c r="I74" s="307"/>
      <c r="J74" s="305"/>
      <c r="K74" s="300"/>
      <c r="L74" s="308"/>
    </row>
    <row r="75" spans="1:12" x14ac:dyDescent="0.3">
      <c r="A75" s="693"/>
      <c r="B75" s="694"/>
      <c r="C75" s="695"/>
      <c r="D75" s="696"/>
      <c r="E75" s="694"/>
      <c r="F75" s="694"/>
      <c r="G75" s="695"/>
      <c r="H75" s="696"/>
      <c r="I75" s="697"/>
      <c r="J75" s="696"/>
      <c r="K75" s="694"/>
      <c r="L75" s="698"/>
    </row>
    <row r="76" spans="1:12" x14ac:dyDescent="0.3">
      <c r="A76" s="299"/>
      <c r="B76" s="300"/>
      <c r="C76" s="301"/>
      <c r="D76" s="305"/>
      <c r="E76" s="300"/>
      <c r="F76" s="300"/>
      <c r="G76" s="301"/>
      <c r="H76" s="305"/>
      <c r="I76" s="307"/>
      <c r="J76" s="305"/>
      <c r="K76" s="300"/>
      <c r="L76" s="308"/>
    </row>
    <row r="77" spans="1:12" x14ac:dyDescent="0.3">
      <c r="A77" s="693"/>
      <c r="B77" s="694"/>
      <c r="C77" s="695"/>
      <c r="D77" s="696"/>
      <c r="E77" s="694"/>
      <c r="F77" s="694"/>
      <c r="G77" s="695"/>
      <c r="H77" s="696"/>
      <c r="I77" s="697"/>
      <c r="J77" s="696"/>
      <c r="K77" s="694"/>
      <c r="L77" s="698"/>
    </row>
    <row r="78" spans="1:12" x14ac:dyDescent="0.3">
      <c r="A78" s="299"/>
      <c r="B78" s="300"/>
      <c r="C78" s="301"/>
      <c r="D78" s="305"/>
      <c r="E78" s="300"/>
      <c r="F78" s="300"/>
      <c r="G78" s="301"/>
      <c r="H78" s="305"/>
      <c r="I78" s="307"/>
      <c r="J78" s="305"/>
      <c r="K78" s="300"/>
      <c r="L78" s="308"/>
    </row>
    <row r="79" spans="1:12" x14ac:dyDescent="0.3">
      <c r="A79" s="693"/>
      <c r="B79" s="694"/>
      <c r="C79" s="695"/>
      <c r="D79" s="696"/>
      <c r="E79" s="694"/>
      <c r="F79" s="694"/>
      <c r="G79" s="695"/>
      <c r="H79" s="696"/>
      <c r="I79" s="697"/>
      <c r="J79" s="696"/>
      <c r="K79" s="694"/>
      <c r="L79" s="698"/>
    </row>
    <row r="80" spans="1:12" x14ac:dyDescent="0.3">
      <c r="A80" s="299" t="s">
        <v>633</v>
      </c>
      <c r="B80" s="300"/>
      <c r="C80" s="301"/>
      <c r="D80" s="305" t="s">
        <v>189</v>
      </c>
      <c r="E80" s="300"/>
      <c r="F80" s="300"/>
      <c r="G80" s="301"/>
      <c r="H80" s="305" t="s">
        <v>573</v>
      </c>
      <c r="I80" s="307"/>
      <c r="J80" s="305"/>
      <c r="K80" s="300"/>
      <c r="L80" s="308"/>
    </row>
    <row r="81" spans="1:12" x14ac:dyDescent="0.3">
      <c r="A81" s="693" t="s">
        <v>644</v>
      </c>
      <c r="B81" s="694"/>
      <c r="C81" s="695"/>
      <c r="D81" s="710" t="s">
        <v>501</v>
      </c>
      <c r="E81" s="694"/>
      <c r="F81" s="694"/>
      <c r="G81" s="695"/>
      <c r="H81" s="696" t="s">
        <v>572</v>
      </c>
      <c r="I81" s="697"/>
      <c r="J81" s="696"/>
      <c r="K81" s="694"/>
      <c r="L81" s="698"/>
    </row>
    <row r="82" spans="1:12" x14ac:dyDescent="0.3">
      <c r="A82" s="299" t="s">
        <v>645</v>
      </c>
      <c r="B82" s="300"/>
      <c r="C82" s="301"/>
      <c r="D82" s="305" t="s">
        <v>502</v>
      </c>
      <c r="E82" s="300"/>
      <c r="F82" s="300"/>
      <c r="G82" s="301"/>
      <c r="H82" s="305" t="s">
        <v>646</v>
      </c>
      <c r="I82" s="307"/>
      <c r="J82" s="305"/>
      <c r="K82" s="300"/>
      <c r="L82" s="308"/>
    </row>
    <row r="83" spans="1:12" x14ac:dyDescent="0.3">
      <c r="A83" s="693" t="s">
        <v>647</v>
      </c>
      <c r="B83" s="694"/>
      <c r="C83" s="695"/>
      <c r="D83" s="696" t="s">
        <v>502</v>
      </c>
      <c r="E83" s="694"/>
      <c r="F83" s="694"/>
      <c r="G83" s="695"/>
      <c r="H83" s="696" t="s">
        <v>573</v>
      </c>
      <c r="I83" s="697"/>
      <c r="J83" s="696"/>
      <c r="K83" s="694"/>
      <c r="L83" s="698"/>
    </row>
    <row r="84" spans="1:12" x14ac:dyDescent="0.3">
      <c r="A84" s="299" t="s">
        <v>648</v>
      </c>
      <c r="B84" s="300"/>
      <c r="C84" s="301"/>
      <c r="D84" s="711" t="s">
        <v>503</v>
      </c>
      <c r="E84" s="300"/>
      <c r="F84" s="300"/>
      <c r="G84" s="301"/>
      <c r="H84" s="305" t="s">
        <v>572</v>
      </c>
      <c r="I84" s="307"/>
      <c r="J84" s="305"/>
      <c r="K84" s="300"/>
      <c r="L84" s="308"/>
    </row>
    <row r="85" spans="1:12" x14ac:dyDescent="0.3">
      <c r="A85" s="693" t="s">
        <v>657</v>
      </c>
      <c r="B85" s="694"/>
      <c r="C85" s="695"/>
      <c r="D85" s="710" t="s">
        <v>503</v>
      </c>
      <c r="E85" s="694"/>
      <c r="F85" s="694"/>
      <c r="G85" s="695"/>
      <c r="H85" s="696" t="s">
        <v>573</v>
      </c>
      <c r="I85" s="697"/>
      <c r="J85" s="696"/>
      <c r="K85" s="694"/>
      <c r="L85" s="698"/>
    </row>
    <row r="86" spans="1:12" x14ac:dyDescent="0.3">
      <c r="A86" s="299" t="s">
        <v>649</v>
      </c>
      <c r="B86" s="300"/>
      <c r="C86" s="301"/>
      <c r="D86" s="711" t="s">
        <v>503</v>
      </c>
      <c r="E86" s="300"/>
      <c r="F86" s="300"/>
      <c r="G86" s="301"/>
      <c r="H86" s="305" t="s">
        <v>572</v>
      </c>
      <c r="I86" s="307"/>
      <c r="J86" s="305"/>
      <c r="K86" s="300"/>
      <c r="L86" s="308"/>
    </row>
    <row r="87" spans="1:12" ht="14.4" thickBot="1" x14ac:dyDescent="0.35">
      <c r="A87" s="714" t="s">
        <v>640</v>
      </c>
      <c r="B87" s="715"/>
      <c r="C87" s="716"/>
      <c r="D87" s="717" t="s">
        <v>504</v>
      </c>
      <c r="E87" s="715"/>
      <c r="F87" s="715"/>
      <c r="G87" s="716"/>
      <c r="H87" s="719" t="s">
        <v>572</v>
      </c>
      <c r="I87" s="718"/>
      <c r="J87" s="719"/>
      <c r="K87" s="715"/>
      <c r="L87" s="720"/>
    </row>
    <row r="88" spans="1:12" ht="14.4" thickBot="1" x14ac:dyDescent="0.35">
      <c r="A88" s="918" t="s">
        <v>523</v>
      </c>
      <c r="B88" s="919"/>
      <c r="C88" s="919"/>
      <c r="D88" s="919"/>
      <c r="E88" s="919"/>
      <c r="F88" s="919"/>
      <c r="G88" s="919"/>
      <c r="H88" s="919"/>
      <c r="I88" s="919"/>
      <c r="J88" s="919"/>
      <c r="K88" s="919"/>
      <c r="L88" s="920"/>
    </row>
    <row r="89" spans="1:12" ht="39" customHeight="1" x14ac:dyDescent="0.3">
      <c r="A89" s="910" t="s">
        <v>478</v>
      </c>
      <c r="B89" s="910"/>
      <c r="C89" s="910"/>
      <c r="D89" s="910"/>
      <c r="E89" s="910"/>
      <c r="F89" s="910"/>
      <c r="G89" s="910"/>
      <c r="H89" s="910"/>
      <c r="I89" s="910"/>
      <c r="J89" s="910"/>
      <c r="K89" s="910"/>
      <c r="L89" s="910"/>
    </row>
    <row r="90" spans="1:12" ht="15" customHeight="1" x14ac:dyDescent="0.3">
      <c r="A90" s="909" t="str">
        <f>A57</f>
        <v>IGRF Rev. 150103 © 2015 Women's Flat Track Derby Association (WFTDA)</v>
      </c>
      <c r="B90" s="909"/>
      <c r="C90" s="909"/>
      <c r="D90" s="909"/>
      <c r="E90" s="909"/>
      <c r="F90" s="909"/>
      <c r="G90" s="909"/>
      <c r="H90" s="909"/>
      <c r="I90" s="909"/>
      <c r="J90" s="909"/>
      <c r="K90" s="909"/>
      <c r="L90" s="909"/>
    </row>
    <row r="91" spans="1:12" x14ac:dyDescent="0.3">
      <c r="A91" s="90"/>
      <c r="B91" s="90"/>
      <c r="C91" s="90"/>
      <c r="D91" s="90"/>
      <c r="E91" s="90"/>
      <c r="F91" s="90"/>
      <c r="G91" s="90"/>
      <c r="H91" s="90"/>
      <c r="I91" s="90"/>
      <c r="J91" s="90"/>
      <c r="K91" s="90"/>
      <c r="L91" s="90"/>
    </row>
    <row r="92" spans="1:12" x14ac:dyDescent="0.3">
      <c r="A92" s="90"/>
      <c r="B92" s="90"/>
      <c r="C92" s="90"/>
      <c r="D92" s="90"/>
      <c r="E92" s="90"/>
      <c r="F92" s="90"/>
      <c r="G92" s="90"/>
      <c r="H92" s="90"/>
      <c r="I92" s="90"/>
      <c r="J92" s="90"/>
      <c r="K92" s="90"/>
      <c r="L92" s="90"/>
    </row>
    <row r="93" spans="1:12" x14ac:dyDescent="0.3">
      <c r="A93" s="90"/>
      <c r="B93" s="90"/>
      <c r="C93" s="90"/>
      <c r="D93" s="90"/>
      <c r="E93" s="90"/>
      <c r="F93" s="90"/>
      <c r="G93" s="90"/>
      <c r="H93" s="90"/>
      <c r="I93" s="90"/>
      <c r="J93" s="90"/>
      <c r="K93" s="90"/>
      <c r="L93" s="90"/>
    </row>
    <row r="94" spans="1:12" x14ac:dyDescent="0.3">
      <c r="A94" s="90"/>
      <c r="B94" s="90"/>
      <c r="C94" s="90"/>
      <c r="D94" s="90"/>
      <c r="E94" s="90"/>
      <c r="F94" s="90"/>
      <c r="G94" s="90"/>
      <c r="H94" s="90"/>
      <c r="I94" s="90"/>
      <c r="J94" s="90"/>
      <c r="K94" s="90"/>
      <c r="L94" s="90"/>
    </row>
    <row r="95" spans="1:12" x14ac:dyDescent="0.3">
      <c r="A95" s="90"/>
      <c r="B95" s="90"/>
      <c r="C95" s="90"/>
      <c r="D95" s="90"/>
      <c r="E95" s="90"/>
      <c r="F95" s="90"/>
      <c r="G95" s="90"/>
      <c r="H95" s="90"/>
      <c r="I95" s="90"/>
      <c r="J95" s="90"/>
      <c r="K95" s="90"/>
      <c r="L95" s="90"/>
    </row>
    <row r="96" spans="1:12" x14ac:dyDescent="0.3">
      <c r="A96" s="90"/>
      <c r="B96" s="90"/>
      <c r="C96" s="90"/>
      <c r="D96" s="90"/>
      <c r="E96" s="90"/>
      <c r="F96" s="90"/>
      <c r="G96" s="90"/>
      <c r="H96" s="90"/>
      <c r="I96" s="90"/>
      <c r="J96" s="90"/>
      <c r="K96" s="90"/>
      <c r="L96" s="90"/>
    </row>
    <row r="97" spans="1:12" x14ac:dyDescent="0.3">
      <c r="A97" s="90"/>
      <c r="B97" s="90"/>
      <c r="C97" s="90"/>
      <c r="D97" s="90"/>
      <c r="E97" s="90"/>
      <c r="F97" s="90"/>
      <c r="G97" s="90"/>
      <c r="H97" s="90"/>
      <c r="I97" s="90"/>
      <c r="J97" s="90"/>
      <c r="K97" s="90"/>
      <c r="L97" s="90"/>
    </row>
    <row r="98" spans="1:12" x14ac:dyDescent="0.3">
      <c r="A98" s="90"/>
      <c r="B98" s="90"/>
      <c r="C98" s="90"/>
      <c r="D98" s="90"/>
      <c r="E98" s="90"/>
      <c r="F98" s="90"/>
      <c r="G98" s="90"/>
      <c r="H98" s="90"/>
      <c r="I98" s="90"/>
      <c r="J98" s="90"/>
      <c r="K98" s="90"/>
      <c r="L98" s="90"/>
    </row>
    <row r="99" spans="1:12" x14ac:dyDescent="0.3">
      <c r="A99" s="90"/>
      <c r="B99" s="90"/>
      <c r="C99" s="90"/>
      <c r="D99" s="90"/>
      <c r="E99" s="90"/>
      <c r="F99" s="90"/>
      <c r="G99" s="90"/>
      <c r="H99" s="90"/>
      <c r="I99" s="90"/>
      <c r="J99" s="90"/>
      <c r="K99" s="90"/>
      <c r="L99" s="90"/>
    </row>
    <row r="100" spans="1:12" x14ac:dyDescent="0.3">
      <c r="A100" s="90"/>
      <c r="B100" s="90"/>
      <c r="C100" s="90"/>
      <c r="D100" s="90"/>
      <c r="E100" s="90"/>
      <c r="F100" s="90"/>
      <c r="G100" s="90"/>
      <c r="H100" s="90"/>
      <c r="I100" s="90"/>
      <c r="J100" s="90"/>
      <c r="K100" s="90"/>
      <c r="L100" s="90"/>
    </row>
    <row r="101" spans="1:12" x14ac:dyDescent="0.3">
      <c r="A101" s="90"/>
      <c r="B101" s="90"/>
      <c r="C101" s="90"/>
      <c r="D101" s="90"/>
      <c r="E101" s="90"/>
      <c r="F101" s="90"/>
      <c r="G101" s="90"/>
      <c r="H101" s="90"/>
      <c r="I101" s="90"/>
      <c r="J101" s="90"/>
      <c r="K101" s="90"/>
      <c r="L101" s="90"/>
    </row>
    <row r="102" spans="1:12" x14ac:dyDescent="0.3">
      <c r="A102" s="90"/>
      <c r="B102" s="90"/>
      <c r="C102" s="90"/>
      <c r="D102" s="90"/>
      <c r="E102" s="90"/>
      <c r="F102" s="90"/>
      <c r="G102" s="90"/>
      <c r="H102" s="90"/>
      <c r="I102" s="90"/>
      <c r="J102" s="90"/>
      <c r="K102" s="90"/>
      <c r="L102" s="90"/>
    </row>
    <row r="103" spans="1:12" x14ac:dyDescent="0.3">
      <c r="A103" s="90"/>
      <c r="B103" s="90"/>
      <c r="C103" s="90"/>
      <c r="D103" s="90"/>
      <c r="E103" s="90"/>
      <c r="F103" s="90"/>
      <c r="G103" s="90"/>
      <c r="H103" s="90"/>
      <c r="I103" s="90"/>
      <c r="J103" s="90"/>
      <c r="K103" s="90"/>
      <c r="L103" s="90"/>
    </row>
    <row r="104" spans="1:12" x14ac:dyDescent="0.3">
      <c r="A104" s="90"/>
      <c r="B104" s="90"/>
      <c r="C104" s="90"/>
      <c r="D104" s="90"/>
      <c r="E104" s="90"/>
      <c r="F104" s="90"/>
      <c r="G104" s="90"/>
      <c r="H104" s="90"/>
      <c r="I104" s="90"/>
      <c r="J104" s="90"/>
      <c r="K104" s="90"/>
      <c r="L104" s="90"/>
    </row>
    <row r="105" spans="1:12" x14ac:dyDescent="0.3">
      <c r="A105" s="90"/>
      <c r="B105" s="90"/>
      <c r="C105" s="90"/>
      <c r="D105" s="90"/>
      <c r="E105" s="90"/>
      <c r="F105" s="90"/>
      <c r="G105" s="90"/>
      <c r="H105" s="90"/>
      <c r="I105" s="90"/>
      <c r="J105" s="90"/>
      <c r="K105" s="90"/>
      <c r="L105" s="90"/>
    </row>
    <row r="106" spans="1:12" x14ac:dyDescent="0.3">
      <c r="A106" s="90"/>
      <c r="B106" s="90"/>
      <c r="C106" s="90"/>
      <c r="D106" s="90"/>
      <c r="E106" s="90"/>
      <c r="F106" s="90"/>
      <c r="G106" s="90"/>
      <c r="H106" s="90"/>
      <c r="I106" s="90"/>
      <c r="J106" s="90"/>
      <c r="K106" s="90"/>
      <c r="L106" s="90"/>
    </row>
    <row r="107" spans="1:12" x14ac:dyDescent="0.3">
      <c r="A107" s="90"/>
      <c r="B107" s="90"/>
      <c r="C107" s="90"/>
      <c r="D107" s="90"/>
      <c r="E107" s="90"/>
      <c r="F107" s="90"/>
      <c r="G107" s="90"/>
      <c r="H107" s="90"/>
      <c r="I107" s="90"/>
      <c r="J107" s="90"/>
      <c r="K107" s="90"/>
      <c r="L107" s="90"/>
    </row>
    <row r="108" spans="1:12" x14ac:dyDescent="0.3">
      <c r="A108" s="90"/>
      <c r="B108" s="90"/>
      <c r="C108" s="90"/>
      <c r="D108" s="90"/>
      <c r="E108" s="90"/>
      <c r="F108" s="90"/>
      <c r="G108" s="90"/>
      <c r="H108" s="90"/>
      <c r="I108" s="90"/>
      <c r="J108" s="90"/>
      <c r="K108" s="90"/>
      <c r="L108" s="90"/>
    </row>
    <row r="109" spans="1:12" x14ac:dyDescent="0.3">
      <c r="A109" s="90"/>
      <c r="B109" s="90"/>
      <c r="C109" s="90"/>
      <c r="D109" s="90"/>
      <c r="E109" s="90"/>
      <c r="F109" s="90"/>
      <c r="G109" s="90"/>
      <c r="H109" s="90"/>
      <c r="I109" s="90"/>
      <c r="J109" s="90"/>
      <c r="K109" s="90"/>
      <c r="L109" s="90"/>
    </row>
    <row r="110" spans="1:12" x14ac:dyDescent="0.3">
      <c r="A110" s="90"/>
      <c r="B110" s="90"/>
      <c r="C110" s="90"/>
      <c r="D110" s="90"/>
      <c r="E110" s="90"/>
      <c r="F110" s="90"/>
      <c r="G110" s="90"/>
      <c r="H110" s="90"/>
      <c r="I110" s="90"/>
      <c r="J110" s="90"/>
      <c r="K110" s="90"/>
      <c r="L110" s="90"/>
    </row>
    <row r="111" spans="1:12" x14ac:dyDescent="0.3">
      <c r="A111" s="90"/>
      <c r="B111" s="90"/>
      <c r="C111" s="90"/>
      <c r="D111" s="90"/>
      <c r="E111" s="90"/>
      <c r="F111" s="90"/>
      <c r="G111" s="90"/>
      <c r="H111" s="90"/>
      <c r="I111" s="90"/>
      <c r="J111" s="90"/>
      <c r="K111" s="90"/>
      <c r="L111" s="90"/>
    </row>
    <row r="112" spans="1:12" x14ac:dyDescent="0.3">
      <c r="A112" s="90"/>
      <c r="B112" s="90"/>
      <c r="C112" s="90"/>
      <c r="D112" s="90"/>
      <c r="E112" s="90"/>
      <c r="F112" s="90"/>
      <c r="G112" s="90"/>
      <c r="H112" s="90"/>
      <c r="I112" s="90"/>
      <c r="J112" s="90"/>
      <c r="K112" s="90"/>
      <c r="L112" s="90"/>
    </row>
    <row r="113" spans="1:12" x14ac:dyDescent="0.3">
      <c r="A113" s="90"/>
      <c r="B113" s="90"/>
      <c r="C113" s="90"/>
      <c r="D113" s="90"/>
      <c r="E113" s="90"/>
      <c r="F113" s="90"/>
      <c r="G113" s="90"/>
      <c r="H113" s="90"/>
      <c r="I113" s="90"/>
      <c r="J113" s="90"/>
      <c r="K113" s="90"/>
      <c r="L113" s="90"/>
    </row>
    <row r="114" spans="1:12" x14ac:dyDescent="0.3">
      <c r="A114" s="90"/>
      <c r="B114" s="90"/>
      <c r="C114" s="90"/>
      <c r="D114" s="90"/>
      <c r="E114" s="90"/>
      <c r="F114" s="90"/>
      <c r="G114" s="90"/>
      <c r="H114" s="90"/>
      <c r="I114" s="90"/>
      <c r="J114" s="90"/>
      <c r="K114" s="90"/>
      <c r="L114" s="90"/>
    </row>
    <row r="115" spans="1:12" x14ac:dyDescent="0.3">
      <c r="A115" s="90"/>
      <c r="B115" s="90"/>
      <c r="C115" s="90"/>
      <c r="D115" s="90"/>
      <c r="E115" s="90"/>
      <c r="F115" s="90"/>
      <c r="G115" s="90"/>
      <c r="H115" s="90"/>
      <c r="I115" s="90"/>
      <c r="J115" s="90"/>
      <c r="K115" s="90"/>
      <c r="L115" s="90"/>
    </row>
    <row r="116" spans="1:12" x14ac:dyDescent="0.3">
      <c r="A116" s="90"/>
      <c r="B116" s="90"/>
      <c r="C116" s="90"/>
      <c r="D116" s="90"/>
      <c r="E116" s="90"/>
      <c r="F116" s="90"/>
      <c r="G116" s="90"/>
      <c r="H116" s="90"/>
      <c r="I116" s="90"/>
      <c r="J116" s="90"/>
      <c r="K116" s="90"/>
      <c r="L116" s="90"/>
    </row>
  </sheetData>
  <mergeCells count="107">
    <mergeCell ref="B54:E54"/>
    <mergeCell ref="F54:G54"/>
    <mergeCell ref="H54:L54"/>
    <mergeCell ref="B55:E55"/>
    <mergeCell ref="F55:G55"/>
    <mergeCell ref="H55:L55"/>
    <mergeCell ref="A57:L57"/>
    <mergeCell ref="A90:L90"/>
    <mergeCell ref="A89:L89"/>
    <mergeCell ref="A56:L56"/>
    <mergeCell ref="A58:L58"/>
    <mergeCell ref="A59:C59"/>
    <mergeCell ref="D59:G59"/>
    <mergeCell ref="H59:I59"/>
    <mergeCell ref="J59:L59"/>
    <mergeCell ref="A88:L88"/>
    <mergeCell ref="B51:E51"/>
    <mergeCell ref="F51:G51"/>
    <mergeCell ref="H51:L51"/>
    <mergeCell ref="A52:E52"/>
    <mergeCell ref="F52:L52"/>
    <mergeCell ref="B53:E53"/>
    <mergeCell ref="F53:G53"/>
    <mergeCell ref="H53:L53"/>
    <mergeCell ref="A1:L1"/>
    <mergeCell ref="A47:L47"/>
    <mergeCell ref="A48:E48"/>
    <mergeCell ref="F48:L48"/>
    <mergeCell ref="B49:E49"/>
    <mergeCell ref="F49:G49"/>
    <mergeCell ref="H49:L49"/>
    <mergeCell ref="B50:E50"/>
    <mergeCell ref="F50:G50"/>
    <mergeCell ref="H50:L50"/>
    <mergeCell ref="F28:G28"/>
    <mergeCell ref="F29:G29"/>
    <mergeCell ref="F30:G30"/>
    <mergeCell ref="F31:G31"/>
    <mergeCell ref="F32:G32"/>
    <mergeCell ref="F33:G33"/>
    <mergeCell ref="F22:G22"/>
    <mergeCell ref="F23:G23"/>
    <mergeCell ref="F24:G24"/>
    <mergeCell ref="F25:G25"/>
    <mergeCell ref="F26:G26"/>
    <mergeCell ref="F27:G27"/>
    <mergeCell ref="A38:B38"/>
    <mergeCell ref="G38:H38"/>
    <mergeCell ref="A35:F35"/>
    <mergeCell ref="G35:L35"/>
    <mergeCell ref="E36:F36"/>
    <mergeCell ref="E37:F37"/>
    <mergeCell ref="K36:L36"/>
    <mergeCell ref="K37:L37"/>
    <mergeCell ref="E38:F38"/>
    <mergeCell ref="K38:L38"/>
    <mergeCell ref="A2:L2"/>
    <mergeCell ref="A3:A4"/>
    <mergeCell ref="B3:G3"/>
    <mergeCell ref="H3:I3"/>
    <mergeCell ref="K3:L3"/>
    <mergeCell ref="B4:G4"/>
    <mergeCell ref="H4:I4"/>
    <mergeCell ref="K4:L4"/>
    <mergeCell ref="B7:E7"/>
    <mergeCell ref="F7:G7"/>
    <mergeCell ref="H7:I7"/>
    <mergeCell ref="K7:L7"/>
    <mergeCell ref="B5:G5"/>
    <mergeCell ref="H5:L5"/>
    <mergeCell ref="H6:L6"/>
    <mergeCell ref="B6:G6"/>
    <mergeCell ref="A5:A6"/>
    <mergeCell ref="A8:L8"/>
    <mergeCell ref="A9:E9"/>
    <mergeCell ref="F9:L9"/>
    <mergeCell ref="B10:E10"/>
    <mergeCell ref="F10:G10"/>
    <mergeCell ref="H10:L10"/>
    <mergeCell ref="A41:I42"/>
    <mergeCell ref="B11:E11"/>
    <mergeCell ref="F11:G11"/>
    <mergeCell ref="H11:L11"/>
    <mergeCell ref="C13:E13"/>
    <mergeCell ref="F13:G13"/>
    <mergeCell ref="I13:L13"/>
    <mergeCell ref="B12:E12"/>
    <mergeCell ref="F12:G12"/>
    <mergeCell ref="H12:L12"/>
    <mergeCell ref="F14:G14"/>
    <mergeCell ref="F15:G15"/>
    <mergeCell ref="F16:G16"/>
    <mergeCell ref="F17:G17"/>
    <mergeCell ref="F18:G18"/>
    <mergeCell ref="F19:G19"/>
    <mergeCell ref="F20:G20"/>
    <mergeCell ref="F21:G21"/>
    <mergeCell ref="A43:I44"/>
    <mergeCell ref="A45:I46"/>
    <mergeCell ref="A40:B40"/>
    <mergeCell ref="C40:D40"/>
    <mergeCell ref="A34:L34"/>
    <mergeCell ref="K41:L41"/>
    <mergeCell ref="K43:L43"/>
    <mergeCell ref="K45:L45"/>
    <mergeCell ref="H39:L39"/>
    <mergeCell ref="E39:G39"/>
  </mergeCells>
  <phoneticPr fontId="8" type="noConversion"/>
  <printOptions horizontalCentered="1"/>
  <pageMargins left="0.711666666666667" right="0.67666666666666697" top="0.75" bottom="0.5" header="0.4" footer="0.4"/>
  <pageSetup scale="79" firstPageNumber="0" orientation="portrait" r:id="rId1"/>
  <headerFooter alignWithMargins="0">
    <oddHeader>&amp;L&amp;G</oddHeader>
    <oddFooter>&amp;R&amp;"Calibri,Regular"&amp;K000000Form Printed: &amp;D</oddFooter>
  </headerFooter>
  <rowBreaks count="1" manualBreakCount="1">
    <brk id="57" max="16383" man="1"/>
  </rowBreaks>
  <legacyDrawing r:id="rId2"/>
  <legacyDrawingHF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theme="5"/>
  </sheetPr>
  <dimension ref="A1:AL84"/>
  <sheetViews>
    <sheetView topLeftCell="A41" zoomScaleNormal="100" zoomScaleSheetLayoutView="75" workbookViewId="0">
      <selection activeCell="R1" sqref="R1:T1048576"/>
    </sheetView>
  </sheetViews>
  <sheetFormatPr defaultColWidth="8.88671875" defaultRowHeight="12" customHeight="1" x14ac:dyDescent="0.3"/>
  <cols>
    <col min="1" max="1" width="7.6640625" style="3" customWidth="1"/>
    <col min="2" max="2" width="15.6640625" style="3" customWidth="1"/>
    <col min="3" max="7" width="3.6640625" style="3" customWidth="1"/>
    <col min="8" max="12" width="13.6640625" style="3" customWidth="1"/>
    <col min="13" max="18" width="12.6640625" style="3" customWidth="1"/>
    <col min="19" max="19" width="9.109375" style="3" customWidth="1"/>
    <col min="20" max="20" width="7.6640625" style="3" customWidth="1"/>
    <col min="21" max="21" width="15.6640625" style="3" customWidth="1"/>
    <col min="22" max="26" width="3.6640625" style="3" customWidth="1"/>
    <col min="27" max="31" width="13.6640625" style="3" customWidth="1"/>
    <col min="32" max="37" width="12.6640625" style="3" customWidth="1"/>
    <col min="38" max="38" width="9.109375" style="3" hidden="1" customWidth="1"/>
    <col min="39" max="208" width="11.44140625" style="3" customWidth="1"/>
    <col min="209" max="16384" width="8.88671875" style="3"/>
  </cols>
  <sheetData>
    <row r="1" spans="1:38" s="2" customFormat="1" ht="30" customHeight="1" x14ac:dyDescent="0.45">
      <c r="A1" s="923" t="str">
        <f>IF(IGRF!B11="","Home Team",IF(IGRF!B10=IGRF!H10,IGRF!B11,IF(IGRF!B10=IGRF!B11,IGRF!B10,IF(OR(IGRF!K3="A",IGRF!K3="B"),IGRF!B10&amp;" "&amp;IGRF!K3,IGRF!B10&amp;" / "&amp;IGRF!B11))))</f>
        <v>Tri-City Roller Derby / Plan B</v>
      </c>
      <c r="B1" s="923"/>
      <c r="C1" s="923"/>
      <c r="D1" s="923"/>
      <c r="E1" s="923"/>
      <c r="F1" s="923"/>
      <c r="G1" s="923"/>
      <c r="H1" s="923"/>
      <c r="I1" s="927" t="s">
        <v>659</v>
      </c>
      <c r="J1" s="927"/>
      <c r="K1" s="238">
        <f>IF(ISBLANK(IGRF!$B$7), "", IGRF!$B$7)</f>
        <v>42105</v>
      </c>
      <c r="L1" s="921" t="s">
        <v>635</v>
      </c>
      <c r="M1" s="921"/>
      <c r="N1" s="921"/>
      <c r="O1" s="922" t="s">
        <v>647</v>
      </c>
      <c r="P1" s="922"/>
      <c r="Q1" s="922"/>
      <c r="R1" s="1">
        <v>1</v>
      </c>
      <c r="T1" s="923" t="str">
        <f>IF(IGRF!$H$11="","Away Team",IF(IGRF!$B$10=IGRF!$H$10,IGRF!$H$11,IF(IGRF!$H$10=IGRF!$H$11,IGRF!$H$11,IF(OR(IGRF!$K$3="A",IGRF!$K$3="B"),IGRF!$H$10&amp;" "&amp;IGRF!$K$3,IGRF!$H$10&amp;" / "&amp;IGRF!$H$11))))</f>
        <v>Hammer City Roller Girls / Harlots</v>
      </c>
      <c r="U1" s="923"/>
      <c r="V1" s="923"/>
      <c r="W1" s="923"/>
      <c r="X1" s="923"/>
      <c r="Y1" s="923"/>
      <c r="Z1" s="923"/>
      <c r="AA1" s="923"/>
      <c r="AB1" s="927" t="s">
        <v>661</v>
      </c>
      <c r="AC1" s="927"/>
      <c r="AD1" s="238">
        <f>IF(ISBLANK(IGRF!$B$7), "", IGRF!$B$7)</f>
        <v>42105</v>
      </c>
      <c r="AE1" s="921" t="s">
        <v>660</v>
      </c>
      <c r="AF1" s="921"/>
      <c r="AG1" s="921"/>
      <c r="AH1" s="922" t="s">
        <v>645</v>
      </c>
      <c r="AI1" s="922"/>
      <c r="AJ1" s="922"/>
      <c r="AK1" s="1">
        <v>1</v>
      </c>
    </row>
    <row r="2" spans="1:38" s="2" customFormat="1" ht="15" customHeight="1" thickBot="1" x14ac:dyDescent="0.35">
      <c r="A2" s="924"/>
      <c r="B2" s="924"/>
      <c r="C2" s="924"/>
      <c r="D2" s="924"/>
      <c r="E2" s="924"/>
      <c r="F2" s="924"/>
      <c r="G2" s="924"/>
      <c r="H2" s="924"/>
      <c r="I2" s="928" t="s">
        <v>245</v>
      </c>
      <c r="J2" s="928"/>
      <c r="K2" s="11" t="s">
        <v>248</v>
      </c>
      <c r="L2" s="925" t="s">
        <v>238</v>
      </c>
      <c r="M2" s="925"/>
      <c r="N2" s="925"/>
      <c r="O2" s="926" t="s">
        <v>247</v>
      </c>
      <c r="P2" s="926"/>
      <c r="Q2" s="926"/>
      <c r="R2" s="4" t="str">
        <f>IF(ISBLANK(IGRF!$K$3), "", "GAME " &amp; IGRF!$K$3)</f>
        <v>GAME 2</v>
      </c>
      <c r="T2" s="924"/>
      <c r="U2" s="924"/>
      <c r="V2" s="924"/>
      <c r="W2" s="924"/>
      <c r="X2" s="924"/>
      <c r="Y2" s="924"/>
      <c r="Z2" s="924"/>
      <c r="AA2" s="924"/>
      <c r="AB2" s="928" t="s">
        <v>245</v>
      </c>
      <c r="AC2" s="928"/>
      <c r="AD2" s="11" t="s">
        <v>248</v>
      </c>
      <c r="AE2" s="925" t="s">
        <v>238</v>
      </c>
      <c r="AF2" s="925"/>
      <c r="AG2" s="925"/>
      <c r="AH2" s="926" t="s">
        <v>247</v>
      </c>
      <c r="AI2" s="926"/>
      <c r="AJ2" s="926"/>
      <c r="AK2" s="4" t="str">
        <f>IF(ISBLANK(IGRF!$K$3), "", "GAME " &amp; IGRF!$K$3)</f>
        <v>GAME 2</v>
      </c>
    </row>
    <row r="3" spans="1:38" ht="35.25" customHeight="1" thickBot="1" x14ac:dyDescent="0.35">
      <c r="A3" s="287" t="s">
        <v>191</v>
      </c>
      <c r="B3" s="288" t="s">
        <v>192</v>
      </c>
      <c r="C3" s="289" t="s">
        <v>193</v>
      </c>
      <c r="D3" s="290" t="s">
        <v>194</v>
      </c>
      <c r="E3" s="290" t="s">
        <v>195</v>
      </c>
      <c r="F3" s="290" t="s">
        <v>196</v>
      </c>
      <c r="G3" s="291" t="s">
        <v>197</v>
      </c>
      <c r="H3" s="292" t="s">
        <v>198</v>
      </c>
      <c r="I3" s="293" t="s">
        <v>199</v>
      </c>
      <c r="J3" s="293" t="s">
        <v>200</v>
      </c>
      <c r="K3" s="293" t="s">
        <v>126</v>
      </c>
      <c r="L3" s="293" t="s">
        <v>127</v>
      </c>
      <c r="M3" s="293" t="s">
        <v>128</v>
      </c>
      <c r="N3" s="293" t="s">
        <v>129</v>
      </c>
      <c r="O3" s="293" t="s">
        <v>0</v>
      </c>
      <c r="P3" s="293" t="s">
        <v>1</v>
      </c>
      <c r="Q3" s="294" t="s">
        <v>130</v>
      </c>
      <c r="R3" s="295" t="s">
        <v>131</v>
      </c>
      <c r="S3" s="5" t="s">
        <v>132</v>
      </c>
      <c r="T3" s="287" t="s">
        <v>191</v>
      </c>
      <c r="U3" s="288" t="s">
        <v>192</v>
      </c>
      <c r="V3" s="289" t="s">
        <v>193</v>
      </c>
      <c r="W3" s="290" t="s">
        <v>194</v>
      </c>
      <c r="X3" s="290" t="s">
        <v>195</v>
      </c>
      <c r="Y3" s="290" t="s">
        <v>196</v>
      </c>
      <c r="Z3" s="291" t="s">
        <v>197</v>
      </c>
      <c r="AA3" s="292" t="s">
        <v>198</v>
      </c>
      <c r="AB3" s="293" t="s">
        <v>199</v>
      </c>
      <c r="AC3" s="293" t="s">
        <v>200</v>
      </c>
      <c r="AD3" s="293" t="s">
        <v>126</v>
      </c>
      <c r="AE3" s="293" t="s">
        <v>127</v>
      </c>
      <c r="AF3" s="293" t="s">
        <v>128</v>
      </c>
      <c r="AG3" s="293" t="s">
        <v>129</v>
      </c>
      <c r="AH3" s="293" t="s">
        <v>0</v>
      </c>
      <c r="AI3" s="293" t="s">
        <v>1</v>
      </c>
      <c r="AJ3" s="294" t="s">
        <v>130</v>
      </c>
      <c r="AK3" s="295" t="s">
        <v>131</v>
      </c>
      <c r="AL3" s="5" t="s">
        <v>132</v>
      </c>
    </row>
    <row r="4" spans="1:38" ht="33.9" customHeight="1" x14ac:dyDescent="0.45">
      <c r="A4" s="406">
        <v>1</v>
      </c>
      <c r="B4" s="407" t="s">
        <v>588</v>
      </c>
      <c r="C4" s="406" t="s">
        <v>140</v>
      </c>
      <c r="D4" s="408" t="s">
        <v>140</v>
      </c>
      <c r="E4" s="408"/>
      <c r="F4" s="408"/>
      <c r="G4" s="409"/>
      <c r="H4" s="410">
        <v>5</v>
      </c>
      <c r="I4" s="411">
        <v>4</v>
      </c>
      <c r="J4" s="411">
        <v>4</v>
      </c>
      <c r="K4" s="411">
        <v>0</v>
      </c>
      <c r="L4" s="411"/>
      <c r="M4" s="411"/>
      <c r="N4" s="411"/>
      <c r="O4" s="411"/>
      <c r="P4" s="412"/>
      <c r="Q4" s="413">
        <f t="shared" ref="Q4:Q41" si="0">IF(ISBLANK(A4),"",IF(ISBLANK(G4),SUM(H4:P4),0))</f>
        <v>13</v>
      </c>
      <c r="R4" s="414">
        <f>IF(Q4="","",Q4+'OS Offset'!B4)</f>
        <v>13</v>
      </c>
      <c r="S4" s="415">
        <f t="shared" ref="S4:S41" si="1">IF(G4="X",0,COUNT(H4:P4))</f>
        <v>4</v>
      </c>
      <c r="T4" s="406">
        <v>1</v>
      </c>
      <c r="U4" s="416" t="s">
        <v>606</v>
      </c>
      <c r="V4" s="406"/>
      <c r="W4" s="408"/>
      <c r="X4" s="408"/>
      <c r="Y4" s="408"/>
      <c r="Z4" s="409"/>
      <c r="AA4" s="410">
        <v>4</v>
      </c>
      <c r="AB4" s="411">
        <v>0</v>
      </c>
      <c r="AC4" s="411"/>
      <c r="AD4" s="411"/>
      <c r="AE4" s="411"/>
      <c r="AF4" s="411"/>
      <c r="AG4" s="411"/>
      <c r="AH4" s="411"/>
      <c r="AI4" s="412"/>
      <c r="AJ4" s="413">
        <f t="shared" ref="AJ4:AJ41" si="2">IF(ISBLANK(T4),"",IF(ISBLANK(Z4),SUM(AA4:AI4),0))</f>
        <v>4</v>
      </c>
      <c r="AK4" s="414">
        <f>IF(AJ4="","",AJ4+'OS Offset'!I4)</f>
        <v>4</v>
      </c>
      <c r="AL4" s="415">
        <f t="shared" ref="AL4:AL41" si="3">IF(Z4="X",0,COUNT(AA4:AI4))</f>
        <v>2</v>
      </c>
    </row>
    <row r="5" spans="1:38" ht="33.9" customHeight="1" x14ac:dyDescent="0.45">
      <c r="A5" s="351">
        <v>2</v>
      </c>
      <c r="B5" s="352" t="s">
        <v>580</v>
      </c>
      <c r="C5" s="351"/>
      <c r="D5" s="353" t="s">
        <v>140</v>
      </c>
      <c r="E5" s="353" t="s">
        <v>140</v>
      </c>
      <c r="F5" s="353"/>
      <c r="G5" s="342"/>
      <c r="H5" s="343">
        <v>5</v>
      </c>
      <c r="I5" s="344">
        <v>5</v>
      </c>
      <c r="J5" s="344">
        <v>5</v>
      </c>
      <c r="K5" s="344">
        <v>5</v>
      </c>
      <c r="L5" s="344"/>
      <c r="M5" s="344"/>
      <c r="N5" s="344"/>
      <c r="O5" s="344"/>
      <c r="P5" s="314"/>
      <c r="Q5" s="315">
        <f t="shared" si="0"/>
        <v>20</v>
      </c>
      <c r="R5" s="356">
        <f>IF(Q5="","",Q5+R4+'OS Offset'!B5)</f>
        <v>33</v>
      </c>
      <c r="S5" s="317">
        <f t="shared" si="1"/>
        <v>4</v>
      </c>
      <c r="T5" s="320">
        <v>2</v>
      </c>
      <c r="U5" s="319" t="s">
        <v>623</v>
      </c>
      <c r="V5" s="320"/>
      <c r="W5" s="321"/>
      <c r="X5" s="321"/>
      <c r="Y5" s="321"/>
      <c r="Z5" s="322" t="s">
        <v>140</v>
      </c>
      <c r="AA5" s="323"/>
      <c r="AB5" s="313"/>
      <c r="AC5" s="313"/>
      <c r="AD5" s="313"/>
      <c r="AE5" s="313"/>
      <c r="AF5" s="313"/>
      <c r="AG5" s="313"/>
      <c r="AH5" s="313"/>
      <c r="AI5" s="314"/>
      <c r="AJ5" s="315">
        <f t="shared" si="2"/>
        <v>0</v>
      </c>
      <c r="AK5" s="316">
        <f>IF(AJ5="","",AJ5+AK4+'OS Offset'!I5)</f>
        <v>4</v>
      </c>
      <c r="AL5" s="317">
        <f t="shared" si="3"/>
        <v>0</v>
      </c>
    </row>
    <row r="6" spans="1:38" ht="33.9" customHeight="1" x14ac:dyDescent="0.45">
      <c r="A6" s="343">
        <v>3</v>
      </c>
      <c r="B6" s="358" t="s">
        <v>582</v>
      </c>
      <c r="C6" s="343"/>
      <c r="D6" s="344" t="s">
        <v>140</v>
      </c>
      <c r="E6" s="344" t="s">
        <v>140</v>
      </c>
      <c r="F6" s="344"/>
      <c r="G6" s="357"/>
      <c r="H6" s="345">
        <v>1</v>
      </c>
      <c r="I6" s="346"/>
      <c r="J6" s="346"/>
      <c r="K6" s="346"/>
      <c r="L6" s="346"/>
      <c r="M6" s="346"/>
      <c r="N6" s="346"/>
      <c r="O6" s="346"/>
      <c r="P6" s="325"/>
      <c r="Q6" s="347">
        <f t="shared" si="0"/>
        <v>1</v>
      </c>
      <c r="R6" s="356">
        <f>IF(Q6="","",Q6+R5+'OS Offset'!B6)</f>
        <v>34</v>
      </c>
      <c r="S6" s="317">
        <f t="shared" si="1"/>
        <v>1</v>
      </c>
      <c r="T6" s="343">
        <v>3</v>
      </c>
      <c r="U6" s="348" t="s">
        <v>629</v>
      </c>
      <c r="V6" s="339"/>
      <c r="W6" s="337"/>
      <c r="X6" s="337"/>
      <c r="Y6" s="337"/>
      <c r="Z6" s="349"/>
      <c r="AA6" s="341">
        <v>0</v>
      </c>
      <c r="AB6" s="336"/>
      <c r="AC6" s="336"/>
      <c r="AD6" s="336"/>
      <c r="AE6" s="336"/>
      <c r="AF6" s="336"/>
      <c r="AG6" s="336"/>
      <c r="AH6" s="336"/>
      <c r="AI6" s="340"/>
      <c r="AJ6" s="333">
        <f t="shared" si="2"/>
        <v>0</v>
      </c>
      <c r="AK6" s="316">
        <f>IF(AJ6="","",AJ6+AK5+'OS Offset'!I6)</f>
        <v>4</v>
      </c>
      <c r="AL6" s="317">
        <f t="shared" si="3"/>
        <v>1</v>
      </c>
    </row>
    <row r="7" spans="1:38" ht="33.9" customHeight="1" x14ac:dyDescent="0.45">
      <c r="A7" s="351">
        <v>4</v>
      </c>
      <c r="B7" s="352" t="s">
        <v>600</v>
      </c>
      <c r="C7" s="351"/>
      <c r="D7" s="353" t="s">
        <v>140</v>
      </c>
      <c r="E7" s="353" t="s">
        <v>140</v>
      </c>
      <c r="F7" s="353"/>
      <c r="G7" s="342"/>
      <c r="H7" s="343">
        <v>4</v>
      </c>
      <c r="I7" s="344"/>
      <c r="J7" s="344"/>
      <c r="K7" s="344"/>
      <c r="L7" s="344"/>
      <c r="M7" s="344"/>
      <c r="N7" s="344"/>
      <c r="O7" s="344"/>
      <c r="P7" s="314"/>
      <c r="Q7" s="315">
        <f t="shared" si="0"/>
        <v>4</v>
      </c>
      <c r="R7" s="356">
        <f>IF(Q7="","",Q7+R6+'OS Offset'!B7)</f>
        <v>38</v>
      </c>
      <c r="S7" s="317">
        <f t="shared" si="1"/>
        <v>1</v>
      </c>
      <c r="T7" s="350">
        <v>4</v>
      </c>
      <c r="U7" s="354" t="s">
        <v>617</v>
      </c>
      <c r="V7" s="350"/>
      <c r="W7" s="355"/>
      <c r="X7" s="355"/>
      <c r="Y7" s="355"/>
      <c r="Z7" s="365"/>
      <c r="AA7" s="339">
        <v>0</v>
      </c>
      <c r="AB7" s="337"/>
      <c r="AC7" s="337"/>
      <c r="AD7" s="337"/>
      <c r="AE7" s="337"/>
      <c r="AF7" s="337"/>
      <c r="AG7" s="337"/>
      <c r="AH7" s="337"/>
      <c r="AI7" s="338"/>
      <c r="AJ7" s="332">
        <f t="shared" si="2"/>
        <v>0</v>
      </c>
      <c r="AK7" s="316">
        <f>IF(AJ7="","",AJ7+AK6+'OS Offset'!I7)</f>
        <v>4</v>
      </c>
      <c r="AL7" s="317">
        <f t="shared" si="3"/>
        <v>1</v>
      </c>
    </row>
    <row r="8" spans="1:38" ht="33.9" customHeight="1" x14ac:dyDescent="0.45">
      <c r="A8" s="343">
        <v>5</v>
      </c>
      <c r="B8" s="358" t="s">
        <v>588</v>
      </c>
      <c r="C8" s="343"/>
      <c r="D8" s="344" t="s">
        <v>140</v>
      </c>
      <c r="E8" s="344" t="s">
        <v>140</v>
      </c>
      <c r="F8" s="344"/>
      <c r="G8" s="357"/>
      <c r="H8" s="345">
        <v>4</v>
      </c>
      <c r="I8" s="346"/>
      <c r="J8" s="346"/>
      <c r="K8" s="346"/>
      <c r="L8" s="346"/>
      <c r="M8" s="346"/>
      <c r="N8" s="346"/>
      <c r="O8" s="346"/>
      <c r="P8" s="325"/>
      <c r="Q8" s="347">
        <f t="shared" si="0"/>
        <v>4</v>
      </c>
      <c r="R8" s="356">
        <f>IF(Q8="","",Q8+R7+'OS Offset'!B8)</f>
        <v>42</v>
      </c>
      <c r="S8" s="317">
        <f t="shared" si="1"/>
        <v>1</v>
      </c>
      <c r="T8" s="343">
        <v>5</v>
      </c>
      <c r="U8" s="348" t="s">
        <v>606</v>
      </c>
      <c r="V8" s="339"/>
      <c r="W8" s="337"/>
      <c r="X8" s="337"/>
      <c r="Y8" s="337"/>
      <c r="Z8" s="349"/>
      <c r="AA8" s="341">
        <v>0</v>
      </c>
      <c r="AB8" s="336"/>
      <c r="AC8" s="336"/>
      <c r="AD8" s="336"/>
      <c r="AE8" s="336"/>
      <c r="AF8" s="336"/>
      <c r="AG8" s="336"/>
      <c r="AH8" s="336"/>
      <c r="AI8" s="340"/>
      <c r="AJ8" s="333">
        <f t="shared" si="2"/>
        <v>0</v>
      </c>
      <c r="AK8" s="316">
        <f>IF(AJ8="","",AJ8+AK7+'OS Offset'!I8)</f>
        <v>4</v>
      </c>
      <c r="AL8" s="317">
        <f t="shared" si="3"/>
        <v>1</v>
      </c>
    </row>
    <row r="9" spans="1:38" ht="33.9" customHeight="1" x14ac:dyDescent="0.45">
      <c r="A9" s="351">
        <v>6</v>
      </c>
      <c r="B9" s="352" t="s">
        <v>580</v>
      </c>
      <c r="C9" s="351"/>
      <c r="D9" s="353" t="s">
        <v>140</v>
      </c>
      <c r="E9" s="353"/>
      <c r="F9" s="353"/>
      <c r="G9" s="342"/>
      <c r="H9" s="343">
        <v>5</v>
      </c>
      <c r="I9" s="344">
        <v>5</v>
      </c>
      <c r="J9" s="344">
        <v>0</v>
      </c>
      <c r="K9" s="344"/>
      <c r="L9" s="344"/>
      <c r="M9" s="344"/>
      <c r="N9" s="344"/>
      <c r="O9" s="344"/>
      <c r="P9" s="314"/>
      <c r="Q9" s="315">
        <f t="shared" si="0"/>
        <v>10</v>
      </c>
      <c r="R9" s="356">
        <f>IF(Q9="","",Q9+R8+'OS Offset'!B9)</f>
        <v>52</v>
      </c>
      <c r="S9" s="317">
        <f t="shared" si="1"/>
        <v>3</v>
      </c>
      <c r="T9" s="350">
        <v>6</v>
      </c>
      <c r="U9" s="354" t="s">
        <v>623</v>
      </c>
      <c r="V9" s="350"/>
      <c r="W9" s="355"/>
      <c r="X9" s="355"/>
      <c r="Y9" s="355"/>
      <c r="Z9" s="365" t="s">
        <v>140</v>
      </c>
      <c r="AA9" s="339"/>
      <c r="AB9" s="337"/>
      <c r="AC9" s="337"/>
      <c r="AD9" s="337"/>
      <c r="AE9" s="337"/>
      <c r="AF9" s="337"/>
      <c r="AG9" s="337"/>
      <c r="AH9" s="337"/>
      <c r="AI9" s="338"/>
      <c r="AJ9" s="332">
        <f t="shared" si="2"/>
        <v>0</v>
      </c>
      <c r="AK9" s="316">
        <f>IF(AJ9="","",AJ9+AK8+'OS Offset'!I9)</f>
        <v>4</v>
      </c>
      <c r="AL9" s="317">
        <f t="shared" si="3"/>
        <v>0</v>
      </c>
    </row>
    <row r="10" spans="1:38" ht="33.9" customHeight="1" x14ac:dyDescent="0.45">
      <c r="A10" s="343" t="s">
        <v>658</v>
      </c>
      <c r="B10" s="358"/>
      <c r="C10" s="343"/>
      <c r="D10" s="344"/>
      <c r="E10" s="344"/>
      <c r="F10" s="344"/>
      <c r="G10" s="357"/>
      <c r="H10" s="345"/>
      <c r="I10" s="346"/>
      <c r="J10" s="346"/>
      <c r="K10" s="346"/>
      <c r="L10" s="346"/>
      <c r="M10" s="346"/>
      <c r="N10" s="346"/>
      <c r="O10" s="346"/>
      <c r="P10" s="325"/>
      <c r="Q10" s="347">
        <f t="shared" si="0"/>
        <v>0</v>
      </c>
      <c r="R10" s="356">
        <f>IF(Q10="","",Q10+R9+'OS Offset'!B10)</f>
        <v>52</v>
      </c>
      <c r="S10" s="317">
        <f t="shared" si="1"/>
        <v>0</v>
      </c>
      <c r="T10" s="343" t="s">
        <v>662</v>
      </c>
      <c r="U10" s="348" t="s">
        <v>612</v>
      </c>
      <c r="V10" s="339"/>
      <c r="W10" s="337"/>
      <c r="X10" s="337"/>
      <c r="Y10" s="337"/>
      <c r="Z10" s="349"/>
      <c r="AA10" s="341">
        <v>0</v>
      </c>
      <c r="AB10" s="336"/>
      <c r="AC10" s="336"/>
      <c r="AD10" s="336"/>
      <c r="AE10" s="336"/>
      <c r="AF10" s="336"/>
      <c r="AG10" s="336"/>
      <c r="AH10" s="336"/>
      <c r="AI10" s="340"/>
      <c r="AJ10" s="333">
        <f t="shared" si="2"/>
        <v>0</v>
      </c>
      <c r="AK10" s="316">
        <f>IF(AJ10="","",AJ10+AK9+'OS Offset'!I10)</f>
        <v>4</v>
      </c>
      <c r="AL10" s="317">
        <f t="shared" si="3"/>
        <v>1</v>
      </c>
    </row>
    <row r="11" spans="1:38" ht="33.9" customHeight="1" x14ac:dyDescent="0.45">
      <c r="A11" s="351">
        <v>7</v>
      </c>
      <c r="B11" s="352" t="s">
        <v>582</v>
      </c>
      <c r="C11" s="351"/>
      <c r="D11" s="353"/>
      <c r="E11" s="353"/>
      <c r="F11" s="353"/>
      <c r="G11" s="342"/>
      <c r="H11" s="343">
        <v>3</v>
      </c>
      <c r="I11" s="344"/>
      <c r="J11" s="344"/>
      <c r="K11" s="344"/>
      <c r="L11" s="344"/>
      <c r="M11" s="344"/>
      <c r="N11" s="344"/>
      <c r="O11" s="344"/>
      <c r="P11" s="314"/>
      <c r="Q11" s="315">
        <f t="shared" si="0"/>
        <v>3</v>
      </c>
      <c r="R11" s="356">
        <f>IF(Q11="","",Q11+R10+'OS Offset'!B11)</f>
        <v>55</v>
      </c>
      <c r="S11" s="317">
        <f t="shared" si="1"/>
        <v>1</v>
      </c>
      <c r="T11" s="350">
        <v>7</v>
      </c>
      <c r="U11" s="354" t="s">
        <v>629</v>
      </c>
      <c r="V11" s="350"/>
      <c r="W11" s="355" t="s">
        <v>140</v>
      </c>
      <c r="X11" s="355" t="s">
        <v>140</v>
      </c>
      <c r="Y11" s="355"/>
      <c r="Z11" s="365"/>
      <c r="AA11" s="339">
        <v>0</v>
      </c>
      <c r="AB11" s="337"/>
      <c r="AC11" s="337"/>
      <c r="AD11" s="337"/>
      <c r="AE11" s="337"/>
      <c r="AF11" s="337"/>
      <c r="AG11" s="337"/>
      <c r="AH11" s="337"/>
      <c r="AI11" s="338"/>
      <c r="AJ11" s="332">
        <f t="shared" si="2"/>
        <v>0</v>
      </c>
      <c r="AK11" s="316">
        <f>IF(AJ11="","",AJ11+AK10+'OS Offset'!I11)</f>
        <v>4</v>
      </c>
      <c r="AL11" s="317">
        <f t="shared" si="3"/>
        <v>1</v>
      </c>
    </row>
    <row r="12" spans="1:38" ht="33.9" customHeight="1" x14ac:dyDescent="0.45">
      <c r="A12" s="343">
        <v>8</v>
      </c>
      <c r="B12" s="358" t="s">
        <v>600</v>
      </c>
      <c r="C12" s="343" t="s">
        <v>140</v>
      </c>
      <c r="D12" s="344" t="s">
        <v>140</v>
      </c>
      <c r="E12" s="344"/>
      <c r="F12" s="344"/>
      <c r="G12" s="357"/>
      <c r="H12" s="345">
        <v>5</v>
      </c>
      <c r="I12" s="346">
        <v>4</v>
      </c>
      <c r="J12" s="346"/>
      <c r="K12" s="346"/>
      <c r="L12" s="346"/>
      <c r="M12" s="346"/>
      <c r="N12" s="346"/>
      <c r="O12" s="346"/>
      <c r="P12" s="325"/>
      <c r="Q12" s="347">
        <f t="shared" si="0"/>
        <v>9</v>
      </c>
      <c r="R12" s="356">
        <f>IF(Q12="","",Q12+R11+'OS Offset'!B12)</f>
        <v>64</v>
      </c>
      <c r="S12" s="317">
        <f t="shared" si="1"/>
        <v>2</v>
      </c>
      <c r="T12" s="343">
        <v>8</v>
      </c>
      <c r="U12" s="348" t="s">
        <v>617</v>
      </c>
      <c r="V12" s="339"/>
      <c r="W12" s="337"/>
      <c r="X12" s="337"/>
      <c r="Y12" s="337"/>
      <c r="Z12" s="349"/>
      <c r="AA12" s="341">
        <v>5</v>
      </c>
      <c r="AB12" s="336">
        <v>5</v>
      </c>
      <c r="AC12" s="336">
        <v>0</v>
      </c>
      <c r="AD12" s="336"/>
      <c r="AE12" s="336"/>
      <c r="AF12" s="336"/>
      <c r="AG12" s="336"/>
      <c r="AH12" s="336"/>
      <c r="AI12" s="340"/>
      <c r="AJ12" s="333">
        <f t="shared" si="2"/>
        <v>10</v>
      </c>
      <c r="AK12" s="316">
        <f>IF(AJ12="","",AJ12+AK11+'OS Offset'!I12)</f>
        <v>14</v>
      </c>
      <c r="AL12" s="317">
        <f t="shared" si="3"/>
        <v>3</v>
      </c>
    </row>
    <row r="13" spans="1:38" ht="33.9" customHeight="1" x14ac:dyDescent="0.45">
      <c r="A13" s="351">
        <v>9</v>
      </c>
      <c r="B13" s="352" t="s">
        <v>588</v>
      </c>
      <c r="C13" s="351"/>
      <c r="D13" s="353" t="s">
        <v>140</v>
      </c>
      <c r="E13" s="353" t="s">
        <v>140</v>
      </c>
      <c r="F13" s="353"/>
      <c r="G13" s="342"/>
      <c r="H13" s="343">
        <v>5</v>
      </c>
      <c r="I13" s="344">
        <v>5</v>
      </c>
      <c r="J13" s="344">
        <v>5</v>
      </c>
      <c r="K13" s="344">
        <v>0</v>
      </c>
      <c r="L13" s="344"/>
      <c r="M13" s="344"/>
      <c r="N13" s="344"/>
      <c r="O13" s="344"/>
      <c r="P13" s="314"/>
      <c r="Q13" s="315">
        <f t="shared" si="0"/>
        <v>15</v>
      </c>
      <c r="R13" s="356">
        <f>IF(Q13="","",Q13+R12+'OS Offset'!B13)</f>
        <v>79</v>
      </c>
      <c r="S13" s="317">
        <f t="shared" si="1"/>
        <v>4</v>
      </c>
      <c r="T13" s="350">
        <v>9</v>
      </c>
      <c r="U13" s="354" t="s">
        <v>606</v>
      </c>
      <c r="V13" s="350"/>
      <c r="W13" s="355"/>
      <c r="X13" s="355"/>
      <c r="Y13" s="355"/>
      <c r="Z13" s="365"/>
      <c r="AA13" s="339">
        <v>0</v>
      </c>
      <c r="AB13" s="337"/>
      <c r="AC13" s="337"/>
      <c r="AD13" s="337"/>
      <c r="AE13" s="337"/>
      <c r="AF13" s="337"/>
      <c r="AG13" s="337"/>
      <c r="AH13" s="337"/>
      <c r="AI13" s="338"/>
      <c r="AJ13" s="332">
        <f t="shared" si="2"/>
        <v>0</v>
      </c>
      <c r="AK13" s="316">
        <f>IF(AJ13="","",AJ13+AK12+'OS Offset'!I13)</f>
        <v>14</v>
      </c>
      <c r="AL13" s="317">
        <f t="shared" si="3"/>
        <v>1</v>
      </c>
    </row>
    <row r="14" spans="1:38" ht="33.9" customHeight="1" x14ac:dyDescent="0.45">
      <c r="A14" s="343">
        <v>10</v>
      </c>
      <c r="B14" s="358" t="s">
        <v>580</v>
      </c>
      <c r="C14" s="343"/>
      <c r="D14" s="344"/>
      <c r="E14" s="344"/>
      <c r="F14" s="344"/>
      <c r="G14" s="357"/>
      <c r="H14" s="345">
        <v>0</v>
      </c>
      <c r="I14" s="346"/>
      <c r="J14" s="346"/>
      <c r="K14" s="346"/>
      <c r="L14" s="346"/>
      <c r="M14" s="346"/>
      <c r="N14" s="346"/>
      <c r="O14" s="346"/>
      <c r="P14" s="325"/>
      <c r="Q14" s="347">
        <f t="shared" si="0"/>
        <v>0</v>
      </c>
      <c r="R14" s="356">
        <f>IF(Q14="","",Q14+R13+'OS Offset'!B14)</f>
        <v>79</v>
      </c>
      <c r="S14" s="317">
        <f t="shared" si="1"/>
        <v>1</v>
      </c>
      <c r="T14" s="343">
        <v>10</v>
      </c>
      <c r="U14" s="348" t="s">
        <v>623</v>
      </c>
      <c r="V14" s="339"/>
      <c r="W14" s="337" t="s">
        <v>140</v>
      </c>
      <c r="X14" s="337" t="s">
        <v>140</v>
      </c>
      <c r="Y14" s="337"/>
      <c r="Z14" s="349"/>
      <c r="AA14" s="341">
        <v>0</v>
      </c>
      <c r="AB14" s="336"/>
      <c r="AC14" s="336"/>
      <c r="AD14" s="336"/>
      <c r="AE14" s="336"/>
      <c r="AF14" s="336"/>
      <c r="AG14" s="336"/>
      <c r="AH14" s="336"/>
      <c r="AI14" s="340"/>
      <c r="AJ14" s="333">
        <f t="shared" si="2"/>
        <v>0</v>
      </c>
      <c r="AK14" s="316">
        <f>IF(AJ14="","",AJ14+AK13+'OS Offset'!I14)</f>
        <v>14</v>
      </c>
      <c r="AL14" s="317">
        <f t="shared" si="3"/>
        <v>1</v>
      </c>
    </row>
    <row r="15" spans="1:38" ht="33.9" customHeight="1" x14ac:dyDescent="0.45">
      <c r="A15" s="351">
        <v>11</v>
      </c>
      <c r="B15" s="352" t="s">
        <v>582</v>
      </c>
      <c r="C15" s="351"/>
      <c r="D15" s="353" t="s">
        <v>140</v>
      </c>
      <c r="E15" s="353" t="s">
        <v>140</v>
      </c>
      <c r="F15" s="353"/>
      <c r="G15" s="342"/>
      <c r="H15" s="343">
        <v>4</v>
      </c>
      <c r="I15" s="344"/>
      <c r="J15" s="344"/>
      <c r="K15" s="344"/>
      <c r="L15" s="344"/>
      <c r="M15" s="344"/>
      <c r="N15" s="344"/>
      <c r="O15" s="344"/>
      <c r="P15" s="314"/>
      <c r="Q15" s="315">
        <f t="shared" si="0"/>
        <v>4</v>
      </c>
      <c r="R15" s="356">
        <f>IF(Q15="","",Q15+R14+'OS Offset'!B15)</f>
        <v>83</v>
      </c>
      <c r="S15" s="317">
        <f t="shared" si="1"/>
        <v>1</v>
      </c>
      <c r="T15" s="350">
        <v>11</v>
      </c>
      <c r="U15" s="354" t="s">
        <v>629</v>
      </c>
      <c r="V15" s="350"/>
      <c r="W15" s="355"/>
      <c r="X15" s="355"/>
      <c r="Y15" s="355"/>
      <c r="Z15" s="365"/>
      <c r="AA15" s="339">
        <v>0</v>
      </c>
      <c r="AB15" s="337"/>
      <c r="AC15" s="337"/>
      <c r="AD15" s="337"/>
      <c r="AE15" s="337"/>
      <c r="AF15" s="337"/>
      <c r="AG15" s="337"/>
      <c r="AH15" s="337"/>
      <c r="AI15" s="338"/>
      <c r="AJ15" s="332">
        <f t="shared" si="2"/>
        <v>0</v>
      </c>
      <c r="AK15" s="316">
        <f>IF(AJ15="","",AJ15+AK14+'OS Offset'!I15)</f>
        <v>14</v>
      </c>
      <c r="AL15" s="317">
        <f t="shared" si="3"/>
        <v>1</v>
      </c>
    </row>
    <row r="16" spans="1:38" ht="33.9" customHeight="1" x14ac:dyDescent="0.45">
      <c r="A16" s="343">
        <v>12</v>
      </c>
      <c r="B16" s="358" t="s">
        <v>600</v>
      </c>
      <c r="C16" s="343"/>
      <c r="D16" s="344" t="s">
        <v>140</v>
      </c>
      <c r="E16" s="344"/>
      <c r="F16" s="344"/>
      <c r="G16" s="357"/>
      <c r="H16" s="345">
        <v>5</v>
      </c>
      <c r="I16" s="346">
        <v>5</v>
      </c>
      <c r="J16" s="346">
        <v>5</v>
      </c>
      <c r="K16" s="346"/>
      <c r="L16" s="346"/>
      <c r="M16" s="346"/>
      <c r="N16" s="346"/>
      <c r="O16" s="346"/>
      <c r="P16" s="325"/>
      <c r="Q16" s="347">
        <f t="shared" si="0"/>
        <v>15</v>
      </c>
      <c r="R16" s="356">
        <f>IF(Q16="","",Q16+R15+'OS Offset'!B16)</f>
        <v>98</v>
      </c>
      <c r="S16" s="317">
        <f t="shared" si="1"/>
        <v>3</v>
      </c>
      <c r="T16" s="343">
        <v>12</v>
      </c>
      <c r="U16" s="348" t="s">
        <v>617</v>
      </c>
      <c r="V16" s="339"/>
      <c r="W16" s="337"/>
      <c r="X16" s="337"/>
      <c r="Y16" s="337"/>
      <c r="Z16" s="349"/>
      <c r="AA16" s="341">
        <v>0</v>
      </c>
      <c r="AB16" s="336"/>
      <c r="AC16" s="336"/>
      <c r="AD16" s="336"/>
      <c r="AE16" s="336"/>
      <c r="AF16" s="336"/>
      <c r="AG16" s="336"/>
      <c r="AH16" s="336"/>
      <c r="AI16" s="340"/>
      <c r="AJ16" s="333">
        <f t="shared" si="2"/>
        <v>0</v>
      </c>
      <c r="AK16" s="316">
        <f>IF(AJ16="","",AJ16+AK15+'OS Offset'!I16)</f>
        <v>14</v>
      </c>
      <c r="AL16" s="317">
        <f t="shared" si="3"/>
        <v>1</v>
      </c>
    </row>
    <row r="17" spans="1:38" ht="33.9" customHeight="1" x14ac:dyDescent="0.45">
      <c r="A17" s="351">
        <v>13</v>
      </c>
      <c r="B17" s="352" t="s">
        <v>588</v>
      </c>
      <c r="C17" s="351"/>
      <c r="D17" s="353" t="s">
        <v>140</v>
      </c>
      <c r="E17" s="353" t="s">
        <v>140</v>
      </c>
      <c r="F17" s="353"/>
      <c r="G17" s="342"/>
      <c r="H17" s="343">
        <v>5</v>
      </c>
      <c r="I17" s="344">
        <v>4</v>
      </c>
      <c r="J17" s="344">
        <v>3</v>
      </c>
      <c r="K17" s="344"/>
      <c r="L17" s="344"/>
      <c r="M17" s="344"/>
      <c r="N17" s="344"/>
      <c r="O17" s="344"/>
      <c r="P17" s="314"/>
      <c r="Q17" s="315">
        <f t="shared" si="0"/>
        <v>12</v>
      </c>
      <c r="R17" s="356">
        <f>IF(Q17="","",Q17+R16+'OS Offset'!B17)</f>
        <v>110</v>
      </c>
      <c r="S17" s="317">
        <f t="shared" si="1"/>
        <v>3</v>
      </c>
      <c r="T17" s="350">
        <v>13</v>
      </c>
      <c r="U17" s="354" t="s">
        <v>619</v>
      </c>
      <c r="V17" s="350" t="s">
        <v>140</v>
      </c>
      <c r="W17" s="355"/>
      <c r="X17" s="355"/>
      <c r="Y17" s="355"/>
      <c r="Z17" s="365" t="s">
        <v>140</v>
      </c>
      <c r="AA17" s="339"/>
      <c r="AB17" s="337"/>
      <c r="AC17" s="337"/>
      <c r="AD17" s="337"/>
      <c r="AE17" s="337"/>
      <c r="AF17" s="337"/>
      <c r="AG17" s="337"/>
      <c r="AH17" s="337"/>
      <c r="AI17" s="338"/>
      <c r="AJ17" s="332">
        <f t="shared" si="2"/>
        <v>0</v>
      </c>
      <c r="AK17" s="316">
        <f>IF(AJ17="","",AJ17+AK16+'OS Offset'!I17)</f>
        <v>14</v>
      </c>
      <c r="AL17" s="317">
        <f t="shared" si="3"/>
        <v>0</v>
      </c>
    </row>
    <row r="18" spans="1:38" ht="33.9" customHeight="1" x14ac:dyDescent="0.45">
      <c r="A18" s="343">
        <v>14</v>
      </c>
      <c r="B18" s="358" t="s">
        <v>580</v>
      </c>
      <c r="C18" s="343"/>
      <c r="D18" s="344" t="s">
        <v>140</v>
      </c>
      <c r="E18" s="344" t="s">
        <v>140</v>
      </c>
      <c r="F18" s="344"/>
      <c r="G18" s="357"/>
      <c r="H18" s="345">
        <v>4</v>
      </c>
      <c r="I18" s="346">
        <v>0</v>
      </c>
      <c r="J18" s="346"/>
      <c r="K18" s="346"/>
      <c r="L18" s="346"/>
      <c r="M18" s="346"/>
      <c r="N18" s="346"/>
      <c r="O18" s="346"/>
      <c r="P18" s="325"/>
      <c r="Q18" s="347">
        <f t="shared" si="0"/>
        <v>4</v>
      </c>
      <c r="R18" s="356">
        <f>IF(Q18="","",Q18+R17+'OS Offset'!B18)</f>
        <v>114</v>
      </c>
      <c r="S18" s="317">
        <f t="shared" si="1"/>
        <v>2</v>
      </c>
      <c r="T18" s="343">
        <v>14</v>
      </c>
      <c r="U18" s="348" t="s">
        <v>623</v>
      </c>
      <c r="V18" s="339"/>
      <c r="W18" s="337"/>
      <c r="X18" s="337"/>
      <c r="Y18" s="337"/>
      <c r="Z18" s="349"/>
      <c r="AA18" s="341">
        <v>0</v>
      </c>
      <c r="AB18" s="336"/>
      <c r="AC18" s="336"/>
      <c r="AD18" s="336"/>
      <c r="AE18" s="336"/>
      <c r="AF18" s="336"/>
      <c r="AG18" s="336"/>
      <c r="AH18" s="336"/>
      <c r="AI18" s="340"/>
      <c r="AJ18" s="333">
        <f t="shared" si="2"/>
        <v>0</v>
      </c>
      <c r="AK18" s="316">
        <f>IF(AJ18="","",AJ18+AK17+'OS Offset'!I18)</f>
        <v>14</v>
      </c>
      <c r="AL18" s="317">
        <f t="shared" si="3"/>
        <v>1</v>
      </c>
    </row>
    <row r="19" spans="1:38" ht="33.9" customHeight="1" x14ac:dyDescent="0.45">
      <c r="A19" s="351">
        <v>15</v>
      </c>
      <c r="B19" s="352" t="s">
        <v>584</v>
      </c>
      <c r="C19" s="351"/>
      <c r="D19" s="353"/>
      <c r="E19" s="353"/>
      <c r="F19" s="353"/>
      <c r="G19" s="342"/>
      <c r="H19" s="343">
        <v>0</v>
      </c>
      <c r="I19" s="344"/>
      <c r="J19" s="344"/>
      <c r="K19" s="344"/>
      <c r="L19" s="344"/>
      <c r="M19" s="344"/>
      <c r="N19" s="344"/>
      <c r="O19" s="344"/>
      <c r="P19" s="314"/>
      <c r="Q19" s="315">
        <f t="shared" si="0"/>
        <v>0</v>
      </c>
      <c r="R19" s="356">
        <f>IF(Q19="","",Q19+R18+'OS Offset'!B19)</f>
        <v>114</v>
      </c>
      <c r="S19" s="317">
        <f t="shared" si="1"/>
        <v>1</v>
      </c>
      <c r="T19" s="350">
        <v>15</v>
      </c>
      <c r="U19" s="354" t="s">
        <v>629</v>
      </c>
      <c r="V19" s="350"/>
      <c r="W19" s="355" t="s">
        <v>140</v>
      </c>
      <c r="X19" s="355" t="s">
        <v>140</v>
      </c>
      <c r="Y19" s="355"/>
      <c r="Z19" s="365"/>
      <c r="AA19" s="339">
        <v>0</v>
      </c>
      <c r="AB19" s="337"/>
      <c r="AC19" s="337"/>
      <c r="AD19" s="337"/>
      <c r="AE19" s="337"/>
      <c r="AF19" s="337"/>
      <c r="AG19" s="337"/>
      <c r="AH19" s="337"/>
      <c r="AI19" s="338"/>
      <c r="AJ19" s="332">
        <f t="shared" si="2"/>
        <v>0</v>
      </c>
      <c r="AK19" s="316">
        <f>IF(AJ19="","",AJ19+AK18+'OS Offset'!I19)</f>
        <v>14</v>
      </c>
      <c r="AL19" s="317">
        <f t="shared" si="3"/>
        <v>1</v>
      </c>
    </row>
    <row r="20" spans="1:38" ht="33.9" customHeight="1" x14ac:dyDescent="0.45">
      <c r="A20" s="343">
        <v>16</v>
      </c>
      <c r="B20" s="358" t="s">
        <v>594</v>
      </c>
      <c r="C20" s="343"/>
      <c r="D20" s="344"/>
      <c r="E20" s="344"/>
      <c r="F20" s="344"/>
      <c r="G20" s="357"/>
      <c r="H20" s="345">
        <v>0</v>
      </c>
      <c r="I20" s="346"/>
      <c r="J20" s="346"/>
      <c r="K20" s="346"/>
      <c r="L20" s="346"/>
      <c r="M20" s="346"/>
      <c r="N20" s="346"/>
      <c r="O20" s="346"/>
      <c r="P20" s="325"/>
      <c r="Q20" s="347">
        <f t="shared" si="0"/>
        <v>0</v>
      </c>
      <c r="R20" s="356">
        <f>IF(Q20="","",Q20+R19+'OS Offset'!B20)</f>
        <v>114</v>
      </c>
      <c r="S20" s="317">
        <f t="shared" si="1"/>
        <v>1</v>
      </c>
      <c r="T20" s="343">
        <v>16</v>
      </c>
      <c r="U20" s="348" t="s">
        <v>617</v>
      </c>
      <c r="V20" s="339"/>
      <c r="W20" s="337" t="s">
        <v>140</v>
      </c>
      <c r="X20" s="337" t="s">
        <v>140</v>
      </c>
      <c r="Y20" s="337"/>
      <c r="Z20" s="349"/>
      <c r="AA20" s="341">
        <v>4</v>
      </c>
      <c r="AB20" s="336"/>
      <c r="AC20" s="336"/>
      <c r="AD20" s="336"/>
      <c r="AE20" s="336"/>
      <c r="AF20" s="336"/>
      <c r="AG20" s="336"/>
      <c r="AH20" s="336"/>
      <c r="AI20" s="340"/>
      <c r="AJ20" s="333">
        <f t="shared" si="2"/>
        <v>4</v>
      </c>
      <c r="AK20" s="316">
        <f>IF(AJ20="","",AJ20+AK19+'OS Offset'!I20)</f>
        <v>18</v>
      </c>
      <c r="AL20" s="317">
        <f t="shared" si="3"/>
        <v>1</v>
      </c>
    </row>
    <row r="21" spans="1:38" ht="33.9" customHeight="1" x14ac:dyDescent="0.45">
      <c r="A21" s="351">
        <v>17</v>
      </c>
      <c r="B21" s="352" t="s">
        <v>600</v>
      </c>
      <c r="C21" s="351"/>
      <c r="D21" s="353"/>
      <c r="E21" s="353"/>
      <c r="F21" s="353"/>
      <c r="G21" s="342"/>
      <c r="H21" s="343">
        <v>0</v>
      </c>
      <c r="I21" s="344"/>
      <c r="J21" s="344"/>
      <c r="K21" s="344"/>
      <c r="L21" s="344"/>
      <c r="M21" s="344"/>
      <c r="N21" s="344"/>
      <c r="O21" s="344"/>
      <c r="P21" s="314"/>
      <c r="Q21" s="315">
        <f t="shared" si="0"/>
        <v>0</v>
      </c>
      <c r="R21" s="356">
        <f>IF(Q21="","",Q21+R20+'OS Offset'!B21)</f>
        <v>114</v>
      </c>
      <c r="S21" s="317">
        <f t="shared" si="1"/>
        <v>1</v>
      </c>
      <c r="T21" s="350">
        <v>17</v>
      </c>
      <c r="U21" s="354" t="s">
        <v>606</v>
      </c>
      <c r="V21" s="350"/>
      <c r="W21" s="355" t="s">
        <v>140</v>
      </c>
      <c r="X21" s="355" t="s">
        <v>140</v>
      </c>
      <c r="Y21" s="355"/>
      <c r="Z21" s="365"/>
      <c r="AA21" s="339">
        <v>3</v>
      </c>
      <c r="AB21" s="337"/>
      <c r="AC21" s="337"/>
      <c r="AD21" s="337"/>
      <c r="AE21" s="337"/>
      <c r="AF21" s="337"/>
      <c r="AG21" s="337"/>
      <c r="AH21" s="337"/>
      <c r="AI21" s="338"/>
      <c r="AJ21" s="332">
        <f t="shared" si="2"/>
        <v>3</v>
      </c>
      <c r="AK21" s="316">
        <f>IF(AJ21="","",AJ21+AK20+'OS Offset'!I21)</f>
        <v>21</v>
      </c>
      <c r="AL21" s="317">
        <f t="shared" si="3"/>
        <v>1</v>
      </c>
    </row>
    <row r="22" spans="1:38" ht="33.9" customHeight="1" x14ac:dyDescent="0.45">
      <c r="A22" s="343">
        <v>18</v>
      </c>
      <c r="B22" s="358" t="s">
        <v>588</v>
      </c>
      <c r="C22" s="343"/>
      <c r="D22" s="344" t="s">
        <v>140</v>
      </c>
      <c r="E22" s="344" t="s">
        <v>140</v>
      </c>
      <c r="F22" s="344"/>
      <c r="G22" s="357"/>
      <c r="H22" s="345">
        <v>4</v>
      </c>
      <c r="I22" s="346"/>
      <c r="J22" s="346"/>
      <c r="K22" s="346"/>
      <c r="L22" s="346"/>
      <c r="M22" s="346"/>
      <c r="N22" s="346"/>
      <c r="O22" s="346"/>
      <c r="P22" s="325"/>
      <c r="Q22" s="347">
        <f t="shared" si="0"/>
        <v>4</v>
      </c>
      <c r="R22" s="356">
        <f>IF(Q22="","",Q22+R21+'OS Offset'!B22)</f>
        <v>118</v>
      </c>
      <c r="S22" s="317">
        <f t="shared" si="1"/>
        <v>1</v>
      </c>
      <c r="T22" s="343">
        <v>18</v>
      </c>
      <c r="U22" s="348" t="s">
        <v>623</v>
      </c>
      <c r="V22" s="339"/>
      <c r="W22" s="337"/>
      <c r="X22" s="337"/>
      <c r="Y22" s="337"/>
      <c r="Z22" s="349" t="s">
        <v>140</v>
      </c>
      <c r="AA22" s="341"/>
      <c r="AB22" s="336"/>
      <c r="AC22" s="336"/>
      <c r="AD22" s="336"/>
      <c r="AE22" s="336"/>
      <c r="AF22" s="336"/>
      <c r="AG22" s="336"/>
      <c r="AH22" s="336"/>
      <c r="AI22" s="340"/>
      <c r="AJ22" s="333">
        <f t="shared" si="2"/>
        <v>0</v>
      </c>
      <c r="AK22" s="316">
        <f>IF(AJ22="","",AJ22+AK21+'OS Offset'!I22)</f>
        <v>21</v>
      </c>
      <c r="AL22" s="317">
        <f t="shared" si="3"/>
        <v>0</v>
      </c>
    </row>
    <row r="23" spans="1:38" ht="33.9" customHeight="1" x14ac:dyDescent="0.45">
      <c r="A23" s="351" t="s">
        <v>658</v>
      </c>
      <c r="B23" s="352"/>
      <c r="C23" s="351"/>
      <c r="D23" s="353"/>
      <c r="E23" s="353"/>
      <c r="F23" s="353"/>
      <c r="G23" s="342"/>
      <c r="H23" s="343"/>
      <c r="I23" s="344"/>
      <c r="J23" s="344"/>
      <c r="K23" s="344"/>
      <c r="L23" s="344"/>
      <c r="M23" s="344"/>
      <c r="N23" s="344"/>
      <c r="O23" s="344"/>
      <c r="P23" s="314"/>
      <c r="Q23" s="315">
        <f t="shared" si="0"/>
        <v>0</v>
      </c>
      <c r="R23" s="356">
        <f>IF(Q23="","",Q23+R22+'OS Offset'!B23)</f>
        <v>118</v>
      </c>
      <c r="S23" s="317">
        <f t="shared" si="1"/>
        <v>0</v>
      </c>
      <c r="T23" s="350" t="s">
        <v>662</v>
      </c>
      <c r="U23" s="354" t="s">
        <v>612</v>
      </c>
      <c r="V23" s="350"/>
      <c r="W23" s="355"/>
      <c r="X23" s="355"/>
      <c r="Y23" s="355"/>
      <c r="Z23" s="365"/>
      <c r="AA23" s="339">
        <v>0</v>
      </c>
      <c r="AB23" s="337"/>
      <c r="AC23" s="337"/>
      <c r="AD23" s="337"/>
      <c r="AE23" s="337"/>
      <c r="AF23" s="337"/>
      <c r="AG23" s="337"/>
      <c r="AH23" s="337"/>
      <c r="AI23" s="338"/>
      <c r="AJ23" s="332">
        <f t="shared" si="2"/>
        <v>0</v>
      </c>
      <c r="AK23" s="316">
        <f>IF(AJ23="","",AJ23+AK22+'OS Offset'!I23)</f>
        <v>21</v>
      </c>
      <c r="AL23" s="317">
        <f t="shared" si="3"/>
        <v>1</v>
      </c>
    </row>
    <row r="24" spans="1:38" ht="33.9" customHeight="1" x14ac:dyDescent="0.45">
      <c r="A24" s="343">
        <v>19</v>
      </c>
      <c r="B24" s="358" t="s">
        <v>600</v>
      </c>
      <c r="C24" s="343"/>
      <c r="D24" s="344" t="s">
        <v>140</v>
      </c>
      <c r="E24" s="344"/>
      <c r="F24" s="344"/>
      <c r="G24" s="357"/>
      <c r="H24" s="345">
        <v>5</v>
      </c>
      <c r="I24" s="346">
        <v>3</v>
      </c>
      <c r="J24" s="346"/>
      <c r="K24" s="346"/>
      <c r="L24" s="346"/>
      <c r="M24" s="346"/>
      <c r="N24" s="346"/>
      <c r="O24" s="346"/>
      <c r="P24" s="325"/>
      <c r="Q24" s="347">
        <f t="shared" si="0"/>
        <v>8</v>
      </c>
      <c r="R24" s="356">
        <f>IF(Q24="","",Q24+R23+'OS Offset'!B24)</f>
        <v>126</v>
      </c>
      <c r="S24" s="317">
        <f t="shared" si="1"/>
        <v>2</v>
      </c>
      <c r="T24" s="343">
        <v>19</v>
      </c>
      <c r="U24" s="348" t="s">
        <v>629</v>
      </c>
      <c r="V24" s="339"/>
      <c r="W24" s="337"/>
      <c r="X24" s="337"/>
      <c r="Y24" s="337"/>
      <c r="Z24" s="349"/>
      <c r="AA24" s="341">
        <v>4</v>
      </c>
      <c r="AB24" s="336">
        <v>0</v>
      </c>
      <c r="AC24" s="336"/>
      <c r="AD24" s="336"/>
      <c r="AE24" s="336"/>
      <c r="AF24" s="336"/>
      <c r="AG24" s="336"/>
      <c r="AH24" s="336"/>
      <c r="AI24" s="340"/>
      <c r="AJ24" s="333">
        <f t="shared" si="2"/>
        <v>4</v>
      </c>
      <c r="AK24" s="316">
        <f>IF(AJ24="","",AJ24+AK23+'OS Offset'!I24)</f>
        <v>25</v>
      </c>
      <c r="AL24" s="317">
        <f t="shared" si="3"/>
        <v>2</v>
      </c>
    </row>
    <row r="25" spans="1:38" ht="33.9" customHeight="1" x14ac:dyDescent="0.45">
      <c r="A25" s="351"/>
      <c r="B25" s="352"/>
      <c r="C25" s="351"/>
      <c r="D25" s="353"/>
      <c r="E25" s="353"/>
      <c r="F25" s="353"/>
      <c r="G25" s="342"/>
      <c r="H25" s="343"/>
      <c r="I25" s="344"/>
      <c r="J25" s="344"/>
      <c r="K25" s="344"/>
      <c r="L25" s="344"/>
      <c r="M25" s="344"/>
      <c r="N25" s="344"/>
      <c r="O25" s="344"/>
      <c r="P25" s="314"/>
      <c r="Q25" s="315" t="str">
        <f t="shared" si="0"/>
        <v/>
      </c>
      <c r="R25" s="356" t="str">
        <f>IF(Q25="","",Q25+R24+'OS Offset'!B25)</f>
        <v/>
      </c>
      <c r="S25" s="317">
        <f t="shared" si="1"/>
        <v>0</v>
      </c>
      <c r="T25" s="350"/>
      <c r="U25" s="354"/>
      <c r="V25" s="350"/>
      <c r="W25" s="355"/>
      <c r="X25" s="355"/>
      <c r="Y25" s="355"/>
      <c r="Z25" s="365"/>
      <c r="AA25" s="339"/>
      <c r="AB25" s="337"/>
      <c r="AC25" s="337"/>
      <c r="AD25" s="337"/>
      <c r="AE25" s="337"/>
      <c r="AF25" s="337"/>
      <c r="AG25" s="337"/>
      <c r="AH25" s="337"/>
      <c r="AI25" s="338"/>
      <c r="AJ25" s="332" t="str">
        <f t="shared" si="2"/>
        <v/>
      </c>
      <c r="AK25" s="316" t="str">
        <f>IF(AJ25="","",AJ25+AK24+'OS Offset'!I25)</f>
        <v/>
      </c>
      <c r="AL25" s="317">
        <f t="shared" si="3"/>
        <v>0</v>
      </c>
    </row>
    <row r="26" spans="1:38" ht="33.9" customHeight="1" x14ac:dyDescent="0.45">
      <c r="A26" s="343"/>
      <c r="B26" s="358"/>
      <c r="C26" s="343"/>
      <c r="D26" s="344"/>
      <c r="E26" s="344"/>
      <c r="F26" s="344"/>
      <c r="G26" s="357"/>
      <c r="H26" s="345"/>
      <c r="I26" s="346"/>
      <c r="J26" s="346"/>
      <c r="K26" s="346"/>
      <c r="L26" s="346"/>
      <c r="M26" s="346"/>
      <c r="N26" s="346"/>
      <c r="O26" s="346"/>
      <c r="P26" s="325"/>
      <c r="Q26" s="347" t="str">
        <f t="shared" si="0"/>
        <v/>
      </c>
      <c r="R26" s="356" t="str">
        <f>IF(Q26="","",Q26+R25+'OS Offset'!B26)</f>
        <v/>
      </c>
      <c r="S26" s="317">
        <f t="shared" si="1"/>
        <v>0</v>
      </c>
      <c r="T26" s="343"/>
      <c r="U26" s="348"/>
      <c r="V26" s="339"/>
      <c r="W26" s="337"/>
      <c r="X26" s="337"/>
      <c r="Y26" s="337"/>
      <c r="Z26" s="349"/>
      <c r="AA26" s="341"/>
      <c r="AB26" s="336"/>
      <c r="AC26" s="336"/>
      <c r="AD26" s="336"/>
      <c r="AE26" s="336"/>
      <c r="AF26" s="336"/>
      <c r="AG26" s="336"/>
      <c r="AH26" s="336"/>
      <c r="AI26" s="340"/>
      <c r="AJ26" s="333" t="str">
        <f t="shared" si="2"/>
        <v/>
      </c>
      <c r="AK26" s="316" t="str">
        <f>IF(AJ26="","",AJ26+AK25+'OS Offset'!I26)</f>
        <v/>
      </c>
      <c r="AL26" s="317">
        <f t="shared" si="3"/>
        <v>0</v>
      </c>
    </row>
    <row r="27" spans="1:38" ht="33.9" customHeight="1" x14ac:dyDescent="0.45">
      <c r="A27" s="351"/>
      <c r="B27" s="352"/>
      <c r="C27" s="351"/>
      <c r="D27" s="353"/>
      <c r="E27" s="353"/>
      <c r="F27" s="353"/>
      <c r="G27" s="342"/>
      <c r="H27" s="343"/>
      <c r="I27" s="344"/>
      <c r="J27" s="344"/>
      <c r="K27" s="344"/>
      <c r="L27" s="344"/>
      <c r="M27" s="344"/>
      <c r="N27" s="344"/>
      <c r="O27" s="344"/>
      <c r="P27" s="314"/>
      <c r="Q27" s="315" t="str">
        <f t="shared" si="0"/>
        <v/>
      </c>
      <c r="R27" s="356" t="str">
        <f>IF(Q27="","",Q27+R26+'OS Offset'!B27)</f>
        <v/>
      </c>
      <c r="S27" s="317">
        <f t="shared" si="1"/>
        <v>0</v>
      </c>
      <c r="T27" s="350"/>
      <c r="U27" s="354"/>
      <c r="V27" s="350"/>
      <c r="W27" s="355"/>
      <c r="X27" s="355"/>
      <c r="Y27" s="355"/>
      <c r="Z27" s="365"/>
      <c r="AA27" s="339"/>
      <c r="AB27" s="337"/>
      <c r="AC27" s="337"/>
      <c r="AD27" s="337"/>
      <c r="AE27" s="337"/>
      <c r="AF27" s="337"/>
      <c r="AG27" s="337"/>
      <c r="AH27" s="337"/>
      <c r="AI27" s="338"/>
      <c r="AJ27" s="332" t="str">
        <f t="shared" si="2"/>
        <v/>
      </c>
      <c r="AK27" s="316" t="str">
        <f>IF(AJ27="","",AJ27+AK26+'OS Offset'!I27)</f>
        <v/>
      </c>
      <c r="AL27" s="317">
        <f t="shared" si="3"/>
        <v>0</v>
      </c>
    </row>
    <row r="28" spans="1:38" ht="33.9" customHeight="1" x14ac:dyDescent="0.45">
      <c r="A28" s="343"/>
      <c r="B28" s="358"/>
      <c r="C28" s="343"/>
      <c r="D28" s="344"/>
      <c r="E28" s="344"/>
      <c r="F28" s="344"/>
      <c r="G28" s="357"/>
      <c r="H28" s="345"/>
      <c r="I28" s="346"/>
      <c r="J28" s="346"/>
      <c r="K28" s="346"/>
      <c r="L28" s="346"/>
      <c r="M28" s="346"/>
      <c r="N28" s="346"/>
      <c r="O28" s="346"/>
      <c r="P28" s="325"/>
      <c r="Q28" s="347" t="str">
        <f t="shared" si="0"/>
        <v/>
      </c>
      <c r="R28" s="356" t="str">
        <f>IF(Q28="","",Q28+R27+'OS Offset'!B28)</f>
        <v/>
      </c>
      <c r="S28" s="317">
        <f t="shared" si="1"/>
        <v>0</v>
      </c>
      <c r="T28" s="343"/>
      <c r="U28" s="348"/>
      <c r="V28" s="339"/>
      <c r="W28" s="337"/>
      <c r="X28" s="337"/>
      <c r="Y28" s="337"/>
      <c r="Z28" s="349"/>
      <c r="AA28" s="341"/>
      <c r="AB28" s="336"/>
      <c r="AC28" s="336"/>
      <c r="AD28" s="336"/>
      <c r="AE28" s="336"/>
      <c r="AF28" s="336"/>
      <c r="AG28" s="336"/>
      <c r="AH28" s="336"/>
      <c r="AI28" s="340"/>
      <c r="AJ28" s="333" t="str">
        <f t="shared" si="2"/>
        <v/>
      </c>
      <c r="AK28" s="316" t="str">
        <f>IF(AJ28="","",AJ28+AK27+'OS Offset'!I28)</f>
        <v/>
      </c>
      <c r="AL28" s="317">
        <f t="shared" si="3"/>
        <v>0</v>
      </c>
    </row>
    <row r="29" spans="1:38" ht="33.9" customHeight="1" x14ac:dyDescent="0.45">
      <c r="A29" s="351"/>
      <c r="B29" s="352"/>
      <c r="C29" s="351"/>
      <c r="D29" s="353"/>
      <c r="E29" s="353"/>
      <c r="F29" s="353"/>
      <c r="G29" s="342"/>
      <c r="H29" s="343"/>
      <c r="I29" s="344"/>
      <c r="J29" s="344"/>
      <c r="K29" s="344"/>
      <c r="L29" s="344"/>
      <c r="M29" s="344"/>
      <c r="N29" s="344"/>
      <c r="O29" s="344"/>
      <c r="P29" s="314"/>
      <c r="Q29" s="315" t="str">
        <f t="shared" si="0"/>
        <v/>
      </c>
      <c r="R29" s="356" t="str">
        <f>IF(Q29="","",Q29+R28+'OS Offset'!B29)</f>
        <v/>
      </c>
      <c r="S29" s="317">
        <f t="shared" si="1"/>
        <v>0</v>
      </c>
      <c r="T29" s="350"/>
      <c r="U29" s="354"/>
      <c r="V29" s="350"/>
      <c r="W29" s="355"/>
      <c r="X29" s="355"/>
      <c r="Y29" s="355"/>
      <c r="Z29" s="365"/>
      <c r="AA29" s="339"/>
      <c r="AB29" s="337"/>
      <c r="AC29" s="337"/>
      <c r="AD29" s="337"/>
      <c r="AE29" s="337"/>
      <c r="AF29" s="337"/>
      <c r="AG29" s="337"/>
      <c r="AH29" s="337"/>
      <c r="AI29" s="338"/>
      <c r="AJ29" s="332" t="str">
        <f t="shared" si="2"/>
        <v/>
      </c>
      <c r="AK29" s="316" t="str">
        <f>IF(AJ29="","",AJ29+AK28+'OS Offset'!I29)</f>
        <v/>
      </c>
      <c r="AL29" s="317">
        <f t="shared" si="3"/>
        <v>0</v>
      </c>
    </row>
    <row r="30" spans="1:38" ht="33.9" customHeight="1" x14ac:dyDescent="0.45">
      <c r="A30" s="343"/>
      <c r="B30" s="358"/>
      <c r="C30" s="343"/>
      <c r="D30" s="344"/>
      <c r="E30" s="344"/>
      <c r="F30" s="344"/>
      <c r="G30" s="357"/>
      <c r="H30" s="345"/>
      <c r="I30" s="346"/>
      <c r="J30" s="346"/>
      <c r="K30" s="346"/>
      <c r="L30" s="346"/>
      <c r="M30" s="346"/>
      <c r="N30" s="346"/>
      <c r="O30" s="346"/>
      <c r="P30" s="325"/>
      <c r="Q30" s="347" t="str">
        <f t="shared" si="0"/>
        <v/>
      </c>
      <c r="R30" s="356" t="str">
        <f>IF(Q30="","",Q30+R29+'OS Offset'!B30)</f>
        <v/>
      </c>
      <c r="S30" s="317">
        <f t="shared" si="1"/>
        <v>0</v>
      </c>
      <c r="T30" s="343"/>
      <c r="U30" s="348"/>
      <c r="V30" s="339"/>
      <c r="W30" s="337"/>
      <c r="X30" s="337"/>
      <c r="Y30" s="337"/>
      <c r="Z30" s="349"/>
      <c r="AA30" s="341"/>
      <c r="AB30" s="336"/>
      <c r="AC30" s="336"/>
      <c r="AD30" s="336"/>
      <c r="AE30" s="336"/>
      <c r="AF30" s="336"/>
      <c r="AG30" s="336"/>
      <c r="AH30" s="336"/>
      <c r="AI30" s="340"/>
      <c r="AJ30" s="333" t="str">
        <f t="shared" si="2"/>
        <v/>
      </c>
      <c r="AK30" s="316" t="str">
        <f>IF(AJ30="","",AJ30+AK29+'OS Offset'!I30)</f>
        <v/>
      </c>
      <c r="AL30" s="317">
        <f t="shared" si="3"/>
        <v>0</v>
      </c>
    </row>
    <row r="31" spans="1:38" ht="33.9" customHeight="1" x14ac:dyDescent="0.45">
      <c r="A31" s="351"/>
      <c r="B31" s="352"/>
      <c r="C31" s="351"/>
      <c r="D31" s="353"/>
      <c r="E31" s="353"/>
      <c r="F31" s="353"/>
      <c r="G31" s="342"/>
      <c r="H31" s="343"/>
      <c r="I31" s="344"/>
      <c r="J31" s="344"/>
      <c r="K31" s="344"/>
      <c r="L31" s="344"/>
      <c r="M31" s="344"/>
      <c r="N31" s="344"/>
      <c r="O31" s="344"/>
      <c r="P31" s="314"/>
      <c r="Q31" s="315" t="str">
        <f t="shared" si="0"/>
        <v/>
      </c>
      <c r="R31" s="356" t="str">
        <f>IF(Q31="","",Q31+R30+'OS Offset'!B31)</f>
        <v/>
      </c>
      <c r="S31" s="317">
        <f t="shared" si="1"/>
        <v>0</v>
      </c>
      <c r="T31" s="350"/>
      <c r="U31" s="354"/>
      <c r="V31" s="350"/>
      <c r="W31" s="355"/>
      <c r="X31" s="355"/>
      <c r="Y31" s="355"/>
      <c r="Z31" s="365"/>
      <c r="AA31" s="339"/>
      <c r="AB31" s="337"/>
      <c r="AC31" s="337"/>
      <c r="AD31" s="337"/>
      <c r="AE31" s="337"/>
      <c r="AF31" s="337"/>
      <c r="AG31" s="337"/>
      <c r="AH31" s="337"/>
      <c r="AI31" s="338"/>
      <c r="AJ31" s="332" t="str">
        <f t="shared" si="2"/>
        <v/>
      </c>
      <c r="AK31" s="316" t="str">
        <f>IF(AJ31="","",AJ31+AK30+'OS Offset'!I31)</f>
        <v/>
      </c>
      <c r="AL31" s="317">
        <f t="shared" si="3"/>
        <v>0</v>
      </c>
    </row>
    <row r="32" spans="1:38" ht="33.9" customHeight="1" x14ac:dyDescent="0.45">
      <c r="A32" s="343"/>
      <c r="B32" s="358"/>
      <c r="C32" s="343"/>
      <c r="D32" s="344"/>
      <c r="E32" s="344"/>
      <c r="F32" s="344"/>
      <c r="G32" s="357"/>
      <c r="H32" s="345"/>
      <c r="I32" s="346"/>
      <c r="J32" s="346"/>
      <c r="K32" s="346"/>
      <c r="L32" s="346"/>
      <c r="M32" s="346"/>
      <c r="N32" s="346"/>
      <c r="O32" s="346"/>
      <c r="P32" s="325"/>
      <c r="Q32" s="347" t="str">
        <f t="shared" si="0"/>
        <v/>
      </c>
      <c r="R32" s="356" t="str">
        <f>IF(Q32="","",Q32+R31+'OS Offset'!B32)</f>
        <v/>
      </c>
      <c r="S32" s="317">
        <f t="shared" si="1"/>
        <v>0</v>
      </c>
      <c r="T32" s="343"/>
      <c r="U32" s="348"/>
      <c r="V32" s="339"/>
      <c r="W32" s="337"/>
      <c r="X32" s="337"/>
      <c r="Y32" s="337"/>
      <c r="Z32" s="349"/>
      <c r="AA32" s="341"/>
      <c r="AB32" s="336"/>
      <c r="AC32" s="336"/>
      <c r="AD32" s="336"/>
      <c r="AE32" s="336"/>
      <c r="AF32" s="336"/>
      <c r="AG32" s="336"/>
      <c r="AH32" s="336"/>
      <c r="AI32" s="340"/>
      <c r="AJ32" s="333" t="str">
        <f t="shared" si="2"/>
        <v/>
      </c>
      <c r="AK32" s="316" t="str">
        <f>IF(AJ32="","",AJ32+AK31+'OS Offset'!I32)</f>
        <v/>
      </c>
      <c r="AL32" s="317">
        <f t="shared" si="3"/>
        <v>0</v>
      </c>
    </row>
    <row r="33" spans="1:38" ht="33.9" customHeight="1" x14ac:dyDescent="0.45">
      <c r="A33" s="351"/>
      <c r="B33" s="352"/>
      <c r="C33" s="351"/>
      <c r="D33" s="353"/>
      <c r="E33" s="353"/>
      <c r="F33" s="353"/>
      <c r="G33" s="342"/>
      <c r="H33" s="343"/>
      <c r="I33" s="344"/>
      <c r="J33" s="344"/>
      <c r="K33" s="344"/>
      <c r="L33" s="344"/>
      <c r="M33" s="344"/>
      <c r="N33" s="344"/>
      <c r="O33" s="344"/>
      <c r="P33" s="314"/>
      <c r="Q33" s="315" t="str">
        <f t="shared" si="0"/>
        <v/>
      </c>
      <c r="R33" s="356" t="str">
        <f>IF(Q33="","",Q33+R32+'OS Offset'!B33)</f>
        <v/>
      </c>
      <c r="S33" s="317">
        <f t="shared" si="1"/>
        <v>0</v>
      </c>
      <c r="T33" s="350"/>
      <c r="U33" s="354"/>
      <c r="V33" s="350"/>
      <c r="W33" s="355"/>
      <c r="X33" s="355"/>
      <c r="Y33" s="355"/>
      <c r="Z33" s="365"/>
      <c r="AA33" s="339"/>
      <c r="AB33" s="337"/>
      <c r="AC33" s="337"/>
      <c r="AD33" s="337"/>
      <c r="AE33" s="337"/>
      <c r="AF33" s="337"/>
      <c r="AG33" s="337"/>
      <c r="AH33" s="337"/>
      <c r="AI33" s="338"/>
      <c r="AJ33" s="332" t="str">
        <f t="shared" si="2"/>
        <v/>
      </c>
      <c r="AK33" s="316" t="str">
        <f>IF(AJ33="","",AJ33+AK32+'OS Offset'!I33)</f>
        <v/>
      </c>
      <c r="AL33" s="317">
        <f t="shared" si="3"/>
        <v>0</v>
      </c>
    </row>
    <row r="34" spans="1:38" ht="33.9" customHeight="1" x14ac:dyDescent="0.45">
      <c r="A34" s="343"/>
      <c r="B34" s="358"/>
      <c r="C34" s="343"/>
      <c r="D34" s="344"/>
      <c r="E34" s="344"/>
      <c r="F34" s="344"/>
      <c r="G34" s="357"/>
      <c r="H34" s="345"/>
      <c r="I34" s="346"/>
      <c r="J34" s="346"/>
      <c r="K34" s="346"/>
      <c r="L34" s="346"/>
      <c r="M34" s="346"/>
      <c r="N34" s="346"/>
      <c r="O34" s="346"/>
      <c r="P34" s="325"/>
      <c r="Q34" s="347" t="str">
        <f t="shared" si="0"/>
        <v/>
      </c>
      <c r="R34" s="356" t="str">
        <f>IF(Q34="","",Q34+R33+'OS Offset'!B34)</f>
        <v/>
      </c>
      <c r="S34" s="317">
        <f t="shared" si="1"/>
        <v>0</v>
      </c>
      <c r="T34" s="343"/>
      <c r="U34" s="348"/>
      <c r="V34" s="339"/>
      <c r="W34" s="337"/>
      <c r="X34" s="337"/>
      <c r="Y34" s="337"/>
      <c r="Z34" s="349"/>
      <c r="AA34" s="341"/>
      <c r="AB34" s="336"/>
      <c r="AC34" s="336"/>
      <c r="AD34" s="336"/>
      <c r="AE34" s="336"/>
      <c r="AF34" s="336"/>
      <c r="AG34" s="336"/>
      <c r="AH34" s="336"/>
      <c r="AI34" s="340"/>
      <c r="AJ34" s="333" t="str">
        <f t="shared" si="2"/>
        <v/>
      </c>
      <c r="AK34" s="316" t="str">
        <f>IF(AJ34="","",AJ34+AK33+'OS Offset'!I34)</f>
        <v/>
      </c>
      <c r="AL34" s="317">
        <f t="shared" si="3"/>
        <v>0</v>
      </c>
    </row>
    <row r="35" spans="1:38" ht="33.9" customHeight="1" x14ac:dyDescent="0.45">
      <c r="A35" s="351"/>
      <c r="B35" s="352"/>
      <c r="C35" s="351"/>
      <c r="D35" s="353"/>
      <c r="E35" s="353"/>
      <c r="F35" s="353"/>
      <c r="G35" s="342"/>
      <c r="H35" s="343"/>
      <c r="I35" s="344"/>
      <c r="J35" s="344"/>
      <c r="K35" s="344"/>
      <c r="L35" s="344"/>
      <c r="M35" s="344"/>
      <c r="N35" s="344"/>
      <c r="O35" s="344"/>
      <c r="P35" s="314"/>
      <c r="Q35" s="315" t="str">
        <f t="shared" si="0"/>
        <v/>
      </c>
      <c r="R35" s="356" t="str">
        <f>IF(Q35="","",Q35+R34+'OS Offset'!B35)</f>
        <v/>
      </c>
      <c r="S35" s="317">
        <f t="shared" si="1"/>
        <v>0</v>
      </c>
      <c r="T35" s="350"/>
      <c r="U35" s="354"/>
      <c r="V35" s="350"/>
      <c r="W35" s="355"/>
      <c r="X35" s="355"/>
      <c r="Y35" s="355"/>
      <c r="Z35" s="365"/>
      <c r="AA35" s="339"/>
      <c r="AB35" s="337"/>
      <c r="AC35" s="337"/>
      <c r="AD35" s="337"/>
      <c r="AE35" s="337"/>
      <c r="AF35" s="337"/>
      <c r="AG35" s="337"/>
      <c r="AH35" s="337"/>
      <c r="AI35" s="338"/>
      <c r="AJ35" s="332" t="str">
        <f t="shared" si="2"/>
        <v/>
      </c>
      <c r="AK35" s="316" t="str">
        <f>IF(AJ35="","",AJ35+AK34+'OS Offset'!I35)</f>
        <v/>
      </c>
      <c r="AL35" s="317">
        <f t="shared" si="3"/>
        <v>0</v>
      </c>
    </row>
    <row r="36" spans="1:38" ht="33.9" customHeight="1" x14ac:dyDescent="0.45">
      <c r="A36" s="343"/>
      <c r="B36" s="358"/>
      <c r="C36" s="343"/>
      <c r="D36" s="344"/>
      <c r="E36" s="344"/>
      <c r="F36" s="344"/>
      <c r="G36" s="357"/>
      <c r="H36" s="345"/>
      <c r="I36" s="346"/>
      <c r="J36" s="346"/>
      <c r="K36" s="346"/>
      <c r="L36" s="346"/>
      <c r="M36" s="346"/>
      <c r="N36" s="346"/>
      <c r="O36" s="346"/>
      <c r="P36" s="325"/>
      <c r="Q36" s="347" t="str">
        <f t="shared" si="0"/>
        <v/>
      </c>
      <c r="R36" s="356" t="str">
        <f>IF(Q36="","",Q36+R35+'OS Offset'!B36)</f>
        <v/>
      </c>
      <c r="S36" s="317">
        <f t="shared" si="1"/>
        <v>0</v>
      </c>
      <c r="T36" s="343"/>
      <c r="U36" s="348"/>
      <c r="V36" s="339"/>
      <c r="W36" s="337"/>
      <c r="X36" s="337"/>
      <c r="Y36" s="337"/>
      <c r="Z36" s="349"/>
      <c r="AA36" s="341"/>
      <c r="AB36" s="336"/>
      <c r="AC36" s="336"/>
      <c r="AD36" s="336"/>
      <c r="AE36" s="336"/>
      <c r="AF36" s="336"/>
      <c r="AG36" s="336"/>
      <c r="AH36" s="336"/>
      <c r="AI36" s="340"/>
      <c r="AJ36" s="333" t="str">
        <f t="shared" si="2"/>
        <v/>
      </c>
      <c r="AK36" s="316" t="str">
        <f>IF(AJ36="","",AJ36+AK35+'OS Offset'!I36)</f>
        <v/>
      </c>
      <c r="AL36" s="317">
        <f t="shared" si="3"/>
        <v>0</v>
      </c>
    </row>
    <row r="37" spans="1:38" ht="33.9" customHeight="1" x14ac:dyDescent="0.45">
      <c r="A37" s="351"/>
      <c r="B37" s="352"/>
      <c r="C37" s="351"/>
      <c r="D37" s="353"/>
      <c r="E37" s="353"/>
      <c r="F37" s="353"/>
      <c r="G37" s="342"/>
      <c r="H37" s="343"/>
      <c r="I37" s="344"/>
      <c r="J37" s="344"/>
      <c r="K37" s="344"/>
      <c r="L37" s="344"/>
      <c r="M37" s="344"/>
      <c r="N37" s="344"/>
      <c r="O37" s="344"/>
      <c r="P37" s="314"/>
      <c r="Q37" s="315" t="str">
        <f t="shared" si="0"/>
        <v/>
      </c>
      <c r="R37" s="356" t="str">
        <f>IF(Q37="","",Q37+R36+'OS Offset'!B37)</f>
        <v/>
      </c>
      <c r="S37" s="317">
        <f t="shared" si="1"/>
        <v>0</v>
      </c>
      <c r="T37" s="350"/>
      <c r="U37" s="354"/>
      <c r="V37" s="350"/>
      <c r="W37" s="355"/>
      <c r="X37" s="355"/>
      <c r="Y37" s="355"/>
      <c r="Z37" s="365"/>
      <c r="AA37" s="339"/>
      <c r="AB37" s="337"/>
      <c r="AC37" s="337"/>
      <c r="AD37" s="337"/>
      <c r="AE37" s="337"/>
      <c r="AF37" s="337"/>
      <c r="AG37" s="337"/>
      <c r="AH37" s="337"/>
      <c r="AI37" s="338"/>
      <c r="AJ37" s="332" t="str">
        <f t="shared" si="2"/>
        <v/>
      </c>
      <c r="AK37" s="316" t="str">
        <f>IF(AJ37="","",AJ37+AK36+'OS Offset'!I37)</f>
        <v/>
      </c>
      <c r="AL37" s="317">
        <f t="shared" si="3"/>
        <v>0</v>
      </c>
    </row>
    <row r="38" spans="1:38" ht="33.9" customHeight="1" x14ac:dyDescent="0.45">
      <c r="A38" s="343"/>
      <c r="B38" s="358"/>
      <c r="C38" s="343"/>
      <c r="D38" s="344"/>
      <c r="E38" s="344"/>
      <c r="F38" s="344"/>
      <c r="G38" s="357"/>
      <c r="H38" s="345"/>
      <c r="I38" s="346"/>
      <c r="J38" s="346"/>
      <c r="K38" s="346"/>
      <c r="L38" s="346"/>
      <c r="M38" s="346"/>
      <c r="N38" s="346"/>
      <c r="O38" s="346"/>
      <c r="P38" s="325"/>
      <c r="Q38" s="347" t="str">
        <f t="shared" si="0"/>
        <v/>
      </c>
      <c r="R38" s="356" t="str">
        <f>IF(Q38="","",Q38+R37+'OS Offset'!B38)</f>
        <v/>
      </c>
      <c r="S38" s="317">
        <f t="shared" si="1"/>
        <v>0</v>
      </c>
      <c r="T38" s="343"/>
      <c r="U38" s="348"/>
      <c r="V38" s="339"/>
      <c r="W38" s="337"/>
      <c r="X38" s="337"/>
      <c r="Y38" s="337"/>
      <c r="Z38" s="349"/>
      <c r="AA38" s="341"/>
      <c r="AB38" s="336"/>
      <c r="AC38" s="336"/>
      <c r="AD38" s="336"/>
      <c r="AE38" s="336"/>
      <c r="AF38" s="336"/>
      <c r="AG38" s="336"/>
      <c r="AH38" s="336"/>
      <c r="AI38" s="340"/>
      <c r="AJ38" s="333" t="str">
        <f t="shared" si="2"/>
        <v/>
      </c>
      <c r="AK38" s="316" t="str">
        <f>IF(AJ38="","",AJ38+AK37+'OS Offset'!I38)</f>
        <v/>
      </c>
      <c r="AL38" s="317">
        <f t="shared" si="3"/>
        <v>0</v>
      </c>
    </row>
    <row r="39" spans="1:38" ht="33.9" customHeight="1" x14ac:dyDescent="0.45">
      <c r="A39" s="351"/>
      <c r="B39" s="352"/>
      <c r="C39" s="351"/>
      <c r="D39" s="353"/>
      <c r="E39" s="353"/>
      <c r="F39" s="353"/>
      <c r="G39" s="342"/>
      <c r="H39" s="343"/>
      <c r="I39" s="344"/>
      <c r="J39" s="344"/>
      <c r="K39" s="344"/>
      <c r="L39" s="344"/>
      <c r="M39" s="344"/>
      <c r="N39" s="344"/>
      <c r="O39" s="344"/>
      <c r="P39" s="314"/>
      <c r="Q39" s="315" t="str">
        <f t="shared" si="0"/>
        <v/>
      </c>
      <c r="R39" s="356" t="str">
        <f>IF(Q39="","",Q39+R38+'OS Offset'!B39)</f>
        <v/>
      </c>
      <c r="S39" s="317">
        <f t="shared" si="1"/>
        <v>0</v>
      </c>
      <c r="T39" s="350"/>
      <c r="U39" s="354"/>
      <c r="V39" s="350"/>
      <c r="W39" s="355"/>
      <c r="X39" s="355"/>
      <c r="Y39" s="355"/>
      <c r="Z39" s="365"/>
      <c r="AA39" s="339"/>
      <c r="AB39" s="337"/>
      <c r="AC39" s="337"/>
      <c r="AD39" s="337"/>
      <c r="AE39" s="337"/>
      <c r="AF39" s="337"/>
      <c r="AG39" s="337"/>
      <c r="AH39" s="337"/>
      <c r="AI39" s="338"/>
      <c r="AJ39" s="332" t="str">
        <f t="shared" si="2"/>
        <v/>
      </c>
      <c r="AK39" s="316" t="str">
        <f>IF(AJ39="","",AJ39+AK38+'OS Offset'!I39)</f>
        <v/>
      </c>
      <c r="AL39" s="317">
        <f t="shared" si="3"/>
        <v>0</v>
      </c>
    </row>
    <row r="40" spans="1:38" ht="33.9" customHeight="1" x14ac:dyDescent="0.45">
      <c r="A40" s="343"/>
      <c r="B40" s="358"/>
      <c r="C40" s="343"/>
      <c r="D40" s="344"/>
      <c r="E40" s="344"/>
      <c r="F40" s="344"/>
      <c r="G40" s="357"/>
      <c r="H40" s="345"/>
      <c r="I40" s="346"/>
      <c r="J40" s="346"/>
      <c r="K40" s="346"/>
      <c r="L40" s="346"/>
      <c r="M40" s="346"/>
      <c r="N40" s="346"/>
      <c r="O40" s="346"/>
      <c r="P40" s="325"/>
      <c r="Q40" s="347" t="str">
        <f t="shared" si="0"/>
        <v/>
      </c>
      <c r="R40" s="356" t="str">
        <f>IF(Q40="","",Q40+R39+'OS Offset'!B40)</f>
        <v/>
      </c>
      <c r="S40" s="317">
        <f t="shared" si="1"/>
        <v>0</v>
      </c>
      <c r="T40" s="343"/>
      <c r="U40" s="348"/>
      <c r="V40" s="339"/>
      <c r="W40" s="337"/>
      <c r="X40" s="337"/>
      <c r="Y40" s="337"/>
      <c r="Z40" s="349"/>
      <c r="AA40" s="341"/>
      <c r="AB40" s="336"/>
      <c r="AC40" s="336"/>
      <c r="AD40" s="336"/>
      <c r="AE40" s="336"/>
      <c r="AF40" s="336"/>
      <c r="AG40" s="336"/>
      <c r="AH40" s="336"/>
      <c r="AI40" s="340"/>
      <c r="AJ40" s="333" t="str">
        <f t="shared" si="2"/>
        <v/>
      </c>
      <c r="AK40" s="316" t="str">
        <f>IF(AJ40="","",AJ40+AK39+'OS Offset'!I40)</f>
        <v/>
      </c>
      <c r="AL40" s="317">
        <f t="shared" si="3"/>
        <v>0</v>
      </c>
    </row>
    <row r="41" spans="1:38" ht="33.9" customHeight="1" thickBot="1" x14ac:dyDescent="0.5">
      <c r="A41" s="378"/>
      <c r="B41" s="462"/>
      <c r="C41" s="378"/>
      <c r="D41" s="382"/>
      <c r="E41" s="382"/>
      <c r="F41" s="382"/>
      <c r="G41" s="383"/>
      <c r="H41" s="379"/>
      <c r="I41" s="377"/>
      <c r="J41" s="377"/>
      <c r="K41" s="377"/>
      <c r="L41" s="377"/>
      <c r="M41" s="377"/>
      <c r="N41" s="377"/>
      <c r="O41" s="377"/>
      <c r="P41" s="386"/>
      <c r="Q41" s="332" t="str">
        <f t="shared" si="0"/>
        <v/>
      </c>
      <c r="R41" s="384" t="str">
        <f>IF(Q41="","",Q41+R40+'OS Offset'!B41)</f>
        <v/>
      </c>
      <c r="S41" s="317">
        <f t="shared" si="1"/>
        <v>0</v>
      </c>
      <c r="T41" s="350"/>
      <c r="U41" s="354"/>
      <c r="V41" s="350"/>
      <c r="W41" s="355"/>
      <c r="X41" s="355"/>
      <c r="Y41" s="355"/>
      <c r="Z41" s="365"/>
      <c r="AA41" s="339"/>
      <c r="AB41" s="337"/>
      <c r="AC41" s="337"/>
      <c r="AD41" s="337"/>
      <c r="AE41" s="337"/>
      <c r="AF41" s="337"/>
      <c r="AG41" s="337"/>
      <c r="AH41" s="337"/>
      <c r="AI41" s="338"/>
      <c r="AJ41" s="332" t="str">
        <f t="shared" si="2"/>
        <v/>
      </c>
      <c r="AK41" s="384" t="str">
        <f>IF(AJ41="","",AJ41+AK40+'OS Offset'!I41)</f>
        <v/>
      </c>
      <c r="AL41" s="317">
        <f t="shared" si="3"/>
        <v>0</v>
      </c>
    </row>
    <row r="42" spans="1:38" s="6" customFormat="1" ht="32.1" customHeight="1" thickBot="1" x14ac:dyDescent="0.3">
      <c r="A42" s="476">
        <f>IF(COUNT(A4:A41),COUNT(A4:A41),"")</f>
        <v>19</v>
      </c>
      <c r="B42" s="477" t="s">
        <v>133</v>
      </c>
      <c r="C42" s="464">
        <f>IF($A$42="","",COUNTIF(C$4:C$41, "X"))</f>
        <v>2</v>
      </c>
      <c r="D42" s="459">
        <f>IF($A$42="","",COUNTIF(D$4:D$41, "X"))</f>
        <v>14</v>
      </c>
      <c r="E42" s="459">
        <f>IF($A$42="","",COUNTIF(E$4:E$41, "X"))</f>
        <v>9</v>
      </c>
      <c r="F42" s="459">
        <f>IF($A$42="","",COUNTIF(F$4:F$41, "X"))</f>
        <v>0</v>
      </c>
      <c r="G42" s="459">
        <f>IF($A$42="","",COUNTIF(G$4:G$41, "X"))</f>
        <v>0</v>
      </c>
      <c r="H42" s="465">
        <f t="shared" ref="H42:Q42" si="4">IF(COUNT(H4:H41),SUM(H4:H41),"")</f>
        <v>64</v>
      </c>
      <c r="I42" s="466">
        <f t="shared" si="4"/>
        <v>35</v>
      </c>
      <c r="J42" s="466">
        <f t="shared" si="4"/>
        <v>22</v>
      </c>
      <c r="K42" s="466">
        <f t="shared" si="4"/>
        <v>5</v>
      </c>
      <c r="L42" s="466" t="str">
        <f t="shared" si="4"/>
        <v/>
      </c>
      <c r="M42" s="466" t="str">
        <f t="shared" si="4"/>
        <v/>
      </c>
      <c r="N42" s="466" t="str">
        <f t="shared" si="4"/>
        <v/>
      </c>
      <c r="O42" s="466" t="str">
        <f t="shared" si="4"/>
        <v/>
      </c>
      <c r="P42" s="467" t="str">
        <f t="shared" si="4"/>
        <v/>
      </c>
      <c r="Q42" s="468">
        <f t="shared" si="4"/>
        <v>126</v>
      </c>
      <c r="R42" s="469">
        <f>IF(A42="","",MAX(R4:R41))</f>
        <v>126</v>
      </c>
      <c r="S42" s="461"/>
      <c r="T42" s="475">
        <f>IF(COUNT(T4:T41),COUNT(T4:T41),"")</f>
        <v>19</v>
      </c>
      <c r="U42" s="477" t="s">
        <v>133</v>
      </c>
      <c r="V42" s="471">
        <f>IF($T$42="","",COUNTIF(V$4:V$41, "X"))</f>
        <v>1</v>
      </c>
      <c r="W42" s="459">
        <f>IF($T$42="","",COUNTIF(W$4:W$41, "X"))</f>
        <v>5</v>
      </c>
      <c r="X42" s="459">
        <f>IF($T$42="","",COUNTIF(X$4:X$41, "X"))</f>
        <v>5</v>
      </c>
      <c r="Y42" s="459">
        <f>IF($T$42="","",COUNTIF(Y$4:Y$41, "X"))</f>
        <v>0</v>
      </c>
      <c r="Z42" s="459">
        <f>IF($T$42="","",COUNTIF(Z$4:Z$41, "X"))</f>
        <v>4</v>
      </c>
      <c r="AA42" s="472">
        <f t="shared" ref="AA42:AJ42" si="5">IF(COUNT(AA4:AA41),SUM(AA4:AA41),"")</f>
        <v>20</v>
      </c>
      <c r="AB42" s="466">
        <f t="shared" si="5"/>
        <v>5</v>
      </c>
      <c r="AC42" s="466">
        <f t="shared" si="5"/>
        <v>0</v>
      </c>
      <c r="AD42" s="466" t="str">
        <f t="shared" si="5"/>
        <v/>
      </c>
      <c r="AE42" s="466" t="str">
        <f t="shared" si="5"/>
        <v/>
      </c>
      <c r="AF42" s="466" t="str">
        <f t="shared" si="5"/>
        <v/>
      </c>
      <c r="AG42" s="466" t="str">
        <f t="shared" si="5"/>
        <v/>
      </c>
      <c r="AH42" s="466" t="str">
        <f t="shared" si="5"/>
        <v/>
      </c>
      <c r="AI42" s="473" t="str">
        <f t="shared" si="5"/>
        <v/>
      </c>
      <c r="AJ42" s="474">
        <f t="shared" si="5"/>
        <v>25</v>
      </c>
      <c r="AK42" s="475">
        <f>IF(T42="","",MAX(AK4:AK41))</f>
        <v>25</v>
      </c>
      <c r="AL42" s="374"/>
    </row>
    <row r="43" spans="1:38" ht="30" customHeight="1" x14ac:dyDescent="0.45">
      <c r="A43" s="923" t="str">
        <f>A1</f>
        <v>Tri-City Roller Derby / Plan B</v>
      </c>
      <c r="B43" s="923"/>
      <c r="C43" s="923"/>
      <c r="D43" s="923"/>
      <c r="E43" s="923"/>
      <c r="F43" s="923"/>
      <c r="G43" s="923"/>
      <c r="H43" s="923"/>
      <c r="I43" s="929" t="str">
        <f>IF(ISBLANK(I1), "", I1)</f>
        <v>Black</v>
      </c>
      <c r="J43" s="929"/>
      <c r="K43" s="238">
        <f>IF(ISBLANK(IGRF!$B$7), "", IGRF!$B$7)</f>
        <v>42105</v>
      </c>
      <c r="L43" s="921" t="s">
        <v>660</v>
      </c>
      <c r="M43" s="921"/>
      <c r="N43" s="921"/>
      <c r="O43" s="922" t="s">
        <v>645</v>
      </c>
      <c r="P43" s="922"/>
      <c r="Q43" s="922"/>
      <c r="R43" s="1">
        <v>2</v>
      </c>
      <c r="S43" s="2"/>
      <c r="T43" s="923" t="str">
        <f>T1</f>
        <v>Hammer City Roller Girls / Harlots</v>
      </c>
      <c r="U43" s="923"/>
      <c r="V43" s="923"/>
      <c r="W43" s="923"/>
      <c r="X43" s="923"/>
      <c r="Y43" s="923"/>
      <c r="Z43" s="923"/>
      <c r="AA43" s="923"/>
      <c r="AB43" s="929" t="str">
        <f>IF(ISBLANK(AB1), "", AB1)</f>
        <v>White</v>
      </c>
      <c r="AC43" s="929"/>
      <c r="AD43" s="238">
        <f>IF(ISBLANK(IGRF!$B$7), "", IGRF!$B$7)</f>
        <v>42105</v>
      </c>
      <c r="AE43" s="921" t="s">
        <v>635</v>
      </c>
      <c r="AF43" s="921"/>
      <c r="AG43" s="921"/>
      <c r="AH43" s="922" t="s">
        <v>647</v>
      </c>
      <c r="AI43" s="922"/>
      <c r="AJ43" s="922"/>
      <c r="AK43" s="1">
        <v>2</v>
      </c>
    </row>
    <row r="44" spans="1:38" ht="15" customHeight="1" thickBot="1" x14ac:dyDescent="0.35">
      <c r="A44" s="924"/>
      <c r="B44" s="924"/>
      <c r="C44" s="924"/>
      <c r="D44" s="924"/>
      <c r="E44" s="924"/>
      <c r="F44" s="924"/>
      <c r="G44" s="924"/>
      <c r="H44" s="924"/>
      <c r="I44" s="930" t="s">
        <v>245</v>
      </c>
      <c r="J44" s="930"/>
      <c r="K44" s="11" t="s">
        <v>248</v>
      </c>
      <c r="L44" s="925" t="s">
        <v>238</v>
      </c>
      <c r="M44" s="925"/>
      <c r="N44" s="925"/>
      <c r="O44" s="926" t="s">
        <v>247</v>
      </c>
      <c r="P44" s="926"/>
      <c r="Q44" s="926"/>
      <c r="R44" s="4" t="str">
        <f>R2</f>
        <v>GAME 2</v>
      </c>
      <c r="S44" s="2"/>
      <c r="T44" s="924"/>
      <c r="U44" s="924"/>
      <c r="V44" s="924"/>
      <c r="W44" s="924"/>
      <c r="X44" s="924"/>
      <c r="Y44" s="924"/>
      <c r="Z44" s="924"/>
      <c r="AA44" s="924"/>
      <c r="AB44" s="930" t="s">
        <v>245</v>
      </c>
      <c r="AC44" s="930"/>
      <c r="AD44" s="11" t="s">
        <v>248</v>
      </c>
      <c r="AE44" s="925" t="s">
        <v>238</v>
      </c>
      <c r="AF44" s="925"/>
      <c r="AG44" s="925"/>
      <c r="AH44" s="926" t="s">
        <v>247</v>
      </c>
      <c r="AI44" s="926"/>
      <c r="AJ44" s="926"/>
      <c r="AK44" s="4" t="str">
        <f>AK2</f>
        <v>GAME 2</v>
      </c>
    </row>
    <row r="45" spans="1:38" ht="34.5" customHeight="1" thickBot="1" x14ac:dyDescent="0.5">
      <c r="A45" s="287" t="s">
        <v>191</v>
      </c>
      <c r="B45" s="288" t="s">
        <v>192</v>
      </c>
      <c r="C45" s="289" t="s">
        <v>193</v>
      </c>
      <c r="D45" s="290" t="s">
        <v>194</v>
      </c>
      <c r="E45" s="290" t="s">
        <v>195</v>
      </c>
      <c r="F45" s="290" t="s">
        <v>196</v>
      </c>
      <c r="G45" s="291" t="s">
        <v>197</v>
      </c>
      <c r="H45" s="292" t="s">
        <v>198</v>
      </c>
      <c r="I45" s="293" t="s">
        <v>199</v>
      </c>
      <c r="J45" s="293" t="s">
        <v>200</v>
      </c>
      <c r="K45" s="293" t="s">
        <v>126</v>
      </c>
      <c r="L45" s="293" t="s">
        <v>127</v>
      </c>
      <c r="M45" s="293" t="s">
        <v>128</v>
      </c>
      <c r="N45" s="293" t="s">
        <v>129</v>
      </c>
      <c r="O45" s="293" t="s">
        <v>0</v>
      </c>
      <c r="P45" s="293" t="s">
        <v>1</v>
      </c>
      <c r="Q45" s="294" t="s">
        <v>130</v>
      </c>
      <c r="R45" s="8">
        <f>R42</f>
        <v>126</v>
      </c>
      <c r="S45" s="5" t="s">
        <v>132</v>
      </c>
      <c r="T45" s="287" t="s">
        <v>191</v>
      </c>
      <c r="U45" s="288" t="s">
        <v>192</v>
      </c>
      <c r="V45" s="289" t="s">
        <v>193</v>
      </c>
      <c r="W45" s="290" t="s">
        <v>194</v>
      </c>
      <c r="X45" s="290" t="s">
        <v>195</v>
      </c>
      <c r="Y45" s="290" t="s">
        <v>196</v>
      </c>
      <c r="Z45" s="291" t="s">
        <v>197</v>
      </c>
      <c r="AA45" s="292" t="s">
        <v>198</v>
      </c>
      <c r="AB45" s="293" t="s">
        <v>199</v>
      </c>
      <c r="AC45" s="293" t="s">
        <v>200</v>
      </c>
      <c r="AD45" s="293" t="s">
        <v>126</v>
      </c>
      <c r="AE45" s="293" t="s">
        <v>127</v>
      </c>
      <c r="AF45" s="293" t="s">
        <v>128</v>
      </c>
      <c r="AG45" s="293" t="s">
        <v>129</v>
      </c>
      <c r="AH45" s="293" t="s">
        <v>0</v>
      </c>
      <c r="AI45" s="293" t="s">
        <v>1</v>
      </c>
      <c r="AJ45" s="294" t="s">
        <v>130</v>
      </c>
      <c r="AK45" s="9">
        <f>AK42</f>
        <v>25</v>
      </c>
      <c r="AL45" s="10" t="s">
        <v>132</v>
      </c>
    </row>
    <row r="46" spans="1:38" ht="33.9" customHeight="1" x14ac:dyDescent="0.45">
      <c r="A46" s="335">
        <v>1</v>
      </c>
      <c r="B46" s="368" t="s">
        <v>588</v>
      </c>
      <c r="C46" s="335"/>
      <c r="D46" s="369" t="s">
        <v>140</v>
      </c>
      <c r="E46" s="369" t="s">
        <v>140</v>
      </c>
      <c r="F46" s="369"/>
      <c r="G46" s="372"/>
      <c r="H46" s="373">
        <v>5</v>
      </c>
      <c r="I46" s="370">
        <v>5</v>
      </c>
      <c r="J46" s="370">
        <v>5</v>
      </c>
      <c r="K46" s="370"/>
      <c r="L46" s="370"/>
      <c r="M46" s="370"/>
      <c r="N46" s="370"/>
      <c r="O46" s="370"/>
      <c r="P46" s="371"/>
      <c r="Q46" s="327">
        <f t="shared" ref="Q46:Q83" si="6">IF(ISBLANK(A46),"",IF(ISBLANK(G46),SUM(H46:P46),0))</f>
        <v>15</v>
      </c>
      <c r="R46" s="316">
        <f>IF(Q46="","",Q46+R45+'OS Offset'!B46)</f>
        <v>141</v>
      </c>
      <c r="S46" s="317">
        <f t="shared" ref="S46:S83" si="7">IF(G46="X",0,COUNT(H46:P46))</f>
        <v>3</v>
      </c>
      <c r="T46" s="376">
        <v>1</v>
      </c>
      <c r="U46" s="368" t="s">
        <v>623</v>
      </c>
      <c r="V46" s="335"/>
      <c r="W46" s="369"/>
      <c r="X46" s="369"/>
      <c r="Y46" s="369"/>
      <c r="Z46" s="372" t="s">
        <v>140</v>
      </c>
      <c r="AA46" s="373"/>
      <c r="AB46" s="370"/>
      <c r="AC46" s="370"/>
      <c r="AD46" s="370"/>
      <c r="AE46" s="370"/>
      <c r="AF46" s="370"/>
      <c r="AG46" s="370"/>
      <c r="AH46" s="370"/>
      <c r="AI46" s="371"/>
      <c r="AJ46" s="327">
        <f t="shared" ref="AJ46:AJ83" si="8">IF(ISBLANK(T46),"",IF(ISBLANK(Z46),SUM(AA46:AI46),0))</f>
        <v>0</v>
      </c>
      <c r="AK46" s="375">
        <f>IF(AJ46="","",AJ46+AK45+'OS Offset'!I46)</f>
        <v>25</v>
      </c>
      <c r="AL46" s="317">
        <f t="shared" ref="AL46:AL83" si="9">IF(Z46="X",0,COUNT(AA46:AI46))</f>
        <v>0</v>
      </c>
    </row>
    <row r="47" spans="1:38" ht="33.9" customHeight="1" x14ac:dyDescent="0.45">
      <c r="A47" s="320">
        <v>2</v>
      </c>
      <c r="B47" s="319" t="s">
        <v>580</v>
      </c>
      <c r="C47" s="320"/>
      <c r="D47" s="321" t="s">
        <v>140</v>
      </c>
      <c r="E47" s="321" t="s">
        <v>140</v>
      </c>
      <c r="F47" s="321"/>
      <c r="G47" s="322"/>
      <c r="H47" s="323">
        <v>5</v>
      </c>
      <c r="I47" s="313">
        <v>2</v>
      </c>
      <c r="J47" s="313"/>
      <c r="K47" s="313"/>
      <c r="L47" s="313"/>
      <c r="M47" s="313"/>
      <c r="N47" s="313"/>
      <c r="O47" s="313"/>
      <c r="P47" s="314"/>
      <c r="Q47" s="315">
        <f t="shared" si="6"/>
        <v>7</v>
      </c>
      <c r="R47" s="316">
        <f>IF(Q47="","",Q47+R46+'OS Offset'!B47)</f>
        <v>148</v>
      </c>
      <c r="S47" s="317">
        <f t="shared" si="7"/>
        <v>2</v>
      </c>
      <c r="T47" s="318">
        <v>2</v>
      </c>
      <c r="U47" s="319" t="s">
        <v>606</v>
      </c>
      <c r="V47" s="320"/>
      <c r="W47" s="321"/>
      <c r="X47" s="321"/>
      <c r="Y47" s="321"/>
      <c r="Z47" s="322"/>
      <c r="AA47" s="323">
        <v>0</v>
      </c>
      <c r="AB47" s="313"/>
      <c r="AC47" s="313"/>
      <c r="AD47" s="313"/>
      <c r="AE47" s="313"/>
      <c r="AF47" s="313"/>
      <c r="AG47" s="313"/>
      <c r="AH47" s="313"/>
      <c r="AI47" s="314"/>
      <c r="AJ47" s="315">
        <f t="shared" si="8"/>
        <v>0</v>
      </c>
      <c r="AK47" s="316">
        <f>IF(AJ47="","",AJ47+AK46+'OS Offset'!I47)</f>
        <v>25</v>
      </c>
      <c r="AL47" s="317">
        <f t="shared" si="9"/>
        <v>1</v>
      </c>
    </row>
    <row r="48" spans="1:38" ht="33.9" customHeight="1" x14ac:dyDescent="0.45">
      <c r="A48" s="334">
        <v>3</v>
      </c>
      <c r="B48" s="331" t="s">
        <v>600</v>
      </c>
      <c r="C48" s="323" t="s">
        <v>140</v>
      </c>
      <c r="D48" s="313"/>
      <c r="E48" s="313"/>
      <c r="F48" s="313"/>
      <c r="G48" s="328"/>
      <c r="H48" s="329">
        <v>0</v>
      </c>
      <c r="I48" s="324"/>
      <c r="J48" s="324"/>
      <c r="K48" s="324"/>
      <c r="L48" s="324"/>
      <c r="M48" s="324"/>
      <c r="N48" s="324"/>
      <c r="O48" s="324"/>
      <c r="P48" s="325"/>
      <c r="Q48" s="333">
        <f t="shared" si="6"/>
        <v>0</v>
      </c>
      <c r="R48" s="316">
        <f>IF(Q48="","",Q48+R47+'OS Offset'!B48)</f>
        <v>148</v>
      </c>
      <c r="S48" s="317">
        <f t="shared" si="7"/>
        <v>1</v>
      </c>
      <c r="T48" s="330">
        <v>3</v>
      </c>
      <c r="U48" s="331" t="s">
        <v>629</v>
      </c>
      <c r="V48" s="323"/>
      <c r="W48" s="313" t="s">
        <v>140</v>
      </c>
      <c r="X48" s="313" t="s">
        <v>140</v>
      </c>
      <c r="Y48" s="313"/>
      <c r="Z48" s="328"/>
      <c r="AA48" s="329">
        <v>5</v>
      </c>
      <c r="AB48" s="324">
        <v>5</v>
      </c>
      <c r="AC48" s="324">
        <v>2</v>
      </c>
      <c r="AD48" s="324"/>
      <c r="AE48" s="324"/>
      <c r="AF48" s="324"/>
      <c r="AG48" s="324"/>
      <c r="AH48" s="324"/>
      <c r="AI48" s="325"/>
      <c r="AJ48" s="326">
        <f t="shared" si="8"/>
        <v>12</v>
      </c>
      <c r="AK48" s="316">
        <f>IF(AJ48="","",AJ48+AK47+'OS Offset'!I48)</f>
        <v>37</v>
      </c>
      <c r="AL48" s="317">
        <f t="shared" si="9"/>
        <v>3</v>
      </c>
    </row>
    <row r="49" spans="1:38" ht="33.9" customHeight="1" x14ac:dyDescent="0.45">
      <c r="A49" s="320">
        <v>4</v>
      </c>
      <c r="B49" s="319" t="s">
        <v>588</v>
      </c>
      <c r="C49" s="320"/>
      <c r="D49" s="321" t="s">
        <v>140</v>
      </c>
      <c r="E49" s="321" t="s">
        <v>140</v>
      </c>
      <c r="F49" s="321"/>
      <c r="G49" s="322"/>
      <c r="H49" s="323">
        <v>4</v>
      </c>
      <c r="I49" s="313">
        <v>0</v>
      </c>
      <c r="J49" s="313"/>
      <c r="K49" s="313"/>
      <c r="L49" s="313"/>
      <c r="M49" s="313"/>
      <c r="N49" s="313"/>
      <c r="O49" s="313"/>
      <c r="P49" s="314"/>
      <c r="Q49" s="332">
        <f t="shared" si="6"/>
        <v>4</v>
      </c>
      <c r="R49" s="316">
        <f>IF(Q49="","",Q49+R48+'OS Offset'!B49)</f>
        <v>152</v>
      </c>
      <c r="S49" s="317">
        <f t="shared" si="7"/>
        <v>2</v>
      </c>
      <c r="T49" s="318">
        <v>4</v>
      </c>
      <c r="U49" s="319" t="s">
        <v>617</v>
      </c>
      <c r="V49" s="320"/>
      <c r="W49" s="321"/>
      <c r="X49" s="321"/>
      <c r="Y49" s="321"/>
      <c r="Z49" s="322"/>
      <c r="AA49" s="323">
        <v>4</v>
      </c>
      <c r="AB49" s="313">
        <v>0</v>
      </c>
      <c r="AC49" s="313"/>
      <c r="AD49" s="313"/>
      <c r="AE49" s="313"/>
      <c r="AF49" s="313"/>
      <c r="AG49" s="313"/>
      <c r="AH49" s="313"/>
      <c r="AI49" s="314"/>
      <c r="AJ49" s="315">
        <f t="shared" si="8"/>
        <v>4</v>
      </c>
      <c r="AK49" s="316">
        <f>IF(AJ49="","",AJ49+AK48+'OS Offset'!I49)</f>
        <v>41</v>
      </c>
      <c r="AL49" s="317">
        <f t="shared" si="9"/>
        <v>2</v>
      </c>
    </row>
    <row r="50" spans="1:38" ht="33.9" customHeight="1" x14ac:dyDescent="0.45">
      <c r="A50" s="334">
        <v>5</v>
      </c>
      <c r="B50" s="331" t="s">
        <v>580</v>
      </c>
      <c r="C50" s="323"/>
      <c r="D50" s="313" t="s">
        <v>140</v>
      </c>
      <c r="E50" s="313" t="s">
        <v>140</v>
      </c>
      <c r="F50" s="313"/>
      <c r="G50" s="328"/>
      <c r="H50" s="329">
        <v>5</v>
      </c>
      <c r="I50" s="324">
        <v>4</v>
      </c>
      <c r="J50" s="324">
        <v>0</v>
      </c>
      <c r="K50" s="324"/>
      <c r="L50" s="324"/>
      <c r="M50" s="324"/>
      <c r="N50" s="324"/>
      <c r="O50" s="324"/>
      <c r="P50" s="325"/>
      <c r="Q50" s="333">
        <f t="shared" si="6"/>
        <v>9</v>
      </c>
      <c r="R50" s="316">
        <f>IF(Q50="","",Q50+R49+'OS Offset'!B50)</f>
        <v>161</v>
      </c>
      <c r="S50" s="317">
        <f t="shared" si="7"/>
        <v>3</v>
      </c>
      <c r="T50" s="330">
        <v>5</v>
      </c>
      <c r="U50" s="331" t="s">
        <v>606</v>
      </c>
      <c r="V50" s="323"/>
      <c r="W50" s="313"/>
      <c r="X50" s="313"/>
      <c r="Y50" s="313"/>
      <c r="Z50" s="328"/>
      <c r="AA50" s="329"/>
      <c r="AB50" s="324"/>
      <c r="AC50" s="324"/>
      <c r="AD50" s="324"/>
      <c r="AE50" s="324"/>
      <c r="AF50" s="324"/>
      <c r="AG50" s="324"/>
      <c r="AH50" s="324"/>
      <c r="AI50" s="325"/>
      <c r="AJ50" s="326">
        <f t="shared" si="8"/>
        <v>0</v>
      </c>
      <c r="AK50" s="316">
        <f>IF(AJ50="","",AJ50+AK49+'OS Offset'!I50)</f>
        <v>41</v>
      </c>
      <c r="AL50" s="317">
        <f t="shared" si="9"/>
        <v>0</v>
      </c>
    </row>
    <row r="51" spans="1:38" ht="33.9" customHeight="1" x14ac:dyDescent="0.45">
      <c r="A51" s="320" t="s">
        <v>658</v>
      </c>
      <c r="B51" s="319"/>
      <c r="C51" s="320"/>
      <c r="D51" s="321"/>
      <c r="E51" s="321"/>
      <c r="F51" s="321"/>
      <c r="G51" s="322"/>
      <c r="H51" s="323"/>
      <c r="I51" s="313"/>
      <c r="J51" s="313"/>
      <c r="K51" s="313"/>
      <c r="L51" s="313"/>
      <c r="M51" s="313"/>
      <c r="N51" s="313"/>
      <c r="O51" s="313"/>
      <c r="P51" s="314"/>
      <c r="Q51" s="332">
        <f t="shared" si="6"/>
        <v>0</v>
      </c>
      <c r="R51" s="316">
        <f>IF(Q51="","",Q51+R50+'OS Offset'!B51)</f>
        <v>161</v>
      </c>
      <c r="S51" s="317">
        <f t="shared" si="7"/>
        <v>0</v>
      </c>
      <c r="T51" s="318" t="s">
        <v>662</v>
      </c>
      <c r="U51" s="319" t="s">
        <v>621</v>
      </c>
      <c r="V51" s="320"/>
      <c r="W51" s="321"/>
      <c r="X51" s="321"/>
      <c r="Y51" s="321"/>
      <c r="Z51" s="322"/>
      <c r="AA51" s="323">
        <v>4</v>
      </c>
      <c r="AB51" s="313">
        <v>4</v>
      </c>
      <c r="AC51" s="313">
        <v>0</v>
      </c>
      <c r="AD51" s="313"/>
      <c r="AE51" s="313"/>
      <c r="AF51" s="313"/>
      <c r="AG51" s="313"/>
      <c r="AH51" s="313"/>
      <c r="AI51" s="314"/>
      <c r="AJ51" s="315">
        <f t="shared" si="8"/>
        <v>8</v>
      </c>
      <c r="AK51" s="316">
        <f>IF(AJ51="","",AJ51+AK50+'OS Offset'!I51)</f>
        <v>49</v>
      </c>
      <c r="AL51" s="317">
        <f t="shared" si="9"/>
        <v>3</v>
      </c>
    </row>
    <row r="52" spans="1:38" ht="33.9" customHeight="1" x14ac:dyDescent="0.45">
      <c r="A52" s="334">
        <v>6</v>
      </c>
      <c r="B52" s="331" t="s">
        <v>584</v>
      </c>
      <c r="C52" s="323"/>
      <c r="D52" s="313" t="s">
        <v>140</v>
      </c>
      <c r="E52" s="313" t="s">
        <v>140</v>
      </c>
      <c r="F52" s="313"/>
      <c r="G52" s="328"/>
      <c r="H52" s="329">
        <v>5</v>
      </c>
      <c r="I52" s="324">
        <v>5</v>
      </c>
      <c r="J52" s="324">
        <v>5</v>
      </c>
      <c r="K52" s="324">
        <v>5</v>
      </c>
      <c r="L52" s="324">
        <v>5</v>
      </c>
      <c r="M52" s="324">
        <v>5</v>
      </c>
      <c r="N52" s="324">
        <v>0</v>
      </c>
      <c r="O52" s="324"/>
      <c r="P52" s="325"/>
      <c r="Q52" s="333">
        <f t="shared" si="6"/>
        <v>30</v>
      </c>
      <c r="R52" s="316">
        <f>IF(Q52="","",Q52+R51+'OS Offset'!B52)</f>
        <v>191</v>
      </c>
      <c r="S52" s="317">
        <f t="shared" si="7"/>
        <v>7</v>
      </c>
      <c r="T52" s="330">
        <v>6</v>
      </c>
      <c r="U52" s="331" t="s">
        <v>623</v>
      </c>
      <c r="V52" s="323"/>
      <c r="W52" s="313"/>
      <c r="X52" s="313"/>
      <c r="Y52" s="313"/>
      <c r="Z52" s="328" t="s">
        <v>140</v>
      </c>
      <c r="AA52" s="329"/>
      <c r="AB52" s="324"/>
      <c r="AC52" s="324"/>
      <c r="AD52" s="324"/>
      <c r="AE52" s="324"/>
      <c r="AF52" s="324"/>
      <c r="AG52" s="324"/>
      <c r="AH52" s="324"/>
      <c r="AI52" s="325"/>
      <c r="AJ52" s="326">
        <f t="shared" si="8"/>
        <v>0</v>
      </c>
      <c r="AK52" s="316">
        <f>IF(AJ52="","",AJ52+AK51+'OS Offset'!I52)</f>
        <v>49</v>
      </c>
      <c r="AL52" s="317">
        <f t="shared" si="9"/>
        <v>0</v>
      </c>
    </row>
    <row r="53" spans="1:38" ht="33.9" customHeight="1" x14ac:dyDescent="0.45">
      <c r="A53" s="320" t="s">
        <v>658</v>
      </c>
      <c r="B53" s="319"/>
      <c r="C53" s="320"/>
      <c r="D53" s="321"/>
      <c r="E53" s="321"/>
      <c r="F53" s="321"/>
      <c r="G53" s="322"/>
      <c r="H53" s="323"/>
      <c r="I53" s="313"/>
      <c r="J53" s="313"/>
      <c r="K53" s="313"/>
      <c r="L53" s="313"/>
      <c r="M53" s="313"/>
      <c r="N53" s="313"/>
      <c r="O53" s="313"/>
      <c r="P53" s="314"/>
      <c r="Q53" s="332">
        <f t="shared" si="6"/>
        <v>0</v>
      </c>
      <c r="R53" s="316">
        <f>IF(Q53="","",Q53+R52+'OS Offset'!B53)</f>
        <v>191</v>
      </c>
      <c r="S53" s="317">
        <f t="shared" si="7"/>
        <v>0</v>
      </c>
      <c r="T53" s="318" t="s">
        <v>662</v>
      </c>
      <c r="U53" s="319" t="s">
        <v>612</v>
      </c>
      <c r="V53" s="320"/>
      <c r="W53" s="321"/>
      <c r="X53" s="321"/>
      <c r="Y53" s="321"/>
      <c r="Z53" s="322" t="s">
        <v>140</v>
      </c>
      <c r="AA53" s="323"/>
      <c r="AB53" s="313"/>
      <c r="AC53" s="313"/>
      <c r="AD53" s="313"/>
      <c r="AE53" s="313"/>
      <c r="AF53" s="313"/>
      <c r="AG53" s="313"/>
      <c r="AH53" s="313"/>
      <c r="AI53" s="314"/>
      <c r="AJ53" s="315">
        <f t="shared" si="8"/>
        <v>0</v>
      </c>
      <c r="AK53" s="316">
        <f>IF(AJ53="","",AJ53+AK52+'OS Offset'!I53)</f>
        <v>49</v>
      </c>
      <c r="AL53" s="317">
        <f t="shared" si="9"/>
        <v>0</v>
      </c>
    </row>
    <row r="54" spans="1:38" ht="33.9" customHeight="1" x14ac:dyDescent="0.45">
      <c r="A54" s="334">
        <v>7</v>
      </c>
      <c r="B54" s="331" t="s">
        <v>600</v>
      </c>
      <c r="C54" s="323"/>
      <c r="D54" s="313" t="s">
        <v>140</v>
      </c>
      <c r="E54" s="313" t="s">
        <v>140</v>
      </c>
      <c r="F54" s="313"/>
      <c r="G54" s="328"/>
      <c r="H54" s="329">
        <v>4</v>
      </c>
      <c r="I54" s="324">
        <v>0</v>
      </c>
      <c r="J54" s="324"/>
      <c r="K54" s="324"/>
      <c r="L54" s="324"/>
      <c r="M54" s="324"/>
      <c r="N54" s="324"/>
      <c r="O54" s="324"/>
      <c r="P54" s="325"/>
      <c r="Q54" s="333">
        <f t="shared" si="6"/>
        <v>4</v>
      </c>
      <c r="R54" s="316">
        <f>IF(Q54="","",Q54+R53+'OS Offset'!B54)</f>
        <v>195</v>
      </c>
      <c r="S54" s="317">
        <f t="shared" si="7"/>
        <v>2</v>
      </c>
      <c r="T54" s="330">
        <v>7</v>
      </c>
      <c r="U54" s="331" t="s">
        <v>612</v>
      </c>
      <c r="V54" s="323"/>
      <c r="W54" s="313"/>
      <c r="X54" s="313"/>
      <c r="Y54" s="313"/>
      <c r="Z54" s="328"/>
      <c r="AA54" s="329"/>
      <c r="AB54" s="324"/>
      <c r="AC54" s="324"/>
      <c r="AD54" s="324"/>
      <c r="AE54" s="324"/>
      <c r="AF54" s="324"/>
      <c r="AG54" s="324"/>
      <c r="AH54" s="324"/>
      <c r="AI54" s="325"/>
      <c r="AJ54" s="326">
        <f t="shared" si="8"/>
        <v>0</v>
      </c>
      <c r="AK54" s="316">
        <f>IF(AJ54="","",AJ54+AK53+'OS Offset'!I54)</f>
        <v>49</v>
      </c>
      <c r="AL54" s="317">
        <f t="shared" si="9"/>
        <v>0</v>
      </c>
    </row>
    <row r="55" spans="1:38" ht="33.9" customHeight="1" x14ac:dyDescent="0.45">
      <c r="A55" s="320" t="s">
        <v>658</v>
      </c>
      <c r="B55" s="319"/>
      <c r="C55" s="320"/>
      <c r="D55" s="321"/>
      <c r="E55" s="321"/>
      <c r="F55" s="321"/>
      <c r="G55" s="322"/>
      <c r="H55" s="323"/>
      <c r="I55" s="313"/>
      <c r="J55" s="313"/>
      <c r="K55" s="313"/>
      <c r="L55" s="313"/>
      <c r="M55" s="313"/>
      <c r="N55" s="313"/>
      <c r="O55" s="313"/>
      <c r="P55" s="314"/>
      <c r="Q55" s="332">
        <f t="shared" si="6"/>
        <v>0</v>
      </c>
      <c r="R55" s="316">
        <f>IF(Q55="","",Q55+R54+'OS Offset'!B55)</f>
        <v>195</v>
      </c>
      <c r="S55" s="317">
        <f t="shared" si="7"/>
        <v>0</v>
      </c>
      <c r="T55" s="318" t="s">
        <v>662</v>
      </c>
      <c r="U55" s="319" t="s">
        <v>621</v>
      </c>
      <c r="V55" s="320"/>
      <c r="W55" s="321"/>
      <c r="X55" s="321"/>
      <c r="Y55" s="321"/>
      <c r="Z55" s="322"/>
      <c r="AA55" s="323">
        <v>1</v>
      </c>
      <c r="AB55" s="313"/>
      <c r="AC55" s="313"/>
      <c r="AD55" s="313"/>
      <c r="AE55" s="313"/>
      <c r="AF55" s="313"/>
      <c r="AG55" s="313"/>
      <c r="AH55" s="313"/>
      <c r="AI55" s="314"/>
      <c r="AJ55" s="315">
        <f t="shared" si="8"/>
        <v>1</v>
      </c>
      <c r="AK55" s="316">
        <f>IF(AJ55="","",AJ55+AK54+'OS Offset'!I55)</f>
        <v>50</v>
      </c>
      <c r="AL55" s="317">
        <f t="shared" si="9"/>
        <v>1</v>
      </c>
    </row>
    <row r="56" spans="1:38" ht="33.9" customHeight="1" x14ac:dyDescent="0.45">
      <c r="A56" s="334">
        <v>8</v>
      </c>
      <c r="B56" s="331" t="s">
        <v>588</v>
      </c>
      <c r="C56" s="323"/>
      <c r="D56" s="313"/>
      <c r="E56" s="313"/>
      <c r="F56" s="313"/>
      <c r="G56" s="328"/>
      <c r="H56" s="329">
        <v>4</v>
      </c>
      <c r="I56" s="324">
        <v>0</v>
      </c>
      <c r="J56" s="324"/>
      <c r="K56" s="324"/>
      <c r="L56" s="324"/>
      <c r="M56" s="324"/>
      <c r="N56" s="324"/>
      <c r="O56" s="324"/>
      <c r="P56" s="325"/>
      <c r="Q56" s="333">
        <f t="shared" si="6"/>
        <v>4</v>
      </c>
      <c r="R56" s="316">
        <f>IF(Q56="","",Q56+R55+'OS Offset'!B56)</f>
        <v>199</v>
      </c>
      <c r="S56" s="317">
        <f t="shared" si="7"/>
        <v>2</v>
      </c>
      <c r="T56" s="330">
        <v>8</v>
      </c>
      <c r="U56" s="331" t="s">
        <v>629</v>
      </c>
      <c r="V56" s="323"/>
      <c r="W56" s="313" t="s">
        <v>140</v>
      </c>
      <c r="X56" s="313" t="s">
        <v>140</v>
      </c>
      <c r="Y56" s="313"/>
      <c r="Z56" s="328"/>
      <c r="AA56" s="329">
        <v>4</v>
      </c>
      <c r="AB56" s="324"/>
      <c r="AC56" s="324"/>
      <c r="AD56" s="324"/>
      <c r="AE56" s="324"/>
      <c r="AF56" s="324"/>
      <c r="AG56" s="324"/>
      <c r="AH56" s="324"/>
      <c r="AI56" s="325"/>
      <c r="AJ56" s="326">
        <f t="shared" si="8"/>
        <v>4</v>
      </c>
      <c r="AK56" s="316">
        <f>IF(AJ56="","",AJ56+AK55+'OS Offset'!I56)</f>
        <v>54</v>
      </c>
      <c r="AL56" s="317">
        <f t="shared" si="9"/>
        <v>1</v>
      </c>
    </row>
    <row r="57" spans="1:38" ht="33.9" customHeight="1" x14ac:dyDescent="0.45">
      <c r="A57" s="320">
        <v>9</v>
      </c>
      <c r="B57" s="319" t="s">
        <v>580</v>
      </c>
      <c r="C57" s="320" t="s">
        <v>140</v>
      </c>
      <c r="D57" s="321"/>
      <c r="E57" s="321"/>
      <c r="F57" s="321"/>
      <c r="G57" s="322"/>
      <c r="H57" s="323">
        <v>4</v>
      </c>
      <c r="I57" s="313">
        <v>0</v>
      </c>
      <c r="J57" s="313"/>
      <c r="K57" s="313"/>
      <c r="L57" s="313"/>
      <c r="M57" s="313"/>
      <c r="N57" s="313"/>
      <c r="O57" s="313"/>
      <c r="P57" s="314"/>
      <c r="Q57" s="332">
        <f t="shared" si="6"/>
        <v>4</v>
      </c>
      <c r="R57" s="316">
        <f>IF(Q57="","",Q57+R56+'OS Offset'!B57)</f>
        <v>203</v>
      </c>
      <c r="S57" s="317">
        <f t="shared" si="7"/>
        <v>2</v>
      </c>
      <c r="T57" s="318">
        <v>9</v>
      </c>
      <c r="U57" s="319" t="s">
        <v>617</v>
      </c>
      <c r="V57" s="320"/>
      <c r="W57" s="321" t="s">
        <v>140</v>
      </c>
      <c r="X57" s="321" t="s">
        <v>140</v>
      </c>
      <c r="Y57" s="321"/>
      <c r="Z57" s="322"/>
      <c r="AA57" s="323">
        <v>2</v>
      </c>
      <c r="AB57" s="313"/>
      <c r="AC57" s="313"/>
      <c r="AD57" s="313"/>
      <c r="AE57" s="313"/>
      <c r="AF57" s="313"/>
      <c r="AG57" s="313"/>
      <c r="AH57" s="313"/>
      <c r="AI57" s="314"/>
      <c r="AJ57" s="315">
        <f t="shared" si="8"/>
        <v>2</v>
      </c>
      <c r="AK57" s="316">
        <f>IF(AJ57="","",AJ57+AK56+'OS Offset'!I57)</f>
        <v>56</v>
      </c>
      <c r="AL57" s="317">
        <f t="shared" si="9"/>
        <v>1</v>
      </c>
    </row>
    <row r="58" spans="1:38" ht="33.9" customHeight="1" x14ac:dyDescent="0.45">
      <c r="A58" s="334">
        <v>10</v>
      </c>
      <c r="B58" s="331" t="s">
        <v>584</v>
      </c>
      <c r="C58" s="323"/>
      <c r="D58" s="313"/>
      <c r="E58" s="313"/>
      <c r="F58" s="313"/>
      <c r="G58" s="328"/>
      <c r="H58" s="329">
        <v>0</v>
      </c>
      <c r="I58" s="324"/>
      <c r="J58" s="324"/>
      <c r="K58" s="324"/>
      <c r="L58" s="324"/>
      <c r="M58" s="324"/>
      <c r="N58" s="324"/>
      <c r="O58" s="324"/>
      <c r="P58" s="325"/>
      <c r="Q58" s="333">
        <f t="shared" si="6"/>
        <v>0</v>
      </c>
      <c r="R58" s="316">
        <f>IF(Q58="","",Q58+R57+'OS Offset'!B58)</f>
        <v>203</v>
      </c>
      <c r="S58" s="317">
        <f t="shared" si="7"/>
        <v>1</v>
      </c>
      <c r="T58" s="330">
        <v>10</v>
      </c>
      <c r="U58" s="331" t="s">
        <v>606</v>
      </c>
      <c r="V58" s="323"/>
      <c r="W58" s="313" t="s">
        <v>140</v>
      </c>
      <c r="X58" s="313" t="s">
        <v>140</v>
      </c>
      <c r="Y58" s="313"/>
      <c r="Z58" s="328"/>
      <c r="AA58" s="329">
        <v>0</v>
      </c>
      <c r="AB58" s="324"/>
      <c r="AC58" s="324"/>
      <c r="AD58" s="324"/>
      <c r="AE58" s="324"/>
      <c r="AF58" s="324"/>
      <c r="AG58" s="324"/>
      <c r="AH58" s="324"/>
      <c r="AI58" s="325"/>
      <c r="AJ58" s="326">
        <f t="shared" si="8"/>
        <v>0</v>
      </c>
      <c r="AK58" s="316">
        <f>IF(AJ58="","",AJ58+AK57+'OS Offset'!I58)</f>
        <v>56</v>
      </c>
      <c r="AL58" s="317">
        <f t="shared" si="9"/>
        <v>1</v>
      </c>
    </row>
    <row r="59" spans="1:38" ht="33.9" customHeight="1" x14ac:dyDescent="0.45">
      <c r="A59" s="320">
        <v>11</v>
      </c>
      <c r="B59" s="319" t="s">
        <v>588</v>
      </c>
      <c r="C59" s="320" t="s">
        <v>140</v>
      </c>
      <c r="D59" s="321"/>
      <c r="E59" s="321"/>
      <c r="F59" s="321"/>
      <c r="G59" s="322"/>
      <c r="H59" s="323">
        <v>4</v>
      </c>
      <c r="I59" s="313">
        <v>0</v>
      </c>
      <c r="J59" s="313"/>
      <c r="K59" s="313"/>
      <c r="L59" s="313"/>
      <c r="M59" s="313"/>
      <c r="N59" s="313"/>
      <c r="O59" s="313"/>
      <c r="P59" s="314"/>
      <c r="Q59" s="332">
        <f t="shared" si="6"/>
        <v>4</v>
      </c>
      <c r="R59" s="316">
        <f>IF(Q59="","",Q59+R58+'OS Offset'!B59)</f>
        <v>207</v>
      </c>
      <c r="S59" s="317">
        <f t="shared" si="7"/>
        <v>2</v>
      </c>
      <c r="T59" s="318">
        <v>11</v>
      </c>
      <c r="U59" s="319" t="s">
        <v>623</v>
      </c>
      <c r="V59" s="320"/>
      <c r="W59" s="321"/>
      <c r="X59" s="321"/>
      <c r="Y59" s="321"/>
      <c r="Z59" s="322"/>
      <c r="AA59" s="323"/>
      <c r="AB59" s="313"/>
      <c r="AC59" s="313"/>
      <c r="AD59" s="313"/>
      <c r="AE59" s="313"/>
      <c r="AF59" s="313"/>
      <c r="AG59" s="313"/>
      <c r="AH59" s="313"/>
      <c r="AI59" s="314"/>
      <c r="AJ59" s="315">
        <f t="shared" si="8"/>
        <v>0</v>
      </c>
      <c r="AK59" s="316">
        <f>IF(AJ59="","",AJ59+AK58+'OS Offset'!I59)</f>
        <v>56</v>
      </c>
      <c r="AL59" s="317">
        <f t="shared" si="9"/>
        <v>0</v>
      </c>
    </row>
    <row r="60" spans="1:38" ht="33.9" customHeight="1" x14ac:dyDescent="0.45">
      <c r="A60" s="334" t="s">
        <v>658</v>
      </c>
      <c r="B60" s="331"/>
      <c r="C60" s="323"/>
      <c r="D60" s="313"/>
      <c r="E60" s="313"/>
      <c r="F60" s="313"/>
      <c r="G60" s="328"/>
      <c r="H60" s="329"/>
      <c r="I60" s="324"/>
      <c r="J60" s="324"/>
      <c r="K60" s="324"/>
      <c r="L60" s="324"/>
      <c r="M60" s="324"/>
      <c r="N60" s="324"/>
      <c r="O60" s="324"/>
      <c r="P60" s="325"/>
      <c r="Q60" s="333">
        <f t="shared" si="6"/>
        <v>0</v>
      </c>
      <c r="R60" s="316">
        <f>IF(Q60="","",Q60+R59+'OS Offset'!B60)</f>
        <v>207</v>
      </c>
      <c r="S60" s="317">
        <f t="shared" si="7"/>
        <v>0</v>
      </c>
      <c r="T60" s="330" t="s">
        <v>662</v>
      </c>
      <c r="U60" s="331" t="s">
        <v>621</v>
      </c>
      <c r="V60" s="323"/>
      <c r="W60" s="313"/>
      <c r="X60" s="313"/>
      <c r="Y60" s="313"/>
      <c r="Z60" s="328"/>
      <c r="AA60" s="329">
        <v>5</v>
      </c>
      <c r="AB60" s="324">
        <v>4</v>
      </c>
      <c r="AC60" s="324">
        <v>4</v>
      </c>
      <c r="AD60" s="324">
        <v>2</v>
      </c>
      <c r="AE60" s="324"/>
      <c r="AF60" s="324"/>
      <c r="AG60" s="324"/>
      <c r="AH60" s="324"/>
      <c r="AI60" s="325"/>
      <c r="AJ60" s="326">
        <f t="shared" si="8"/>
        <v>15</v>
      </c>
      <c r="AK60" s="316">
        <f>IF(AJ60="","",AJ60+AK59+'OS Offset'!I60)</f>
        <v>71</v>
      </c>
      <c r="AL60" s="317">
        <f t="shared" si="9"/>
        <v>4</v>
      </c>
    </row>
    <row r="61" spans="1:38" ht="33.9" customHeight="1" x14ac:dyDescent="0.45">
      <c r="A61" s="320">
        <v>12</v>
      </c>
      <c r="B61" s="319" t="s">
        <v>588</v>
      </c>
      <c r="C61" s="320"/>
      <c r="D61" s="321"/>
      <c r="E61" s="321"/>
      <c r="F61" s="321"/>
      <c r="G61" s="322"/>
      <c r="H61" s="323">
        <v>0</v>
      </c>
      <c r="I61" s="313"/>
      <c r="J61" s="313"/>
      <c r="K61" s="313"/>
      <c r="L61" s="313"/>
      <c r="M61" s="313"/>
      <c r="N61" s="313"/>
      <c r="O61" s="313"/>
      <c r="P61" s="314"/>
      <c r="Q61" s="332">
        <f t="shared" si="6"/>
        <v>0</v>
      </c>
      <c r="R61" s="316">
        <f>IF(Q61="","",Q61+R60+'OS Offset'!B61)</f>
        <v>207</v>
      </c>
      <c r="S61" s="317">
        <f t="shared" si="7"/>
        <v>1</v>
      </c>
      <c r="T61" s="318">
        <v>12</v>
      </c>
      <c r="U61" s="319" t="s">
        <v>629</v>
      </c>
      <c r="V61" s="320"/>
      <c r="W61" s="321" t="s">
        <v>140</v>
      </c>
      <c r="X61" s="321" t="s">
        <v>140</v>
      </c>
      <c r="Y61" s="321"/>
      <c r="Z61" s="322"/>
      <c r="AA61" s="323">
        <v>0</v>
      </c>
      <c r="AB61" s="313"/>
      <c r="AC61" s="313"/>
      <c r="AD61" s="313"/>
      <c r="AE61" s="313"/>
      <c r="AF61" s="313"/>
      <c r="AG61" s="313"/>
      <c r="AH61" s="313"/>
      <c r="AI61" s="314"/>
      <c r="AJ61" s="315">
        <f t="shared" si="8"/>
        <v>0</v>
      </c>
      <c r="AK61" s="316">
        <f>IF(AJ61="","",AJ61+AK60+'OS Offset'!I61)</f>
        <v>71</v>
      </c>
      <c r="AL61" s="317">
        <f t="shared" si="9"/>
        <v>1</v>
      </c>
    </row>
    <row r="62" spans="1:38" ht="33.9" customHeight="1" x14ac:dyDescent="0.45">
      <c r="A62" s="334">
        <v>13</v>
      </c>
      <c r="B62" s="331" t="s">
        <v>580</v>
      </c>
      <c r="C62" s="323" t="s">
        <v>140</v>
      </c>
      <c r="D62" s="313" t="s">
        <v>140</v>
      </c>
      <c r="E62" s="313"/>
      <c r="F62" s="313"/>
      <c r="G62" s="328"/>
      <c r="H62" s="329">
        <v>5</v>
      </c>
      <c r="I62" s="324">
        <v>5</v>
      </c>
      <c r="J62" s="324">
        <v>2</v>
      </c>
      <c r="K62" s="324"/>
      <c r="L62" s="324"/>
      <c r="M62" s="324"/>
      <c r="N62" s="324"/>
      <c r="O62" s="324"/>
      <c r="P62" s="325"/>
      <c r="Q62" s="333">
        <f t="shared" si="6"/>
        <v>12</v>
      </c>
      <c r="R62" s="316">
        <f>IF(Q62="","",Q62+R61+'OS Offset'!B62)</f>
        <v>219</v>
      </c>
      <c r="S62" s="317">
        <f t="shared" si="7"/>
        <v>3</v>
      </c>
      <c r="T62" s="330">
        <v>13</v>
      </c>
      <c r="U62" s="331" t="s">
        <v>617</v>
      </c>
      <c r="V62" s="323"/>
      <c r="W62" s="313"/>
      <c r="X62" s="313"/>
      <c r="Y62" s="313"/>
      <c r="Z62" s="328"/>
      <c r="AA62" s="329"/>
      <c r="AB62" s="324"/>
      <c r="AC62" s="324"/>
      <c r="AD62" s="324"/>
      <c r="AE62" s="324"/>
      <c r="AF62" s="324"/>
      <c r="AG62" s="324"/>
      <c r="AH62" s="324"/>
      <c r="AI62" s="325"/>
      <c r="AJ62" s="326">
        <f t="shared" si="8"/>
        <v>0</v>
      </c>
      <c r="AK62" s="316">
        <f>IF(AJ62="","",AJ62+AK61+'OS Offset'!I62)</f>
        <v>71</v>
      </c>
      <c r="AL62" s="317">
        <f t="shared" si="9"/>
        <v>0</v>
      </c>
    </row>
    <row r="63" spans="1:38" ht="33.9" customHeight="1" x14ac:dyDescent="0.45">
      <c r="A63" s="320" t="s">
        <v>658</v>
      </c>
      <c r="B63" s="319"/>
      <c r="C63" s="320"/>
      <c r="D63" s="321"/>
      <c r="E63" s="321"/>
      <c r="F63" s="321"/>
      <c r="G63" s="322"/>
      <c r="H63" s="323"/>
      <c r="I63" s="313"/>
      <c r="J63" s="313"/>
      <c r="K63" s="313"/>
      <c r="L63" s="313"/>
      <c r="M63" s="313"/>
      <c r="N63" s="313"/>
      <c r="O63" s="313"/>
      <c r="P63" s="314"/>
      <c r="Q63" s="332">
        <f t="shared" si="6"/>
        <v>0</v>
      </c>
      <c r="R63" s="316">
        <f>IF(Q63="","",Q63+R62+'OS Offset'!B63)</f>
        <v>219</v>
      </c>
      <c r="S63" s="317">
        <f t="shared" si="7"/>
        <v>0</v>
      </c>
      <c r="T63" s="318" t="s">
        <v>662</v>
      </c>
      <c r="U63" s="319" t="s">
        <v>619</v>
      </c>
      <c r="V63" s="320"/>
      <c r="W63" s="321"/>
      <c r="X63" s="321"/>
      <c r="Y63" s="321"/>
      <c r="Z63" s="322"/>
      <c r="AA63" s="323">
        <v>0</v>
      </c>
      <c r="AB63" s="313"/>
      <c r="AC63" s="313"/>
      <c r="AD63" s="313"/>
      <c r="AE63" s="313"/>
      <c r="AF63" s="313"/>
      <c r="AG63" s="313"/>
      <c r="AH63" s="313"/>
      <c r="AI63" s="314"/>
      <c r="AJ63" s="315">
        <f t="shared" si="8"/>
        <v>0</v>
      </c>
      <c r="AK63" s="316">
        <f>IF(AJ63="","",AJ63+AK62+'OS Offset'!I63)</f>
        <v>71</v>
      </c>
      <c r="AL63" s="317">
        <f t="shared" si="9"/>
        <v>1</v>
      </c>
    </row>
    <row r="64" spans="1:38" ht="33.9" customHeight="1" x14ac:dyDescent="0.45">
      <c r="A64" s="334">
        <v>14</v>
      </c>
      <c r="B64" s="331" t="s">
        <v>600</v>
      </c>
      <c r="C64" s="323"/>
      <c r="D64" s="313"/>
      <c r="E64" s="313"/>
      <c r="F64" s="313"/>
      <c r="G64" s="328"/>
      <c r="H64" s="329">
        <v>0</v>
      </c>
      <c r="I64" s="324"/>
      <c r="J64" s="324"/>
      <c r="K64" s="324"/>
      <c r="L64" s="324"/>
      <c r="M64" s="324"/>
      <c r="N64" s="324"/>
      <c r="O64" s="324"/>
      <c r="P64" s="325"/>
      <c r="Q64" s="333">
        <f t="shared" si="6"/>
        <v>0</v>
      </c>
      <c r="R64" s="316">
        <f>IF(Q64="","",Q64+R63+'OS Offset'!B64)</f>
        <v>219</v>
      </c>
      <c r="S64" s="317">
        <f t="shared" si="7"/>
        <v>1</v>
      </c>
      <c r="T64" s="330">
        <v>14</v>
      </c>
      <c r="U64" s="331" t="s">
        <v>606</v>
      </c>
      <c r="V64" s="323"/>
      <c r="W64" s="313" t="s">
        <v>140</v>
      </c>
      <c r="X64" s="313" t="s">
        <v>140</v>
      </c>
      <c r="Y64" s="313"/>
      <c r="Z64" s="328"/>
      <c r="AA64" s="329">
        <v>4</v>
      </c>
      <c r="AB64" s="324"/>
      <c r="AC64" s="324"/>
      <c r="AD64" s="324"/>
      <c r="AE64" s="324"/>
      <c r="AF64" s="324"/>
      <c r="AG64" s="324"/>
      <c r="AH64" s="324"/>
      <c r="AI64" s="325"/>
      <c r="AJ64" s="326">
        <f t="shared" si="8"/>
        <v>4</v>
      </c>
      <c r="AK64" s="316">
        <f>IF(AJ64="","",AJ64+AK63+'OS Offset'!I64)</f>
        <v>75</v>
      </c>
      <c r="AL64" s="317">
        <f t="shared" si="9"/>
        <v>1</v>
      </c>
    </row>
    <row r="65" spans="1:38" ht="33.9" customHeight="1" x14ac:dyDescent="0.45">
      <c r="A65" s="320">
        <v>15</v>
      </c>
      <c r="B65" s="319" t="s">
        <v>586</v>
      </c>
      <c r="C65" s="320"/>
      <c r="D65" s="321" t="s">
        <v>140</v>
      </c>
      <c r="E65" s="321"/>
      <c r="F65" s="321"/>
      <c r="G65" s="322"/>
      <c r="H65" s="323">
        <v>5</v>
      </c>
      <c r="I65" s="313">
        <v>5</v>
      </c>
      <c r="J65" s="313">
        <v>5</v>
      </c>
      <c r="K65" s="313">
        <v>5</v>
      </c>
      <c r="L65" s="313"/>
      <c r="M65" s="313"/>
      <c r="N65" s="313"/>
      <c r="O65" s="313"/>
      <c r="P65" s="314"/>
      <c r="Q65" s="332">
        <f t="shared" si="6"/>
        <v>20</v>
      </c>
      <c r="R65" s="316">
        <f>IF(Q65="","",Q65+R64+'OS Offset'!B65)</f>
        <v>239</v>
      </c>
      <c r="S65" s="317">
        <f t="shared" si="7"/>
        <v>4</v>
      </c>
      <c r="T65" s="318">
        <v>15</v>
      </c>
      <c r="U65" s="319" t="s">
        <v>623</v>
      </c>
      <c r="V65" s="320"/>
      <c r="W65" s="321"/>
      <c r="X65" s="321"/>
      <c r="Y65" s="321"/>
      <c r="Z65" s="322" t="s">
        <v>140</v>
      </c>
      <c r="AA65" s="323"/>
      <c r="AB65" s="313"/>
      <c r="AC65" s="313"/>
      <c r="AD65" s="313"/>
      <c r="AE65" s="313"/>
      <c r="AF65" s="313"/>
      <c r="AG65" s="313"/>
      <c r="AH65" s="313"/>
      <c r="AI65" s="314"/>
      <c r="AJ65" s="315">
        <f t="shared" si="8"/>
        <v>0</v>
      </c>
      <c r="AK65" s="316">
        <f>IF(AJ65="","",AJ65+AK64+'OS Offset'!I65)</f>
        <v>75</v>
      </c>
      <c r="AL65" s="317">
        <f t="shared" si="9"/>
        <v>0</v>
      </c>
    </row>
    <row r="66" spans="1:38" ht="33.9" customHeight="1" x14ac:dyDescent="0.45">
      <c r="A66" s="334" t="s">
        <v>658</v>
      </c>
      <c r="B66" s="331"/>
      <c r="C66" s="323"/>
      <c r="D66" s="313"/>
      <c r="E66" s="313"/>
      <c r="F66" s="313"/>
      <c r="G66" s="328"/>
      <c r="H66" s="329"/>
      <c r="I66" s="324"/>
      <c r="J66" s="324"/>
      <c r="K66" s="324"/>
      <c r="L66" s="324"/>
      <c r="M66" s="324"/>
      <c r="N66" s="324"/>
      <c r="O66" s="324"/>
      <c r="P66" s="325"/>
      <c r="Q66" s="333">
        <f t="shared" si="6"/>
        <v>0</v>
      </c>
      <c r="R66" s="316">
        <f>IF(Q66="","",Q66+R65+'OS Offset'!B66)</f>
        <v>239</v>
      </c>
      <c r="S66" s="317">
        <f t="shared" si="7"/>
        <v>0</v>
      </c>
      <c r="T66" s="330" t="s">
        <v>662</v>
      </c>
      <c r="U66" s="331" t="s">
        <v>650</v>
      </c>
      <c r="V66" s="323"/>
      <c r="W66" s="313"/>
      <c r="X66" s="313"/>
      <c r="Y66" s="313"/>
      <c r="Z66" s="328" t="s">
        <v>140</v>
      </c>
      <c r="AA66" s="329"/>
      <c r="AB66" s="324"/>
      <c r="AC66" s="324"/>
      <c r="AD66" s="324"/>
      <c r="AE66" s="324"/>
      <c r="AF66" s="324"/>
      <c r="AG66" s="324"/>
      <c r="AH66" s="324"/>
      <c r="AI66" s="325"/>
      <c r="AJ66" s="326">
        <f t="shared" si="8"/>
        <v>0</v>
      </c>
      <c r="AK66" s="316">
        <f>IF(AJ66="","",AJ66+AK65+'OS Offset'!I66)</f>
        <v>75</v>
      </c>
      <c r="AL66" s="317">
        <f t="shared" si="9"/>
        <v>0</v>
      </c>
    </row>
    <row r="67" spans="1:38" ht="33.9" customHeight="1" x14ac:dyDescent="0.45">
      <c r="A67" s="320">
        <v>16</v>
      </c>
      <c r="B67" s="319" t="s">
        <v>584</v>
      </c>
      <c r="C67" s="320"/>
      <c r="D67" s="321" t="s">
        <v>140</v>
      </c>
      <c r="E67" s="321" t="s">
        <v>140</v>
      </c>
      <c r="F67" s="321"/>
      <c r="G67" s="322"/>
      <c r="H67" s="323">
        <v>4</v>
      </c>
      <c r="I67" s="313">
        <v>0</v>
      </c>
      <c r="J67" s="313"/>
      <c r="K67" s="313"/>
      <c r="L67" s="313"/>
      <c r="M67" s="313"/>
      <c r="N67" s="313"/>
      <c r="O67" s="313"/>
      <c r="P67" s="314"/>
      <c r="Q67" s="332">
        <f t="shared" si="6"/>
        <v>4</v>
      </c>
      <c r="R67" s="316">
        <f>IF(Q67="","",Q67+R66+'OS Offset'!B67)</f>
        <v>243</v>
      </c>
      <c r="S67" s="317">
        <f t="shared" si="7"/>
        <v>2</v>
      </c>
      <c r="T67" s="318">
        <v>16</v>
      </c>
      <c r="U67" s="319" t="s">
        <v>650</v>
      </c>
      <c r="V67" s="320"/>
      <c r="W67" s="321"/>
      <c r="X67" s="321"/>
      <c r="Y67" s="321"/>
      <c r="Z67" s="322"/>
      <c r="AA67" s="323"/>
      <c r="AB67" s="313"/>
      <c r="AC67" s="313"/>
      <c r="AD67" s="313"/>
      <c r="AE67" s="313"/>
      <c r="AF67" s="313"/>
      <c r="AG67" s="313"/>
      <c r="AH67" s="313"/>
      <c r="AI67" s="314"/>
      <c r="AJ67" s="315">
        <f t="shared" si="8"/>
        <v>0</v>
      </c>
      <c r="AK67" s="316">
        <f>IF(AJ67="","",AJ67+AK66+'OS Offset'!I67)</f>
        <v>75</v>
      </c>
      <c r="AL67" s="317">
        <f t="shared" si="9"/>
        <v>0</v>
      </c>
    </row>
    <row r="68" spans="1:38" ht="33.9" customHeight="1" x14ac:dyDescent="0.45">
      <c r="A68" s="334" t="s">
        <v>658</v>
      </c>
      <c r="B68" s="331"/>
      <c r="C68" s="323"/>
      <c r="D68" s="313"/>
      <c r="E68" s="313"/>
      <c r="F68" s="313"/>
      <c r="G68" s="328"/>
      <c r="H68" s="329"/>
      <c r="I68" s="324"/>
      <c r="J68" s="324"/>
      <c r="K68" s="324"/>
      <c r="L68" s="324"/>
      <c r="M68" s="324"/>
      <c r="N68" s="324"/>
      <c r="O68" s="324"/>
      <c r="P68" s="325"/>
      <c r="Q68" s="333">
        <f t="shared" si="6"/>
        <v>0</v>
      </c>
      <c r="R68" s="316">
        <f>IF(Q68="","",Q68+R67+'OS Offset'!B68)</f>
        <v>243</v>
      </c>
      <c r="S68" s="317">
        <f t="shared" si="7"/>
        <v>0</v>
      </c>
      <c r="T68" s="330" t="s">
        <v>662</v>
      </c>
      <c r="U68" s="331" t="s">
        <v>621</v>
      </c>
      <c r="V68" s="323"/>
      <c r="W68" s="313"/>
      <c r="X68" s="313"/>
      <c r="Y68" s="313"/>
      <c r="Z68" s="328"/>
      <c r="AA68" s="329">
        <v>0</v>
      </c>
      <c r="AB68" s="324"/>
      <c r="AC68" s="324"/>
      <c r="AD68" s="324"/>
      <c r="AE68" s="324"/>
      <c r="AF68" s="324"/>
      <c r="AG68" s="324"/>
      <c r="AH68" s="324"/>
      <c r="AI68" s="325"/>
      <c r="AJ68" s="326">
        <f t="shared" si="8"/>
        <v>0</v>
      </c>
      <c r="AK68" s="316">
        <f>IF(AJ68="","",AJ68+AK67+'OS Offset'!I68)</f>
        <v>75</v>
      </c>
      <c r="AL68" s="317">
        <f t="shared" si="9"/>
        <v>1</v>
      </c>
    </row>
    <row r="69" spans="1:38" ht="33.9" customHeight="1" x14ac:dyDescent="0.45">
      <c r="A69" s="320">
        <v>17</v>
      </c>
      <c r="B69" s="319" t="s">
        <v>588</v>
      </c>
      <c r="C69" s="320"/>
      <c r="D69" s="321" t="s">
        <v>140</v>
      </c>
      <c r="E69" s="321" t="s">
        <v>140</v>
      </c>
      <c r="F69" s="321"/>
      <c r="G69" s="322"/>
      <c r="H69" s="323">
        <v>5</v>
      </c>
      <c r="I69" s="313">
        <v>5</v>
      </c>
      <c r="J69" s="313"/>
      <c r="K69" s="313"/>
      <c r="L69" s="313"/>
      <c r="M69" s="313"/>
      <c r="N69" s="313"/>
      <c r="O69" s="313"/>
      <c r="P69" s="314"/>
      <c r="Q69" s="332">
        <f t="shared" si="6"/>
        <v>10</v>
      </c>
      <c r="R69" s="316">
        <f>IF(Q69="","",Q69+R68+'OS Offset'!B69)</f>
        <v>253</v>
      </c>
      <c r="S69" s="317">
        <f t="shared" si="7"/>
        <v>2</v>
      </c>
      <c r="T69" s="318">
        <v>17</v>
      </c>
      <c r="U69" s="319" t="s">
        <v>629</v>
      </c>
      <c r="V69" s="320"/>
      <c r="W69" s="321"/>
      <c r="X69" s="321"/>
      <c r="Y69" s="321"/>
      <c r="Z69" s="322" t="s">
        <v>140</v>
      </c>
      <c r="AA69" s="323"/>
      <c r="AB69" s="313"/>
      <c r="AC69" s="313"/>
      <c r="AD69" s="313"/>
      <c r="AE69" s="313"/>
      <c r="AF69" s="313"/>
      <c r="AG69" s="313"/>
      <c r="AH69" s="313"/>
      <c r="AI69" s="314"/>
      <c r="AJ69" s="315">
        <f t="shared" si="8"/>
        <v>0</v>
      </c>
      <c r="AK69" s="316">
        <f>IF(AJ69="","",AJ69+AK68+'OS Offset'!I69)</f>
        <v>75</v>
      </c>
      <c r="AL69" s="317">
        <f t="shared" si="9"/>
        <v>0</v>
      </c>
    </row>
    <row r="70" spans="1:38" ht="33.9" customHeight="1" x14ac:dyDescent="0.45">
      <c r="A70" s="334">
        <v>18</v>
      </c>
      <c r="B70" s="331" t="s">
        <v>580</v>
      </c>
      <c r="C70" s="323"/>
      <c r="D70" s="313" t="s">
        <v>140</v>
      </c>
      <c r="E70" s="313" t="s">
        <v>140</v>
      </c>
      <c r="F70" s="313"/>
      <c r="G70" s="328"/>
      <c r="H70" s="329">
        <v>5</v>
      </c>
      <c r="I70" s="324">
        <v>5</v>
      </c>
      <c r="J70" s="324">
        <v>0</v>
      </c>
      <c r="K70" s="324"/>
      <c r="L70" s="324"/>
      <c r="M70" s="324"/>
      <c r="N70" s="324"/>
      <c r="O70" s="324"/>
      <c r="P70" s="325"/>
      <c r="Q70" s="333">
        <f t="shared" si="6"/>
        <v>10</v>
      </c>
      <c r="R70" s="316">
        <f>IF(Q70="","",Q70+R69+'OS Offset'!B70)</f>
        <v>263</v>
      </c>
      <c r="S70" s="317">
        <f t="shared" si="7"/>
        <v>3</v>
      </c>
      <c r="T70" s="330">
        <v>18</v>
      </c>
      <c r="U70" s="331" t="s">
        <v>629</v>
      </c>
      <c r="V70" s="323"/>
      <c r="W70" s="313"/>
      <c r="X70" s="313"/>
      <c r="Y70" s="313"/>
      <c r="Z70" s="328" t="s">
        <v>140</v>
      </c>
      <c r="AA70" s="329"/>
      <c r="AB70" s="324"/>
      <c r="AC70" s="324"/>
      <c r="AD70" s="324"/>
      <c r="AE70" s="324"/>
      <c r="AF70" s="324"/>
      <c r="AG70" s="324"/>
      <c r="AH70" s="324"/>
      <c r="AI70" s="325"/>
      <c r="AJ70" s="326">
        <f t="shared" si="8"/>
        <v>0</v>
      </c>
      <c r="AK70" s="316">
        <f>IF(AJ70="","",AJ70+AK69+'OS Offset'!I70)</f>
        <v>75</v>
      </c>
      <c r="AL70" s="317">
        <f t="shared" si="9"/>
        <v>0</v>
      </c>
    </row>
    <row r="71" spans="1:38" ht="33.9" customHeight="1" x14ac:dyDescent="0.45">
      <c r="A71" s="320"/>
      <c r="B71" s="319"/>
      <c r="C71" s="320"/>
      <c r="D71" s="321"/>
      <c r="E71" s="321"/>
      <c r="F71" s="321"/>
      <c r="G71" s="322"/>
      <c r="H71" s="323"/>
      <c r="I71" s="313"/>
      <c r="J71" s="313"/>
      <c r="K71" s="313"/>
      <c r="L71" s="313"/>
      <c r="M71" s="313"/>
      <c r="N71" s="313"/>
      <c r="O71" s="313"/>
      <c r="P71" s="314"/>
      <c r="Q71" s="332" t="str">
        <f t="shared" si="6"/>
        <v/>
      </c>
      <c r="R71" s="316" t="str">
        <f>IF(Q71="","",Q71+R70+'OS Offset'!B71)</f>
        <v/>
      </c>
      <c r="S71" s="317">
        <f t="shared" si="7"/>
        <v>0</v>
      </c>
      <c r="T71" s="318"/>
      <c r="U71" s="319"/>
      <c r="V71" s="320"/>
      <c r="W71" s="321"/>
      <c r="X71" s="321"/>
      <c r="Y71" s="321"/>
      <c r="Z71" s="322"/>
      <c r="AA71" s="323"/>
      <c r="AB71" s="313"/>
      <c r="AC71" s="313"/>
      <c r="AD71" s="313"/>
      <c r="AE71" s="313"/>
      <c r="AF71" s="313"/>
      <c r="AG71" s="313"/>
      <c r="AH71" s="313"/>
      <c r="AI71" s="314"/>
      <c r="AJ71" s="315" t="str">
        <f t="shared" si="8"/>
        <v/>
      </c>
      <c r="AK71" s="316" t="str">
        <f>IF(AJ71="","",AJ71+AK70+'OS Offset'!I71)</f>
        <v/>
      </c>
      <c r="AL71" s="317">
        <f t="shared" si="9"/>
        <v>0</v>
      </c>
    </row>
    <row r="72" spans="1:38" ht="33.9" customHeight="1" x14ac:dyDescent="0.45">
      <c r="A72" s="334"/>
      <c r="B72" s="331"/>
      <c r="C72" s="323"/>
      <c r="D72" s="313"/>
      <c r="E72" s="313"/>
      <c r="F72" s="313"/>
      <c r="G72" s="328"/>
      <c r="H72" s="329"/>
      <c r="I72" s="324"/>
      <c r="J72" s="324"/>
      <c r="K72" s="324"/>
      <c r="L72" s="324"/>
      <c r="M72" s="324"/>
      <c r="N72" s="324"/>
      <c r="O72" s="324"/>
      <c r="P72" s="325"/>
      <c r="Q72" s="333" t="str">
        <f t="shared" si="6"/>
        <v/>
      </c>
      <c r="R72" s="316" t="str">
        <f>IF(Q72="","",Q72+R71+'OS Offset'!B72)</f>
        <v/>
      </c>
      <c r="S72" s="317">
        <f t="shared" si="7"/>
        <v>0</v>
      </c>
      <c r="T72" s="330"/>
      <c r="U72" s="331"/>
      <c r="V72" s="323"/>
      <c r="W72" s="313"/>
      <c r="X72" s="313"/>
      <c r="Y72" s="313"/>
      <c r="Z72" s="328"/>
      <c r="AA72" s="329"/>
      <c r="AB72" s="324"/>
      <c r="AC72" s="324"/>
      <c r="AD72" s="324"/>
      <c r="AE72" s="324"/>
      <c r="AF72" s="324"/>
      <c r="AG72" s="324"/>
      <c r="AH72" s="324"/>
      <c r="AI72" s="325"/>
      <c r="AJ72" s="326" t="str">
        <f t="shared" si="8"/>
        <v/>
      </c>
      <c r="AK72" s="316" t="str">
        <f>IF(AJ72="","",AJ72+AK71+'OS Offset'!I72)</f>
        <v/>
      </c>
      <c r="AL72" s="317">
        <f t="shared" si="9"/>
        <v>0</v>
      </c>
    </row>
    <row r="73" spans="1:38" ht="33.9" customHeight="1" x14ac:dyDescent="0.45">
      <c r="A73" s="320"/>
      <c r="B73" s="319"/>
      <c r="C73" s="320"/>
      <c r="D73" s="321"/>
      <c r="E73" s="321"/>
      <c r="F73" s="321"/>
      <c r="G73" s="322"/>
      <c r="H73" s="323"/>
      <c r="I73" s="313"/>
      <c r="J73" s="313"/>
      <c r="K73" s="313"/>
      <c r="L73" s="313"/>
      <c r="M73" s="313"/>
      <c r="N73" s="313"/>
      <c r="O73" s="313"/>
      <c r="P73" s="314"/>
      <c r="Q73" s="332" t="str">
        <f t="shared" si="6"/>
        <v/>
      </c>
      <c r="R73" s="316" t="str">
        <f>IF(Q73="","",Q73+R72+'OS Offset'!B73)</f>
        <v/>
      </c>
      <c r="S73" s="317">
        <f t="shared" si="7"/>
        <v>0</v>
      </c>
      <c r="T73" s="318"/>
      <c r="U73" s="319"/>
      <c r="V73" s="320"/>
      <c r="W73" s="321"/>
      <c r="X73" s="321"/>
      <c r="Y73" s="321"/>
      <c r="Z73" s="322"/>
      <c r="AA73" s="323"/>
      <c r="AB73" s="313"/>
      <c r="AC73" s="313"/>
      <c r="AD73" s="313"/>
      <c r="AE73" s="313"/>
      <c r="AF73" s="313"/>
      <c r="AG73" s="313"/>
      <c r="AH73" s="313"/>
      <c r="AI73" s="314"/>
      <c r="AJ73" s="315" t="str">
        <f t="shared" si="8"/>
        <v/>
      </c>
      <c r="AK73" s="316" t="str">
        <f>IF(AJ73="","",AJ73+AK72+'OS Offset'!I73)</f>
        <v/>
      </c>
      <c r="AL73" s="317">
        <f t="shared" si="9"/>
        <v>0</v>
      </c>
    </row>
    <row r="74" spans="1:38" ht="33.9" customHeight="1" x14ac:dyDescent="0.45">
      <c r="A74" s="334"/>
      <c r="B74" s="331"/>
      <c r="C74" s="323"/>
      <c r="D74" s="313"/>
      <c r="E74" s="313"/>
      <c r="F74" s="313"/>
      <c r="G74" s="328"/>
      <c r="H74" s="329"/>
      <c r="I74" s="324"/>
      <c r="J74" s="324"/>
      <c r="K74" s="324"/>
      <c r="L74" s="324"/>
      <c r="M74" s="324"/>
      <c r="N74" s="324"/>
      <c r="O74" s="324"/>
      <c r="P74" s="325"/>
      <c r="Q74" s="333" t="str">
        <f t="shared" si="6"/>
        <v/>
      </c>
      <c r="R74" s="316" t="str">
        <f>IF(Q74="","",Q74+R73+'OS Offset'!B74)</f>
        <v/>
      </c>
      <c r="S74" s="317">
        <f t="shared" si="7"/>
        <v>0</v>
      </c>
      <c r="T74" s="330"/>
      <c r="U74" s="331"/>
      <c r="V74" s="323"/>
      <c r="W74" s="313"/>
      <c r="X74" s="313"/>
      <c r="Y74" s="313"/>
      <c r="Z74" s="328"/>
      <c r="AA74" s="329"/>
      <c r="AB74" s="324"/>
      <c r="AC74" s="324"/>
      <c r="AD74" s="324"/>
      <c r="AE74" s="324"/>
      <c r="AF74" s="324"/>
      <c r="AG74" s="324"/>
      <c r="AH74" s="324"/>
      <c r="AI74" s="325"/>
      <c r="AJ74" s="326" t="str">
        <f t="shared" si="8"/>
        <v/>
      </c>
      <c r="AK74" s="316" t="str">
        <f>IF(AJ74="","",AJ74+AK73+'OS Offset'!I74)</f>
        <v/>
      </c>
      <c r="AL74" s="317">
        <f t="shared" si="9"/>
        <v>0</v>
      </c>
    </row>
    <row r="75" spans="1:38" ht="33.9" customHeight="1" x14ac:dyDescent="0.45">
      <c r="A75" s="320"/>
      <c r="B75" s="319"/>
      <c r="C75" s="320"/>
      <c r="D75" s="321"/>
      <c r="E75" s="321"/>
      <c r="F75" s="321"/>
      <c r="G75" s="322"/>
      <c r="H75" s="323"/>
      <c r="I75" s="313"/>
      <c r="J75" s="313"/>
      <c r="K75" s="313"/>
      <c r="L75" s="313"/>
      <c r="M75" s="313"/>
      <c r="N75" s="313"/>
      <c r="O75" s="313"/>
      <c r="P75" s="314"/>
      <c r="Q75" s="332" t="str">
        <f t="shared" si="6"/>
        <v/>
      </c>
      <c r="R75" s="316" t="str">
        <f>IF(Q75="","",Q75+R74+'OS Offset'!B75)</f>
        <v/>
      </c>
      <c r="S75" s="317">
        <f t="shared" si="7"/>
        <v>0</v>
      </c>
      <c r="T75" s="318"/>
      <c r="U75" s="319"/>
      <c r="V75" s="320"/>
      <c r="W75" s="321"/>
      <c r="X75" s="321"/>
      <c r="Y75" s="321"/>
      <c r="Z75" s="322"/>
      <c r="AA75" s="323"/>
      <c r="AB75" s="313"/>
      <c r="AC75" s="313"/>
      <c r="AD75" s="313"/>
      <c r="AE75" s="313"/>
      <c r="AF75" s="313"/>
      <c r="AG75" s="313"/>
      <c r="AH75" s="313"/>
      <c r="AI75" s="314"/>
      <c r="AJ75" s="315" t="str">
        <f t="shared" si="8"/>
        <v/>
      </c>
      <c r="AK75" s="316" t="str">
        <f>IF(AJ75="","",AJ75+AK74+'OS Offset'!I75)</f>
        <v/>
      </c>
      <c r="AL75" s="317">
        <f t="shared" si="9"/>
        <v>0</v>
      </c>
    </row>
    <row r="76" spans="1:38" ht="33.9" customHeight="1" x14ac:dyDescent="0.45">
      <c r="A76" s="334"/>
      <c r="B76" s="331"/>
      <c r="C76" s="323"/>
      <c r="D76" s="313"/>
      <c r="E76" s="313"/>
      <c r="F76" s="313"/>
      <c r="G76" s="328"/>
      <c r="H76" s="329"/>
      <c r="I76" s="324"/>
      <c r="J76" s="324"/>
      <c r="K76" s="324"/>
      <c r="L76" s="324"/>
      <c r="M76" s="324"/>
      <c r="N76" s="324"/>
      <c r="O76" s="324"/>
      <c r="P76" s="325"/>
      <c r="Q76" s="333" t="str">
        <f t="shared" si="6"/>
        <v/>
      </c>
      <c r="R76" s="316" t="str">
        <f>IF(Q76="","",Q76+R75+'OS Offset'!B76)</f>
        <v/>
      </c>
      <c r="S76" s="317">
        <f t="shared" si="7"/>
        <v>0</v>
      </c>
      <c r="T76" s="330"/>
      <c r="U76" s="331"/>
      <c r="V76" s="323"/>
      <c r="W76" s="313"/>
      <c r="X76" s="313"/>
      <c r="Y76" s="313"/>
      <c r="Z76" s="328"/>
      <c r="AA76" s="329"/>
      <c r="AB76" s="324"/>
      <c r="AC76" s="324"/>
      <c r="AD76" s="324"/>
      <c r="AE76" s="324"/>
      <c r="AF76" s="324"/>
      <c r="AG76" s="324"/>
      <c r="AH76" s="324"/>
      <c r="AI76" s="325"/>
      <c r="AJ76" s="326" t="str">
        <f t="shared" si="8"/>
        <v/>
      </c>
      <c r="AK76" s="316" t="str">
        <f>IF(AJ76="","",AJ76+AK75+'OS Offset'!I76)</f>
        <v/>
      </c>
      <c r="AL76" s="317">
        <f t="shared" si="9"/>
        <v>0</v>
      </c>
    </row>
    <row r="77" spans="1:38" ht="33.9" customHeight="1" x14ac:dyDescent="0.45">
      <c r="A77" s="320"/>
      <c r="B77" s="319"/>
      <c r="C77" s="320"/>
      <c r="D77" s="321"/>
      <c r="E77" s="321"/>
      <c r="F77" s="321"/>
      <c r="G77" s="322"/>
      <c r="H77" s="323"/>
      <c r="I77" s="313"/>
      <c r="J77" s="313"/>
      <c r="K77" s="313"/>
      <c r="L77" s="313"/>
      <c r="M77" s="313"/>
      <c r="N77" s="313"/>
      <c r="O77" s="313"/>
      <c r="P77" s="314"/>
      <c r="Q77" s="332" t="str">
        <f t="shared" si="6"/>
        <v/>
      </c>
      <c r="R77" s="316" t="str">
        <f>IF(Q77="","",Q77+R76+'OS Offset'!B77)</f>
        <v/>
      </c>
      <c r="S77" s="317">
        <f t="shared" si="7"/>
        <v>0</v>
      </c>
      <c r="T77" s="318"/>
      <c r="U77" s="319"/>
      <c r="V77" s="320"/>
      <c r="W77" s="321"/>
      <c r="X77" s="321"/>
      <c r="Y77" s="321"/>
      <c r="Z77" s="322"/>
      <c r="AA77" s="323"/>
      <c r="AB77" s="313"/>
      <c r="AC77" s="313"/>
      <c r="AD77" s="313"/>
      <c r="AE77" s="313"/>
      <c r="AF77" s="313"/>
      <c r="AG77" s="313"/>
      <c r="AH77" s="313"/>
      <c r="AI77" s="314"/>
      <c r="AJ77" s="315" t="str">
        <f t="shared" si="8"/>
        <v/>
      </c>
      <c r="AK77" s="316" t="str">
        <f>IF(AJ77="","",AJ77+AK76+'OS Offset'!I77)</f>
        <v/>
      </c>
      <c r="AL77" s="317">
        <f t="shared" si="9"/>
        <v>0</v>
      </c>
    </row>
    <row r="78" spans="1:38" ht="33.9" customHeight="1" x14ac:dyDescent="0.45">
      <c r="A78" s="334"/>
      <c r="B78" s="331"/>
      <c r="C78" s="323"/>
      <c r="D78" s="313"/>
      <c r="E78" s="313"/>
      <c r="F78" s="313"/>
      <c r="G78" s="328"/>
      <c r="H78" s="329"/>
      <c r="I78" s="324"/>
      <c r="J78" s="324"/>
      <c r="K78" s="324"/>
      <c r="L78" s="324"/>
      <c r="M78" s="324"/>
      <c r="N78" s="324"/>
      <c r="O78" s="324"/>
      <c r="P78" s="325"/>
      <c r="Q78" s="333" t="str">
        <f t="shared" si="6"/>
        <v/>
      </c>
      <c r="R78" s="316" t="str">
        <f>IF(Q78="","",Q78+R77+'OS Offset'!B78)</f>
        <v/>
      </c>
      <c r="S78" s="317">
        <f t="shared" si="7"/>
        <v>0</v>
      </c>
      <c r="T78" s="330"/>
      <c r="U78" s="331"/>
      <c r="V78" s="323"/>
      <c r="W78" s="313"/>
      <c r="X78" s="313"/>
      <c r="Y78" s="313"/>
      <c r="Z78" s="328"/>
      <c r="AA78" s="329"/>
      <c r="AB78" s="324"/>
      <c r="AC78" s="324"/>
      <c r="AD78" s="324"/>
      <c r="AE78" s="324"/>
      <c r="AF78" s="324"/>
      <c r="AG78" s="324"/>
      <c r="AH78" s="324"/>
      <c r="AI78" s="325"/>
      <c r="AJ78" s="326" t="str">
        <f t="shared" si="8"/>
        <v/>
      </c>
      <c r="AK78" s="316" t="str">
        <f>IF(AJ78="","",AJ78+AK77+'OS Offset'!I78)</f>
        <v/>
      </c>
      <c r="AL78" s="317">
        <f t="shared" si="9"/>
        <v>0</v>
      </c>
    </row>
    <row r="79" spans="1:38" ht="33.9" customHeight="1" x14ac:dyDescent="0.45">
      <c r="A79" s="320"/>
      <c r="B79" s="319"/>
      <c r="C79" s="320"/>
      <c r="D79" s="321"/>
      <c r="E79" s="321"/>
      <c r="F79" s="321"/>
      <c r="G79" s="322"/>
      <c r="H79" s="323"/>
      <c r="I79" s="313"/>
      <c r="J79" s="313"/>
      <c r="K79" s="313"/>
      <c r="L79" s="313"/>
      <c r="M79" s="313"/>
      <c r="N79" s="313"/>
      <c r="O79" s="313"/>
      <c r="P79" s="314"/>
      <c r="Q79" s="332" t="str">
        <f t="shared" si="6"/>
        <v/>
      </c>
      <c r="R79" s="316" t="str">
        <f>IF(Q79="","",Q79+R78+'OS Offset'!B79)</f>
        <v/>
      </c>
      <c r="S79" s="317">
        <f t="shared" si="7"/>
        <v>0</v>
      </c>
      <c r="T79" s="318"/>
      <c r="U79" s="319"/>
      <c r="V79" s="320"/>
      <c r="W79" s="321"/>
      <c r="X79" s="321"/>
      <c r="Y79" s="321"/>
      <c r="Z79" s="322"/>
      <c r="AA79" s="323"/>
      <c r="AB79" s="313"/>
      <c r="AC79" s="313"/>
      <c r="AD79" s="313"/>
      <c r="AE79" s="313"/>
      <c r="AF79" s="313"/>
      <c r="AG79" s="313"/>
      <c r="AH79" s="313"/>
      <c r="AI79" s="314"/>
      <c r="AJ79" s="315" t="str">
        <f t="shared" si="8"/>
        <v/>
      </c>
      <c r="AK79" s="316" t="str">
        <f>IF(AJ79="","",AJ79+AK78+'OS Offset'!I79)</f>
        <v/>
      </c>
      <c r="AL79" s="317">
        <f t="shared" si="9"/>
        <v>0</v>
      </c>
    </row>
    <row r="80" spans="1:38" ht="33.9" customHeight="1" x14ac:dyDescent="0.45">
      <c r="A80" s="334"/>
      <c r="B80" s="331"/>
      <c r="C80" s="323"/>
      <c r="D80" s="313"/>
      <c r="E80" s="313"/>
      <c r="F80" s="313"/>
      <c r="G80" s="328"/>
      <c r="H80" s="329"/>
      <c r="I80" s="324"/>
      <c r="J80" s="324"/>
      <c r="K80" s="324"/>
      <c r="L80" s="324"/>
      <c r="M80" s="324"/>
      <c r="N80" s="324"/>
      <c r="O80" s="324"/>
      <c r="P80" s="325"/>
      <c r="Q80" s="333" t="str">
        <f t="shared" si="6"/>
        <v/>
      </c>
      <c r="R80" s="316" t="str">
        <f>IF(Q80="","",Q80+R79+'OS Offset'!B80)</f>
        <v/>
      </c>
      <c r="S80" s="317">
        <f t="shared" si="7"/>
        <v>0</v>
      </c>
      <c r="T80" s="330"/>
      <c r="U80" s="331"/>
      <c r="V80" s="323"/>
      <c r="W80" s="313"/>
      <c r="X80" s="313"/>
      <c r="Y80" s="313"/>
      <c r="Z80" s="328"/>
      <c r="AA80" s="329"/>
      <c r="AB80" s="324"/>
      <c r="AC80" s="324"/>
      <c r="AD80" s="324"/>
      <c r="AE80" s="324"/>
      <c r="AF80" s="324"/>
      <c r="AG80" s="324"/>
      <c r="AH80" s="324"/>
      <c r="AI80" s="325"/>
      <c r="AJ80" s="326" t="str">
        <f t="shared" si="8"/>
        <v/>
      </c>
      <c r="AK80" s="316" t="str">
        <f>IF(AJ80="","",AJ80+AK79+'OS Offset'!I80)</f>
        <v/>
      </c>
      <c r="AL80" s="317">
        <f t="shared" si="9"/>
        <v>0</v>
      </c>
    </row>
    <row r="81" spans="1:38" ht="33.9" customHeight="1" x14ac:dyDescent="0.45">
      <c r="A81" s="320"/>
      <c r="B81" s="319"/>
      <c r="C81" s="320"/>
      <c r="D81" s="321"/>
      <c r="E81" s="321"/>
      <c r="F81" s="321"/>
      <c r="G81" s="322"/>
      <c r="H81" s="323"/>
      <c r="I81" s="313"/>
      <c r="J81" s="313"/>
      <c r="K81" s="313"/>
      <c r="L81" s="313"/>
      <c r="M81" s="313"/>
      <c r="N81" s="313"/>
      <c r="O81" s="313"/>
      <c r="P81" s="314"/>
      <c r="Q81" s="332" t="str">
        <f t="shared" si="6"/>
        <v/>
      </c>
      <c r="R81" s="316" t="str">
        <f>IF(Q81="","",Q81+R80+'OS Offset'!B81)</f>
        <v/>
      </c>
      <c r="S81" s="317">
        <f t="shared" si="7"/>
        <v>0</v>
      </c>
      <c r="T81" s="318"/>
      <c r="U81" s="319"/>
      <c r="V81" s="320"/>
      <c r="W81" s="321"/>
      <c r="X81" s="321"/>
      <c r="Y81" s="321"/>
      <c r="Z81" s="322"/>
      <c r="AA81" s="323"/>
      <c r="AB81" s="313"/>
      <c r="AC81" s="313"/>
      <c r="AD81" s="313"/>
      <c r="AE81" s="313"/>
      <c r="AF81" s="313"/>
      <c r="AG81" s="313"/>
      <c r="AH81" s="313"/>
      <c r="AI81" s="314"/>
      <c r="AJ81" s="315" t="str">
        <f t="shared" si="8"/>
        <v/>
      </c>
      <c r="AK81" s="316" t="str">
        <f>IF(AJ81="","",AJ81+AK80+'OS Offset'!I81)</f>
        <v/>
      </c>
      <c r="AL81" s="317">
        <f t="shared" si="9"/>
        <v>0</v>
      </c>
    </row>
    <row r="82" spans="1:38" ht="33.9" customHeight="1" x14ac:dyDescent="0.45">
      <c r="A82" s="334"/>
      <c r="B82" s="331"/>
      <c r="C82" s="323"/>
      <c r="D82" s="313"/>
      <c r="E82" s="313"/>
      <c r="F82" s="313"/>
      <c r="G82" s="328"/>
      <c r="H82" s="329"/>
      <c r="I82" s="324"/>
      <c r="J82" s="324"/>
      <c r="K82" s="324"/>
      <c r="L82" s="324"/>
      <c r="M82" s="324"/>
      <c r="N82" s="324"/>
      <c r="O82" s="324"/>
      <c r="P82" s="325"/>
      <c r="Q82" s="333" t="str">
        <f t="shared" si="6"/>
        <v/>
      </c>
      <c r="R82" s="316" t="str">
        <f>IF(Q82="","",Q82+R81+'OS Offset'!B82)</f>
        <v/>
      </c>
      <c r="S82" s="317">
        <f t="shared" si="7"/>
        <v>0</v>
      </c>
      <c r="T82" s="330"/>
      <c r="U82" s="331"/>
      <c r="V82" s="323"/>
      <c r="W82" s="313"/>
      <c r="X82" s="313"/>
      <c r="Y82" s="313"/>
      <c r="Z82" s="328"/>
      <c r="AA82" s="329"/>
      <c r="AB82" s="324"/>
      <c r="AC82" s="324"/>
      <c r="AD82" s="324"/>
      <c r="AE82" s="324"/>
      <c r="AF82" s="324"/>
      <c r="AG82" s="324"/>
      <c r="AH82" s="324"/>
      <c r="AI82" s="325"/>
      <c r="AJ82" s="326" t="str">
        <f t="shared" si="8"/>
        <v/>
      </c>
      <c r="AK82" s="316" t="str">
        <f>IF(AJ82="","",AJ82+AK81+'OS Offset'!I82)</f>
        <v/>
      </c>
      <c r="AL82" s="317">
        <f t="shared" si="9"/>
        <v>0</v>
      </c>
    </row>
    <row r="83" spans="1:38" ht="33.9" customHeight="1" thickBot="1" x14ac:dyDescent="0.5">
      <c r="A83" s="320"/>
      <c r="B83" s="319"/>
      <c r="C83" s="378"/>
      <c r="D83" s="382"/>
      <c r="E83" s="382"/>
      <c r="F83" s="382"/>
      <c r="G83" s="383"/>
      <c r="H83" s="323"/>
      <c r="I83" s="313"/>
      <c r="J83" s="313"/>
      <c r="K83" s="313"/>
      <c r="L83" s="313"/>
      <c r="M83" s="313"/>
      <c r="N83" s="313"/>
      <c r="O83" s="313"/>
      <c r="P83" s="314"/>
      <c r="Q83" s="332" t="str">
        <f t="shared" si="6"/>
        <v/>
      </c>
      <c r="R83" s="316" t="str">
        <f>IF(Q83="","",Q83+R82+'OS Offset'!B83)</f>
        <v/>
      </c>
      <c r="S83" s="317">
        <f t="shared" si="7"/>
        <v>0</v>
      </c>
      <c r="T83" s="385"/>
      <c r="U83" s="381"/>
      <c r="V83" s="378"/>
      <c r="W83" s="382"/>
      <c r="X83" s="382"/>
      <c r="Y83" s="382"/>
      <c r="Z83" s="383"/>
      <c r="AA83" s="379"/>
      <c r="AB83" s="377"/>
      <c r="AC83" s="377"/>
      <c r="AD83" s="377"/>
      <c r="AE83" s="377"/>
      <c r="AF83" s="377"/>
      <c r="AG83" s="377"/>
      <c r="AH83" s="377"/>
      <c r="AI83" s="386"/>
      <c r="AJ83" s="380" t="str">
        <f t="shared" si="8"/>
        <v/>
      </c>
      <c r="AK83" s="384" t="str">
        <f>IF(AJ83="","",AJ83+AK82+'OS Offset'!I83)</f>
        <v/>
      </c>
      <c r="AL83" s="317">
        <f t="shared" si="9"/>
        <v>0</v>
      </c>
    </row>
    <row r="84" spans="1:38" ht="32.1" customHeight="1" thickBot="1" x14ac:dyDescent="0.5">
      <c r="A84" s="463">
        <f>IF(COUNT(A46:A83),COUNT(A46:A83),"")</f>
        <v>18</v>
      </c>
      <c r="B84" s="363" t="s">
        <v>133</v>
      </c>
      <c r="C84" s="458">
        <f>IF($A$84="","",COUNTIF(C$46:C$83, "X"))</f>
        <v>4</v>
      </c>
      <c r="D84" s="459">
        <f>IF($A$84="","",COUNTIF(D$46:D$83, "X"))</f>
        <v>11</v>
      </c>
      <c r="E84" s="459">
        <f>IF($A$84="","",COUNTIF(E$46:E$83, "X"))</f>
        <v>9</v>
      </c>
      <c r="F84" s="459">
        <f>IF($A$84="","",COUNTIF(F$46:F$83, "X"))</f>
        <v>0</v>
      </c>
      <c r="G84" s="460">
        <f>IF($A$84="","",COUNTIF(G$46:G$83, "X"))</f>
        <v>0</v>
      </c>
      <c r="H84" s="362">
        <f t="shared" ref="H84:Q84" si="10">IF(COUNT(H46:H83),SUM(H46:H83),"")</f>
        <v>64</v>
      </c>
      <c r="I84" s="359">
        <f t="shared" si="10"/>
        <v>36</v>
      </c>
      <c r="J84" s="359">
        <f t="shared" si="10"/>
        <v>17</v>
      </c>
      <c r="K84" s="359">
        <f t="shared" si="10"/>
        <v>10</v>
      </c>
      <c r="L84" s="359">
        <f t="shared" si="10"/>
        <v>5</v>
      </c>
      <c r="M84" s="359">
        <f t="shared" si="10"/>
        <v>5</v>
      </c>
      <c r="N84" s="359">
        <f t="shared" si="10"/>
        <v>0</v>
      </c>
      <c r="O84" s="359" t="str">
        <f t="shared" si="10"/>
        <v/>
      </c>
      <c r="P84" s="360" t="str">
        <f t="shared" si="10"/>
        <v/>
      </c>
      <c r="Q84" s="366">
        <f t="shared" si="10"/>
        <v>137</v>
      </c>
      <c r="R84" s="367">
        <f>IF(A84="","",MAX(R46:R83))</f>
        <v>263</v>
      </c>
      <c r="S84" s="364"/>
      <c r="T84" s="476">
        <f>IF(COUNT(T46:T83),COUNT(T46:T83),"")</f>
        <v>18</v>
      </c>
      <c r="U84" s="477" t="s">
        <v>133</v>
      </c>
      <c r="V84" s="464">
        <f>IF($T$84="","",COUNTIF(V$46:V$83, "X"))</f>
        <v>0</v>
      </c>
      <c r="W84" s="459">
        <f>IF($T$84="","",COUNTIF(W$46:W$83, "X"))</f>
        <v>6</v>
      </c>
      <c r="X84" s="459">
        <f>IF($T$84="","",COUNTIF(X$46:X$83, "X"))</f>
        <v>6</v>
      </c>
      <c r="Y84" s="459">
        <f>IF($T$84="","",COUNTIF(Y$46:Y$83, "X"))</f>
        <v>0</v>
      </c>
      <c r="Z84" s="459">
        <f>IF($T$84="","",COUNTIF(Z$46:Z$83, "X"))</f>
        <v>7</v>
      </c>
      <c r="AA84" s="472">
        <f t="shared" ref="AA84:AJ84" si="11">IF(COUNT(AA46:AA83),SUM(AA46:AA83),"")</f>
        <v>29</v>
      </c>
      <c r="AB84" s="466">
        <f t="shared" si="11"/>
        <v>13</v>
      </c>
      <c r="AC84" s="466">
        <f t="shared" si="11"/>
        <v>6</v>
      </c>
      <c r="AD84" s="466">
        <f t="shared" si="11"/>
        <v>2</v>
      </c>
      <c r="AE84" s="466" t="str">
        <f t="shared" si="11"/>
        <v/>
      </c>
      <c r="AF84" s="466" t="str">
        <f t="shared" si="11"/>
        <v/>
      </c>
      <c r="AG84" s="466" t="str">
        <f t="shared" si="11"/>
        <v/>
      </c>
      <c r="AH84" s="466" t="str">
        <f t="shared" si="11"/>
        <v/>
      </c>
      <c r="AI84" s="478" t="str">
        <f t="shared" si="11"/>
        <v/>
      </c>
      <c r="AJ84" s="479">
        <f t="shared" si="11"/>
        <v>50</v>
      </c>
      <c r="AK84" s="470">
        <f>IF(T84="","",MAX(AK46:AK83))</f>
        <v>75</v>
      </c>
      <c r="AL84" s="361"/>
    </row>
  </sheetData>
  <mergeCells count="28">
    <mergeCell ref="AE44:AG44"/>
    <mergeCell ref="AH44:AJ44"/>
    <mergeCell ref="L43:N43"/>
    <mergeCell ref="O43:Q43"/>
    <mergeCell ref="AE43:AG43"/>
    <mergeCell ref="AH43:AJ43"/>
    <mergeCell ref="A43:H44"/>
    <mergeCell ref="T43:AA44"/>
    <mergeCell ref="AB43:AC43"/>
    <mergeCell ref="I44:J44"/>
    <mergeCell ref="AB44:AC44"/>
    <mergeCell ref="L44:N44"/>
    <mergeCell ref="O44:Q44"/>
    <mergeCell ref="I43:J43"/>
    <mergeCell ref="AE1:AG1"/>
    <mergeCell ref="AH1:AJ1"/>
    <mergeCell ref="A1:H2"/>
    <mergeCell ref="L2:N2"/>
    <mergeCell ref="L1:N1"/>
    <mergeCell ref="O1:Q1"/>
    <mergeCell ref="O2:Q2"/>
    <mergeCell ref="I1:J1"/>
    <mergeCell ref="I2:J2"/>
    <mergeCell ref="T1:AA2"/>
    <mergeCell ref="AB1:AC1"/>
    <mergeCell ref="AB2:AC2"/>
    <mergeCell ref="AE2:AG2"/>
    <mergeCell ref="AH2:AJ2"/>
  </mergeCells>
  <phoneticPr fontId="6" type="noConversion"/>
  <printOptions horizontalCentered="1"/>
  <pageMargins left="0.75" right="0.75" top="0.74" bottom="0.4" header="0.41" footer="0.3"/>
  <pageSetup scale="46" firstPageNumber="0" fitToWidth="0" fitToHeight="0" orientation="portrait" r:id="rId1"/>
  <headerFooter alignWithMargins="0">
    <oddHeader>&amp;L&amp;"Calibri,Regular"&amp;34&amp;K000000&amp;G&amp;A&amp;R&amp;"Calibri,Regular"&amp;K000000_x000D_‘&amp;A’ revision 150103_x000D_StatsBook © 2008–2015 WFTDA</oddHeader>
  </headerFooter>
  <rowBreaks count="1" manualBreakCount="1">
    <brk id="42" max="16383" man="1"/>
  </rowBreaks>
  <colBreaks count="1" manualBreakCount="1">
    <brk id="19" max="1048575" man="1"/>
  </colBreaks>
  <ignoredErrors>
    <ignoredError sqref="A1" emptyCellReference="1"/>
  </ignoredErrors>
  <legacyDrawing r:id="rId2"/>
  <legacyDrawingHF r:id="rId3"/>
  <extLst>
    <ext xmlns:x14="http://schemas.microsoft.com/office/spreadsheetml/2009/9/main" uri="{78C0D931-6437-407d-A8EE-F0AAD7539E65}">
      <x14:conditionalFormattings>
        <x14:conditionalFormatting xmlns:xm="http://schemas.microsoft.com/office/excel/2006/main">
          <x14:cfRule type="expression" priority="2" id="{25B8BD7D-1291-4117-8E20-7523DC4C58FC}">
            <xm:f>AND(COUNTIF(IGRF!$B$14:$B$33, B4)=0, NOT(ISBLANK(B4)))</xm:f>
            <x14:dxf>
              <fill>
                <patternFill>
                  <bgColor rgb="FFFF0000"/>
                </patternFill>
              </fill>
            </x14:dxf>
          </x14:cfRule>
          <xm:sqref>B4:B41 B46:B83</xm:sqref>
        </x14:conditionalFormatting>
        <x14:conditionalFormatting xmlns:xm="http://schemas.microsoft.com/office/excel/2006/main">
          <x14:cfRule type="expression" priority="1" id="{5E00802B-8210-46B5-9F83-30949539092A}">
            <xm:f>AND(COUNTIF(IGRF!$H$14:$H$33, U4)=0, NOT(ISBLANK(U4)))</xm:f>
            <x14:dxf>
              <fill>
                <patternFill>
                  <bgColor rgb="FFFF0000"/>
                </patternFill>
              </fill>
            </x14:dxf>
          </x14:cfRule>
          <xm:sqref>U4:U41 U46:U83</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sheetPr>
  <dimension ref="A1:BD47"/>
  <sheetViews>
    <sheetView zoomScaleNormal="100" zoomScaleSheetLayoutView="75" workbookViewId="0">
      <selection activeCell="AV46" sqref="AV46"/>
    </sheetView>
  </sheetViews>
  <sheetFormatPr defaultColWidth="8.88671875" defaultRowHeight="13.8" x14ac:dyDescent="0.3"/>
  <cols>
    <col min="1" max="1" width="9.88671875" style="12" customWidth="1"/>
    <col min="2" max="10" width="5" style="12" customWidth="1"/>
    <col min="11" max="11" width="5.6640625" style="12" customWidth="1"/>
    <col min="12" max="12" width="8.44140625" style="12" customWidth="1"/>
    <col min="13" max="13" width="14.6640625" style="12" customWidth="1"/>
    <col min="14" max="14" width="9.6640625" style="12" customWidth="1"/>
    <col min="15" max="15" width="14.6640625" style="22" customWidth="1"/>
    <col min="16" max="16" width="9.88671875" style="12" customWidth="1"/>
    <col min="17" max="25" width="5" style="12" customWidth="1"/>
    <col min="26" max="26" width="5.6640625" style="12" customWidth="1"/>
    <col min="27" max="27" width="8.33203125" style="12" customWidth="1"/>
    <col min="28" max="28" width="10.109375" style="21" customWidth="1"/>
    <col min="29" max="29" width="9.88671875" style="12" customWidth="1"/>
    <col min="30" max="38" width="5" style="12" customWidth="1"/>
    <col min="39" max="39" width="5.88671875" style="12" customWidth="1"/>
    <col min="40" max="40" width="8.44140625" style="12" customWidth="1"/>
    <col min="41" max="41" width="14.6640625" style="12" customWidth="1"/>
    <col min="42" max="42" width="9.6640625" style="12" customWidth="1"/>
    <col min="43" max="43" width="14.6640625" style="12" customWidth="1"/>
    <col min="44" max="44" width="9.88671875" style="12" customWidth="1"/>
    <col min="45" max="53" width="5" style="12" customWidth="1"/>
    <col min="54" max="54" width="5.88671875" style="12" customWidth="1"/>
    <col min="55" max="55" width="8.33203125" style="12" customWidth="1"/>
    <col min="56" max="56" width="10.109375" style="21" customWidth="1"/>
    <col min="57" max="57" width="3.109375" style="12" customWidth="1"/>
    <col min="58" max="16384" width="8.88671875" style="12"/>
  </cols>
  <sheetData>
    <row r="1" spans="1:56" ht="30" customHeight="1" x14ac:dyDescent="0.45">
      <c r="A1" s="976" t="str">
        <f>Score!$A$1</f>
        <v>Tri-City Roller Derby / Plan B</v>
      </c>
      <c r="B1" s="976"/>
      <c r="C1" s="976"/>
      <c r="D1" s="976"/>
      <c r="E1" s="976"/>
      <c r="F1" s="976"/>
      <c r="G1" s="976"/>
      <c r="H1" s="976"/>
      <c r="I1" s="969" t="s">
        <v>659</v>
      </c>
      <c r="J1" s="969"/>
      <c r="K1" s="969"/>
      <c r="L1" s="979">
        <f>IF(ISBLANK(IGRF!$B$7), "", IGRF!$B$7)</f>
        <v>42105</v>
      </c>
      <c r="M1" s="979"/>
      <c r="N1" s="975" t="s">
        <v>643</v>
      </c>
      <c r="O1" s="975"/>
      <c r="P1" s="975"/>
      <c r="Q1" s="976" t="str">
        <f>Score!$T$1</f>
        <v>Hammer City Roller Girls / Harlots</v>
      </c>
      <c r="R1" s="976"/>
      <c r="S1" s="976"/>
      <c r="T1" s="976"/>
      <c r="U1" s="976"/>
      <c r="V1" s="976"/>
      <c r="W1" s="976"/>
      <c r="X1" s="976"/>
      <c r="Y1" s="976"/>
      <c r="Z1" s="969" t="s">
        <v>661</v>
      </c>
      <c r="AA1" s="969"/>
      <c r="AB1" s="485">
        <v>1</v>
      </c>
      <c r="AC1" s="976" t="str">
        <f>A1</f>
        <v>Tri-City Roller Derby / Plan B</v>
      </c>
      <c r="AD1" s="976"/>
      <c r="AE1" s="976"/>
      <c r="AF1" s="976"/>
      <c r="AG1" s="976"/>
      <c r="AH1" s="976"/>
      <c r="AI1" s="976"/>
      <c r="AJ1" s="976"/>
      <c r="AK1" s="969" t="str">
        <f>I1</f>
        <v>Black</v>
      </c>
      <c r="AL1" s="969"/>
      <c r="AM1" s="969"/>
      <c r="AN1" s="979">
        <f>L1</f>
        <v>42105</v>
      </c>
      <c r="AO1" s="979"/>
      <c r="AP1" s="975" t="s">
        <v>643</v>
      </c>
      <c r="AQ1" s="975"/>
      <c r="AR1" s="975"/>
      <c r="AS1" s="976" t="str">
        <f>Q1</f>
        <v>Hammer City Roller Girls / Harlots</v>
      </c>
      <c r="AT1" s="976"/>
      <c r="AU1" s="976"/>
      <c r="AV1" s="976"/>
      <c r="AW1" s="976"/>
      <c r="AX1" s="976"/>
      <c r="AY1" s="976"/>
      <c r="AZ1" s="976"/>
      <c r="BA1" s="976"/>
      <c r="BB1" s="969" t="str">
        <f>Z1</f>
        <v>White</v>
      </c>
      <c r="BC1" s="969"/>
      <c r="BD1" s="485">
        <v>2</v>
      </c>
    </row>
    <row r="2" spans="1:56" ht="15" customHeight="1" x14ac:dyDescent="0.3">
      <c r="A2" s="976"/>
      <c r="B2" s="976"/>
      <c r="C2" s="976"/>
      <c r="D2" s="976"/>
      <c r="E2" s="976"/>
      <c r="F2" s="976"/>
      <c r="G2" s="976"/>
      <c r="H2" s="976"/>
      <c r="I2" s="970" t="s">
        <v>245</v>
      </c>
      <c r="J2" s="970"/>
      <c r="K2" s="970"/>
      <c r="L2" s="971" t="s">
        <v>248</v>
      </c>
      <c r="M2" s="971"/>
      <c r="N2" s="972" t="s">
        <v>239</v>
      </c>
      <c r="O2" s="972"/>
      <c r="P2" s="972"/>
      <c r="Q2" s="976"/>
      <c r="R2" s="976"/>
      <c r="S2" s="976"/>
      <c r="T2" s="976"/>
      <c r="U2" s="976"/>
      <c r="V2" s="976"/>
      <c r="W2" s="976"/>
      <c r="X2" s="976"/>
      <c r="Y2" s="976"/>
      <c r="Z2" s="973" t="s">
        <v>245</v>
      </c>
      <c r="AA2" s="973"/>
      <c r="AB2" s="486" t="str">
        <f>IF(ISBLANK(IGRF!$K$3), "", "GAME " &amp; IGRF!$K$3)</f>
        <v>GAME 2</v>
      </c>
      <c r="AC2" s="976"/>
      <c r="AD2" s="976"/>
      <c r="AE2" s="976"/>
      <c r="AF2" s="976"/>
      <c r="AG2" s="976"/>
      <c r="AH2" s="976"/>
      <c r="AI2" s="976"/>
      <c r="AJ2" s="976"/>
      <c r="AK2" s="970" t="s">
        <v>245</v>
      </c>
      <c r="AL2" s="970"/>
      <c r="AM2" s="970"/>
      <c r="AN2" s="971" t="s">
        <v>248</v>
      </c>
      <c r="AO2" s="971"/>
      <c r="AP2" s="972" t="s">
        <v>239</v>
      </c>
      <c r="AQ2" s="972"/>
      <c r="AR2" s="972"/>
      <c r="AS2" s="976"/>
      <c r="AT2" s="976"/>
      <c r="AU2" s="976"/>
      <c r="AV2" s="976"/>
      <c r="AW2" s="976"/>
      <c r="AX2" s="976"/>
      <c r="AY2" s="976"/>
      <c r="AZ2" s="976"/>
      <c r="BA2" s="976"/>
      <c r="BB2" s="973" t="s">
        <v>245</v>
      </c>
      <c r="BC2" s="973"/>
      <c r="BD2" s="486" t="str">
        <f>AB2</f>
        <v>GAME 2</v>
      </c>
    </row>
    <row r="3" spans="1:56" s="14" customFormat="1" ht="15" customHeight="1" thickBot="1" x14ac:dyDescent="0.3">
      <c r="A3" s="483" t="s">
        <v>134</v>
      </c>
      <c r="B3" s="978" t="s">
        <v>393</v>
      </c>
      <c r="C3" s="978"/>
      <c r="D3" s="978"/>
      <c r="E3" s="978"/>
      <c r="F3" s="978"/>
      <c r="G3" s="978"/>
      <c r="H3" s="978"/>
      <c r="I3" s="978"/>
      <c r="J3" s="978"/>
      <c r="K3" s="296" t="s">
        <v>135</v>
      </c>
      <c r="L3" s="483" t="s">
        <v>91</v>
      </c>
      <c r="M3" s="978" t="s">
        <v>237</v>
      </c>
      <c r="N3" s="978"/>
      <c r="O3" s="978"/>
      <c r="P3" s="483" t="s">
        <v>134</v>
      </c>
      <c r="Q3" s="978" t="s">
        <v>393</v>
      </c>
      <c r="R3" s="978"/>
      <c r="S3" s="978"/>
      <c r="T3" s="978"/>
      <c r="U3" s="978"/>
      <c r="V3" s="978"/>
      <c r="W3" s="978"/>
      <c r="X3" s="978"/>
      <c r="Y3" s="978"/>
      <c r="Z3" s="296" t="s">
        <v>135</v>
      </c>
      <c r="AA3" s="483" t="s">
        <v>91</v>
      </c>
      <c r="AB3" s="13" t="s">
        <v>230</v>
      </c>
      <c r="AC3" s="484" t="s">
        <v>134</v>
      </c>
      <c r="AD3" s="978" t="s">
        <v>393</v>
      </c>
      <c r="AE3" s="978"/>
      <c r="AF3" s="978"/>
      <c r="AG3" s="978"/>
      <c r="AH3" s="978"/>
      <c r="AI3" s="978"/>
      <c r="AJ3" s="978"/>
      <c r="AK3" s="978"/>
      <c r="AL3" s="978"/>
      <c r="AM3" s="296" t="s">
        <v>135</v>
      </c>
      <c r="AN3" s="483" t="s">
        <v>91</v>
      </c>
      <c r="AO3" s="978" t="s">
        <v>237</v>
      </c>
      <c r="AP3" s="978"/>
      <c r="AQ3" s="978"/>
      <c r="AR3" s="483" t="s">
        <v>134</v>
      </c>
      <c r="AS3" s="978" t="s">
        <v>393</v>
      </c>
      <c r="AT3" s="978"/>
      <c r="AU3" s="978"/>
      <c r="AV3" s="978"/>
      <c r="AW3" s="978"/>
      <c r="AX3" s="978"/>
      <c r="AY3" s="978"/>
      <c r="AZ3" s="978"/>
      <c r="BA3" s="978"/>
      <c r="BB3" s="296" t="s">
        <v>135</v>
      </c>
      <c r="BC3" s="483" t="s">
        <v>91</v>
      </c>
      <c r="BD3" s="13" t="s">
        <v>230</v>
      </c>
    </row>
    <row r="4" spans="1:56" ht="18.899999999999999" customHeight="1" thickBot="1" x14ac:dyDescent="0.35">
      <c r="A4" s="977" t="str">
        <f>IF(IGRF!B14="","",IGRF!B14)</f>
        <v>0</v>
      </c>
      <c r="B4" s="268" t="s">
        <v>157</v>
      </c>
      <c r="C4" s="269"/>
      <c r="D4" s="269"/>
      <c r="E4" s="269"/>
      <c r="F4" s="269"/>
      <c r="G4" s="487"/>
      <c r="H4" s="488"/>
      <c r="I4" s="489"/>
      <c r="J4" s="270"/>
      <c r="K4" s="271"/>
      <c r="L4" s="961">
        <f>IF(COUNTA(B4:J4)=0,"",COUNTA(B4:J4))</f>
        <v>1</v>
      </c>
      <c r="M4" s="940">
        <v>1</v>
      </c>
      <c r="N4" s="941"/>
      <c r="O4" s="942"/>
      <c r="P4" s="977" t="str">
        <f>IF(IGRF!H14="","",IGRF!H14)</f>
        <v>11</v>
      </c>
      <c r="Q4" s="268" t="s">
        <v>140</v>
      </c>
      <c r="R4" s="269"/>
      <c r="S4" s="269"/>
      <c r="T4" s="269"/>
      <c r="U4" s="269"/>
      <c r="V4" s="487"/>
      <c r="W4" s="488"/>
      <c r="X4" s="489"/>
      <c r="Y4" s="270"/>
      <c r="Z4" s="271"/>
      <c r="AA4" s="961">
        <f>IF(COUNTA(Q4:Y4)=0,"",COUNTA(Q4:Y4))</f>
        <v>1</v>
      </c>
      <c r="AB4" s="16" t="s">
        <v>136</v>
      </c>
      <c r="AC4" s="974" t="str">
        <f>IF(IGRF!B14="","",IGRF!B14)</f>
        <v>0</v>
      </c>
      <c r="AD4" s="268"/>
      <c r="AE4" s="269" t="s">
        <v>146</v>
      </c>
      <c r="AF4" s="269"/>
      <c r="AG4" s="269"/>
      <c r="AH4" s="269"/>
      <c r="AI4" s="487"/>
      <c r="AJ4" s="488"/>
      <c r="AK4" s="489"/>
      <c r="AL4" s="270"/>
      <c r="AM4" s="271"/>
      <c r="AN4" s="961">
        <f>IF(COUNTA(AD4:AL4)=0,"",COUNTA(AD4:AL4))</f>
        <v>1</v>
      </c>
      <c r="AO4" s="940">
        <v>1</v>
      </c>
      <c r="AP4" s="941"/>
      <c r="AQ4" s="942"/>
      <c r="AR4" s="974" t="str">
        <f>IF(IGRF!H14="","",IGRF!H14)</f>
        <v>11</v>
      </c>
      <c r="AS4" s="268"/>
      <c r="AT4" s="269"/>
      <c r="AU4" s="269"/>
      <c r="AV4" s="269"/>
      <c r="AW4" s="269"/>
      <c r="AX4" s="487"/>
      <c r="AY4" s="488"/>
      <c r="AZ4" s="489"/>
      <c r="BA4" s="270"/>
      <c r="BB4" s="271"/>
      <c r="BC4" s="961" t="str">
        <f>IF(COUNTA(AS4:BA4)=0,"",COUNTA(AS4:BA4))</f>
        <v/>
      </c>
      <c r="BD4" s="16" t="s">
        <v>136</v>
      </c>
    </row>
    <row r="5" spans="1:56" ht="18.899999999999999" customHeight="1" thickBot="1" x14ac:dyDescent="0.35">
      <c r="A5" s="965"/>
      <c r="B5" s="272">
        <v>15</v>
      </c>
      <c r="C5" s="273"/>
      <c r="D5" s="273"/>
      <c r="E5" s="273"/>
      <c r="F5" s="273"/>
      <c r="G5" s="490"/>
      <c r="H5" s="491"/>
      <c r="I5" s="492"/>
      <c r="J5" s="274"/>
      <c r="K5" s="275"/>
      <c r="L5" s="962"/>
      <c r="M5" s="956">
        <v>2</v>
      </c>
      <c r="N5" s="957"/>
      <c r="O5" s="958"/>
      <c r="P5" s="965"/>
      <c r="Q5" s="272">
        <v>14</v>
      </c>
      <c r="R5" s="273"/>
      <c r="S5" s="273"/>
      <c r="T5" s="273"/>
      <c r="U5" s="273"/>
      <c r="V5" s="490"/>
      <c r="W5" s="491"/>
      <c r="X5" s="492"/>
      <c r="Y5" s="274"/>
      <c r="Z5" s="275"/>
      <c r="AA5" s="962"/>
      <c r="AB5" s="15" t="s">
        <v>137</v>
      </c>
      <c r="AC5" s="963"/>
      <c r="AD5" s="272"/>
      <c r="AE5" s="273">
        <v>13</v>
      </c>
      <c r="AF5" s="273"/>
      <c r="AG5" s="273"/>
      <c r="AH5" s="273"/>
      <c r="AI5" s="490"/>
      <c r="AJ5" s="491"/>
      <c r="AK5" s="492"/>
      <c r="AL5" s="274"/>
      <c r="AM5" s="275"/>
      <c r="AN5" s="962"/>
      <c r="AO5" s="956">
        <v>2</v>
      </c>
      <c r="AP5" s="957"/>
      <c r="AQ5" s="958"/>
      <c r="AR5" s="963"/>
      <c r="AS5" s="272"/>
      <c r="AT5" s="273"/>
      <c r="AU5" s="273"/>
      <c r="AV5" s="273"/>
      <c r="AW5" s="273"/>
      <c r="AX5" s="490"/>
      <c r="AY5" s="491"/>
      <c r="AZ5" s="492"/>
      <c r="BA5" s="274"/>
      <c r="BB5" s="275"/>
      <c r="BC5" s="962"/>
      <c r="BD5" s="15" t="s">
        <v>137</v>
      </c>
    </row>
    <row r="6" spans="1:56" ht="18.899999999999999" customHeight="1" x14ac:dyDescent="0.3">
      <c r="A6" s="959" t="str">
        <f>IF(IGRF!B15="","",IGRF!B15)</f>
        <v>1321</v>
      </c>
      <c r="B6" s="276"/>
      <c r="C6" s="277"/>
      <c r="D6" s="277"/>
      <c r="E6" s="277"/>
      <c r="F6" s="277"/>
      <c r="G6" s="278"/>
      <c r="H6" s="493"/>
      <c r="I6" s="494"/>
      <c r="J6" s="279"/>
      <c r="K6" s="271"/>
      <c r="L6" s="949" t="str">
        <f>IF(COUNTA(B6:J6)=0,"",COUNTA(B6:J6))</f>
        <v/>
      </c>
      <c r="M6" s="951">
        <v>3</v>
      </c>
      <c r="N6" s="952"/>
      <c r="O6" s="953">
        <v>3</v>
      </c>
      <c r="P6" s="959" t="str">
        <f>IF(IGRF!H15="","",IGRF!H15)</f>
        <v>11G6</v>
      </c>
      <c r="Q6" s="276" t="s">
        <v>136</v>
      </c>
      <c r="R6" s="277" t="s">
        <v>140</v>
      </c>
      <c r="S6" s="277"/>
      <c r="T6" s="277"/>
      <c r="U6" s="277"/>
      <c r="V6" s="278"/>
      <c r="W6" s="493"/>
      <c r="X6" s="494"/>
      <c r="Y6" s="279"/>
      <c r="Z6" s="271"/>
      <c r="AA6" s="949">
        <f>IF(COUNTA(Q6:Y6)=0,"",COUNTA(Q6:Y6))</f>
        <v>2</v>
      </c>
      <c r="AB6" s="495" t="s">
        <v>148</v>
      </c>
      <c r="AC6" s="954" t="str">
        <f>IF(IGRF!B15="","",IGRF!B15)</f>
        <v>1321</v>
      </c>
      <c r="AD6" s="276"/>
      <c r="AE6" s="277"/>
      <c r="AF6" s="277"/>
      <c r="AG6" s="277"/>
      <c r="AH6" s="277"/>
      <c r="AI6" s="278"/>
      <c r="AJ6" s="493"/>
      <c r="AK6" s="494"/>
      <c r="AL6" s="279"/>
      <c r="AM6" s="271"/>
      <c r="AN6" s="949" t="str">
        <f>IF(COUNTA(AD6:AL6)=0,"",COUNTA(AD6:AL6))</f>
        <v/>
      </c>
      <c r="AO6" s="951">
        <v>3</v>
      </c>
      <c r="AP6" s="952"/>
      <c r="AQ6" s="953"/>
      <c r="AR6" s="954" t="str">
        <f>IF(IGRF!H15="","",IGRF!H15)</f>
        <v>11G6</v>
      </c>
      <c r="AS6" s="276"/>
      <c r="AT6" s="277"/>
      <c r="AU6" s="277"/>
      <c r="AV6" s="277"/>
      <c r="AW6" s="277"/>
      <c r="AX6" s="278"/>
      <c r="AY6" s="493"/>
      <c r="AZ6" s="494"/>
      <c r="BA6" s="279"/>
      <c r="BB6" s="271"/>
      <c r="BC6" s="949" t="str">
        <f>IF(COUNTA(AS6:BA6)=0,"",COUNTA(AS6:BA6))</f>
        <v/>
      </c>
      <c r="BD6" s="495" t="s">
        <v>148</v>
      </c>
    </row>
    <row r="7" spans="1:56" ht="18.899999999999999" customHeight="1" thickBot="1" x14ac:dyDescent="0.35">
      <c r="A7" s="968"/>
      <c r="B7" s="311"/>
      <c r="C7" s="280"/>
      <c r="D7" s="280"/>
      <c r="E7" s="280"/>
      <c r="F7" s="280"/>
      <c r="G7" s="281"/>
      <c r="H7" s="496"/>
      <c r="I7" s="497"/>
      <c r="J7" s="312"/>
      <c r="K7" s="275"/>
      <c r="L7" s="966"/>
      <c r="M7" s="956">
        <v>4</v>
      </c>
      <c r="N7" s="957"/>
      <c r="O7" s="958">
        <v>4</v>
      </c>
      <c r="P7" s="968"/>
      <c r="Q7" s="311">
        <v>1</v>
      </c>
      <c r="R7" s="280">
        <v>9</v>
      </c>
      <c r="S7" s="280"/>
      <c r="T7" s="280"/>
      <c r="U7" s="280"/>
      <c r="V7" s="281"/>
      <c r="W7" s="496"/>
      <c r="X7" s="497"/>
      <c r="Y7" s="312"/>
      <c r="Z7" s="275"/>
      <c r="AA7" s="966"/>
      <c r="AB7" s="15" t="s">
        <v>149</v>
      </c>
      <c r="AC7" s="967"/>
      <c r="AD7" s="311"/>
      <c r="AE7" s="280"/>
      <c r="AF7" s="280"/>
      <c r="AG7" s="280"/>
      <c r="AH7" s="280"/>
      <c r="AI7" s="281"/>
      <c r="AJ7" s="496"/>
      <c r="AK7" s="497"/>
      <c r="AL7" s="312"/>
      <c r="AM7" s="275"/>
      <c r="AN7" s="966"/>
      <c r="AO7" s="956">
        <v>4</v>
      </c>
      <c r="AP7" s="957"/>
      <c r="AQ7" s="958"/>
      <c r="AR7" s="967"/>
      <c r="AS7" s="311"/>
      <c r="AT7" s="280"/>
      <c r="AU7" s="280"/>
      <c r="AV7" s="280"/>
      <c r="AW7" s="280"/>
      <c r="AX7" s="281"/>
      <c r="AY7" s="496"/>
      <c r="AZ7" s="497"/>
      <c r="BA7" s="312"/>
      <c r="BB7" s="275"/>
      <c r="BC7" s="966"/>
      <c r="BD7" s="15" t="s">
        <v>149</v>
      </c>
    </row>
    <row r="8" spans="1:56" ht="18.899999999999999" customHeight="1" thickBot="1" x14ac:dyDescent="0.35">
      <c r="A8" s="964" t="str">
        <f>IF(IGRF!B16="","",IGRF!B16)</f>
        <v>17</v>
      </c>
      <c r="B8" s="268" t="s">
        <v>140</v>
      </c>
      <c r="C8" s="269"/>
      <c r="D8" s="269"/>
      <c r="E8" s="269"/>
      <c r="F8" s="269"/>
      <c r="G8" s="487"/>
      <c r="H8" s="488"/>
      <c r="I8" s="489"/>
      <c r="J8" s="270"/>
      <c r="K8" s="271"/>
      <c r="L8" s="961">
        <f>IF(COUNTA(B8:J8)=0,"",COUNTA(B8:J8))</f>
        <v>1</v>
      </c>
      <c r="M8" s="951">
        <v>5</v>
      </c>
      <c r="N8" s="952"/>
      <c r="O8" s="953">
        <v>5</v>
      </c>
      <c r="P8" s="964" t="str">
        <f>IF(IGRF!H16="","",IGRF!H16)</f>
        <v>152</v>
      </c>
      <c r="Q8" s="268"/>
      <c r="R8" s="269"/>
      <c r="S8" s="269"/>
      <c r="T8" s="269"/>
      <c r="U8" s="269"/>
      <c r="V8" s="487"/>
      <c r="W8" s="488"/>
      <c r="X8" s="489"/>
      <c r="Y8" s="270"/>
      <c r="Z8" s="271"/>
      <c r="AA8" s="961" t="str">
        <f>IF(COUNTA(Q8:Y8)=0,"",COUNTA(Q8:Y8))</f>
        <v/>
      </c>
      <c r="AB8" s="16" t="s">
        <v>151</v>
      </c>
      <c r="AC8" s="963" t="str">
        <f>IF(IGRF!B16="","",IGRF!B16)</f>
        <v>17</v>
      </c>
      <c r="AD8" s="268"/>
      <c r="AE8" s="269" t="s">
        <v>153</v>
      </c>
      <c r="AF8" s="269"/>
      <c r="AG8" s="269"/>
      <c r="AH8" s="269"/>
      <c r="AI8" s="487"/>
      <c r="AJ8" s="488"/>
      <c r="AK8" s="489"/>
      <c r="AL8" s="270"/>
      <c r="AM8" s="271"/>
      <c r="AN8" s="961">
        <f>IF(COUNTA(AD8:AL8)=0,"",COUNTA(AD8:AL8))</f>
        <v>1</v>
      </c>
      <c r="AO8" s="951">
        <v>5</v>
      </c>
      <c r="AP8" s="952"/>
      <c r="AQ8" s="953"/>
      <c r="AR8" s="963" t="str">
        <f>IF(IGRF!H16="","",IGRF!H16)</f>
        <v>152</v>
      </c>
      <c r="AS8" s="268" t="s">
        <v>142</v>
      </c>
      <c r="AT8" s="269"/>
      <c r="AU8" s="269"/>
      <c r="AV8" s="269"/>
      <c r="AW8" s="269"/>
      <c r="AX8" s="487"/>
      <c r="AY8" s="488"/>
      <c r="AZ8" s="489"/>
      <c r="BA8" s="270"/>
      <c r="BB8" s="271"/>
      <c r="BC8" s="961">
        <f>IF(COUNTA(AS8:BA8)=0,"",COUNTA(AS8:BA8))</f>
        <v>1</v>
      </c>
      <c r="BD8" s="16" t="s">
        <v>151</v>
      </c>
    </row>
    <row r="9" spans="1:56" ht="18.899999999999999" customHeight="1" thickBot="1" x14ac:dyDescent="0.35">
      <c r="A9" s="965"/>
      <c r="B9" s="272">
        <v>8</v>
      </c>
      <c r="C9" s="273"/>
      <c r="D9" s="273"/>
      <c r="E9" s="273"/>
      <c r="F9" s="273"/>
      <c r="G9" s="490"/>
      <c r="H9" s="491"/>
      <c r="I9" s="492"/>
      <c r="J9" s="274"/>
      <c r="K9" s="275"/>
      <c r="L9" s="962"/>
      <c r="M9" s="956">
        <v>6</v>
      </c>
      <c r="N9" s="957"/>
      <c r="O9" s="958">
        <v>6</v>
      </c>
      <c r="P9" s="965"/>
      <c r="Q9" s="272"/>
      <c r="R9" s="273"/>
      <c r="S9" s="273"/>
      <c r="T9" s="273"/>
      <c r="U9" s="273"/>
      <c r="V9" s="490"/>
      <c r="W9" s="491"/>
      <c r="X9" s="492"/>
      <c r="Y9" s="274"/>
      <c r="Z9" s="275"/>
      <c r="AA9" s="962"/>
      <c r="AB9" s="15" t="s">
        <v>152</v>
      </c>
      <c r="AC9" s="963"/>
      <c r="AD9" s="272"/>
      <c r="AE9" s="273">
        <v>12</v>
      </c>
      <c r="AF9" s="273"/>
      <c r="AG9" s="273"/>
      <c r="AH9" s="273"/>
      <c r="AI9" s="490"/>
      <c r="AJ9" s="491"/>
      <c r="AK9" s="492"/>
      <c r="AL9" s="274"/>
      <c r="AM9" s="275"/>
      <c r="AN9" s="962"/>
      <c r="AO9" s="956">
        <v>6</v>
      </c>
      <c r="AP9" s="957"/>
      <c r="AQ9" s="958"/>
      <c r="AR9" s="963"/>
      <c r="AS9" s="272">
        <v>2</v>
      </c>
      <c r="AT9" s="273"/>
      <c r="AU9" s="273"/>
      <c r="AV9" s="273"/>
      <c r="AW9" s="273"/>
      <c r="AX9" s="490"/>
      <c r="AY9" s="491"/>
      <c r="AZ9" s="492"/>
      <c r="BA9" s="274"/>
      <c r="BB9" s="275"/>
      <c r="BC9" s="962"/>
      <c r="BD9" s="15" t="s">
        <v>152</v>
      </c>
    </row>
    <row r="10" spans="1:56" ht="18.899999999999999" customHeight="1" x14ac:dyDescent="0.3">
      <c r="A10" s="959" t="str">
        <f>IF(IGRF!B17="","",IGRF!B17)</f>
        <v>19</v>
      </c>
      <c r="B10" s="276"/>
      <c r="C10" s="277"/>
      <c r="D10" s="277"/>
      <c r="E10" s="277"/>
      <c r="F10" s="277"/>
      <c r="G10" s="278"/>
      <c r="H10" s="493"/>
      <c r="I10" s="494"/>
      <c r="J10" s="279"/>
      <c r="K10" s="271"/>
      <c r="L10" s="949" t="str">
        <f>IF(COUNTA(B10:J10)=0,"",COUNTA(B10:J10))</f>
        <v/>
      </c>
      <c r="M10" s="951">
        <v>7</v>
      </c>
      <c r="N10" s="952"/>
      <c r="O10" s="953">
        <v>7</v>
      </c>
      <c r="P10" s="959" t="str">
        <f>IF(IGRF!H17="","",IGRF!H17)</f>
        <v xml:space="preserve">237 </v>
      </c>
      <c r="Q10" s="276"/>
      <c r="R10" s="277"/>
      <c r="S10" s="277"/>
      <c r="T10" s="277"/>
      <c r="U10" s="277"/>
      <c r="V10" s="278"/>
      <c r="W10" s="493"/>
      <c r="X10" s="494"/>
      <c r="Y10" s="279"/>
      <c r="Z10" s="271"/>
      <c r="AA10" s="949" t="str">
        <f>IF(COUNTA(Q10:Y10)=0,"",COUNTA(Q10:Y10))</f>
        <v/>
      </c>
      <c r="AB10" s="16" t="s">
        <v>144</v>
      </c>
      <c r="AC10" s="954" t="str">
        <f>IF(IGRF!B17="","",IGRF!B17)</f>
        <v>19</v>
      </c>
      <c r="AD10" s="276" t="s">
        <v>136</v>
      </c>
      <c r="AE10" s="277"/>
      <c r="AF10" s="277"/>
      <c r="AG10" s="277"/>
      <c r="AH10" s="277"/>
      <c r="AI10" s="278"/>
      <c r="AJ10" s="493"/>
      <c r="AK10" s="494"/>
      <c r="AL10" s="279"/>
      <c r="AM10" s="271"/>
      <c r="AN10" s="949">
        <f>IF(COUNTA(AD10:AL10)=0,"",COUNTA(AD10:AL10))</f>
        <v>1</v>
      </c>
      <c r="AO10" s="951">
        <v>7</v>
      </c>
      <c r="AP10" s="952"/>
      <c r="AQ10" s="953"/>
      <c r="AR10" s="954" t="str">
        <f>IF(IGRF!H17="","",IGRF!H17)</f>
        <v xml:space="preserve">237 </v>
      </c>
      <c r="AS10" s="276"/>
      <c r="AT10" s="277"/>
      <c r="AU10" s="277"/>
      <c r="AV10" s="277"/>
      <c r="AW10" s="277"/>
      <c r="AX10" s="278"/>
      <c r="AY10" s="493"/>
      <c r="AZ10" s="494"/>
      <c r="BA10" s="279"/>
      <c r="BB10" s="271"/>
      <c r="BC10" s="949" t="str">
        <f>IF(COUNTA(AS10:BA10)=0,"",COUNTA(AS10:BA10))</f>
        <v/>
      </c>
      <c r="BD10" s="16" t="s">
        <v>144</v>
      </c>
    </row>
    <row r="11" spans="1:56" ht="18.899999999999999" customHeight="1" thickBot="1" x14ac:dyDescent="0.35">
      <c r="A11" s="968"/>
      <c r="B11" s="311"/>
      <c r="C11" s="280"/>
      <c r="D11" s="280"/>
      <c r="E11" s="280"/>
      <c r="F11" s="280"/>
      <c r="G11" s="281"/>
      <c r="H11" s="496"/>
      <c r="I11" s="497"/>
      <c r="J11" s="312"/>
      <c r="K11" s="275"/>
      <c r="L11" s="966"/>
      <c r="M11" s="956">
        <v>8</v>
      </c>
      <c r="N11" s="957"/>
      <c r="O11" s="958">
        <v>8</v>
      </c>
      <c r="P11" s="968"/>
      <c r="Q11" s="311"/>
      <c r="R11" s="280"/>
      <c r="S11" s="280"/>
      <c r="T11" s="280"/>
      <c r="U11" s="280"/>
      <c r="V11" s="281"/>
      <c r="W11" s="496"/>
      <c r="X11" s="497"/>
      <c r="Y11" s="312"/>
      <c r="Z11" s="275"/>
      <c r="AA11" s="966"/>
      <c r="AB11" s="15" t="s">
        <v>145</v>
      </c>
      <c r="AC11" s="967"/>
      <c r="AD11" s="311">
        <v>13</v>
      </c>
      <c r="AE11" s="280"/>
      <c r="AF11" s="280"/>
      <c r="AG11" s="280"/>
      <c r="AH11" s="280"/>
      <c r="AI11" s="281"/>
      <c r="AJ11" s="496"/>
      <c r="AK11" s="497"/>
      <c r="AL11" s="312"/>
      <c r="AM11" s="275"/>
      <c r="AN11" s="966"/>
      <c r="AO11" s="956">
        <v>8</v>
      </c>
      <c r="AP11" s="957"/>
      <c r="AQ11" s="958"/>
      <c r="AR11" s="967"/>
      <c r="AS11" s="311"/>
      <c r="AT11" s="280"/>
      <c r="AU11" s="280"/>
      <c r="AV11" s="280"/>
      <c r="AW11" s="280"/>
      <c r="AX11" s="281"/>
      <c r="AY11" s="496"/>
      <c r="AZ11" s="497"/>
      <c r="BA11" s="312"/>
      <c r="BB11" s="275"/>
      <c r="BC11" s="966"/>
      <c r="BD11" s="15" t="s">
        <v>145</v>
      </c>
    </row>
    <row r="12" spans="1:56" ht="18.899999999999999" customHeight="1" thickBot="1" x14ac:dyDescent="0.35">
      <c r="A12" s="964" t="str">
        <f>IF(IGRF!B18="","",IGRF!B18)</f>
        <v>20</v>
      </c>
      <c r="B12" s="268" t="s">
        <v>157</v>
      </c>
      <c r="C12" s="269"/>
      <c r="D12" s="269"/>
      <c r="E12" s="269"/>
      <c r="F12" s="269"/>
      <c r="G12" s="487"/>
      <c r="H12" s="488"/>
      <c r="I12" s="489"/>
      <c r="J12" s="270"/>
      <c r="K12" s="271"/>
      <c r="L12" s="961">
        <f>IF(COUNTA(B12:J12)=0,"",COUNTA(B12:J12))</f>
        <v>1</v>
      </c>
      <c r="M12" s="951">
        <v>9</v>
      </c>
      <c r="N12" s="952"/>
      <c r="O12" s="953">
        <v>9</v>
      </c>
      <c r="P12" s="964" t="str">
        <f>IF(IGRF!H18="","",IGRF!H18)</f>
        <v>26</v>
      </c>
      <c r="Q12" s="268"/>
      <c r="R12" s="269"/>
      <c r="S12" s="269"/>
      <c r="T12" s="269"/>
      <c r="U12" s="269"/>
      <c r="V12" s="487"/>
      <c r="W12" s="488"/>
      <c r="X12" s="489"/>
      <c r="Y12" s="270"/>
      <c r="Z12" s="271"/>
      <c r="AA12" s="961" t="str">
        <f>IF(COUNTA(Q12:Y12)=0,"",COUNTA(Q12:Y12))</f>
        <v/>
      </c>
      <c r="AB12" s="16" t="s">
        <v>146</v>
      </c>
      <c r="AC12" s="963" t="str">
        <f>IF(IGRF!B18="","",IGRF!B18)</f>
        <v>20</v>
      </c>
      <c r="AD12" s="268"/>
      <c r="AE12" s="269" t="s">
        <v>140</v>
      </c>
      <c r="AF12" s="269"/>
      <c r="AG12" s="269"/>
      <c r="AH12" s="269"/>
      <c r="AI12" s="487"/>
      <c r="AJ12" s="488"/>
      <c r="AK12" s="489"/>
      <c r="AL12" s="270"/>
      <c r="AM12" s="271"/>
      <c r="AN12" s="961">
        <f>IF(COUNTA(AD12:AL12)=0,"",COUNTA(AD12:AL12))</f>
        <v>1</v>
      </c>
      <c r="AO12" s="951">
        <v>9</v>
      </c>
      <c r="AP12" s="952"/>
      <c r="AQ12" s="953"/>
      <c r="AR12" s="963" t="str">
        <f>IF(IGRF!H18="","",IGRF!H18)</f>
        <v>26</v>
      </c>
      <c r="AS12" s="268" t="s">
        <v>140</v>
      </c>
      <c r="AT12" s="269"/>
      <c r="AU12" s="269"/>
      <c r="AV12" s="269"/>
      <c r="AW12" s="269"/>
      <c r="AX12" s="487"/>
      <c r="AY12" s="488"/>
      <c r="AZ12" s="489"/>
      <c r="BA12" s="270"/>
      <c r="BB12" s="271"/>
      <c r="BC12" s="961">
        <f>IF(COUNTA(AS12:BA12)=0,"",COUNTA(AS12:BA12))</f>
        <v>1</v>
      </c>
      <c r="BD12" s="16" t="s">
        <v>146</v>
      </c>
    </row>
    <row r="13" spans="1:56" ht="18.899999999999999" customHeight="1" thickBot="1" x14ac:dyDescent="0.35">
      <c r="A13" s="965"/>
      <c r="B13" s="272">
        <v>5</v>
      </c>
      <c r="C13" s="273"/>
      <c r="D13" s="273"/>
      <c r="E13" s="273"/>
      <c r="F13" s="273"/>
      <c r="G13" s="490"/>
      <c r="H13" s="491"/>
      <c r="I13" s="492"/>
      <c r="J13" s="274"/>
      <c r="K13" s="275"/>
      <c r="L13" s="962"/>
      <c r="M13" s="956">
        <v>10</v>
      </c>
      <c r="N13" s="957"/>
      <c r="O13" s="958">
        <v>10</v>
      </c>
      <c r="P13" s="965"/>
      <c r="Q13" s="272"/>
      <c r="R13" s="273"/>
      <c r="S13" s="273"/>
      <c r="T13" s="273"/>
      <c r="U13" s="273"/>
      <c r="V13" s="490"/>
      <c r="W13" s="491"/>
      <c r="X13" s="492"/>
      <c r="Y13" s="274"/>
      <c r="Z13" s="275"/>
      <c r="AA13" s="962"/>
      <c r="AB13" s="15" t="s">
        <v>147</v>
      </c>
      <c r="AC13" s="963"/>
      <c r="AD13" s="272"/>
      <c r="AE13" s="273">
        <v>3</v>
      </c>
      <c r="AF13" s="273"/>
      <c r="AG13" s="273"/>
      <c r="AH13" s="273"/>
      <c r="AI13" s="490"/>
      <c r="AJ13" s="491"/>
      <c r="AK13" s="492"/>
      <c r="AL13" s="274"/>
      <c r="AM13" s="275"/>
      <c r="AN13" s="962"/>
      <c r="AO13" s="956">
        <v>10</v>
      </c>
      <c r="AP13" s="957"/>
      <c r="AQ13" s="958"/>
      <c r="AR13" s="963"/>
      <c r="AS13" s="272">
        <v>6</v>
      </c>
      <c r="AT13" s="273"/>
      <c r="AU13" s="273"/>
      <c r="AV13" s="273"/>
      <c r="AW13" s="273"/>
      <c r="AX13" s="490"/>
      <c r="AY13" s="491"/>
      <c r="AZ13" s="492"/>
      <c r="BA13" s="274"/>
      <c r="BB13" s="275"/>
      <c r="BC13" s="962"/>
      <c r="BD13" s="15" t="s">
        <v>147</v>
      </c>
    </row>
    <row r="14" spans="1:56" ht="18.899999999999999" customHeight="1" x14ac:dyDescent="0.3">
      <c r="A14" s="959" t="str">
        <f>IF(IGRF!B19="","",IGRF!B19)</f>
        <v>303</v>
      </c>
      <c r="B14" s="276" t="s">
        <v>153</v>
      </c>
      <c r="C14" s="277"/>
      <c r="D14" s="277"/>
      <c r="E14" s="277"/>
      <c r="F14" s="277"/>
      <c r="G14" s="278"/>
      <c r="H14" s="493"/>
      <c r="I14" s="494"/>
      <c r="J14" s="279"/>
      <c r="K14" s="271"/>
      <c r="L14" s="949">
        <f>IF(COUNTA(B14:J14)=0,"",COUNTA(B14:J14))</f>
        <v>1</v>
      </c>
      <c r="M14" s="951">
        <v>11</v>
      </c>
      <c r="N14" s="952"/>
      <c r="O14" s="953">
        <v>11</v>
      </c>
      <c r="P14" s="959" t="str">
        <f>IF(IGRF!H19="","",IGRF!H19)</f>
        <v>2611</v>
      </c>
      <c r="Q14" s="276" t="s">
        <v>157</v>
      </c>
      <c r="R14" s="277" t="s">
        <v>144</v>
      </c>
      <c r="S14" s="277"/>
      <c r="T14" s="277"/>
      <c r="U14" s="277"/>
      <c r="V14" s="278"/>
      <c r="W14" s="493"/>
      <c r="X14" s="494"/>
      <c r="Y14" s="279"/>
      <c r="Z14" s="271"/>
      <c r="AA14" s="949">
        <f>IF(COUNTA(Q14:Y14)=0,"",COUNTA(Q14:Y14))</f>
        <v>2</v>
      </c>
      <c r="AB14" s="16" t="s">
        <v>138</v>
      </c>
      <c r="AC14" s="954" t="str">
        <f>IF(IGRF!B19="","",IGRF!B19)</f>
        <v>303</v>
      </c>
      <c r="AD14" s="276"/>
      <c r="AE14" s="277" t="s">
        <v>142</v>
      </c>
      <c r="AF14" s="277" t="s">
        <v>153</v>
      </c>
      <c r="AG14" s="277"/>
      <c r="AH14" s="277"/>
      <c r="AI14" s="278"/>
      <c r="AJ14" s="493"/>
      <c r="AK14" s="494"/>
      <c r="AL14" s="279"/>
      <c r="AM14" s="271"/>
      <c r="AN14" s="949">
        <f>IF(COUNTA(AD14:AL14)=0,"",COUNTA(AD14:AL14))</f>
        <v>2</v>
      </c>
      <c r="AO14" s="951">
        <v>11</v>
      </c>
      <c r="AP14" s="952"/>
      <c r="AQ14" s="953"/>
      <c r="AR14" s="954" t="str">
        <f>IF(IGRF!H19="","",IGRF!H19)</f>
        <v>2611</v>
      </c>
      <c r="AS14" s="276"/>
      <c r="AT14" s="277"/>
      <c r="AU14" s="277" t="s">
        <v>142</v>
      </c>
      <c r="AV14" s="277"/>
      <c r="AW14" s="277"/>
      <c r="AX14" s="278"/>
      <c r="AY14" s="493"/>
      <c r="AZ14" s="494"/>
      <c r="BA14" s="279"/>
      <c r="BB14" s="271"/>
      <c r="BC14" s="949">
        <f>IF(COUNTA(AS14:BA14)=0,"",COUNTA(AS14:BA14))</f>
        <v>1</v>
      </c>
      <c r="BD14" s="16" t="s">
        <v>138</v>
      </c>
    </row>
    <row r="15" spans="1:56" ht="18.899999999999999" customHeight="1" thickBot="1" x14ac:dyDescent="0.35">
      <c r="A15" s="968"/>
      <c r="B15" s="311">
        <v>9</v>
      </c>
      <c r="C15" s="280"/>
      <c r="D15" s="280"/>
      <c r="E15" s="280"/>
      <c r="F15" s="280"/>
      <c r="G15" s="281"/>
      <c r="H15" s="496"/>
      <c r="I15" s="497"/>
      <c r="J15" s="312"/>
      <c r="K15" s="275"/>
      <c r="L15" s="966"/>
      <c r="M15" s="956">
        <v>12</v>
      </c>
      <c r="N15" s="957"/>
      <c r="O15" s="958">
        <v>12</v>
      </c>
      <c r="P15" s="968"/>
      <c r="Q15" s="311">
        <v>7</v>
      </c>
      <c r="R15" s="280">
        <v>11</v>
      </c>
      <c r="S15" s="280"/>
      <c r="T15" s="280"/>
      <c r="U15" s="280"/>
      <c r="V15" s="281"/>
      <c r="W15" s="496"/>
      <c r="X15" s="497"/>
      <c r="Y15" s="312"/>
      <c r="Z15" s="275"/>
      <c r="AA15" s="966"/>
      <c r="AB15" s="15" t="s">
        <v>139</v>
      </c>
      <c r="AC15" s="967"/>
      <c r="AD15" s="311"/>
      <c r="AE15" s="280">
        <v>5</v>
      </c>
      <c r="AF15" s="280">
        <v>11</v>
      </c>
      <c r="AG15" s="280"/>
      <c r="AH15" s="280"/>
      <c r="AI15" s="281"/>
      <c r="AJ15" s="496"/>
      <c r="AK15" s="497"/>
      <c r="AL15" s="312"/>
      <c r="AM15" s="275"/>
      <c r="AN15" s="966"/>
      <c r="AO15" s="956">
        <v>12</v>
      </c>
      <c r="AP15" s="957"/>
      <c r="AQ15" s="958"/>
      <c r="AR15" s="967"/>
      <c r="AS15" s="311"/>
      <c r="AT15" s="280"/>
      <c r="AU15" s="280">
        <v>11</v>
      </c>
      <c r="AV15" s="280"/>
      <c r="AW15" s="280"/>
      <c r="AX15" s="281"/>
      <c r="AY15" s="496"/>
      <c r="AZ15" s="497"/>
      <c r="BA15" s="312"/>
      <c r="BB15" s="275"/>
      <c r="BC15" s="966"/>
      <c r="BD15" s="15" t="s">
        <v>139</v>
      </c>
    </row>
    <row r="16" spans="1:56" ht="18.899999999999999" customHeight="1" thickBot="1" x14ac:dyDescent="0.35">
      <c r="A16" s="964" t="str">
        <f>IF(IGRF!B20="","",IGRF!B20)</f>
        <v>33</v>
      </c>
      <c r="B16" s="268"/>
      <c r="C16" s="269"/>
      <c r="D16" s="269"/>
      <c r="E16" s="269"/>
      <c r="F16" s="269"/>
      <c r="G16" s="487"/>
      <c r="H16" s="488"/>
      <c r="I16" s="489"/>
      <c r="J16" s="270"/>
      <c r="K16" s="271"/>
      <c r="L16" s="961" t="str">
        <f>IF(COUNTA(B16:J16)=0,"",COUNTA(B16:J16))</f>
        <v/>
      </c>
      <c r="M16" s="951">
        <v>13</v>
      </c>
      <c r="N16" s="952"/>
      <c r="O16" s="953">
        <v>13</v>
      </c>
      <c r="P16" s="964" t="str">
        <f>IF(IGRF!H20="","",IGRF!H20)</f>
        <v>45</v>
      </c>
      <c r="Q16" s="268"/>
      <c r="R16" s="269"/>
      <c r="S16" s="269"/>
      <c r="T16" s="269"/>
      <c r="U16" s="269"/>
      <c r="V16" s="487"/>
      <c r="W16" s="488"/>
      <c r="X16" s="489"/>
      <c r="Y16" s="270"/>
      <c r="Z16" s="271"/>
      <c r="AA16" s="961" t="str">
        <f>IF(COUNTA(Q16:Y16)=0,"",COUNTA(Q16:Y16))</f>
        <v/>
      </c>
      <c r="AB16" s="16" t="s">
        <v>153</v>
      </c>
      <c r="AC16" s="963" t="str">
        <f>IF(IGRF!B20="","",IGRF!B20)</f>
        <v>33</v>
      </c>
      <c r="AD16" s="268" t="s">
        <v>155</v>
      </c>
      <c r="AE16" s="269"/>
      <c r="AF16" s="269"/>
      <c r="AG16" s="269"/>
      <c r="AH16" s="269"/>
      <c r="AI16" s="487"/>
      <c r="AJ16" s="488"/>
      <c r="AK16" s="489"/>
      <c r="AL16" s="270"/>
      <c r="AM16" s="271"/>
      <c r="AN16" s="961">
        <f>IF(COUNTA(AD16:AL16)=0,"",COUNTA(AD16:AL16))</f>
        <v>1</v>
      </c>
      <c r="AO16" s="951">
        <v>13</v>
      </c>
      <c r="AP16" s="952"/>
      <c r="AQ16" s="953"/>
      <c r="AR16" s="963" t="str">
        <f>IF(IGRF!H20="","",IGRF!H20)</f>
        <v>45</v>
      </c>
      <c r="AS16" s="268" t="s">
        <v>140</v>
      </c>
      <c r="AT16" s="269"/>
      <c r="AU16" s="269"/>
      <c r="AV16" s="269"/>
      <c r="AW16" s="269"/>
      <c r="AX16" s="487"/>
      <c r="AY16" s="488"/>
      <c r="AZ16" s="489"/>
      <c r="BA16" s="270"/>
      <c r="BB16" s="271"/>
      <c r="BC16" s="961">
        <f>IF(COUNTA(AS16:BA16)=0,"",COUNTA(AS16:BA16))</f>
        <v>1</v>
      </c>
      <c r="BD16" s="16" t="s">
        <v>153</v>
      </c>
    </row>
    <row r="17" spans="1:56" ht="18.899999999999999" customHeight="1" thickBot="1" x14ac:dyDescent="0.35">
      <c r="A17" s="965"/>
      <c r="B17" s="272"/>
      <c r="C17" s="273"/>
      <c r="D17" s="273"/>
      <c r="E17" s="273"/>
      <c r="F17" s="273"/>
      <c r="G17" s="490"/>
      <c r="H17" s="491"/>
      <c r="I17" s="492"/>
      <c r="J17" s="274"/>
      <c r="K17" s="275"/>
      <c r="L17" s="962"/>
      <c r="M17" s="956">
        <v>14</v>
      </c>
      <c r="N17" s="957"/>
      <c r="O17" s="958">
        <v>14</v>
      </c>
      <c r="P17" s="965"/>
      <c r="Q17" s="272"/>
      <c r="R17" s="273"/>
      <c r="S17" s="273"/>
      <c r="T17" s="273"/>
      <c r="U17" s="273"/>
      <c r="V17" s="490"/>
      <c r="W17" s="491"/>
      <c r="X17" s="492"/>
      <c r="Y17" s="274"/>
      <c r="Z17" s="275"/>
      <c r="AA17" s="962"/>
      <c r="AB17" s="15" t="s">
        <v>154</v>
      </c>
      <c r="AC17" s="963"/>
      <c r="AD17" s="272">
        <v>4</v>
      </c>
      <c r="AE17" s="273"/>
      <c r="AF17" s="273"/>
      <c r="AG17" s="273"/>
      <c r="AH17" s="273"/>
      <c r="AI17" s="490"/>
      <c r="AJ17" s="491"/>
      <c r="AK17" s="492"/>
      <c r="AL17" s="274"/>
      <c r="AM17" s="275"/>
      <c r="AN17" s="962"/>
      <c r="AO17" s="956">
        <v>14</v>
      </c>
      <c r="AP17" s="957"/>
      <c r="AQ17" s="958"/>
      <c r="AR17" s="963"/>
      <c r="AS17" s="272">
        <v>15</v>
      </c>
      <c r="AT17" s="273"/>
      <c r="AU17" s="273"/>
      <c r="AV17" s="273"/>
      <c r="AW17" s="273"/>
      <c r="AX17" s="490"/>
      <c r="AY17" s="491"/>
      <c r="AZ17" s="492"/>
      <c r="BA17" s="274"/>
      <c r="BB17" s="275"/>
      <c r="BC17" s="962"/>
      <c r="BD17" s="15" t="s">
        <v>154</v>
      </c>
    </row>
    <row r="18" spans="1:56" ht="18.899999999999999" customHeight="1" x14ac:dyDescent="0.3">
      <c r="A18" s="959" t="str">
        <f>IF(IGRF!B21="","",IGRF!B21)</f>
        <v>4</v>
      </c>
      <c r="B18" s="276" t="s">
        <v>140</v>
      </c>
      <c r="C18" s="277"/>
      <c r="D18" s="277"/>
      <c r="E18" s="277"/>
      <c r="F18" s="277"/>
      <c r="G18" s="278"/>
      <c r="H18" s="493"/>
      <c r="I18" s="494"/>
      <c r="J18" s="279"/>
      <c r="K18" s="271"/>
      <c r="L18" s="949">
        <f>IF(COUNTA(B18:J18)=0,"",COUNTA(B18:J18))</f>
        <v>1</v>
      </c>
      <c r="M18" s="951">
        <v>15</v>
      </c>
      <c r="N18" s="952"/>
      <c r="O18" s="953">
        <v>15</v>
      </c>
      <c r="P18" s="959" t="str">
        <f>IF(IGRF!H21="","",IGRF!H21)</f>
        <v>451</v>
      </c>
      <c r="Q18" s="276"/>
      <c r="R18" s="277"/>
      <c r="S18" s="277"/>
      <c r="T18" s="277"/>
      <c r="U18" s="277"/>
      <c r="V18" s="278"/>
      <c r="W18" s="493"/>
      <c r="X18" s="494"/>
      <c r="Y18" s="279"/>
      <c r="Z18" s="271"/>
      <c r="AA18" s="949" t="str">
        <f>IF(COUNTA(Q18:Y18)=0,"",COUNTA(Q18:Y18))</f>
        <v/>
      </c>
      <c r="AB18" s="16" t="s">
        <v>155</v>
      </c>
      <c r="AC18" s="954" t="str">
        <f>IF(IGRF!B21="","",IGRF!B21)</f>
        <v>4</v>
      </c>
      <c r="AD18" s="276"/>
      <c r="AE18" s="277" t="s">
        <v>136</v>
      </c>
      <c r="AF18" s="277" t="s">
        <v>140</v>
      </c>
      <c r="AG18" s="277"/>
      <c r="AH18" s="277"/>
      <c r="AI18" s="278"/>
      <c r="AJ18" s="493"/>
      <c r="AK18" s="494"/>
      <c r="AL18" s="279"/>
      <c r="AM18" s="271"/>
      <c r="AN18" s="949">
        <f>IF(COUNTA(AD18:AL18)=0,"",COUNTA(AD18:AL18))</f>
        <v>2</v>
      </c>
      <c r="AO18" s="951">
        <v>15</v>
      </c>
      <c r="AP18" s="952"/>
      <c r="AQ18" s="953"/>
      <c r="AR18" s="954" t="str">
        <f>IF(IGRF!H21="","",IGRF!H21)</f>
        <v>451</v>
      </c>
      <c r="AS18" s="276" t="s">
        <v>157</v>
      </c>
      <c r="AT18" s="277"/>
      <c r="AU18" s="277"/>
      <c r="AV18" s="277"/>
      <c r="AW18" s="277"/>
      <c r="AX18" s="278"/>
      <c r="AY18" s="493"/>
      <c r="AZ18" s="494"/>
      <c r="BA18" s="279"/>
      <c r="BB18" s="271"/>
      <c r="BC18" s="949">
        <f>IF(COUNTA(AS18:BA18)=0,"",COUNTA(AS18:BA18))</f>
        <v>1</v>
      </c>
      <c r="BD18" s="16" t="s">
        <v>155</v>
      </c>
    </row>
    <row r="19" spans="1:56" ht="18.899999999999999" customHeight="1" thickBot="1" x14ac:dyDescent="0.35">
      <c r="A19" s="968"/>
      <c r="B19" s="311">
        <v>1</v>
      </c>
      <c r="C19" s="280"/>
      <c r="D19" s="280"/>
      <c r="E19" s="280"/>
      <c r="F19" s="280"/>
      <c r="G19" s="281"/>
      <c r="H19" s="496"/>
      <c r="I19" s="497"/>
      <c r="J19" s="312"/>
      <c r="K19" s="275"/>
      <c r="L19" s="966"/>
      <c r="M19" s="956">
        <v>16</v>
      </c>
      <c r="N19" s="957"/>
      <c r="O19" s="958">
        <v>16</v>
      </c>
      <c r="P19" s="968"/>
      <c r="Q19" s="311"/>
      <c r="R19" s="280"/>
      <c r="S19" s="280"/>
      <c r="T19" s="280"/>
      <c r="U19" s="280"/>
      <c r="V19" s="281"/>
      <c r="W19" s="496"/>
      <c r="X19" s="497"/>
      <c r="Y19" s="312"/>
      <c r="Z19" s="275"/>
      <c r="AA19" s="966"/>
      <c r="AB19" s="152" t="s">
        <v>156</v>
      </c>
      <c r="AC19" s="967"/>
      <c r="AD19" s="311"/>
      <c r="AE19" s="280">
        <v>11</v>
      </c>
      <c r="AF19" s="280">
        <v>11</v>
      </c>
      <c r="AG19" s="280"/>
      <c r="AH19" s="280"/>
      <c r="AI19" s="281"/>
      <c r="AJ19" s="496"/>
      <c r="AK19" s="497"/>
      <c r="AL19" s="312"/>
      <c r="AM19" s="275"/>
      <c r="AN19" s="966"/>
      <c r="AO19" s="956">
        <v>16</v>
      </c>
      <c r="AP19" s="957"/>
      <c r="AQ19" s="958"/>
      <c r="AR19" s="967"/>
      <c r="AS19" s="311">
        <v>13</v>
      </c>
      <c r="AT19" s="280"/>
      <c r="AU19" s="280"/>
      <c r="AV19" s="280"/>
      <c r="AW19" s="280"/>
      <c r="AX19" s="281"/>
      <c r="AY19" s="496"/>
      <c r="AZ19" s="497"/>
      <c r="BA19" s="312"/>
      <c r="BB19" s="275"/>
      <c r="BC19" s="966"/>
      <c r="BD19" s="152" t="s">
        <v>156</v>
      </c>
    </row>
    <row r="20" spans="1:56" ht="18.899999999999999" customHeight="1" thickBot="1" x14ac:dyDescent="0.35">
      <c r="A20" s="964" t="str">
        <f>IF(IGRF!B22="","",IGRF!B22)</f>
        <v>42</v>
      </c>
      <c r="B20" s="268"/>
      <c r="C20" s="269"/>
      <c r="D20" s="269"/>
      <c r="E20" s="269"/>
      <c r="F20" s="269"/>
      <c r="G20" s="487"/>
      <c r="H20" s="488"/>
      <c r="I20" s="489"/>
      <c r="J20" s="270"/>
      <c r="K20" s="271"/>
      <c r="L20" s="961" t="str">
        <f>IF(COUNTA(B20:J20)=0,"",COUNTA(B20:J20))</f>
        <v/>
      </c>
      <c r="M20" s="951">
        <v>17</v>
      </c>
      <c r="N20" s="952"/>
      <c r="O20" s="953">
        <v>17</v>
      </c>
      <c r="P20" s="964" t="str">
        <f>IF(IGRF!H22="","",IGRF!H22)</f>
        <v>511</v>
      </c>
      <c r="Q20" s="268" t="s">
        <v>140</v>
      </c>
      <c r="R20" s="269"/>
      <c r="S20" s="269"/>
      <c r="T20" s="269"/>
      <c r="U20" s="269"/>
      <c r="V20" s="487"/>
      <c r="W20" s="488"/>
      <c r="X20" s="489"/>
      <c r="Y20" s="270"/>
      <c r="Z20" s="271"/>
      <c r="AA20" s="961">
        <f>IF(COUNTA(Q20:Y20)=0,"",COUNTA(Q20:Y20))</f>
        <v>1</v>
      </c>
      <c r="AB20" s="15" t="s">
        <v>252</v>
      </c>
      <c r="AC20" s="963" t="str">
        <f>IF(IGRF!B22="","",IGRF!B22)</f>
        <v>42</v>
      </c>
      <c r="AD20" s="268" t="s">
        <v>157</v>
      </c>
      <c r="AE20" s="269" t="s">
        <v>157</v>
      </c>
      <c r="AF20" s="269"/>
      <c r="AG20" s="269"/>
      <c r="AH20" s="269"/>
      <c r="AI20" s="487"/>
      <c r="AJ20" s="488"/>
      <c r="AK20" s="489"/>
      <c r="AL20" s="270"/>
      <c r="AM20" s="271"/>
      <c r="AN20" s="961">
        <f>IF(COUNTA(AD20:AL20)=0,"",COUNTA(AD20:AL20))</f>
        <v>2</v>
      </c>
      <c r="AO20" s="951">
        <v>17</v>
      </c>
      <c r="AP20" s="952"/>
      <c r="AQ20" s="953"/>
      <c r="AR20" s="963" t="str">
        <f>IF(IGRF!H22="","",IGRF!H22)</f>
        <v>511</v>
      </c>
      <c r="AS20" s="268"/>
      <c r="AT20" s="269" t="s">
        <v>146</v>
      </c>
      <c r="AU20" s="269"/>
      <c r="AV20" s="269"/>
      <c r="AW20" s="269"/>
      <c r="AX20" s="487"/>
      <c r="AY20" s="488"/>
      <c r="AZ20" s="489"/>
      <c r="BA20" s="270"/>
      <c r="BB20" s="271"/>
      <c r="BC20" s="961">
        <f>IF(COUNTA(AS20:BA20)=0,"",COUNTA(AS20:BA20))</f>
        <v>1</v>
      </c>
      <c r="BD20" s="15" t="s">
        <v>252</v>
      </c>
    </row>
    <row r="21" spans="1:56" ht="18.899999999999999" customHeight="1" thickBot="1" x14ac:dyDescent="0.35">
      <c r="A21" s="965"/>
      <c r="B21" s="272"/>
      <c r="C21" s="273"/>
      <c r="D21" s="273"/>
      <c r="E21" s="273"/>
      <c r="F21" s="273"/>
      <c r="G21" s="490"/>
      <c r="H21" s="491"/>
      <c r="I21" s="492"/>
      <c r="J21" s="274"/>
      <c r="K21" s="275"/>
      <c r="L21" s="962"/>
      <c r="M21" s="956">
        <v>18</v>
      </c>
      <c r="N21" s="957"/>
      <c r="O21" s="958">
        <v>18</v>
      </c>
      <c r="P21" s="965"/>
      <c r="Q21" s="272">
        <v>13</v>
      </c>
      <c r="R21" s="273"/>
      <c r="S21" s="273"/>
      <c r="T21" s="273"/>
      <c r="U21" s="273"/>
      <c r="V21" s="490"/>
      <c r="W21" s="491"/>
      <c r="X21" s="492"/>
      <c r="Y21" s="274"/>
      <c r="Z21" s="275"/>
      <c r="AA21" s="962"/>
      <c r="AB21" s="16" t="s">
        <v>142</v>
      </c>
      <c r="AC21" s="963"/>
      <c r="AD21" s="272">
        <v>12</v>
      </c>
      <c r="AE21" s="273">
        <v>17</v>
      </c>
      <c r="AF21" s="273"/>
      <c r="AG21" s="273"/>
      <c r="AH21" s="273"/>
      <c r="AI21" s="490"/>
      <c r="AJ21" s="491"/>
      <c r="AK21" s="492"/>
      <c r="AL21" s="274"/>
      <c r="AM21" s="275"/>
      <c r="AN21" s="962"/>
      <c r="AO21" s="956">
        <v>18</v>
      </c>
      <c r="AP21" s="957"/>
      <c r="AQ21" s="958"/>
      <c r="AR21" s="963"/>
      <c r="AS21" s="272"/>
      <c r="AT21" s="273">
        <v>12</v>
      </c>
      <c r="AU21" s="273"/>
      <c r="AV21" s="273"/>
      <c r="AW21" s="273"/>
      <c r="AX21" s="490"/>
      <c r="AY21" s="491"/>
      <c r="AZ21" s="492"/>
      <c r="BA21" s="274"/>
      <c r="BB21" s="275"/>
      <c r="BC21" s="962"/>
      <c r="BD21" s="16" t="s">
        <v>142</v>
      </c>
    </row>
    <row r="22" spans="1:56" ht="18.899999999999999" customHeight="1" x14ac:dyDescent="0.3">
      <c r="A22" s="959" t="str">
        <f>IF(IGRF!B23="","",IGRF!B23)</f>
        <v>44</v>
      </c>
      <c r="B22" s="276"/>
      <c r="C22" s="277"/>
      <c r="D22" s="277"/>
      <c r="E22" s="277"/>
      <c r="F22" s="277"/>
      <c r="G22" s="278"/>
      <c r="H22" s="493"/>
      <c r="I22" s="494"/>
      <c r="J22" s="279"/>
      <c r="K22" s="271"/>
      <c r="L22" s="949" t="str">
        <f>IF(COUNTA(B22:J22)=0,"",COUNTA(B22:J22))</f>
        <v/>
      </c>
      <c r="M22" s="951">
        <v>19</v>
      </c>
      <c r="N22" s="952"/>
      <c r="O22" s="953">
        <v>19</v>
      </c>
      <c r="P22" s="959" t="str">
        <f>IF(IGRF!H23="","",IGRF!H23)</f>
        <v>519</v>
      </c>
      <c r="Q22" s="276" t="s">
        <v>153</v>
      </c>
      <c r="R22" s="277"/>
      <c r="S22" s="277"/>
      <c r="T22" s="277"/>
      <c r="U22" s="277"/>
      <c r="V22" s="278"/>
      <c r="W22" s="493"/>
      <c r="X22" s="494"/>
      <c r="Y22" s="279"/>
      <c r="Z22" s="271"/>
      <c r="AA22" s="949">
        <f>IF(COUNTA(Q22:Y22)=0,"",COUNTA(Q22:Y22))</f>
        <v>1</v>
      </c>
      <c r="AB22" s="155" t="s">
        <v>143</v>
      </c>
      <c r="AC22" s="954" t="str">
        <f>IF(IGRF!B23="","",IGRF!B23)</f>
        <v>44</v>
      </c>
      <c r="AD22" s="276"/>
      <c r="AE22" s="277"/>
      <c r="AF22" s="277"/>
      <c r="AG22" s="277"/>
      <c r="AH22" s="277"/>
      <c r="AI22" s="278"/>
      <c r="AJ22" s="493"/>
      <c r="AK22" s="494"/>
      <c r="AL22" s="279"/>
      <c r="AM22" s="271"/>
      <c r="AN22" s="949" t="str">
        <f>IF(COUNTA(AD22:AL22)=0,"",COUNTA(AD22:AL22))</f>
        <v/>
      </c>
      <c r="AO22" s="951">
        <v>19</v>
      </c>
      <c r="AP22" s="952"/>
      <c r="AQ22" s="953"/>
      <c r="AR22" s="954" t="str">
        <f>IF(IGRF!H23="","",IGRF!H23)</f>
        <v>519</v>
      </c>
      <c r="AS22" s="276"/>
      <c r="AT22" s="277" t="s">
        <v>142</v>
      </c>
      <c r="AU22" s="277" t="s">
        <v>142</v>
      </c>
      <c r="AV22" s="277" t="s">
        <v>142</v>
      </c>
      <c r="AW22" s="277"/>
      <c r="AX22" s="278"/>
      <c r="AY22" s="493"/>
      <c r="AZ22" s="494"/>
      <c r="BA22" s="279"/>
      <c r="BB22" s="271"/>
      <c r="BC22" s="949">
        <f>IF(COUNTA(AS22:BA22)=0,"",COUNTA(AS22:BA22))</f>
        <v>3</v>
      </c>
      <c r="BD22" s="155" t="s">
        <v>143</v>
      </c>
    </row>
    <row r="23" spans="1:56" ht="18.899999999999999" customHeight="1" thickBot="1" x14ac:dyDescent="0.35">
      <c r="A23" s="968"/>
      <c r="B23" s="311"/>
      <c r="C23" s="280"/>
      <c r="D23" s="280"/>
      <c r="E23" s="280"/>
      <c r="F23" s="280"/>
      <c r="G23" s="281"/>
      <c r="H23" s="496"/>
      <c r="I23" s="497"/>
      <c r="J23" s="312"/>
      <c r="K23" s="275"/>
      <c r="L23" s="966"/>
      <c r="M23" s="956">
        <v>20</v>
      </c>
      <c r="N23" s="957"/>
      <c r="O23" s="958">
        <v>20</v>
      </c>
      <c r="P23" s="968"/>
      <c r="Q23" s="311">
        <v>2</v>
      </c>
      <c r="R23" s="280"/>
      <c r="S23" s="280"/>
      <c r="T23" s="280"/>
      <c r="U23" s="280"/>
      <c r="V23" s="281"/>
      <c r="W23" s="496"/>
      <c r="X23" s="497"/>
      <c r="Y23" s="312"/>
      <c r="Z23" s="275"/>
      <c r="AA23" s="966"/>
      <c r="AB23" s="153" t="s">
        <v>253</v>
      </c>
      <c r="AC23" s="967"/>
      <c r="AD23" s="311"/>
      <c r="AE23" s="280"/>
      <c r="AF23" s="280"/>
      <c r="AG23" s="280"/>
      <c r="AH23" s="280"/>
      <c r="AI23" s="281"/>
      <c r="AJ23" s="496"/>
      <c r="AK23" s="497"/>
      <c r="AL23" s="312"/>
      <c r="AM23" s="275"/>
      <c r="AN23" s="966"/>
      <c r="AO23" s="956">
        <v>20</v>
      </c>
      <c r="AP23" s="957"/>
      <c r="AQ23" s="958"/>
      <c r="AR23" s="967"/>
      <c r="AS23" s="311"/>
      <c r="AT23" s="280">
        <v>4</v>
      </c>
      <c r="AU23" s="280">
        <v>10</v>
      </c>
      <c r="AV23" s="280">
        <v>18</v>
      </c>
      <c r="AW23" s="280"/>
      <c r="AX23" s="281"/>
      <c r="AY23" s="496"/>
      <c r="AZ23" s="497"/>
      <c r="BA23" s="312"/>
      <c r="BB23" s="275"/>
      <c r="BC23" s="966"/>
      <c r="BD23" s="153" t="s">
        <v>253</v>
      </c>
    </row>
    <row r="24" spans="1:56" ht="18.899999999999999" customHeight="1" thickBot="1" x14ac:dyDescent="0.35">
      <c r="A24" s="964" t="str">
        <f>IF(IGRF!B24="","",IGRF!B24)</f>
        <v>480</v>
      </c>
      <c r="B24" s="268" t="s">
        <v>157</v>
      </c>
      <c r="C24" s="269" t="s">
        <v>151</v>
      </c>
      <c r="D24" s="269"/>
      <c r="E24" s="269"/>
      <c r="F24" s="269"/>
      <c r="G24" s="487"/>
      <c r="H24" s="488"/>
      <c r="I24" s="489"/>
      <c r="J24" s="270"/>
      <c r="K24" s="271"/>
      <c r="L24" s="961">
        <f>IF(COUNTA(B24:J24)=0,"",COUNTA(B24:J24))</f>
        <v>2</v>
      </c>
      <c r="M24" s="951">
        <v>21</v>
      </c>
      <c r="N24" s="952"/>
      <c r="O24" s="953">
        <v>21</v>
      </c>
      <c r="P24" s="964" t="str">
        <f>IF(IGRF!H24="","",IGRF!H24)</f>
        <v>58</v>
      </c>
      <c r="Q24" s="268" t="s">
        <v>140</v>
      </c>
      <c r="R24" s="269"/>
      <c r="S24" s="269"/>
      <c r="T24" s="269"/>
      <c r="U24" s="269"/>
      <c r="V24" s="487"/>
      <c r="W24" s="488"/>
      <c r="X24" s="489"/>
      <c r="Y24" s="270"/>
      <c r="Z24" s="271"/>
      <c r="AA24" s="961">
        <f>IF(COUNTA(Q24:Y24)=0,"",COUNTA(Q24:Y24))</f>
        <v>1</v>
      </c>
      <c r="AB24" s="154" t="s">
        <v>254</v>
      </c>
      <c r="AC24" s="963" t="str">
        <f>IF(IGRF!B24="","",IGRF!B24)</f>
        <v>480</v>
      </c>
      <c r="AD24" s="268"/>
      <c r="AE24" s="269"/>
      <c r="AF24" s="269" t="s">
        <v>157</v>
      </c>
      <c r="AG24" s="269"/>
      <c r="AH24" s="269"/>
      <c r="AI24" s="487"/>
      <c r="AJ24" s="488"/>
      <c r="AK24" s="489"/>
      <c r="AL24" s="270"/>
      <c r="AM24" s="271"/>
      <c r="AN24" s="961">
        <f>IF(COUNTA(AD24:AL24)=0,"",COUNTA(AD24:AL24))</f>
        <v>1</v>
      </c>
      <c r="AO24" s="951">
        <v>21</v>
      </c>
      <c r="AP24" s="952"/>
      <c r="AQ24" s="953"/>
      <c r="AR24" s="963" t="str">
        <f>IF(IGRF!H24="","",IGRF!H24)</f>
        <v>58</v>
      </c>
      <c r="AS24" s="268"/>
      <c r="AT24" s="269" t="s">
        <v>136</v>
      </c>
      <c r="AU24" s="269"/>
      <c r="AV24" s="269"/>
      <c r="AW24" s="269"/>
      <c r="AX24" s="487"/>
      <c r="AY24" s="488"/>
      <c r="AZ24" s="489"/>
      <c r="BA24" s="270"/>
      <c r="BB24" s="271"/>
      <c r="BC24" s="961">
        <f>IF(COUNTA(AS24:BA24)=0,"",COUNTA(AS24:BA24))</f>
        <v>1</v>
      </c>
      <c r="BD24" s="154" t="s">
        <v>254</v>
      </c>
    </row>
    <row r="25" spans="1:56" ht="18.899999999999999" customHeight="1" thickBot="1" x14ac:dyDescent="0.35">
      <c r="A25" s="965"/>
      <c r="B25" s="272">
        <v>2</v>
      </c>
      <c r="C25" s="273">
        <v>12</v>
      </c>
      <c r="D25" s="273"/>
      <c r="E25" s="273"/>
      <c r="F25" s="273"/>
      <c r="G25" s="490"/>
      <c r="H25" s="491"/>
      <c r="I25" s="492"/>
      <c r="J25" s="274"/>
      <c r="K25" s="275"/>
      <c r="L25" s="962"/>
      <c r="M25" s="956">
        <v>22</v>
      </c>
      <c r="N25" s="957"/>
      <c r="O25" s="958">
        <v>22</v>
      </c>
      <c r="P25" s="965"/>
      <c r="Q25" s="272">
        <v>2</v>
      </c>
      <c r="R25" s="273"/>
      <c r="S25" s="273"/>
      <c r="T25" s="273"/>
      <c r="U25" s="273"/>
      <c r="V25" s="490"/>
      <c r="W25" s="491"/>
      <c r="X25" s="492"/>
      <c r="Y25" s="274"/>
      <c r="Z25" s="275"/>
      <c r="AA25" s="962"/>
      <c r="AB25" s="16" t="s">
        <v>157</v>
      </c>
      <c r="AC25" s="963"/>
      <c r="AD25" s="272"/>
      <c r="AE25" s="273"/>
      <c r="AF25" s="273">
        <v>12</v>
      </c>
      <c r="AG25" s="273"/>
      <c r="AH25" s="273"/>
      <c r="AI25" s="490"/>
      <c r="AJ25" s="491"/>
      <c r="AK25" s="492"/>
      <c r="AL25" s="274"/>
      <c r="AM25" s="275"/>
      <c r="AN25" s="962"/>
      <c r="AO25" s="956">
        <v>22</v>
      </c>
      <c r="AP25" s="957"/>
      <c r="AQ25" s="958"/>
      <c r="AR25" s="963"/>
      <c r="AS25" s="272"/>
      <c r="AT25" s="273">
        <v>6</v>
      </c>
      <c r="AU25" s="273"/>
      <c r="AV25" s="273"/>
      <c r="AW25" s="273"/>
      <c r="AX25" s="490"/>
      <c r="AY25" s="491"/>
      <c r="AZ25" s="492"/>
      <c r="BA25" s="274"/>
      <c r="BB25" s="275"/>
      <c r="BC25" s="962"/>
      <c r="BD25" s="16" t="s">
        <v>157</v>
      </c>
    </row>
    <row r="26" spans="1:56" ht="18.899999999999999" customHeight="1" x14ac:dyDescent="0.3">
      <c r="A26" s="959" t="str">
        <f>IF(IGRF!B25="","",IGRF!B25)</f>
        <v>64</v>
      </c>
      <c r="B26" s="276" t="s">
        <v>157</v>
      </c>
      <c r="C26" s="277" t="s">
        <v>157</v>
      </c>
      <c r="D26" s="277"/>
      <c r="E26" s="277"/>
      <c r="F26" s="277"/>
      <c r="G26" s="278"/>
      <c r="H26" s="493"/>
      <c r="I26" s="494"/>
      <c r="J26" s="279"/>
      <c r="K26" s="271"/>
      <c r="L26" s="949">
        <f>IF(COUNTA(B26:J26)=0,"",COUNTA(B26:J26))</f>
        <v>2</v>
      </c>
      <c r="M26" s="951">
        <v>23</v>
      </c>
      <c r="N26" s="952"/>
      <c r="O26" s="953">
        <v>23</v>
      </c>
      <c r="P26" s="959" t="str">
        <f>IF(IGRF!H25="","",IGRF!H25)</f>
        <v>932</v>
      </c>
      <c r="Q26" s="276"/>
      <c r="R26" s="277"/>
      <c r="S26" s="277"/>
      <c r="T26" s="277"/>
      <c r="U26" s="277"/>
      <c r="V26" s="278"/>
      <c r="W26" s="493"/>
      <c r="X26" s="494"/>
      <c r="Y26" s="279"/>
      <c r="Z26" s="271"/>
      <c r="AA26" s="949" t="str">
        <f>IF(COUNTA(Q26:Y26)=0,"",COUNTA(Q26:Y26))</f>
        <v/>
      </c>
      <c r="AB26" s="152" t="s">
        <v>158</v>
      </c>
      <c r="AC26" s="954" t="str">
        <f>IF(IGRF!B25="","",IGRF!B25)</f>
        <v>64</v>
      </c>
      <c r="AD26" s="276"/>
      <c r="AE26" s="277"/>
      <c r="AF26" s="277" t="s">
        <v>151</v>
      </c>
      <c r="AG26" s="277" t="s">
        <v>151</v>
      </c>
      <c r="AH26" s="277" t="s">
        <v>157</v>
      </c>
      <c r="AI26" s="278"/>
      <c r="AJ26" s="493"/>
      <c r="AK26" s="494"/>
      <c r="AL26" s="279"/>
      <c r="AM26" s="271"/>
      <c r="AN26" s="949">
        <f>IF(COUNTA(AD26:AL26)=0,"",COUNTA(AD26:AL26))</f>
        <v>3</v>
      </c>
      <c r="AO26" s="951">
        <v>23</v>
      </c>
      <c r="AP26" s="952"/>
      <c r="AQ26" s="953"/>
      <c r="AR26" s="954" t="str">
        <f>IF(IGRF!H25="","",IGRF!H25)</f>
        <v>932</v>
      </c>
      <c r="AS26" s="276"/>
      <c r="AT26" s="277"/>
      <c r="AU26" s="277"/>
      <c r="AV26" s="277"/>
      <c r="AW26" s="277"/>
      <c r="AX26" s="278"/>
      <c r="AY26" s="493"/>
      <c r="AZ26" s="494"/>
      <c r="BA26" s="279"/>
      <c r="BB26" s="271"/>
      <c r="BC26" s="949" t="str">
        <f>IF(COUNTA(AS26:BA26)=0,"",COUNTA(AS26:BA26))</f>
        <v/>
      </c>
      <c r="BD26" s="152" t="s">
        <v>158</v>
      </c>
    </row>
    <row r="27" spans="1:56" ht="18.899999999999999" customHeight="1" thickBot="1" x14ac:dyDescent="0.35">
      <c r="A27" s="968"/>
      <c r="B27" s="311">
        <v>3</v>
      </c>
      <c r="C27" s="280">
        <v>15</v>
      </c>
      <c r="D27" s="280"/>
      <c r="E27" s="280"/>
      <c r="F27" s="280"/>
      <c r="G27" s="281"/>
      <c r="H27" s="496"/>
      <c r="I27" s="497"/>
      <c r="J27" s="312"/>
      <c r="K27" s="275"/>
      <c r="L27" s="966"/>
      <c r="M27" s="956">
        <v>24</v>
      </c>
      <c r="N27" s="957"/>
      <c r="O27" s="958">
        <v>24</v>
      </c>
      <c r="P27" s="968"/>
      <c r="Q27" s="311"/>
      <c r="R27" s="280"/>
      <c r="S27" s="280"/>
      <c r="T27" s="280"/>
      <c r="U27" s="280"/>
      <c r="V27" s="281"/>
      <c r="W27" s="496"/>
      <c r="X27" s="497"/>
      <c r="Y27" s="312"/>
      <c r="Z27" s="275"/>
      <c r="AA27" s="966"/>
      <c r="AB27" s="153" t="s">
        <v>271</v>
      </c>
      <c r="AC27" s="967"/>
      <c r="AD27" s="311"/>
      <c r="AE27" s="280"/>
      <c r="AF27" s="280">
        <v>3</v>
      </c>
      <c r="AG27" s="280">
        <v>5</v>
      </c>
      <c r="AH27" s="280">
        <v>18</v>
      </c>
      <c r="AI27" s="281"/>
      <c r="AJ27" s="496"/>
      <c r="AK27" s="497"/>
      <c r="AL27" s="312"/>
      <c r="AM27" s="275"/>
      <c r="AN27" s="966"/>
      <c r="AO27" s="956">
        <v>24</v>
      </c>
      <c r="AP27" s="957"/>
      <c r="AQ27" s="958"/>
      <c r="AR27" s="967"/>
      <c r="AS27" s="311"/>
      <c r="AT27" s="280"/>
      <c r="AU27" s="280"/>
      <c r="AV27" s="280"/>
      <c r="AW27" s="280"/>
      <c r="AX27" s="281"/>
      <c r="AY27" s="496"/>
      <c r="AZ27" s="497"/>
      <c r="BA27" s="312"/>
      <c r="BB27" s="275"/>
      <c r="BC27" s="966"/>
      <c r="BD27" s="153" t="s">
        <v>271</v>
      </c>
    </row>
    <row r="28" spans="1:56" ht="18.899999999999999" customHeight="1" thickBot="1" x14ac:dyDescent="0.35">
      <c r="A28" s="964" t="str">
        <f>IF(IGRF!B26="","",IGRF!B26)</f>
        <v>84</v>
      </c>
      <c r="B28" s="268" t="s">
        <v>136</v>
      </c>
      <c r="C28" s="269"/>
      <c r="D28" s="269"/>
      <c r="E28" s="269"/>
      <c r="F28" s="269"/>
      <c r="G28" s="487"/>
      <c r="H28" s="488"/>
      <c r="I28" s="489"/>
      <c r="J28" s="270"/>
      <c r="K28" s="271"/>
      <c r="L28" s="961">
        <f>IF(COUNTA(B28:J28)=0,"",COUNTA(B28:J28))</f>
        <v>1</v>
      </c>
      <c r="M28" s="951">
        <v>25</v>
      </c>
      <c r="N28" s="952"/>
      <c r="O28" s="953">
        <v>25</v>
      </c>
      <c r="P28" s="964" t="str">
        <f>IF(IGRF!H26="","",IGRF!H26)</f>
        <v>H20</v>
      </c>
      <c r="Q28" s="268"/>
      <c r="R28" s="269"/>
      <c r="S28" s="269"/>
      <c r="T28" s="269"/>
      <c r="U28" s="269"/>
      <c r="V28" s="487"/>
      <c r="W28" s="488"/>
      <c r="X28" s="489"/>
      <c r="Y28" s="270"/>
      <c r="Z28" s="271"/>
      <c r="AA28" s="961" t="str">
        <f>IF(COUNTA(Q28:Y28)=0,"",COUNTA(Q28:Y28))</f>
        <v/>
      </c>
      <c r="AB28" s="154" t="s">
        <v>255</v>
      </c>
      <c r="AC28" s="963" t="str">
        <f>IF(IGRF!B26="","",IGRF!B26)</f>
        <v>84</v>
      </c>
      <c r="AD28" s="268"/>
      <c r="AE28" s="269" t="s">
        <v>146</v>
      </c>
      <c r="AF28" s="269"/>
      <c r="AG28" s="269"/>
      <c r="AH28" s="269"/>
      <c r="AI28" s="487"/>
      <c r="AJ28" s="488"/>
      <c r="AK28" s="489"/>
      <c r="AL28" s="270"/>
      <c r="AM28" s="271"/>
      <c r="AN28" s="961">
        <f>IF(COUNTA(AD28:AL28)=0,"",COUNTA(AD28:AL28))</f>
        <v>1</v>
      </c>
      <c r="AO28" s="951">
        <v>25</v>
      </c>
      <c r="AP28" s="952"/>
      <c r="AQ28" s="953"/>
      <c r="AR28" s="963" t="str">
        <f>IF(IGRF!H26="","",IGRF!H26)</f>
        <v>H20</v>
      </c>
      <c r="AS28" s="268" t="s">
        <v>157</v>
      </c>
      <c r="AT28" s="269"/>
      <c r="AU28" s="269"/>
      <c r="AV28" s="269"/>
      <c r="AW28" s="269"/>
      <c r="AX28" s="487"/>
      <c r="AY28" s="488"/>
      <c r="AZ28" s="489"/>
      <c r="BA28" s="270"/>
      <c r="BB28" s="271"/>
      <c r="BC28" s="961">
        <f>IF(COUNTA(AS28:BA28)=0,"",COUNTA(AS28:BA28))</f>
        <v>1</v>
      </c>
      <c r="BD28" s="154" t="s">
        <v>255</v>
      </c>
    </row>
    <row r="29" spans="1:56" ht="18.899999999999999" customHeight="1" thickBot="1" x14ac:dyDescent="0.35">
      <c r="A29" s="965"/>
      <c r="B29" s="272">
        <v>8</v>
      </c>
      <c r="C29" s="273"/>
      <c r="D29" s="273"/>
      <c r="E29" s="273"/>
      <c r="F29" s="273"/>
      <c r="G29" s="490"/>
      <c r="H29" s="491"/>
      <c r="I29" s="492"/>
      <c r="J29" s="274"/>
      <c r="K29" s="275"/>
      <c r="L29" s="962"/>
      <c r="M29" s="956">
        <v>26</v>
      </c>
      <c r="N29" s="957"/>
      <c r="O29" s="958">
        <v>26</v>
      </c>
      <c r="P29" s="965"/>
      <c r="Q29" s="272"/>
      <c r="R29" s="273"/>
      <c r="S29" s="273"/>
      <c r="T29" s="273"/>
      <c r="U29" s="273"/>
      <c r="V29" s="490"/>
      <c r="W29" s="491"/>
      <c r="X29" s="492"/>
      <c r="Y29" s="274"/>
      <c r="Z29" s="275"/>
      <c r="AA29" s="962"/>
      <c r="AB29" s="498" t="s">
        <v>140</v>
      </c>
      <c r="AC29" s="963"/>
      <c r="AD29" s="272"/>
      <c r="AE29" s="273">
        <v>3</v>
      </c>
      <c r="AF29" s="273"/>
      <c r="AG29" s="273"/>
      <c r="AH29" s="273"/>
      <c r="AI29" s="490"/>
      <c r="AJ29" s="491"/>
      <c r="AK29" s="492"/>
      <c r="AL29" s="274"/>
      <c r="AM29" s="275"/>
      <c r="AN29" s="962"/>
      <c r="AO29" s="956">
        <v>26</v>
      </c>
      <c r="AP29" s="957"/>
      <c r="AQ29" s="958"/>
      <c r="AR29" s="963"/>
      <c r="AS29" s="272">
        <v>15</v>
      </c>
      <c r="AT29" s="273"/>
      <c r="AU29" s="273"/>
      <c r="AV29" s="273"/>
      <c r="AW29" s="273"/>
      <c r="AX29" s="490"/>
      <c r="AY29" s="491"/>
      <c r="AZ29" s="492"/>
      <c r="BA29" s="274"/>
      <c r="BB29" s="275"/>
      <c r="BC29" s="962"/>
      <c r="BD29" s="498" t="s">
        <v>140</v>
      </c>
    </row>
    <row r="30" spans="1:56" ht="18.899999999999999" customHeight="1" thickBot="1" x14ac:dyDescent="0.35">
      <c r="A30" s="959" t="str">
        <f>IF(IGRF!B27="","",IGRF!B27)</f>
        <v>N01</v>
      </c>
      <c r="B30" s="276" t="s">
        <v>142</v>
      </c>
      <c r="C30" s="277" t="s">
        <v>142</v>
      </c>
      <c r="D30" s="277"/>
      <c r="E30" s="277"/>
      <c r="F30" s="277"/>
      <c r="G30" s="278"/>
      <c r="H30" s="493"/>
      <c r="I30" s="494"/>
      <c r="J30" s="279"/>
      <c r="K30" s="271"/>
      <c r="L30" s="949">
        <f>IF(COUNTA(B30:J30)=0,"",COUNTA(B30:J30))</f>
        <v>2</v>
      </c>
      <c r="M30" s="951">
        <v>27</v>
      </c>
      <c r="N30" s="952"/>
      <c r="O30" s="953">
        <v>27</v>
      </c>
      <c r="P30" s="959" t="str">
        <f>IF(IGRF!H27="","",IGRF!H27)</f>
        <v>K9</v>
      </c>
      <c r="Q30" s="276"/>
      <c r="R30" s="277"/>
      <c r="S30" s="277"/>
      <c r="T30" s="277"/>
      <c r="U30" s="277"/>
      <c r="V30" s="278"/>
      <c r="W30" s="493"/>
      <c r="X30" s="494"/>
      <c r="Y30" s="279"/>
      <c r="Z30" s="271"/>
      <c r="AA30" s="949" t="str">
        <f>IF(COUNTA(Q30:Y30)=0,"",COUNTA(Q30:Y30))</f>
        <v/>
      </c>
      <c r="AB30" s="15" t="s">
        <v>390</v>
      </c>
      <c r="AC30" s="954" t="str">
        <f>IF(IGRF!B27="","",IGRF!B27)</f>
        <v>N01</v>
      </c>
      <c r="AD30" s="276"/>
      <c r="AE30" s="277"/>
      <c r="AF30" s="277" t="s">
        <v>146</v>
      </c>
      <c r="AG30" s="277" t="s">
        <v>146</v>
      </c>
      <c r="AH30" s="277"/>
      <c r="AI30" s="278"/>
      <c r="AJ30" s="493"/>
      <c r="AK30" s="494"/>
      <c r="AL30" s="279"/>
      <c r="AM30" s="271"/>
      <c r="AN30" s="949">
        <f>IF(COUNTA(AD30:AL30)=0,"",COUNTA(AD30:AL30))</f>
        <v>2</v>
      </c>
      <c r="AO30" s="951">
        <v>27</v>
      </c>
      <c r="AP30" s="952"/>
      <c r="AQ30" s="953"/>
      <c r="AR30" s="954" t="str">
        <f>IF(IGRF!H27="","",IGRF!H27)</f>
        <v>K9</v>
      </c>
      <c r="AS30" s="276" t="s">
        <v>140</v>
      </c>
      <c r="AT30" s="277" t="s">
        <v>140</v>
      </c>
      <c r="AU30" s="277"/>
      <c r="AV30" s="277"/>
      <c r="AW30" s="277"/>
      <c r="AX30" s="278"/>
      <c r="AY30" s="493"/>
      <c r="AZ30" s="494"/>
      <c r="BA30" s="279"/>
      <c r="BB30" s="271"/>
      <c r="BC30" s="949">
        <f>IF(COUNTA(AS30:BA30)=0,"",COUNTA(AS30:BA30))</f>
        <v>2</v>
      </c>
      <c r="BD30" s="15" t="s">
        <v>390</v>
      </c>
    </row>
    <row r="31" spans="1:56" ht="18.899999999999999" customHeight="1" thickBot="1" x14ac:dyDescent="0.35">
      <c r="A31" s="968"/>
      <c r="B31" s="311">
        <v>8</v>
      </c>
      <c r="C31" s="280">
        <v>18</v>
      </c>
      <c r="D31" s="280"/>
      <c r="E31" s="280"/>
      <c r="F31" s="280"/>
      <c r="G31" s="281"/>
      <c r="H31" s="496"/>
      <c r="I31" s="497"/>
      <c r="J31" s="312"/>
      <c r="K31" s="275"/>
      <c r="L31" s="966"/>
      <c r="M31" s="956">
        <v>28</v>
      </c>
      <c r="N31" s="957"/>
      <c r="O31" s="958">
        <v>28</v>
      </c>
      <c r="P31" s="968"/>
      <c r="Q31" s="311"/>
      <c r="R31" s="280"/>
      <c r="S31" s="280"/>
      <c r="T31" s="280"/>
      <c r="U31" s="280"/>
      <c r="V31" s="281"/>
      <c r="W31" s="496"/>
      <c r="X31" s="497"/>
      <c r="Y31" s="312"/>
      <c r="Z31" s="275"/>
      <c r="AA31" s="966"/>
      <c r="AB31" s="498" t="s">
        <v>159</v>
      </c>
      <c r="AC31" s="967"/>
      <c r="AD31" s="311"/>
      <c r="AE31" s="280"/>
      <c r="AF31" s="280">
        <v>8</v>
      </c>
      <c r="AG31" s="280">
        <v>12</v>
      </c>
      <c r="AH31" s="280"/>
      <c r="AI31" s="281"/>
      <c r="AJ31" s="496"/>
      <c r="AK31" s="497"/>
      <c r="AL31" s="312"/>
      <c r="AM31" s="275"/>
      <c r="AN31" s="966"/>
      <c r="AO31" s="956">
        <v>28</v>
      </c>
      <c r="AP31" s="957"/>
      <c r="AQ31" s="958"/>
      <c r="AR31" s="967"/>
      <c r="AS31" s="311">
        <v>17</v>
      </c>
      <c r="AT31" s="280">
        <v>18</v>
      </c>
      <c r="AU31" s="280"/>
      <c r="AV31" s="280"/>
      <c r="AW31" s="280"/>
      <c r="AX31" s="281"/>
      <c r="AY31" s="496"/>
      <c r="AZ31" s="497"/>
      <c r="BA31" s="312"/>
      <c r="BB31" s="275"/>
      <c r="BC31" s="966"/>
      <c r="BD31" s="498" t="s">
        <v>159</v>
      </c>
    </row>
    <row r="32" spans="1:56" ht="18.899999999999999" customHeight="1" thickBot="1" x14ac:dyDescent="0.35">
      <c r="A32" s="964" t="str">
        <f>IF(IGRF!B28="","",IGRF!B28)</f>
        <v/>
      </c>
      <c r="B32" s="268"/>
      <c r="C32" s="269"/>
      <c r="D32" s="269"/>
      <c r="E32" s="269"/>
      <c r="F32" s="269"/>
      <c r="G32" s="487"/>
      <c r="H32" s="488"/>
      <c r="I32" s="489"/>
      <c r="J32" s="270"/>
      <c r="K32" s="271"/>
      <c r="L32" s="961" t="str">
        <f>IF(COUNTA(B32:J32)=0,"",COUNTA(B32:J32))</f>
        <v/>
      </c>
      <c r="M32" s="951">
        <v>29</v>
      </c>
      <c r="N32" s="952"/>
      <c r="O32" s="953">
        <v>29</v>
      </c>
      <c r="P32" s="964" t="str">
        <f>IF(IGRF!H28="","",IGRF!H28)</f>
        <v/>
      </c>
      <c r="Q32" s="268"/>
      <c r="R32" s="269"/>
      <c r="S32" s="269"/>
      <c r="T32" s="269"/>
      <c r="U32" s="269"/>
      <c r="V32" s="487"/>
      <c r="W32" s="488"/>
      <c r="X32" s="489"/>
      <c r="Y32" s="270"/>
      <c r="Z32" s="271"/>
      <c r="AA32" s="961" t="str">
        <f>IF(COUNTA(Q32:Y32)=0,"",COUNTA(Q32:Y32))</f>
        <v/>
      </c>
      <c r="AB32" s="15" t="s">
        <v>160</v>
      </c>
      <c r="AC32" s="963" t="str">
        <f>IF(IGRF!B28="","",IGRF!B28)</f>
        <v/>
      </c>
      <c r="AD32" s="268"/>
      <c r="AE32" s="269"/>
      <c r="AF32" s="269"/>
      <c r="AG32" s="269"/>
      <c r="AH32" s="269"/>
      <c r="AI32" s="487"/>
      <c r="AJ32" s="488"/>
      <c r="AK32" s="489"/>
      <c r="AL32" s="270"/>
      <c r="AM32" s="271"/>
      <c r="AN32" s="961" t="str">
        <f>IF(COUNTA(AD32:AL32)=0,"",COUNTA(AD32:AL32))</f>
        <v/>
      </c>
      <c r="AO32" s="951">
        <v>29</v>
      </c>
      <c r="AP32" s="952"/>
      <c r="AQ32" s="953"/>
      <c r="AR32" s="963" t="str">
        <f>IF(IGRF!H28="","",IGRF!H28)</f>
        <v/>
      </c>
      <c r="AS32" s="268"/>
      <c r="AT32" s="269"/>
      <c r="AU32" s="269"/>
      <c r="AV32" s="269"/>
      <c r="AW32" s="269"/>
      <c r="AX32" s="487"/>
      <c r="AY32" s="488"/>
      <c r="AZ32" s="489"/>
      <c r="BA32" s="270"/>
      <c r="BB32" s="271"/>
      <c r="BC32" s="961" t="str">
        <f>IF(COUNTA(AS32:BA32)=0,"",COUNTA(AS32:BA32))</f>
        <v/>
      </c>
      <c r="BD32" s="15" t="s">
        <v>160</v>
      </c>
    </row>
    <row r="33" spans="1:56" ht="18.899999999999999" customHeight="1" thickBot="1" x14ac:dyDescent="0.35">
      <c r="A33" s="965"/>
      <c r="B33" s="272"/>
      <c r="C33" s="273"/>
      <c r="D33" s="273"/>
      <c r="E33" s="273"/>
      <c r="F33" s="273"/>
      <c r="G33" s="490"/>
      <c r="H33" s="491"/>
      <c r="I33" s="492"/>
      <c r="J33" s="274"/>
      <c r="K33" s="275"/>
      <c r="L33" s="962"/>
      <c r="M33" s="956">
        <v>30</v>
      </c>
      <c r="N33" s="957"/>
      <c r="O33" s="958">
        <v>30</v>
      </c>
      <c r="P33" s="965"/>
      <c r="Q33" s="272"/>
      <c r="R33" s="273"/>
      <c r="S33" s="273"/>
      <c r="T33" s="273"/>
      <c r="U33" s="273"/>
      <c r="V33" s="490"/>
      <c r="W33" s="491"/>
      <c r="X33" s="492"/>
      <c r="Y33" s="274"/>
      <c r="Z33" s="275"/>
      <c r="AA33" s="962"/>
      <c r="AB33" s="17" t="s">
        <v>150</v>
      </c>
      <c r="AC33" s="963"/>
      <c r="AD33" s="272"/>
      <c r="AE33" s="273"/>
      <c r="AF33" s="273"/>
      <c r="AG33" s="273"/>
      <c r="AH33" s="273"/>
      <c r="AI33" s="490"/>
      <c r="AJ33" s="491"/>
      <c r="AK33" s="492"/>
      <c r="AL33" s="274"/>
      <c r="AM33" s="275"/>
      <c r="AN33" s="962"/>
      <c r="AO33" s="956">
        <v>30</v>
      </c>
      <c r="AP33" s="957"/>
      <c r="AQ33" s="958"/>
      <c r="AR33" s="963"/>
      <c r="AS33" s="272"/>
      <c r="AT33" s="273"/>
      <c r="AU33" s="273"/>
      <c r="AV33" s="273"/>
      <c r="AW33" s="273"/>
      <c r="AX33" s="490"/>
      <c r="AY33" s="491"/>
      <c r="AZ33" s="492"/>
      <c r="BA33" s="274"/>
      <c r="BB33" s="275"/>
      <c r="BC33" s="962"/>
      <c r="BD33" s="17" t="s">
        <v>150</v>
      </c>
    </row>
    <row r="34" spans="1:56" ht="18.899999999999999" customHeight="1" x14ac:dyDescent="0.3">
      <c r="A34" s="959" t="str">
        <f>IF(IGRF!B29="","",IGRF!B29)</f>
        <v/>
      </c>
      <c r="B34" s="276"/>
      <c r="C34" s="277"/>
      <c r="D34" s="277"/>
      <c r="E34" s="277"/>
      <c r="F34" s="277"/>
      <c r="G34" s="278"/>
      <c r="H34" s="493"/>
      <c r="I34" s="494"/>
      <c r="J34" s="279"/>
      <c r="K34" s="271"/>
      <c r="L34" s="949" t="str">
        <f>IF(COUNTA(B34:J34)=0,"",COUNTA(B34:J34))</f>
        <v/>
      </c>
      <c r="M34" s="951">
        <v>31</v>
      </c>
      <c r="N34" s="952"/>
      <c r="O34" s="953">
        <v>31</v>
      </c>
      <c r="P34" s="959" t="str">
        <f>IF(IGRF!H29="","",IGRF!H29)</f>
        <v/>
      </c>
      <c r="Q34" s="276"/>
      <c r="R34" s="277"/>
      <c r="S34" s="277"/>
      <c r="T34" s="277"/>
      <c r="U34" s="277"/>
      <c r="V34" s="278"/>
      <c r="W34" s="493"/>
      <c r="X34" s="494"/>
      <c r="Y34" s="279"/>
      <c r="Z34" s="271"/>
      <c r="AA34" s="949" t="str">
        <f>IF(COUNTA(Q34:Y34)=0,"",COUNTA(Q34:Y34))</f>
        <v/>
      </c>
      <c r="AB34" s="152" t="s">
        <v>257</v>
      </c>
      <c r="AC34" s="954" t="str">
        <f>IF(IGRF!B29="","",IGRF!B29)</f>
        <v/>
      </c>
      <c r="AD34" s="276"/>
      <c r="AE34" s="277"/>
      <c r="AF34" s="277"/>
      <c r="AG34" s="277"/>
      <c r="AH34" s="277"/>
      <c r="AI34" s="278"/>
      <c r="AJ34" s="493"/>
      <c r="AK34" s="494"/>
      <c r="AL34" s="279"/>
      <c r="AM34" s="271"/>
      <c r="AN34" s="949" t="str">
        <f>IF(COUNTA(AD34:AL34)=0,"",COUNTA(AD34:AL34))</f>
        <v/>
      </c>
      <c r="AO34" s="951">
        <v>31</v>
      </c>
      <c r="AP34" s="952"/>
      <c r="AQ34" s="953"/>
      <c r="AR34" s="954" t="str">
        <f>IF(IGRF!H29="","",IGRF!H29)</f>
        <v/>
      </c>
      <c r="AS34" s="276"/>
      <c r="AT34" s="277"/>
      <c r="AU34" s="277"/>
      <c r="AV34" s="277"/>
      <c r="AW34" s="277"/>
      <c r="AX34" s="278"/>
      <c r="AY34" s="493"/>
      <c r="AZ34" s="494"/>
      <c r="BA34" s="279"/>
      <c r="BB34" s="271"/>
      <c r="BC34" s="949" t="str">
        <f>IF(COUNTA(AS34:BA34)=0,"",COUNTA(AS34:BA34))</f>
        <v/>
      </c>
      <c r="BD34" s="152" t="s">
        <v>257</v>
      </c>
    </row>
    <row r="35" spans="1:56" ht="18.899999999999999" customHeight="1" thickBot="1" x14ac:dyDescent="0.35">
      <c r="A35" s="968"/>
      <c r="B35" s="311"/>
      <c r="C35" s="280"/>
      <c r="D35" s="280"/>
      <c r="E35" s="280"/>
      <c r="F35" s="280"/>
      <c r="G35" s="281"/>
      <c r="H35" s="496"/>
      <c r="I35" s="497"/>
      <c r="J35" s="312"/>
      <c r="K35" s="275"/>
      <c r="L35" s="966"/>
      <c r="M35" s="956">
        <v>32</v>
      </c>
      <c r="N35" s="957"/>
      <c r="O35" s="958">
        <v>32</v>
      </c>
      <c r="P35" s="968"/>
      <c r="Q35" s="311"/>
      <c r="R35" s="280"/>
      <c r="S35" s="280"/>
      <c r="T35" s="280"/>
      <c r="U35" s="280"/>
      <c r="V35" s="281"/>
      <c r="W35" s="496"/>
      <c r="X35" s="497"/>
      <c r="Y35" s="312"/>
      <c r="Z35" s="275"/>
      <c r="AA35" s="966"/>
      <c r="AB35" s="153" t="s">
        <v>391</v>
      </c>
      <c r="AC35" s="967"/>
      <c r="AD35" s="311"/>
      <c r="AE35" s="280"/>
      <c r="AF35" s="280"/>
      <c r="AG35" s="280"/>
      <c r="AH35" s="280"/>
      <c r="AI35" s="281"/>
      <c r="AJ35" s="496"/>
      <c r="AK35" s="497"/>
      <c r="AL35" s="312"/>
      <c r="AM35" s="275"/>
      <c r="AN35" s="966"/>
      <c r="AO35" s="956">
        <v>32</v>
      </c>
      <c r="AP35" s="957"/>
      <c r="AQ35" s="958"/>
      <c r="AR35" s="967"/>
      <c r="AS35" s="311"/>
      <c r="AT35" s="280"/>
      <c r="AU35" s="280"/>
      <c r="AV35" s="280"/>
      <c r="AW35" s="280"/>
      <c r="AX35" s="281"/>
      <c r="AY35" s="496"/>
      <c r="AZ35" s="497"/>
      <c r="BA35" s="312"/>
      <c r="BB35" s="275"/>
      <c r="BC35" s="966"/>
      <c r="BD35" s="153" t="s">
        <v>391</v>
      </c>
    </row>
    <row r="36" spans="1:56" ht="18.899999999999999" customHeight="1" thickBot="1" x14ac:dyDescent="0.35">
      <c r="A36" s="964" t="str">
        <f>IF(IGRF!B30="","",IGRF!B30)</f>
        <v/>
      </c>
      <c r="B36" s="268"/>
      <c r="C36" s="269"/>
      <c r="D36" s="269"/>
      <c r="E36" s="269"/>
      <c r="F36" s="269"/>
      <c r="G36" s="487"/>
      <c r="H36" s="488"/>
      <c r="I36" s="489"/>
      <c r="J36" s="270"/>
      <c r="K36" s="271"/>
      <c r="L36" s="961" t="str">
        <f>IF(COUNTA(B36:J36)=0,"",COUNTA(B36:J36))</f>
        <v/>
      </c>
      <c r="M36" s="951">
        <v>33</v>
      </c>
      <c r="N36" s="952"/>
      <c r="O36" s="953">
        <v>33</v>
      </c>
      <c r="P36" s="964" t="str">
        <f>IF(IGRF!H30="","",IGRF!H30)</f>
        <v/>
      </c>
      <c r="Q36" s="268"/>
      <c r="R36" s="269"/>
      <c r="S36" s="269"/>
      <c r="T36" s="269"/>
      <c r="U36" s="269"/>
      <c r="V36" s="487"/>
      <c r="W36" s="488"/>
      <c r="X36" s="489"/>
      <c r="Y36" s="270"/>
      <c r="Z36" s="271"/>
      <c r="AA36" s="961" t="str">
        <f>IF(COUNTA(Q36:Y36)=0,"",COUNTA(Q36:Y36))</f>
        <v/>
      </c>
      <c r="AB36" s="154" t="s">
        <v>256</v>
      </c>
      <c r="AC36" s="963" t="str">
        <f>IF(IGRF!B30="","",IGRF!B30)</f>
        <v/>
      </c>
      <c r="AD36" s="268"/>
      <c r="AE36" s="269"/>
      <c r="AF36" s="269"/>
      <c r="AG36" s="269"/>
      <c r="AH36" s="269"/>
      <c r="AI36" s="487"/>
      <c r="AJ36" s="488"/>
      <c r="AK36" s="489"/>
      <c r="AL36" s="270"/>
      <c r="AM36" s="271"/>
      <c r="AN36" s="961" t="str">
        <f>IF(COUNTA(AD36:AL36)=0,"",COUNTA(AD36:AL36))</f>
        <v/>
      </c>
      <c r="AO36" s="951">
        <v>33</v>
      </c>
      <c r="AP36" s="952"/>
      <c r="AQ36" s="953"/>
      <c r="AR36" s="963" t="str">
        <f>IF(IGRF!H30="","",IGRF!H30)</f>
        <v/>
      </c>
      <c r="AS36" s="268"/>
      <c r="AT36" s="269"/>
      <c r="AU36" s="269"/>
      <c r="AV36" s="269"/>
      <c r="AW36" s="269"/>
      <c r="AX36" s="487"/>
      <c r="AY36" s="488"/>
      <c r="AZ36" s="489"/>
      <c r="BA36" s="270"/>
      <c r="BB36" s="271"/>
      <c r="BC36" s="961" t="str">
        <f>IF(COUNTA(AS36:BA36)=0,"",COUNTA(AS36:BA36))</f>
        <v/>
      </c>
      <c r="BD36" s="154" t="s">
        <v>256</v>
      </c>
    </row>
    <row r="37" spans="1:56" ht="18.899999999999999" customHeight="1" thickBot="1" x14ac:dyDescent="0.35">
      <c r="A37" s="965"/>
      <c r="B37" s="272"/>
      <c r="C37" s="273"/>
      <c r="D37" s="273"/>
      <c r="E37" s="273"/>
      <c r="F37" s="273"/>
      <c r="G37" s="490"/>
      <c r="H37" s="491"/>
      <c r="I37" s="492"/>
      <c r="J37" s="274"/>
      <c r="K37" s="275"/>
      <c r="L37" s="962"/>
      <c r="M37" s="956">
        <v>34</v>
      </c>
      <c r="N37" s="957"/>
      <c r="O37" s="958">
        <v>34</v>
      </c>
      <c r="P37" s="965"/>
      <c r="Q37" s="272"/>
      <c r="R37" s="273"/>
      <c r="S37" s="273"/>
      <c r="T37" s="273"/>
      <c r="U37" s="273"/>
      <c r="V37" s="490"/>
      <c r="W37" s="491"/>
      <c r="X37" s="492"/>
      <c r="Y37" s="274"/>
      <c r="Z37" s="275"/>
      <c r="AA37" s="962"/>
      <c r="AB37" s="16" t="s">
        <v>162</v>
      </c>
      <c r="AC37" s="963"/>
      <c r="AD37" s="272"/>
      <c r="AE37" s="273"/>
      <c r="AF37" s="273"/>
      <c r="AG37" s="273"/>
      <c r="AH37" s="273"/>
      <c r="AI37" s="490"/>
      <c r="AJ37" s="491"/>
      <c r="AK37" s="492"/>
      <c r="AL37" s="274"/>
      <c r="AM37" s="275"/>
      <c r="AN37" s="962"/>
      <c r="AO37" s="956">
        <v>34</v>
      </c>
      <c r="AP37" s="957"/>
      <c r="AQ37" s="958"/>
      <c r="AR37" s="963"/>
      <c r="AS37" s="272"/>
      <c r="AT37" s="273"/>
      <c r="AU37" s="273"/>
      <c r="AV37" s="273"/>
      <c r="AW37" s="273"/>
      <c r="AX37" s="490"/>
      <c r="AY37" s="491"/>
      <c r="AZ37" s="492"/>
      <c r="BA37" s="274"/>
      <c r="BB37" s="275"/>
      <c r="BC37" s="962"/>
      <c r="BD37" s="16" t="s">
        <v>162</v>
      </c>
    </row>
    <row r="38" spans="1:56" ht="18.899999999999999" customHeight="1" thickBot="1" x14ac:dyDescent="0.35">
      <c r="A38" s="959" t="str">
        <f>IF(IGRF!B31="","",IGRF!B31)</f>
        <v/>
      </c>
      <c r="B38" s="276"/>
      <c r="C38" s="277"/>
      <c r="D38" s="277"/>
      <c r="E38" s="277"/>
      <c r="F38" s="277"/>
      <c r="G38" s="278"/>
      <c r="H38" s="493"/>
      <c r="I38" s="494"/>
      <c r="J38" s="279"/>
      <c r="K38" s="271"/>
      <c r="L38" s="949" t="str">
        <f>IF(COUNTA(B38:J38)=0,"",COUNTA(B38:J38))</f>
        <v/>
      </c>
      <c r="M38" s="951">
        <v>35</v>
      </c>
      <c r="N38" s="952"/>
      <c r="O38" s="953">
        <v>35</v>
      </c>
      <c r="P38" s="959" t="str">
        <f>IF(IGRF!H31="","",IGRF!H31)</f>
        <v/>
      </c>
      <c r="Q38" s="276"/>
      <c r="R38" s="277"/>
      <c r="S38" s="277"/>
      <c r="T38" s="277"/>
      <c r="U38" s="277"/>
      <c r="V38" s="278"/>
      <c r="W38" s="493"/>
      <c r="X38" s="494"/>
      <c r="Y38" s="279"/>
      <c r="Z38" s="271"/>
      <c r="AA38" s="949" t="str">
        <f>IF(COUNTA(Q38:Y38)=0,"",COUNTA(Q38:Y38))</f>
        <v/>
      </c>
      <c r="AB38" s="15" t="s">
        <v>163</v>
      </c>
      <c r="AC38" s="954" t="str">
        <f>IF(IGRF!B31="","",IGRF!B31)</f>
        <v/>
      </c>
      <c r="AD38" s="276"/>
      <c r="AE38" s="277"/>
      <c r="AF38" s="277"/>
      <c r="AG38" s="277"/>
      <c r="AH38" s="277"/>
      <c r="AI38" s="278"/>
      <c r="AJ38" s="493"/>
      <c r="AK38" s="494"/>
      <c r="AL38" s="279"/>
      <c r="AM38" s="271"/>
      <c r="AN38" s="949" t="str">
        <f>IF(COUNTA(AD38:AL38)=0,"",COUNTA(AD38:AL38))</f>
        <v/>
      </c>
      <c r="AO38" s="951">
        <v>35</v>
      </c>
      <c r="AP38" s="952"/>
      <c r="AQ38" s="953"/>
      <c r="AR38" s="954" t="str">
        <f>IF(IGRF!H31="","",IGRF!H31)</f>
        <v/>
      </c>
      <c r="AS38" s="276"/>
      <c r="AT38" s="277"/>
      <c r="AU38" s="277"/>
      <c r="AV38" s="277"/>
      <c r="AW38" s="277"/>
      <c r="AX38" s="278"/>
      <c r="AY38" s="493"/>
      <c r="AZ38" s="494"/>
      <c r="BA38" s="279"/>
      <c r="BB38" s="271"/>
      <c r="BC38" s="949" t="str">
        <f>IF(COUNTA(AS38:BA38)=0,"",COUNTA(AS38:BA38))</f>
        <v/>
      </c>
      <c r="BD38" s="15" t="s">
        <v>163</v>
      </c>
    </row>
    <row r="39" spans="1:56" ht="18.899999999999999" customHeight="1" thickBot="1" x14ac:dyDescent="0.35">
      <c r="A39" s="968"/>
      <c r="B39" s="311"/>
      <c r="C39" s="280"/>
      <c r="D39" s="280"/>
      <c r="E39" s="280"/>
      <c r="F39" s="280"/>
      <c r="G39" s="281"/>
      <c r="H39" s="496"/>
      <c r="I39" s="497"/>
      <c r="J39" s="312"/>
      <c r="K39" s="275"/>
      <c r="L39" s="966"/>
      <c r="M39" s="956">
        <v>36</v>
      </c>
      <c r="N39" s="957"/>
      <c r="O39" s="958">
        <v>36</v>
      </c>
      <c r="P39" s="968"/>
      <c r="Q39" s="311"/>
      <c r="R39" s="280"/>
      <c r="S39" s="280"/>
      <c r="T39" s="280"/>
      <c r="U39" s="280"/>
      <c r="V39" s="281"/>
      <c r="W39" s="496"/>
      <c r="X39" s="497"/>
      <c r="Y39" s="312"/>
      <c r="Z39" s="275"/>
      <c r="AA39" s="966"/>
      <c r="AB39" s="16" t="s">
        <v>234</v>
      </c>
      <c r="AC39" s="967"/>
      <c r="AD39" s="311"/>
      <c r="AE39" s="280"/>
      <c r="AF39" s="280"/>
      <c r="AG39" s="280"/>
      <c r="AH39" s="280"/>
      <c r="AI39" s="281"/>
      <c r="AJ39" s="496"/>
      <c r="AK39" s="497"/>
      <c r="AL39" s="312"/>
      <c r="AM39" s="275"/>
      <c r="AN39" s="966"/>
      <c r="AO39" s="956">
        <v>36</v>
      </c>
      <c r="AP39" s="957"/>
      <c r="AQ39" s="958"/>
      <c r="AR39" s="967"/>
      <c r="AS39" s="311"/>
      <c r="AT39" s="280"/>
      <c r="AU39" s="280"/>
      <c r="AV39" s="280"/>
      <c r="AW39" s="280"/>
      <c r="AX39" s="281"/>
      <c r="AY39" s="496"/>
      <c r="AZ39" s="497"/>
      <c r="BA39" s="312"/>
      <c r="BB39" s="275"/>
      <c r="BC39" s="966"/>
      <c r="BD39" s="16" t="s">
        <v>234</v>
      </c>
    </row>
    <row r="40" spans="1:56" ht="18.899999999999999" customHeight="1" thickBot="1" x14ac:dyDescent="0.35">
      <c r="A40" s="964" t="str">
        <f>IF(IGRF!B32="","",IGRF!B32)</f>
        <v/>
      </c>
      <c r="B40" s="268"/>
      <c r="C40" s="269"/>
      <c r="D40" s="269"/>
      <c r="E40" s="269"/>
      <c r="F40" s="269"/>
      <c r="G40" s="487"/>
      <c r="H40" s="488"/>
      <c r="I40" s="489"/>
      <c r="J40" s="270"/>
      <c r="K40" s="271"/>
      <c r="L40" s="961" t="str">
        <f>IF(COUNTA(B40:J40)=0,"",COUNTA(B40:J40))</f>
        <v/>
      </c>
      <c r="M40" s="951">
        <v>37</v>
      </c>
      <c r="N40" s="952"/>
      <c r="O40" s="953">
        <v>37</v>
      </c>
      <c r="P40" s="964" t="str">
        <f>IF(IGRF!H32="","",IGRF!H32)</f>
        <v/>
      </c>
      <c r="Q40" s="268"/>
      <c r="R40" s="269"/>
      <c r="S40" s="269"/>
      <c r="T40" s="269"/>
      <c r="U40" s="269"/>
      <c r="V40" s="487"/>
      <c r="W40" s="488"/>
      <c r="X40" s="489"/>
      <c r="Y40" s="270"/>
      <c r="Z40" s="271"/>
      <c r="AA40" s="961" t="str">
        <f>IF(COUNTA(Q40:Y40)=0,"",COUNTA(Q40:Y40))</f>
        <v/>
      </c>
      <c r="AB40" s="152" t="s">
        <v>231</v>
      </c>
      <c r="AC40" s="963" t="str">
        <f>IF(IGRF!B32="","",IGRF!B32)</f>
        <v/>
      </c>
      <c r="AD40" s="268"/>
      <c r="AE40" s="269"/>
      <c r="AF40" s="269"/>
      <c r="AG40" s="269"/>
      <c r="AH40" s="269"/>
      <c r="AI40" s="487"/>
      <c r="AJ40" s="488"/>
      <c r="AK40" s="489"/>
      <c r="AL40" s="270"/>
      <c r="AM40" s="271"/>
      <c r="AN40" s="961" t="str">
        <f>IF(COUNTA(AD40:AL40)=0,"",COUNTA(AD40:AL40))</f>
        <v/>
      </c>
      <c r="AO40" s="951">
        <v>37</v>
      </c>
      <c r="AP40" s="952"/>
      <c r="AQ40" s="953"/>
      <c r="AR40" s="963" t="str">
        <f>IF(IGRF!H32="","",IGRF!H32)</f>
        <v/>
      </c>
      <c r="AS40" s="268"/>
      <c r="AT40" s="269"/>
      <c r="AU40" s="269"/>
      <c r="AV40" s="269"/>
      <c r="AW40" s="269"/>
      <c r="AX40" s="487"/>
      <c r="AY40" s="488"/>
      <c r="AZ40" s="489"/>
      <c r="BA40" s="270"/>
      <c r="BB40" s="271"/>
      <c r="BC40" s="961" t="str">
        <f>IF(COUNTA(AS40:BA40)=0,"",COUNTA(AS40:BA40))</f>
        <v/>
      </c>
      <c r="BD40" s="152" t="s">
        <v>231</v>
      </c>
    </row>
    <row r="41" spans="1:56" ht="18.899999999999999" customHeight="1" thickBot="1" x14ac:dyDescent="0.35">
      <c r="A41" s="965"/>
      <c r="B41" s="272"/>
      <c r="C41" s="273"/>
      <c r="D41" s="273"/>
      <c r="E41" s="273"/>
      <c r="F41" s="273"/>
      <c r="G41" s="490"/>
      <c r="H41" s="491"/>
      <c r="I41" s="492"/>
      <c r="J41" s="274"/>
      <c r="K41" s="275"/>
      <c r="L41" s="962"/>
      <c r="M41" s="956">
        <v>38</v>
      </c>
      <c r="N41" s="957"/>
      <c r="O41" s="958">
        <v>38</v>
      </c>
      <c r="P41" s="965"/>
      <c r="Q41" s="272"/>
      <c r="R41" s="273"/>
      <c r="S41" s="273"/>
      <c r="T41" s="273"/>
      <c r="U41" s="273"/>
      <c r="V41" s="490"/>
      <c r="W41" s="491"/>
      <c r="X41" s="492"/>
      <c r="Y41" s="274"/>
      <c r="Z41" s="275"/>
      <c r="AA41" s="962"/>
      <c r="AB41" s="15" t="s">
        <v>232</v>
      </c>
      <c r="AC41" s="963"/>
      <c r="AD41" s="272"/>
      <c r="AE41" s="273"/>
      <c r="AF41" s="273"/>
      <c r="AG41" s="273"/>
      <c r="AH41" s="273"/>
      <c r="AI41" s="490"/>
      <c r="AJ41" s="491"/>
      <c r="AK41" s="492"/>
      <c r="AL41" s="274"/>
      <c r="AM41" s="275"/>
      <c r="AN41" s="962"/>
      <c r="AO41" s="956">
        <v>38</v>
      </c>
      <c r="AP41" s="957"/>
      <c r="AQ41" s="958"/>
      <c r="AR41" s="963"/>
      <c r="AS41" s="272"/>
      <c r="AT41" s="273"/>
      <c r="AU41" s="273"/>
      <c r="AV41" s="273"/>
      <c r="AW41" s="273"/>
      <c r="AX41" s="490"/>
      <c r="AY41" s="491"/>
      <c r="AZ41" s="492"/>
      <c r="BA41" s="274"/>
      <c r="BB41" s="275"/>
      <c r="BC41" s="962"/>
      <c r="BD41" s="15" t="s">
        <v>232</v>
      </c>
    </row>
    <row r="42" spans="1:56" ht="18.899999999999999" customHeight="1" x14ac:dyDescent="0.3">
      <c r="A42" s="959" t="str">
        <f>IF(IGRF!B33="","",IGRF!B33)</f>
        <v/>
      </c>
      <c r="B42" s="276"/>
      <c r="C42" s="277"/>
      <c r="D42" s="277"/>
      <c r="E42" s="277"/>
      <c r="F42" s="277"/>
      <c r="G42" s="278"/>
      <c r="H42" s="493"/>
      <c r="I42" s="494"/>
      <c r="J42" s="279"/>
      <c r="K42" s="271"/>
      <c r="L42" s="949" t="str">
        <f>IF(COUNTA(B42:J42)=0,"",COUNTA(B42:J42))</f>
        <v/>
      </c>
      <c r="M42" s="951"/>
      <c r="N42" s="952"/>
      <c r="O42" s="953">
        <v>39</v>
      </c>
      <c r="P42" s="959" t="str">
        <f>IF(IGRF!H33="","",IGRF!H33)</f>
        <v/>
      </c>
      <c r="Q42" s="276"/>
      <c r="R42" s="277"/>
      <c r="S42" s="277"/>
      <c r="T42" s="277"/>
      <c r="U42" s="277"/>
      <c r="V42" s="278"/>
      <c r="W42" s="493"/>
      <c r="X42" s="494"/>
      <c r="Y42" s="279"/>
      <c r="Z42" s="271"/>
      <c r="AA42" s="949" t="str">
        <f>IF(COUNTA(Q42:Y42)=0,"",COUNTA(Q42:Y42))</f>
        <v/>
      </c>
      <c r="AB42" s="498" t="s">
        <v>164</v>
      </c>
      <c r="AC42" s="954" t="str">
        <f>IF(IGRF!B33="","",IGRF!B33)</f>
        <v/>
      </c>
      <c r="AD42" s="276"/>
      <c r="AE42" s="277"/>
      <c r="AF42" s="277"/>
      <c r="AG42" s="277"/>
      <c r="AH42" s="277"/>
      <c r="AI42" s="278"/>
      <c r="AJ42" s="493"/>
      <c r="AK42" s="494"/>
      <c r="AL42" s="279"/>
      <c r="AM42" s="271"/>
      <c r="AN42" s="949" t="str">
        <f>IF(COUNTA(AD42:AL42)=0,"",COUNTA(AD42:AL42))</f>
        <v/>
      </c>
      <c r="AO42" s="951"/>
      <c r="AP42" s="952"/>
      <c r="AQ42" s="953"/>
      <c r="AR42" s="954" t="str">
        <f>IF(IGRF!H33="","",IGRF!H33)</f>
        <v/>
      </c>
      <c r="AS42" s="276"/>
      <c r="AT42" s="277"/>
      <c r="AU42" s="277"/>
      <c r="AV42" s="277"/>
      <c r="AW42" s="277"/>
      <c r="AX42" s="278"/>
      <c r="AY42" s="493"/>
      <c r="AZ42" s="494"/>
      <c r="BA42" s="279"/>
      <c r="BB42" s="271"/>
      <c r="BC42" s="949" t="str">
        <f>IF(COUNTA(AS42:BA42)=0,"",COUNTA(AS42:BA42))</f>
        <v/>
      </c>
      <c r="BD42" s="498" t="s">
        <v>164</v>
      </c>
    </row>
    <row r="43" spans="1:56" ht="18.899999999999999" customHeight="1" thickBot="1" x14ac:dyDescent="0.35">
      <c r="A43" s="960"/>
      <c r="B43" s="282"/>
      <c r="C43" s="283"/>
      <c r="D43" s="283"/>
      <c r="E43" s="283"/>
      <c r="F43" s="283"/>
      <c r="G43" s="284"/>
      <c r="H43" s="643"/>
      <c r="I43" s="499"/>
      <c r="J43" s="285"/>
      <c r="K43" s="286"/>
      <c r="L43" s="950"/>
      <c r="M43" s="956"/>
      <c r="N43" s="957"/>
      <c r="O43" s="958">
        <v>40</v>
      </c>
      <c r="P43" s="960"/>
      <c r="Q43" s="282"/>
      <c r="R43" s="283"/>
      <c r="S43" s="283"/>
      <c r="T43" s="283"/>
      <c r="U43" s="283"/>
      <c r="V43" s="284"/>
      <c r="W43" s="643"/>
      <c r="X43" s="499"/>
      <c r="Y43" s="285"/>
      <c r="Z43" s="286"/>
      <c r="AA43" s="950"/>
      <c r="AB43" s="500" t="s">
        <v>165</v>
      </c>
      <c r="AC43" s="955"/>
      <c r="AD43" s="282"/>
      <c r="AE43" s="283"/>
      <c r="AF43" s="283"/>
      <c r="AG43" s="283"/>
      <c r="AH43" s="283"/>
      <c r="AI43" s="284"/>
      <c r="AJ43" s="643"/>
      <c r="AK43" s="499"/>
      <c r="AL43" s="285"/>
      <c r="AM43" s="286"/>
      <c r="AN43" s="950"/>
      <c r="AO43" s="956"/>
      <c r="AP43" s="957"/>
      <c r="AQ43" s="958"/>
      <c r="AR43" s="955"/>
      <c r="AS43" s="282"/>
      <c r="AT43" s="283"/>
      <c r="AU43" s="283"/>
      <c r="AV43" s="283"/>
      <c r="AW43" s="283"/>
      <c r="AX43" s="284"/>
      <c r="AY43" s="643"/>
      <c r="AZ43" s="499"/>
      <c r="BA43" s="285"/>
      <c r="BB43" s="286"/>
      <c r="BC43" s="950"/>
      <c r="BD43" s="500" t="s">
        <v>165</v>
      </c>
    </row>
    <row r="44" spans="1:56" s="18" customFormat="1" ht="16.5" customHeight="1" thickBot="1" x14ac:dyDescent="0.3">
      <c r="A44" s="931" t="s">
        <v>392</v>
      </c>
      <c r="B44" s="932"/>
      <c r="C44" s="489"/>
      <c r="D44" s="269"/>
      <c r="E44" s="627">
        <f>COUNTA(C44:D44)</f>
        <v>0</v>
      </c>
      <c r="F44" s="945" t="s">
        <v>411</v>
      </c>
      <c r="G44" s="945"/>
      <c r="H44" s="945"/>
      <c r="I44" s="945"/>
      <c r="J44" s="945"/>
      <c r="K44" s="946"/>
      <c r="L44" s="943">
        <f>IF(SUM(L4:L43)=0,"",SUM(L4:L43,E44))</f>
        <v>12</v>
      </c>
      <c r="M44" s="940"/>
      <c r="N44" s="941"/>
      <c r="O44" s="942">
        <v>41</v>
      </c>
      <c r="P44" s="931" t="s">
        <v>392</v>
      </c>
      <c r="Q44" s="932"/>
      <c r="R44" s="489"/>
      <c r="S44" s="269"/>
      <c r="T44" s="627">
        <f>COUNTA(R44:S44)</f>
        <v>0</v>
      </c>
      <c r="U44" s="945" t="s">
        <v>411</v>
      </c>
      <c r="V44" s="945"/>
      <c r="W44" s="945"/>
      <c r="X44" s="945"/>
      <c r="Y44" s="945"/>
      <c r="Z44" s="946"/>
      <c r="AA44" s="933">
        <f>IF(SUM(AA4:AA43)=0,"",SUM(AA4:AA43,T44))</f>
        <v>8</v>
      </c>
      <c r="AB44" s="501" t="s">
        <v>120</v>
      </c>
      <c r="AC44" s="931" t="s">
        <v>392</v>
      </c>
      <c r="AD44" s="932"/>
      <c r="AE44" s="489"/>
      <c r="AF44" s="269"/>
      <c r="AG44" s="627">
        <f>COUNTA(AE44:AF44)</f>
        <v>0</v>
      </c>
      <c r="AH44" s="945" t="s">
        <v>412</v>
      </c>
      <c r="AI44" s="945"/>
      <c r="AJ44" s="945"/>
      <c r="AK44" s="945"/>
      <c r="AL44" s="945"/>
      <c r="AM44" s="946"/>
      <c r="AN44" s="938">
        <f>IF(SUM(AN4:AN43)=0,"",SUM(AN4:AN43,AG44))</f>
        <v>18</v>
      </c>
      <c r="AO44" s="940"/>
      <c r="AP44" s="941"/>
      <c r="AQ44" s="942"/>
      <c r="AR44" s="931" t="s">
        <v>392</v>
      </c>
      <c r="AS44" s="932"/>
      <c r="AT44" s="489"/>
      <c r="AU44" s="269"/>
      <c r="AV44" s="627">
        <f>COUNTA(AT44:AU44)</f>
        <v>0</v>
      </c>
      <c r="AW44" s="945" t="s">
        <v>412</v>
      </c>
      <c r="AX44" s="945"/>
      <c r="AY44" s="945"/>
      <c r="AZ44" s="945"/>
      <c r="BA44" s="945"/>
      <c r="BB44" s="946"/>
      <c r="BC44" s="933">
        <f>IF(SUM(BC4:BC43)=0,"",SUM(BC4:BC43,AV44))</f>
        <v>13</v>
      </c>
      <c r="BD44" s="501" t="s">
        <v>120</v>
      </c>
    </row>
    <row r="45" spans="1:56" s="20" customFormat="1" ht="16.5" customHeight="1" thickBot="1" x14ac:dyDescent="0.35">
      <c r="A45" s="622"/>
      <c r="B45" s="623"/>
      <c r="C45" s="492"/>
      <c r="D45" s="273"/>
      <c r="E45" s="626"/>
      <c r="F45" s="947"/>
      <c r="G45" s="947"/>
      <c r="H45" s="947"/>
      <c r="I45" s="947"/>
      <c r="J45" s="947"/>
      <c r="K45" s="948"/>
      <c r="L45" s="944"/>
      <c r="M45" s="935"/>
      <c r="N45" s="936"/>
      <c r="O45" s="937">
        <v>42</v>
      </c>
      <c r="P45" s="622"/>
      <c r="Q45" s="623"/>
      <c r="R45" s="492"/>
      <c r="S45" s="273"/>
      <c r="T45" s="626"/>
      <c r="U45" s="947"/>
      <c r="V45" s="947"/>
      <c r="W45" s="947"/>
      <c r="X45" s="947"/>
      <c r="Y45" s="947"/>
      <c r="Z45" s="948"/>
      <c r="AA45" s="934"/>
      <c r="AB45" s="644"/>
      <c r="AC45" s="624"/>
      <c r="AD45" s="625"/>
      <c r="AE45" s="492"/>
      <c r="AF45" s="273"/>
      <c r="AG45" s="626"/>
      <c r="AH45" s="947"/>
      <c r="AI45" s="947"/>
      <c r="AJ45" s="947"/>
      <c r="AK45" s="947"/>
      <c r="AL45" s="947"/>
      <c r="AM45" s="948"/>
      <c r="AN45" s="939"/>
      <c r="AO45" s="935"/>
      <c r="AP45" s="936"/>
      <c r="AQ45" s="937"/>
      <c r="AR45" s="624"/>
      <c r="AS45" s="625"/>
      <c r="AT45" s="492"/>
      <c r="AU45" s="273"/>
      <c r="AV45" s="626"/>
      <c r="AW45" s="947"/>
      <c r="AX45" s="947"/>
      <c r="AY45" s="947"/>
      <c r="AZ45" s="947"/>
      <c r="BA45" s="947"/>
      <c r="BB45" s="948"/>
      <c r="BC45" s="934"/>
      <c r="BD45" s="502"/>
    </row>
    <row r="47" spans="1:56" x14ac:dyDescent="0.3">
      <c r="A47" s="19"/>
      <c r="B47" s="19"/>
      <c r="C47" s="19"/>
      <c r="D47" s="19"/>
      <c r="E47" s="19"/>
    </row>
  </sheetData>
  <mergeCells count="282">
    <mergeCell ref="AC1:AJ2"/>
    <mergeCell ref="AK1:AM1"/>
    <mergeCell ref="AN1:AO1"/>
    <mergeCell ref="A1:H2"/>
    <mergeCell ref="I1:K1"/>
    <mergeCell ref="L1:M1"/>
    <mergeCell ref="N1:P1"/>
    <mergeCell ref="Q1:Y2"/>
    <mergeCell ref="Z1:AA1"/>
    <mergeCell ref="I2:K2"/>
    <mergeCell ref="L2:M2"/>
    <mergeCell ref="N2:P2"/>
    <mergeCell ref="Z2:AA2"/>
    <mergeCell ref="M5:O5"/>
    <mergeCell ref="AO5:AQ5"/>
    <mergeCell ref="A4:A5"/>
    <mergeCell ref="L4:L5"/>
    <mergeCell ref="M4:O4"/>
    <mergeCell ref="P4:P5"/>
    <mergeCell ref="AA4:AA5"/>
    <mergeCell ref="AC4:AC5"/>
    <mergeCell ref="AS3:BA3"/>
    <mergeCell ref="B3:J3"/>
    <mergeCell ref="M3:O3"/>
    <mergeCell ref="Q3:Y3"/>
    <mergeCell ref="AD3:AL3"/>
    <mergeCell ref="AO3:AQ3"/>
    <mergeCell ref="BB1:BC1"/>
    <mergeCell ref="AK2:AM2"/>
    <mergeCell ref="AN2:AO2"/>
    <mergeCell ref="AP2:AR2"/>
    <mergeCell ref="BB2:BC2"/>
    <mergeCell ref="AN6:AN7"/>
    <mergeCell ref="AO6:AQ6"/>
    <mergeCell ref="AR6:AR7"/>
    <mergeCell ref="BC6:BC7"/>
    <mergeCell ref="AN4:AN5"/>
    <mergeCell ref="AO4:AQ4"/>
    <mergeCell ref="AR4:AR5"/>
    <mergeCell ref="BC4:BC5"/>
    <mergeCell ref="AP1:AR1"/>
    <mergeCell ref="AS1:BA2"/>
    <mergeCell ref="M7:O7"/>
    <mergeCell ref="AO7:AQ7"/>
    <mergeCell ref="A6:A7"/>
    <mergeCell ref="L6:L7"/>
    <mergeCell ref="M6:O6"/>
    <mergeCell ref="P6:P7"/>
    <mergeCell ref="AA6:AA7"/>
    <mergeCell ref="AC6:AC7"/>
    <mergeCell ref="AN8:AN9"/>
    <mergeCell ref="AO8:AQ8"/>
    <mergeCell ref="AR8:AR9"/>
    <mergeCell ref="BC8:BC9"/>
    <mergeCell ref="M9:O9"/>
    <mergeCell ref="AO9:AQ9"/>
    <mergeCell ref="A8:A9"/>
    <mergeCell ref="L8:L9"/>
    <mergeCell ref="M8:O8"/>
    <mergeCell ref="P8:P9"/>
    <mergeCell ref="AA8:AA9"/>
    <mergeCell ref="AC8:AC9"/>
    <mergeCell ref="AN10:AN11"/>
    <mergeCell ref="AO10:AQ10"/>
    <mergeCell ref="AR10:AR11"/>
    <mergeCell ref="BC10:BC11"/>
    <mergeCell ref="M11:O11"/>
    <mergeCell ref="AO11:AQ11"/>
    <mergeCell ref="A10:A11"/>
    <mergeCell ref="L10:L11"/>
    <mergeCell ref="M10:O10"/>
    <mergeCell ref="P10:P11"/>
    <mergeCell ref="AA10:AA11"/>
    <mergeCell ref="AC10:AC11"/>
    <mergeCell ref="AN12:AN13"/>
    <mergeCell ref="AO12:AQ12"/>
    <mergeCell ref="AR12:AR13"/>
    <mergeCell ref="BC12:BC13"/>
    <mergeCell ref="M13:O13"/>
    <mergeCell ref="AO13:AQ13"/>
    <mergeCell ref="A12:A13"/>
    <mergeCell ref="L12:L13"/>
    <mergeCell ref="M12:O12"/>
    <mergeCell ref="P12:P13"/>
    <mergeCell ref="AA12:AA13"/>
    <mergeCell ref="AC12:AC13"/>
    <mergeCell ref="AN14:AN15"/>
    <mergeCell ref="AO14:AQ14"/>
    <mergeCell ref="AR14:AR15"/>
    <mergeCell ref="BC14:BC15"/>
    <mergeCell ref="M15:O15"/>
    <mergeCell ref="AO15:AQ15"/>
    <mergeCell ref="A14:A15"/>
    <mergeCell ref="L14:L15"/>
    <mergeCell ref="M14:O14"/>
    <mergeCell ref="P14:P15"/>
    <mergeCell ref="AA14:AA15"/>
    <mergeCell ref="AC14:AC15"/>
    <mergeCell ref="AN16:AN17"/>
    <mergeCell ref="AO16:AQ16"/>
    <mergeCell ref="AR16:AR17"/>
    <mergeCell ref="BC16:BC17"/>
    <mergeCell ref="M17:O17"/>
    <mergeCell ref="AO17:AQ17"/>
    <mergeCell ref="A16:A17"/>
    <mergeCell ref="L16:L17"/>
    <mergeCell ref="M16:O16"/>
    <mergeCell ref="P16:P17"/>
    <mergeCell ref="AA16:AA17"/>
    <mergeCell ref="AC16:AC17"/>
    <mergeCell ref="AN18:AN19"/>
    <mergeCell ref="AO18:AQ18"/>
    <mergeCell ref="AR18:AR19"/>
    <mergeCell ref="BC18:BC19"/>
    <mergeCell ref="M19:O19"/>
    <mergeCell ref="AO19:AQ19"/>
    <mergeCell ref="A18:A19"/>
    <mergeCell ref="L18:L19"/>
    <mergeCell ref="M18:O18"/>
    <mergeCell ref="P18:P19"/>
    <mergeCell ref="AA18:AA19"/>
    <mergeCell ref="AC18:AC19"/>
    <mergeCell ref="AN20:AN21"/>
    <mergeCell ref="AO20:AQ20"/>
    <mergeCell ref="AR20:AR21"/>
    <mergeCell ref="BC20:BC21"/>
    <mergeCell ref="M21:O21"/>
    <mergeCell ref="AO21:AQ21"/>
    <mergeCell ref="A20:A21"/>
    <mergeCell ref="L20:L21"/>
    <mergeCell ref="M20:O20"/>
    <mergeCell ref="P20:P21"/>
    <mergeCell ref="AA20:AA21"/>
    <mergeCell ref="AC20:AC21"/>
    <mergeCell ref="AN22:AN23"/>
    <mergeCell ref="AO22:AQ22"/>
    <mergeCell ref="AR22:AR23"/>
    <mergeCell ref="BC22:BC23"/>
    <mergeCell ref="M23:O23"/>
    <mergeCell ref="AO23:AQ23"/>
    <mergeCell ref="A22:A23"/>
    <mergeCell ref="L22:L23"/>
    <mergeCell ref="M22:O22"/>
    <mergeCell ref="P22:P23"/>
    <mergeCell ref="AA22:AA23"/>
    <mergeCell ref="AC22:AC23"/>
    <mergeCell ref="AN24:AN25"/>
    <mergeCell ref="AO24:AQ24"/>
    <mergeCell ref="AR24:AR25"/>
    <mergeCell ref="BC24:BC25"/>
    <mergeCell ref="M25:O25"/>
    <mergeCell ref="AO25:AQ25"/>
    <mergeCell ref="A24:A25"/>
    <mergeCell ref="L24:L25"/>
    <mergeCell ref="M24:O24"/>
    <mergeCell ref="P24:P25"/>
    <mergeCell ref="AA24:AA25"/>
    <mergeCell ref="AC24:AC25"/>
    <mergeCell ref="AN26:AN27"/>
    <mergeCell ref="AO26:AQ26"/>
    <mergeCell ref="AR26:AR27"/>
    <mergeCell ref="BC26:BC27"/>
    <mergeCell ref="M27:O27"/>
    <mergeCell ref="AO27:AQ27"/>
    <mergeCell ref="A26:A27"/>
    <mergeCell ref="L26:L27"/>
    <mergeCell ref="M26:O26"/>
    <mergeCell ref="P26:P27"/>
    <mergeCell ref="AA26:AA27"/>
    <mergeCell ref="AC26:AC27"/>
    <mergeCell ref="AN28:AN29"/>
    <mergeCell ref="AO28:AQ28"/>
    <mergeCell ref="AR28:AR29"/>
    <mergeCell ref="BC28:BC29"/>
    <mergeCell ref="M29:O29"/>
    <mergeCell ref="AO29:AQ29"/>
    <mergeCell ref="A28:A29"/>
    <mergeCell ref="L28:L29"/>
    <mergeCell ref="M28:O28"/>
    <mergeCell ref="P28:P29"/>
    <mergeCell ref="AA28:AA29"/>
    <mergeCell ref="AC28:AC29"/>
    <mergeCell ref="AN30:AN31"/>
    <mergeCell ref="AO30:AQ30"/>
    <mergeCell ref="AR30:AR31"/>
    <mergeCell ref="BC30:BC31"/>
    <mergeCell ref="M31:O31"/>
    <mergeCell ref="AO31:AQ31"/>
    <mergeCell ref="A30:A31"/>
    <mergeCell ref="L30:L31"/>
    <mergeCell ref="M30:O30"/>
    <mergeCell ref="P30:P31"/>
    <mergeCell ref="AA30:AA31"/>
    <mergeCell ref="AC30:AC31"/>
    <mergeCell ref="AN32:AN33"/>
    <mergeCell ref="AO32:AQ32"/>
    <mergeCell ref="AR32:AR33"/>
    <mergeCell ref="BC32:BC33"/>
    <mergeCell ref="M33:O33"/>
    <mergeCell ref="AO33:AQ33"/>
    <mergeCell ref="A32:A33"/>
    <mergeCell ref="L32:L33"/>
    <mergeCell ref="M32:O32"/>
    <mergeCell ref="P32:P33"/>
    <mergeCell ref="AA32:AA33"/>
    <mergeCell ref="AC32:AC33"/>
    <mergeCell ref="AN34:AN35"/>
    <mergeCell ref="AO34:AQ34"/>
    <mergeCell ref="AR34:AR35"/>
    <mergeCell ref="BC34:BC35"/>
    <mergeCell ref="M35:O35"/>
    <mergeCell ref="AO35:AQ35"/>
    <mergeCell ref="A34:A35"/>
    <mergeCell ref="L34:L35"/>
    <mergeCell ref="M34:O34"/>
    <mergeCell ref="P34:P35"/>
    <mergeCell ref="AA34:AA35"/>
    <mergeCell ref="AC34:AC35"/>
    <mergeCell ref="AN36:AN37"/>
    <mergeCell ref="AO36:AQ36"/>
    <mergeCell ref="AR36:AR37"/>
    <mergeCell ref="BC36:BC37"/>
    <mergeCell ref="M37:O37"/>
    <mergeCell ref="AO37:AQ37"/>
    <mergeCell ref="A36:A37"/>
    <mergeCell ref="L36:L37"/>
    <mergeCell ref="M36:O36"/>
    <mergeCell ref="P36:P37"/>
    <mergeCell ref="AA36:AA37"/>
    <mergeCell ref="AC36:AC37"/>
    <mergeCell ref="AN38:AN39"/>
    <mergeCell ref="AO38:AQ38"/>
    <mergeCell ref="AR38:AR39"/>
    <mergeCell ref="BC38:BC39"/>
    <mergeCell ref="M39:O39"/>
    <mergeCell ref="AO39:AQ39"/>
    <mergeCell ref="A38:A39"/>
    <mergeCell ref="L38:L39"/>
    <mergeCell ref="M38:O38"/>
    <mergeCell ref="P38:P39"/>
    <mergeCell ref="AA38:AA39"/>
    <mergeCell ref="AC38:AC39"/>
    <mergeCell ref="AN40:AN41"/>
    <mergeCell ref="AO40:AQ40"/>
    <mergeCell ref="AR40:AR41"/>
    <mergeCell ref="BC40:BC41"/>
    <mergeCell ref="M41:O41"/>
    <mergeCell ref="AO41:AQ41"/>
    <mergeCell ref="A40:A41"/>
    <mergeCell ref="L40:L41"/>
    <mergeCell ref="M40:O40"/>
    <mergeCell ref="P40:P41"/>
    <mergeCell ref="AA40:AA41"/>
    <mergeCell ref="AC40:AC41"/>
    <mergeCell ref="AN42:AN43"/>
    <mergeCell ref="AO42:AQ42"/>
    <mergeCell ref="AR42:AR43"/>
    <mergeCell ref="BC42:BC43"/>
    <mergeCell ref="M43:O43"/>
    <mergeCell ref="AO43:AQ43"/>
    <mergeCell ref="A42:A43"/>
    <mergeCell ref="L42:L43"/>
    <mergeCell ref="M42:O42"/>
    <mergeCell ref="P42:P43"/>
    <mergeCell ref="AA42:AA43"/>
    <mergeCell ref="AC42:AC43"/>
    <mergeCell ref="A44:B44"/>
    <mergeCell ref="P44:Q44"/>
    <mergeCell ref="AC44:AD44"/>
    <mergeCell ref="AR44:AS44"/>
    <mergeCell ref="BC44:BC45"/>
    <mergeCell ref="M45:O45"/>
    <mergeCell ref="AO45:AQ45"/>
    <mergeCell ref="AA44:AA45"/>
    <mergeCell ref="AN44:AN45"/>
    <mergeCell ref="AO44:AQ44"/>
    <mergeCell ref="L44:L45"/>
    <mergeCell ref="M44:O44"/>
    <mergeCell ref="F44:K45"/>
    <mergeCell ref="U44:Z45"/>
    <mergeCell ref="AH44:AM45"/>
    <mergeCell ref="AW44:BB45"/>
  </mergeCells>
  <phoneticPr fontId="6" type="noConversion"/>
  <conditionalFormatting sqref="AT44:AU45 AS4:BA43 AE44:AF45 AD4:AL43">
    <cfRule type="expression" dxfId="70" priority="1">
      <formula>NOT(ISBLANK(B4))</formula>
    </cfRule>
  </conditionalFormatting>
  <printOptions horizontalCentered="1"/>
  <pageMargins left="1" right="0.5" top="0.7" bottom="0.35" header="0.36" footer="0"/>
  <pageSetup scale="61" fitToWidth="2" orientation="landscape" r:id="rId1"/>
  <headerFooter>
    <oddHeader>&amp;L&amp;"Calibri,Regular"&amp;34&amp;K000000&amp;G&amp;A&amp;C_x000D_&amp;R&amp;"Calibri,Regular"&amp;K000000_x000D_‘&amp;A’ revision 150103&amp;KFFFFFF_x000D_&amp;K000000StatsBook © 2008–2015 WFTDA</oddHeader>
  </headerFooter>
  <colBreaks count="1" manualBreakCount="1">
    <brk id="28" max="48" man="1"/>
  </colBreaks>
  <ignoredErrors>
    <ignoredError sqref="AA4" emptyCellReference="1"/>
  </ignoredErrors>
  <legacyDrawingHF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theme="5"/>
  </sheetPr>
  <dimension ref="A1:AZ84"/>
  <sheetViews>
    <sheetView tabSelected="1" zoomScaleNormal="100" zoomScaleSheetLayoutView="100" workbookViewId="0">
      <selection activeCell="AS71" sqref="AS71"/>
    </sheetView>
  </sheetViews>
  <sheetFormatPr defaultColWidth="8.88671875" defaultRowHeight="13.8" x14ac:dyDescent="0.3"/>
  <cols>
    <col min="1" max="1" width="7.6640625" style="12" customWidth="1"/>
    <col min="2" max="2" width="6.44140625" style="12" customWidth="1"/>
    <col min="3" max="3" width="14.33203125" style="12" customWidth="1"/>
    <col min="4" max="6" width="3.33203125" style="12" customWidth="1"/>
    <col min="7" max="7" width="14.33203125" style="12" customWidth="1"/>
    <col min="8" max="10" width="3.33203125" style="12" customWidth="1"/>
    <col min="11" max="11" width="14.33203125" style="12" customWidth="1"/>
    <col min="12" max="14" width="3.33203125" style="12" customWidth="1"/>
    <col min="15" max="15" width="14.33203125" style="12" customWidth="1"/>
    <col min="16" max="18" width="3.33203125" style="12" customWidth="1"/>
    <col min="19" max="19" width="14.33203125" style="12" customWidth="1"/>
    <col min="20" max="22" width="3.33203125" style="12" customWidth="1"/>
    <col min="23" max="23" width="5.44140625" style="455" hidden="1" customWidth="1"/>
    <col min="24" max="24" width="2.6640625" style="12" customWidth="1"/>
    <col min="25" max="25" width="6.44140625" style="12" customWidth="1"/>
    <col min="26" max="26" width="19.6640625" style="12" customWidth="1"/>
    <col min="27" max="27" width="7.6640625" style="12" customWidth="1"/>
    <col min="28" max="28" width="6.44140625" style="12" customWidth="1"/>
    <col min="29" max="29" width="14.33203125" style="12" customWidth="1"/>
    <col min="30" max="32" width="3.33203125" style="12" customWidth="1"/>
    <col min="33" max="33" width="14.33203125" style="12" customWidth="1"/>
    <col min="34" max="36" width="3.33203125" style="12" customWidth="1"/>
    <col min="37" max="37" width="14.33203125" style="12" customWidth="1"/>
    <col min="38" max="40" width="3.33203125" style="12" customWidth="1"/>
    <col min="41" max="41" width="14.33203125" style="12" customWidth="1"/>
    <col min="42" max="44" width="3.33203125" style="12" customWidth="1"/>
    <col min="45" max="45" width="14.33203125" style="12" customWidth="1"/>
    <col min="46" max="48" width="3.33203125" style="12" customWidth="1"/>
    <col min="49" max="49" width="5.44140625" style="455" hidden="1" customWidth="1"/>
    <col min="50" max="50" width="2.6640625" style="12" customWidth="1"/>
    <col min="51" max="51" width="6.44140625" style="12" customWidth="1"/>
    <col min="52" max="52" width="19.33203125" style="12" customWidth="1"/>
    <col min="53" max="16384" width="8.88671875" style="12"/>
  </cols>
  <sheetData>
    <row r="1" spans="1:52" s="392" customFormat="1" ht="29.1" customHeight="1" x14ac:dyDescent="0.45">
      <c r="A1" s="983" t="str">
        <f>Score!$A$1</f>
        <v>Tri-City Roller Derby / Plan B</v>
      </c>
      <c r="B1" s="983"/>
      <c r="C1" s="983"/>
      <c r="D1" s="983"/>
      <c r="E1" s="983"/>
      <c r="F1" s="983"/>
      <c r="G1" s="983"/>
      <c r="H1" s="985" t="s">
        <v>641</v>
      </c>
      <c r="I1" s="985"/>
      <c r="J1" s="985"/>
      <c r="K1" s="985"/>
      <c r="L1" s="985"/>
      <c r="M1" s="985"/>
      <c r="N1" s="985"/>
      <c r="O1" s="985"/>
      <c r="P1" s="986">
        <f>IF(ISBLANK(IGRF!$B$7), "", IGRF!$B$7)</f>
        <v>42105</v>
      </c>
      <c r="Q1" s="986"/>
      <c r="R1" s="986"/>
      <c r="S1" s="986"/>
      <c r="T1" s="988">
        <v>1</v>
      </c>
      <c r="U1" s="988"/>
      <c r="V1" s="988"/>
      <c r="W1" s="452"/>
      <c r="X1" s="980" t="s">
        <v>659</v>
      </c>
      <c r="Y1" s="980"/>
      <c r="Z1" s="980"/>
      <c r="AA1" s="983" t="str">
        <f>Score!T1</f>
        <v>Hammer City Roller Girls / Harlots</v>
      </c>
      <c r="AB1" s="983"/>
      <c r="AC1" s="983"/>
      <c r="AD1" s="983"/>
      <c r="AE1" s="983"/>
      <c r="AF1" s="983"/>
      <c r="AG1" s="983"/>
      <c r="AH1" s="985" t="s">
        <v>642</v>
      </c>
      <c r="AI1" s="985"/>
      <c r="AJ1" s="985"/>
      <c r="AK1" s="985"/>
      <c r="AL1" s="985"/>
      <c r="AM1" s="985"/>
      <c r="AN1" s="985"/>
      <c r="AO1" s="985"/>
      <c r="AP1" s="986">
        <f>P1</f>
        <v>42105</v>
      </c>
      <c r="AQ1" s="986"/>
      <c r="AR1" s="986"/>
      <c r="AS1" s="986"/>
      <c r="AT1" s="988">
        <v>1</v>
      </c>
      <c r="AU1" s="988"/>
      <c r="AV1" s="988"/>
      <c r="AW1" s="452"/>
      <c r="AX1" s="980" t="s">
        <v>661</v>
      </c>
      <c r="AY1" s="980"/>
      <c r="AZ1" s="980"/>
    </row>
    <row r="2" spans="1:52" s="392" customFormat="1" ht="15" customHeight="1" thickBot="1" x14ac:dyDescent="0.35">
      <c r="A2" s="984"/>
      <c r="B2" s="984"/>
      <c r="C2" s="984"/>
      <c r="D2" s="984"/>
      <c r="E2" s="984"/>
      <c r="F2" s="984"/>
      <c r="G2" s="984"/>
      <c r="H2" s="981" t="s">
        <v>240</v>
      </c>
      <c r="I2" s="981"/>
      <c r="J2" s="981"/>
      <c r="K2" s="981"/>
      <c r="L2" s="981"/>
      <c r="M2" s="981"/>
      <c r="N2" s="981"/>
      <c r="O2" s="981"/>
      <c r="P2" s="982" t="s">
        <v>248</v>
      </c>
      <c r="Q2" s="982"/>
      <c r="R2" s="982"/>
      <c r="S2" s="982"/>
      <c r="T2" s="989" t="str">
        <f>IF(ISBLANK(IGRF!$K$3), "", "GAME " &amp; IGRF!$K$3)</f>
        <v>GAME 2</v>
      </c>
      <c r="U2" s="989"/>
      <c r="V2" s="989"/>
      <c r="W2" s="453"/>
      <c r="X2" s="981" t="s">
        <v>245</v>
      </c>
      <c r="Y2" s="981"/>
      <c r="Z2" s="981"/>
      <c r="AA2" s="984"/>
      <c r="AB2" s="984"/>
      <c r="AC2" s="984"/>
      <c r="AD2" s="984"/>
      <c r="AE2" s="984"/>
      <c r="AF2" s="984"/>
      <c r="AG2" s="984"/>
      <c r="AH2" s="981" t="s">
        <v>240</v>
      </c>
      <c r="AI2" s="981"/>
      <c r="AJ2" s="981"/>
      <c r="AK2" s="981"/>
      <c r="AL2" s="981"/>
      <c r="AM2" s="981"/>
      <c r="AN2" s="981"/>
      <c r="AO2" s="981"/>
      <c r="AP2" s="982" t="s">
        <v>248</v>
      </c>
      <c r="AQ2" s="982"/>
      <c r="AR2" s="982"/>
      <c r="AS2" s="982"/>
      <c r="AT2" s="989" t="str">
        <f>T2</f>
        <v>GAME 2</v>
      </c>
      <c r="AU2" s="989"/>
      <c r="AV2" s="989"/>
      <c r="AW2" s="453"/>
      <c r="AX2" s="981" t="s">
        <v>245</v>
      </c>
      <c r="AY2" s="981"/>
      <c r="AZ2" s="981"/>
    </row>
    <row r="3" spans="1:52" s="393" customFormat="1" ht="13.5" customHeight="1" thickBot="1" x14ac:dyDescent="0.35">
      <c r="A3" s="394" t="s">
        <v>370</v>
      </c>
      <c r="B3" s="395" t="s">
        <v>246</v>
      </c>
      <c r="C3" s="642" t="s">
        <v>124</v>
      </c>
      <c r="D3" s="987" t="s">
        <v>371</v>
      </c>
      <c r="E3" s="987"/>
      <c r="F3" s="987"/>
      <c r="G3" s="642" t="s">
        <v>122</v>
      </c>
      <c r="H3" s="987" t="s">
        <v>371</v>
      </c>
      <c r="I3" s="987"/>
      <c r="J3" s="987"/>
      <c r="K3" s="642" t="s">
        <v>123</v>
      </c>
      <c r="L3" s="987" t="s">
        <v>371</v>
      </c>
      <c r="M3" s="987"/>
      <c r="N3" s="987"/>
      <c r="O3" s="642" t="s">
        <v>123</v>
      </c>
      <c r="P3" s="987" t="s">
        <v>371</v>
      </c>
      <c r="Q3" s="987"/>
      <c r="R3" s="987"/>
      <c r="S3" s="642" t="s">
        <v>123</v>
      </c>
      <c r="T3" s="987" t="s">
        <v>371</v>
      </c>
      <c r="U3" s="987"/>
      <c r="V3" s="987"/>
      <c r="W3" s="454"/>
      <c r="X3" s="991" t="s">
        <v>241</v>
      </c>
      <c r="Y3" s="994"/>
      <c r="Z3" s="995"/>
      <c r="AA3" s="394" t="s">
        <v>370</v>
      </c>
      <c r="AB3" s="395" t="s">
        <v>246</v>
      </c>
      <c r="AC3" s="642" t="s">
        <v>124</v>
      </c>
      <c r="AD3" s="987" t="s">
        <v>371</v>
      </c>
      <c r="AE3" s="987"/>
      <c r="AF3" s="987"/>
      <c r="AG3" s="642" t="s">
        <v>122</v>
      </c>
      <c r="AH3" s="987" t="s">
        <v>371</v>
      </c>
      <c r="AI3" s="987"/>
      <c r="AJ3" s="987"/>
      <c r="AK3" s="642" t="s">
        <v>123</v>
      </c>
      <c r="AL3" s="987" t="s">
        <v>371</v>
      </c>
      <c r="AM3" s="987"/>
      <c r="AN3" s="987"/>
      <c r="AO3" s="642" t="s">
        <v>123</v>
      </c>
      <c r="AP3" s="987" t="s">
        <v>371</v>
      </c>
      <c r="AQ3" s="987"/>
      <c r="AR3" s="987"/>
      <c r="AS3" s="642" t="s">
        <v>123</v>
      </c>
      <c r="AT3" s="987" t="s">
        <v>371</v>
      </c>
      <c r="AU3" s="987"/>
      <c r="AV3" s="987"/>
      <c r="AW3" s="454"/>
      <c r="AX3" s="991" t="s">
        <v>241</v>
      </c>
      <c r="AY3" s="994"/>
      <c r="AZ3" s="995"/>
    </row>
    <row r="4" spans="1:52" ht="32.1" customHeight="1" thickBot="1" x14ac:dyDescent="0.35">
      <c r="A4" s="652">
        <f>IF(Score!A4="", "",Score!A4 )</f>
        <v>1</v>
      </c>
      <c r="B4" s="653"/>
      <c r="C4" s="654" t="str">
        <f>IF(Score!B4="", "",Score!B4 )</f>
        <v>4</v>
      </c>
      <c r="D4" s="655" t="s">
        <v>140</v>
      </c>
      <c r="E4" s="655"/>
      <c r="F4" s="655"/>
      <c r="G4" s="656" t="s">
        <v>576</v>
      </c>
      <c r="H4" s="655"/>
      <c r="I4" s="655"/>
      <c r="J4" s="655"/>
      <c r="K4" s="656" t="s">
        <v>584</v>
      </c>
      <c r="L4" s="655"/>
      <c r="M4" s="655"/>
      <c r="N4" s="655"/>
      <c r="O4" s="656" t="s">
        <v>596</v>
      </c>
      <c r="P4" s="655"/>
      <c r="Q4" s="655"/>
      <c r="R4" s="655"/>
      <c r="S4" s="656" t="s">
        <v>598</v>
      </c>
      <c r="T4" s="655"/>
      <c r="U4" s="655"/>
      <c r="V4" s="657"/>
      <c r="W4" s="451">
        <f ca="1">IF(A4="","",SUMIF(SK!B$3:B$78,ROW(),SK!D$3:D$78))</f>
        <v>13</v>
      </c>
      <c r="X4" s="20"/>
      <c r="Y4" s="641" t="str">
        <f>IF(IGRF!B14="","",IGRF!B14)</f>
        <v>0</v>
      </c>
      <c r="Z4" s="638" t="str">
        <f>IF(IGRF!C14="","",IGRF!C14)</f>
        <v>Andi Slamberg</v>
      </c>
      <c r="AA4" s="404">
        <f>IF(Score!T4="", "",Score!T4 )</f>
        <v>1</v>
      </c>
      <c r="AB4" s="653"/>
      <c r="AC4" s="654" t="str">
        <f>IF(Score!U4="", "",Score!U4 )</f>
        <v>11G6</v>
      </c>
      <c r="AD4" s="655" t="s">
        <v>140</v>
      </c>
      <c r="AE4" s="655"/>
      <c r="AF4" s="655"/>
      <c r="AG4" s="656" t="s">
        <v>650</v>
      </c>
      <c r="AH4" s="655"/>
      <c r="AI4" s="655"/>
      <c r="AJ4" s="655"/>
      <c r="AK4" s="656" t="s">
        <v>614</v>
      </c>
      <c r="AL4" s="655"/>
      <c r="AM4" s="655"/>
      <c r="AN4" s="655"/>
      <c r="AO4" s="656" t="s">
        <v>625</v>
      </c>
      <c r="AP4" s="655"/>
      <c r="AQ4" s="655"/>
      <c r="AR4" s="655"/>
      <c r="AS4" s="656" t="s">
        <v>664</v>
      </c>
      <c r="AT4" s="655"/>
      <c r="AU4" s="655"/>
      <c r="AV4" s="657"/>
      <c r="AW4" s="451">
        <f ca="1">IF(AA4="","",SUMIF(SK!R$3:R$78,ROW(),SK!T$3:T$78))</f>
        <v>4</v>
      </c>
      <c r="AX4" s="20"/>
      <c r="AY4" s="641" t="str">
        <f>IF(IGRF!H14="","",IGRF!H14)</f>
        <v>11</v>
      </c>
      <c r="AZ4" s="638" t="str">
        <f>IF(IGRF!I14="","",IGRF!I14)</f>
        <v>Typhoid Maggie</v>
      </c>
    </row>
    <row r="5" spans="1:52" ht="32.1" customHeight="1" thickBot="1" x14ac:dyDescent="0.35">
      <c r="A5" s="401">
        <f>IF(Score!A5="", "",Score!A5 )</f>
        <v>2</v>
      </c>
      <c r="B5" s="405"/>
      <c r="C5" s="403" t="str">
        <f>IF(Score!B5="", "",Score!B5 )</f>
        <v>19</v>
      </c>
      <c r="D5" s="418"/>
      <c r="E5" s="418"/>
      <c r="F5" s="418"/>
      <c r="G5" s="421" t="s">
        <v>602</v>
      </c>
      <c r="H5" s="418"/>
      <c r="I5" s="418"/>
      <c r="J5" s="418"/>
      <c r="K5" s="421" t="s">
        <v>581</v>
      </c>
      <c r="L5" s="418"/>
      <c r="M5" s="418"/>
      <c r="N5" s="418"/>
      <c r="O5" s="421" t="s">
        <v>586</v>
      </c>
      <c r="P5" s="418"/>
      <c r="Q5" s="418"/>
      <c r="R5" s="418"/>
      <c r="S5" s="421" t="s">
        <v>594</v>
      </c>
      <c r="T5" s="418" t="s">
        <v>140</v>
      </c>
      <c r="U5" s="418"/>
      <c r="V5" s="420"/>
      <c r="W5" s="451">
        <f ca="1">IF(A5="","",SUMIF(SK!B$3:B$78,ROW(),SK!D$3:D$78))</f>
        <v>20</v>
      </c>
      <c r="X5" s="20"/>
      <c r="Z5" s="20"/>
      <c r="AA5" s="405">
        <f>IF(Score!T5="", "",Score!T5 )</f>
        <v>2</v>
      </c>
      <c r="AB5" s="405"/>
      <c r="AC5" s="403" t="str">
        <f>IF(Score!U5="", "",Score!U5 )</f>
        <v>58</v>
      </c>
      <c r="AD5" s="418" t="s">
        <v>140</v>
      </c>
      <c r="AE5" s="418"/>
      <c r="AF5" s="418"/>
      <c r="AG5" s="421" t="s">
        <v>612</v>
      </c>
      <c r="AH5" s="418"/>
      <c r="AI5" s="418"/>
      <c r="AJ5" s="418"/>
      <c r="AK5" s="421" t="s">
        <v>604</v>
      </c>
      <c r="AL5" s="418"/>
      <c r="AM5" s="418"/>
      <c r="AN5" s="418"/>
      <c r="AO5" s="421" t="s">
        <v>621</v>
      </c>
      <c r="AP5" s="418" t="s">
        <v>140</v>
      </c>
      <c r="AQ5" s="418"/>
      <c r="AR5" s="418"/>
      <c r="AS5" s="421" t="s">
        <v>608</v>
      </c>
      <c r="AT5" s="418"/>
      <c r="AU5" s="418"/>
      <c r="AV5" s="420"/>
      <c r="AW5" s="451">
        <f ca="1">IF(AA5="","",SUMIF(SK!R$3:R$78,ROW(),SK!T$3:T$78))</f>
        <v>0</v>
      </c>
      <c r="AX5" s="20"/>
      <c r="AZ5" s="20"/>
    </row>
    <row r="6" spans="1:52" ht="32.1" customHeight="1" thickBot="1" x14ac:dyDescent="0.35">
      <c r="A6" s="400">
        <f>IF(Score!A6="", "",Score!A6 )</f>
        <v>3</v>
      </c>
      <c r="B6" s="404"/>
      <c r="C6" s="402" t="str">
        <f>IF(Score!B6="", "",Score!B6 )</f>
        <v>1321</v>
      </c>
      <c r="D6" s="418"/>
      <c r="E6" s="418"/>
      <c r="F6" s="418"/>
      <c r="G6" s="419" t="s">
        <v>576</v>
      </c>
      <c r="H6" s="418"/>
      <c r="I6" s="418"/>
      <c r="J6" s="418"/>
      <c r="K6" s="419" t="s">
        <v>590</v>
      </c>
      <c r="L6" s="418"/>
      <c r="M6" s="418"/>
      <c r="N6" s="418"/>
      <c r="O6" s="419" t="s">
        <v>584</v>
      </c>
      <c r="P6" s="418"/>
      <c r="Q6" s="418"/>
      <c r="R6" s="418"/>
      <c r="S6" s="419" t="s">
        <v>598</v>
      </c>
      <c r="T6" s="418" t="s">
        <v>663</v>
      </c>
      <c r="U6" s="418"/>
      <c r="V6" s="420"/>
      <c r="W6" s="451">
        <f ca="1">IF(A6="","",SUMIF(SK!B$3:B$78,ROW(),SK!D$3:D$78))</f>
        <v>1</v>
      </c>
      <c r="X6" s="20"/>
      <c r="Y6" s="641" t="str">
        <f>IF(IGRF!B15="","",IGRF!B15)</f>
        <v>1321</v>
      </c>
      <c r="Z6" s="638" t="str">
        <f>IF(IGRF!C15="","",IGRF!C15)</f>
        <v>Kristy Skelton</v>
      </c>
      <c r="AA6" s="404">
        <f>IF(Score!T6="", "",Score!T6 )</f>
        <v>3</v>
      </c>
      <c r="AB6" s="404"/>
      <c r="AC6" s="402" t="str">
        <f>IF(Score!U6="", "",Score!U6 )</f>
        <v>K9</v>
      </c>
      <c r="AD6" s="418"/>
      <c r="AE6" s="418"/>
      <c r="AF6" s="418"/>
      <c r="AG6" s="419" t="s">
        <v>650</v>
      </c>
      <c r="AH6" s="418"/>
      <c r="AI6" s="418"/>
      <c r="AJ6" s="418"/>
      <c r="AK6" s="419" t="s">
        <v>627</v>
      </c>
      <c r="AL6" s="418"/>
      <c r="AM6" s="418"/>
      <c r="AN6" s="418"/>
      <c r="AO6" s="419" t="s">
        <v>614</v>
      </c>
      <c r="AP6" s="418"/>
      <c r="AQ6" s="418"/>
      <c r="AR6" s="418"/>
      <c r="AS6" s="419" t="s">
        <v>664</v>
      </c>
      <c r="AT6" s="418"/>
      <c r="AU6" s="418"/>
      <c r="AV6" s="420"/>
      <c r="AW6" s="451">
        <f ca="1">IF(AA6="","",SUMIF(SK!R$3:R$78,ROW(),SK!T$3:T$78))</f>
        <v>0</v>
      </c>
      <c r="AX6" s="20"/>
      <c r="AY6" s="641" t="str">
        <f>IF(IGRF!H15="","",IGRF!H15)</f>
        <v>11G6</v>
      </c>
      <c r="AZ6" s="638" t="str">
        <f>IF(IGRF!I15="","",IGRF!I15)</f>
        <v>Fista Krusher</v>
      </c>
    </row>
    <row r="7" spans="1:52" ht="32.1" customHeight="1" thickBot="1" x14ac:dyDescent="0.35">
      <c r="A7" s="401">
        <f>IF(Score!A7="", "",Score!A7 )</f>
        <v>4</v>
      </c>
      <c r="B7" s="405"/>
      <c r="C7" s="403" t="str">
        <f>IF(Score!B7="", "",Score!B7 )</f>
        <v>84</v>
      </c>
      <c r="D7" s="418"/>
      <c r="E7" s="418"/>
      <c r="F7" s="418"/>
      <c r="G7" s="421" t="s">
        <v>602</v>
      </c>
      <c r="H7" s="418"/>
      <c r="I7" s="418"/>
      <c r="J7" s="418"/>
      <c r="K7" s="421" t="s">
        <v>594</v>
      </c>
      <c r="L7" s="418"/>
      <c r="M7" s="418"/>
      <c r="N7" s="418"/>
      <c r="O7" s="421" t="s">
        <v>592</v>
      </c>
      <c r="P7" s="418"/>
      <c r="Q7" s="418"/>
      <c r="R7" s="418"/>
      <c r="S7" s="421" t="s">
        <v>598</v>
      </c>
      <c r="T7" s="418" t="s">
        <v>140</v>
      </c>
      <c r="U7" s="418"/>
      <c r="V7" s="420"/>
      <c r="W7" s="451">
        <f ca="1">IF(A7="","",SUMIF(SK!B$3:B$78,ROW(),SK!D$3:D$78))</f>
        <v>4</v>
      </c>
      <c r="X7" s="20"/>
      <c r="Z7" s="20"/>
      <c r="AA7" s="405">
        <f>IF(Score!T7="", "",Score!T7 )</f>
        <v>4</v>
      </c>
      <c r="AB7" s="405"/>
      <c r="AC7" s="403" t="str">
        <f>IF(Score!U7="", "",Score!U7 )</f>
        <v>451</v>
      </c>
      <c r="AD7" s="418"/>
      <c r="AE7" s="418"/>
      <c r="AF7" s="418"/>
      <c r="AG7" s="421" t="s">
        <v>612</v>
      </c>
      <c r="AH7" s="418"/>
      <c r="AI7" s="418"/>
      <c r="AJ7" s="418"/>
      <c r="AK7" s="421" t="s">
        <v>625</v>
      </c>
      <c r="AL7" s="418"/>
      <c r="AM7" s="418"/>
      <c r="AN7" s="418"/>
      <c r="AO7" s="421" t="s">
        <v>604</v>
      </c>
      <c r="AP7" s="418"/>
      <c r="AQ7" s="418"/>
      <c r="AR7" s="418"/>
      <c r="AS7" s="421" t="s">
        <v>621</v>
      </c>
      <c r="AT7" s="418"/>
      <c r="AU7" s="418"/>
      <c r="AV7" s="420"/>
      <c r="AW7" s="451">
        <f ca="1">IF(AA7="","",SUMIF(SK!R$3:R$78,ROW(),SK!T$3:T$78))</f>
        <v>0</v>
      </c>
      <c r="AX7" s="20"/>
      <c r="AZ7" s="20"/>
    </row>
    <row r="8" spans="1:52" ht="32.1" customHeight="1" thickBot="1" x14ac:dyDescent="0.35">
      <c r="A8" s="400">
        <f>IF(Score!A8="", "",Score!A8 )</f>
        <v>5</v>
      </c>
      <c r="B8" s="404"/>
      <c r="C8" s="402" t="str">
        <f>IF(Score!B8="", "",Score!B8 )</f>
        <v>4</v>
      </c>
      <c r="D8" s="418"/>
      <c r="E8" s="418"/>
      <c r="F8" s="418"/>
      <c r="G8" s="419" t="s">
        <v>576</v>
      </c>
      <c r="H8" s="418"/>
      <c r="I8" s="418"/>
      <c r="J8" s="418"/>
      <c r="K8" s="419" t="s">
        <v>598</v>
      </c>
      <c r="L8" s="418"/>
      <c r="M8" s="418"/>
      <c r="N8" s="418"/>
      <c r="O8" s="419" t="s">
        <v>596</v>
      </c>
      <c r="P8" s="418"/>
      <c r="Q8" s="418"/>
      <c r="R8" s="418"/>
      <c r="S8" s="419" t="s">
        <v>584</v>
      </c>
      <c r="T8" s="418" t="s">
        <v>663</v>
      </c>
      <c r="U8" s="418"/>
      <c r="V8" s="420"/>
      <c r="W8" s="451">
        <f ca="1">IF(A8="","",SUMIF(SK!B$3:B$78,ROW(),SK!D$3:D$78))</f>
        <v>4</v>
      </c>
      <c r="X8" s="20"/>
      <c r="Y8" s="641" t="str">
        <f>IF(IGRF!B16="","",IGRF!B16)</f>
        <v>17</v>
      </c>
      <c r="Z8" s="638" t="str">
        <f>IF(IGRF!C16="","",IGRF!C16)</f>
        <v>Justine Sane</v>
      </c>
      <c r="AA8" s="404">
        <f>IF(Score!T8="", "",Score!T8 )</f>
        <v>5</v>
      </c>
      <c r="AB8" s="404"/>
      <c r="AC8" s="402" t="str">
        <f>IF(Score!U8="", "",Score!U8 )</f>
        <v>11G6</v>
      </c>
      <c r="AD8" s="418"/>
      <c r="AE8" s="418"/>
      <c r="AF8" s="418"/>
      <c r="AG8" s="419" t="s">
        <v>650</v>
      </c>
      <c r="AH8" s="418"/>
      <c r="AI8" s="418"/>
      <c r="AJ8" s="418"/>
      <c r="AK8" s="419" t="s">
        <v>614</v>
      </c>
      <c r="AL8" s="418"/>
      <c r="AM8" s="418"/>
      <c r="AN8" s="418"/>
      <c r="AO8" s="419" t="s">
        <v>664</v>
      </c>
      <c r="AP8" s="418"/>
      <c r="AQ8" s="418"/>
      <c r="AR8" s="418"/>
      <c r="AS8" s="419" t="s">
        <v>608</v>
      </c>
      <c r="AT8" s="418"/>
      <c r="AU8" s="418"/>
      <c r="AV8" s="420"/>
      <c r="AW8" s="451">
        <f ca="1">IF(AA8="","",SUMIF(SK!R$3:R$78,ROW(),SK!T$3:T$78))</f>
        <v>0</v>
      </c>
      <c r="AX8" s="20"/>
      <c r="AY8" s="641" t="str">
        <f>IF(IGRF!H16="","",IGRF!H16)</f>
        <v>152</v>
      </c>
      <c r="AZ8" s="638" t="str">
        <f>IF(IGRF!I16="","",IGRF!I16)</f>
        <v>Hitty Pryde</v>
      </c>
    </row>
    <row r="9" spans="1:52" ht="32.1" customHeight="1" thickBot="1" x14ac:dyDescent="0.35">
      <c r="A9" s="401">
        <f>IF(Score!A9="", "",Score!A9 )</f>
        <v>6</v>
      </c>
      <c r="B9" s="405"/>
      <c r="C9" s="403" t="str">
        <f>IF(Score!B9="", "",Score!B9 )</f>
        <v>19</v>
      </c>
      <c r="D9" s="418"/>
      <c r="E9" s="418"/>
      <c r="F9" s="418"/>
      <c r="G9" s="421" t="s">
        <v>602</v>
      </c>
      <c r="H9" s="418"/>
      <c r="I9" s="418"/>
      <c r="J9" s="418"/>
      <c r="K9" s="421" t="s">
        <v>586</v>
      </c>
      <c r="L9" s="418"/>
      <c r="M9" s="418"/>
      <c r="N9" s="418"/>
      <c r="O9" s="421" t="s">
        <v>594</v>
      </c>
      <c r="P9" s="418"/>
      <c r="Q9" s="418"/>
      <c r="R9" s="418"/>
      <c r="S9" s="421" t="s">
        <v>584</v>
      </c>
      <c r="T9" s="418" t="s">
        <v>140</v>
      </c>
      <c r="U9" s="418"/>
      <c r="V9" s="420"/>
      <c r="W9" s="451">
        <f ca="1">IF(A9="","",SUMIF(SK!B$3:B$78,ROW(),SK!D$3:D$78))</f>
        <v>10</v>
      </c>
      <c r="X9" s="20"/>
      <c r="Z9" s="20"/>
      <c r="AA9" s="405">
        <f>IF(Score!T9="", "",Score!T9 )</f>
        <v>6</v>
      </c>
      <c r="AB9" s="405"/>
      <c r="AC9" s="403" t="str">
        <f>IF(Score!U9="", "",Score!U9 )</f>
        <v>58</v>
      </c>
      <c r="AD9" s="418"/>
      <c r="AE9" s="418"/>
      <c r="AF9" s="418"/>
      <c r="AG9" s="421" t="s">
        <v>612</v>
      </c>
      <c r="AH9" s="418"/>
      <c r="AI9" s="418"/>
      <c r="AJ9" s="418"/>
      <c r="AK9" s="421" t="s">
        <v>604</v>
      </c>
      <c r="AL9" s="418"/>
      <c r="AM9" s="418"/>
      <c r="AN9" s="418"/>
      <c r="AO9" s="421" t="s">
        <v>627</v>
      </c>
      <c r="AP9" s="418"/>
      <c r="AQ9" s="418"/>
      <c r="AR9" s="418"/>
      <c r="AS9" s="421" t="s">
        <v>621</v>
      </c>
      <c r="AT9" s="418"/>
      <c r="AU9" s="418"/>
      <c r="AV9" s="420"/>
      <c r="AW9" s="451">
        <f ca="1">IF(AA9="","",SUMIF(SK!R$3:R$78,ROW(),SK!T$3:T$78))</f>
        <v>0</v>
      </c>
      <c r="AX9" s="20"/>
      <c r="AZ9" s="20"/>
    </row>
    <row r="10" spans="1:52" ht="32.1" customHeight="1" thickBot="1" x14ac:dyDescent="0.35">
      <c r="A10" s="400" t="str">
        <f>IF(Score!A10="", "",Score!A10 )</f>
        <v>SP*</v>
      </c>
      <c r="B10" s="404"/>
      <c r="C10" s="402" t="str">
        <f>IF(Score!B10="", "",Score!B10 )</f>
        <v/>
      </c>
      <c r="D10" s="418"/>
      <c r="E10" s="418"/>
      <c r="F10" s="418"/>
      <c r="G10" s="419"/>
      <c r="H10" s="418"/>
      <c r="I10" s="418"/>
      <c r="J10" s="418"/>
      <c r="K10" s="419"/>
      <c r="L10" s="418"/>
      <c r="M10" s="418"/>
      <c r="N10" s="418"/>
      <c r="O10" s="419"/>
      <c r="P10" s="418"/>
      <c r="Q10" s="418"/>
      <c r="R10" s="418"/>
      <c r="S10" s="419"/>
      <c r="T10" s="418"/>
      <c r="U10" s="418"/>
      <c r="V10" s="420"/>
      <c r="W10" s="451">
        <f ca="1">IF(A10="","",SUMIF(SK!B$3:B$78,ROW(),SK!D$3:D$78))</f>
        <v>0</v>
      </c>
      <c r="X10" s="20"/>
      <c r="Y10" s="641" t="str">
        <f>IF(IGRF!B17="","",IGRF!B17)</f>
        <v>19</v>
      </c>
      <c r="Z10" s="638" t="str">
        <f>IF(IGRF!C17="","",IGRF!C17)</f>
        <v>Lippy Wrongstockings</v>
      </c>
      <c r="AA10" s="404" t="str">
        <f>IF(Score!T10="", "",Score!T10 )</f>
        <v>SP</v>
      </c>
      <c r="AB10" s="404"/>
      <c r="AC10" s="402" t="str">
        <f>IF(Score!U10="", "",Score!U10 )</f>
        <v>26</v>
      </c>
      <c r="AD10" s="418"/>
      <c r="AE10" s="418"/>
      <c r="AF10" s="418"/>
      <c r="AG10" s="419"/>
      <c r="AH10" s="418"/>
      <c r="AI10" s="418"/>
      <c r="AJ10" s="418"/>
      <c r="AK10" s="419"/>
      <c r="AL10" s="418"/>
      <c r="AM10" s="418"/>
      <c r="AN10" s="418"/>
      <c r="AO10" s="419"/>
      <c r="AP10" s="418"/>
      <c r="AQ10" s="418"/>
      <c r="AR10" s="418"/>
      <c r="AS10" s="419"/>
      <c r="AT10" s="418"/>
      <c r="AU10" s="418"/>
      <c r="AV10" s="420"/>
      <c r="AW10" s="451">
        <f ca="1">IF(AA10="","",SUMIF(SK!R$3:R$78,ROW(),SK!T$3:T$78))</f>
        <v>0</v>
      </c>
      <c r="AX10" s="20"/>
      <c r="AY10" s="641" t="str">
        <f>IF(IGRF!H17="","",IGRF!H17)</f>
        <v xml:space="preserve">237 </v>
      </c>
      <c r="AZ10" s="638" t="str">
        <f>IF(IGRF!I17="","",IGRF!I17)</f>
        <v>GuilloTina</v>
      </c>
    </row>
    <row r="11" spans="1:52" ht="32.1" customHeight="1" thickBot="1" x14ac:dyDescent="0.35">
      <c r="A11" s="401">
        <f>IF(Score!A11="", "",Score!A11 )</f>
        <v>7</v>
      </c>
      <c r="B11" s="405"/>
      <c r="C11" s="403" t="str">
        <f>IF(Score!B11="", "",Score!B11 )</f>
        <v>1321</v>
      </c>
      <c r="D11" s="418"/>
      <c r="E11" s="418"/>
      <c r="F11" s="418"/>
      <c r="G11" s="421" t="s">
        <v>576</v>
      </c>
      <c r="H11" s="418"/>
      <c r="I11" s="418"/>
      <c r="J11" s="418"/>
      <c r="K11" s="421" t="s">
        <v>590</v>
      </c>
      <c r="L11" s="418"/>
      <c r="M11" s="418"/>
      <c r="N11" s="418"/>
      <c r="O11" s="421" t="s">
        <v>596</v>
      </c>
      <c r="P11" s="418"/>
      <c r="Q11" s="418"/>
      <c r="R11" s="418"/>
      <c r="S11" s="421" t="s">
        <v>598</v>
      </c>
      <c r="T11" s="418"/>
      <c r="U11" s="418"/>
      <c r="V11" s="420"/>
      <c r="W11" s="451">
        <f ca="1">IF(A11="","",SUMIF(SK!B$3:B$78,ROW(),SK!D$3:D$78))</f>
        <v>3</v>
      </c>
      <c r="X11" s="20"/>
      <c r="Z11" s="20"/>
      <c r="AA11" s="405">
        <f>IF(Score!T11="", "",Score!T11 )</f>
        <v>7</v>
      </c>
      <c r="AB11" s="405"/>
      <c r="AC11" s="403" t="str">
        <f>IF(Score!U11="", "",Score!U11 )</f>
        <v>K9</v>
      </c>
      <c r="AD11" s="418"/>
      <c r="AE11" s="418"/>
      <c r="AF11" s="418"/>
      <c r="AG11" s="421" t="s">
        <v>650</v>
      </c>
      <c r="AH11" s="418"/>
      <c r="AI11" s="418"/>
      <c r="AJ11" s="418"/>
      <c r="AK11" s="421" t="s">
        <v>664</v>
      </c>
      <c r="AL11" s="418"/>
      <c r="AM11" s="418"/>
      <c r="AN11" s="418"/>
      <c r="AO11" s="421" t="s">
        <v>625</v>
      </c>
      <c r="AP11" s="418"/>
      <c r="AQ11" s="418"/>
      <c r="AR11" s="418"/>
      <c r="AS11" s="421" t="s">
        <v>614</v>
      </c>
      <c r="AT11" s="418" t="s">
        <v>663</v>
      </c>
      <c r="AU11" s="418"/>
      <c r="AV11" s="420"/>
      <c r="AW11" s="451">
        <f ca="1">IF(AA11="","",SUMIF(SK!R$3:R$78,ROW(),SK!T$3:T$78))</f>
        <v>0</v>
      </c>
      <c r="AX11" s="20"/>
      <c r="AZ11" s="20"/>
    </row>
    <row r="12" spans="1:52" ht="32.1" customHeight="1" thickBot="1" x14ac:dyDescent="0.35">
      <c r="A12" s="400">
        <f>IF(Score!A12="", "",Score!A12 )</f>
        <v>8</v>
      </c>
      <c r="B12" s="404"/>
      <c r="C12" s="402" t="str">
        <f>IF(Score!B12="", "",Score!B12 )</f>
        <v>84</v>
      </c>
      <c r="D12" s="418" t="s">
        <v>140</v>
      </c>
      <c r="E12" s="418"/>
      <c r="F12" s="418"/>
      <c r="G12" s="419" t="s">
        <v>602</v>
      </c>
      <c r="H12" s="418" t="s">
        <v>140</v>
      </c>
      <c r="I12" s="418"/>
      <c r="J12" s="418"/>
      <c r="K12" s="419" t="s">
        <v>592</v>
      </c>
      <c r="L12" s="418"/>
      <c r="M12" s="418"/>
      <c r="N12" s="418"/>
      <c r="O12" s="419" t="s">
        <v>581</v>
      </c>
      <c r="P12" s="418" t="s">
        <v>140</v>
      </c>
      <c r="Q12" s="418"/>
      <c r="R12" s="418"/>
      <c r="S12" s="419" t="s">
        <v>594</v>
      </c>
      <c r="T12" s="418"/>
      <c r="U12" s="418"/>
      <c r="V12" s="420"/>
      <c r="W12" s="451">
        <f ca="1">IF(A12="","",SUMIF(SK!B$3:B$78,ROW(),SK!D$3:D$78))</f>
        <v>9</v>
      </c>
      <c r="X12" s="20"/>
      <c r="Y12" s="641" t="str">
        <f>IF(IGRF!B18="","",IGRF!B18)</f>
        <v>20</v>
      </c>
      <c r="Z12" s="638" t="str">
        <f>IF(IGRF!C18="","",IGRF!C18)</f>
        <v>Zooks</v>
      </c>
      <c r="AA12" s="404">
        <f>IF(Score!T12="", "",Score!T12 )</f>
        <v>8</v>
      </c>
      <c r="AB12" s="404"/>
      <c r="AC12" s="402" t="str">
        <f>IF(Score!U12="", "",Score!U12 )</f>
        <v>451</v>
      </c>
      <c r="AD12" s="418"/>
      <c r="AE12" s="418"/>
      <c r="AF12" s="418"/>
      <c r="AG12" s="419" t="s">
        <v>612</v>
      </c>
      <c r="AH12" s="418"/>
      <c r="AI12" s="418"/>
      <c r="AJ12" s="418"/>
      <c r="AK12" s="419" t="s">
        <v>604</v>
      </c>
      <c r="AL12" s="418"/>
      <c r="AM12" s="418"/>
      <c r="AN12" s="418"/>
      <c r="AO12" s="419" t="s">
        <v>621</v>
      </c>
      <c r="AP12" s="418"/>
      <c r="AQ12" s="418"/>
      <c r="AR12" s="418"/>
      <c r="AS12" s="419" t="s">
        <v>614</v>
      </c>
      <c r="AT12" s="418" t="s">
        <v>140</v>
      </c>
      <c r="AU12" s="418"/>
      <c r="AV12" s="420"/>
      <c r="AW12" s="451">
        <f ca="1">IF(AA12="","",SUMIF(SK!R$3:R$78,ROW(),SK!T$3:T$78))</f>
        <v>10</v>
      </c>
      <c r="AX12" s="20"/>
      <c r="AY12" s="641" t="str">
        <f>IF(IGRF!H18="","",IGRF!H18)</f>
        <v>26</v>
      </c>
      <c r="AZ12" s="638" t="str">
        <f>IF(IGRF!I18="","",IGRF!I18)</f>
        <v>Bam Bam Bigelow</v>
      </c>
    </row>
    <row r="13" spans="1:52" ht="32.1" customHeight="1" thickBot="1" x14ac:dyDescent="0.35">
      <c r="A13" s="401">
        <f>IF(Score!A13="", "",Score!A13 )</f>
        <v>9</v>
      </c>
      <c r="B13" s="405"/>
      <c r="C13" s="403" t="str">
        <f>IF(Score!B13="", "",Score!B13 )</f>
        <v>4</v>
      </c>
      <c r="D13" s="418"/>
      <c r="E13" s="418"/>
      <c r="F13" s="418"/>
      <c r="G13" s="421" t="s">
        <v>576</v>
      </c>
      <c r="H13" s="418"/>
      <c r="I13" s="418"/>
      <c r="J13" s="418"/>
      <c r="K13" s="421" t="s">
        <v>598</v>
      </c>
      <c r="L13" s="418"/>
      <c r="M13" s="418"/>
      <c r="N13" s="418"/>
      <c r="O13" s="421" t="s">
        <v>596</v>
      </c>
      <c r="P13" s="418" t="s">
        <v>663</v>
      </c>
      <c r="Q13" s="418"/>
      <c r="R13" s="418"/>
      <c r="S13" s="421" t="s">
        <v>584</v>
      </c>
      <c r="T13" s="418"/>
      <c r="U13" s="418"/>
      <c r="V13" s="420"/>
      <c r="W13" s="451">
        <f ca="1">IF(A13="","",SUMIF(SK!B$3:B$78,ROW(),SK!D$3:D$78))</f>
        <v>15</v>
      </c>
      <c r="X13" s="20"/>
      <c r="Z13" s="20"/>
      <c r="AA13" s="405">
        <f>IF(Score!T13="", "",Score!T13 )</f>
        <v>9</v>
      </c>
      <c r="AB13" s="405"/>
      <c r="AC13" s="403" t="str">
        <f>IF(Score!U13="", "",Score!U13 )</f>
        <v>11G6</v>
      </c>
      <c r="AD13" s="418" t="s">
        <v>140</v>
      </c>
      <c r="AE13" s="418"/>
      <c r="AF13" s="418"/>
      <c r="AG13" s="421" t="s">
        <v>650</v>
      </c>
      <c r="AH13" s="418"/>
      <c r="AI13" s="418"/>
      <c r="AJ13" s="418"/>
      <c r="AK13" s="421" t="s">
        <v>664</v>
      </c>
      <c r="AL13" s="418"/>
      <c r="AM13" s="418"/>
      <c r="AN13" s="418"/>
      <c r="AO13" s="421" t="s">
        <v>608</v>
      </c>
      <c r="AP13" s="418"/>
      <c r="AQ13" s="418"/>
      <c r="AR13" s="418"/>
      <c r="AS13" s="421" t="s">
        <v>614</v>
      </c>
      <c r="AT13" s="418"/>
      <c r="AU13" s="418"/>
      <c r="AV13" s="420"/>
      <c r="AW13" s="451">
        <f ca="1">IF(AA13="","",SUMIF(SK!R$3:R$78,ROW(),SK!T$3:T$78))</f>
        <v>0</v>
      </c>
      <c r="AX13" s="20"/>
      <c r="AZ13" s="20"/>
    </row>
    <row r="14" spans="1:52" ht="32.1" customHeight="1" thickBot="1" x14ac:dyDescent="0.35">
      <c r="A14" s="400">
        <f>IF(Score!A14="", "",Score!A14 )</f>
        <v>10</v>
      </c>
      <c r="B14" s="404"/>
      <c r="C14" s="402" t="str">
        <f>IF(Score!B14="", "",Score!B14 )</f>
        <v>19</v>
      </c>
      <c r="D14" s="418"/>
      <c r="E14" s="418"/>
      <c r="F14" s="418"/>
      <c r="G14" s="419" t="s">
        <v>602</v>
      </c>
      <c r="H14" s="418"/>
      <c r="I14" s="418"/>
      <c r="J14" s="418"/>
      <c r="K14" s="419" t="s">
        <v>586</v>
      </c>
      <c r="L14" s="418"/>
      <c r="M14" s="418"/>
      <c r="N14" s="418"/>
      <c r="O14" s="419" t="s">
        <v>596</v>
      </c>
      <c r="P14" s="418" t="s">
        <v>140</v>
      </c>
      <c r="Q14" s="418"/>
      <c r="R14" s="418"/>
      <c r="S14" s="419" t="s">
        <v>592</v>
      </c>
      <c r="T14" s="418"/>
      <c r="U14" s="418"/>
      <c r="V14" s="420"/>
      <c r="W14" s="451">
        <f ca="1">IF(A14="","",SUMIF(SK!B$3:B$78,ROW(),SK!D$3:D$78))</f>
        <v>0</v>
      </c>
      <c r="X14" s="20"/>
      <c r="Y14" s="641" t="str">
        <f>IF(IGRF!B19="","",IGRF!B19)</f>
        <v>303</v>
      </c>
      <c r="Z14" s="638" t="str">
        <f>IF(IGRF!C19="","",IGRF!C19)</f>
        <v>Violent NoRegard</v>
      </c>
      <c r="AA14" s="404">
        <f>IF(Score!T14="", "",Score!T14 )</f>
        <v>10</v>
      </c>
      <c r="AB14" s="404"/>
      <c r="AC14" s="402" t="str">
        <f>IF(Score!U14="", "",Score!U14 )</f>
        <v>58</v>
      </c>
      <c r="AD14" s="418"/>
      <c r="AE14" s="418"/>
      <c r="AF14" s="418"/>
      <c r="AG14" s="419" t="s">
        <v>612</v>
      </c>
      <c r="AH14" s="418"/>
      <c r="AI14" s="418"/>
      <c r="AJ14" s="418"/>
      <c r="AK14" s="419" t="s">
        <v>604</v>
      </c>
      <c r="AL14" s="418"/>
      <c r="AM14" s="418"/>
      <c r="AN14" s="418"/>
      <c r="AO14" s="419" t="s">
        <v>627</v>
      </c>
      <c r="AP14" s="418"/>
      <c r="AQ14" s="418"/>
      <c r="AR14" s="418"/>
      <c r="AS14" s="419" t="s">
        <v>621</v>
      </c>
      <c r="AT14" s="418"/>
      <c r="AU14" s="418"/>
      <c r="AV14" s="420"/>
      <c r="AW14" s="451">
        <f ca="1">IF(AA14="","",SUMIF(SK!R$3:R$78,ROW(),SK!T$3:T$78))</f>
        <v>0</v>
      </c>
      <c r="AX14" s="20"/>
      <c r="AY14" s="641" t="str">
        <f>IF(IGRF!H19="","",IGRF!H19)</f>
        <v>2611</v>
      </c>
      <c r="AZ14" s="638" t="str">
        <f>IF(IGRF!I19="","",IGRF!I19)</f>
        <v>Va Va BOOM</v>
      </c>
    </row>
    <row r="15" spans="1:52" ht="32.1" customHeight="1" thickBot="1" x14ac:dyDescent="0.35">
      <c r="A15" s="401">
        <f>IF(Score!A15="", "",Score!A15 )</f>
        <v>11</v>
      </c>
      <c r="B15" s="405"/>
      <c r="C15" s="403" t="str">
        <f>IF(Score!B15="", "",Score!B15 )</f>
        <v>1321</v>
      </c>
      <c r="D15" s="418"/>
      <c r="E15" s="418"/>
      <c r="F15" s="418"/>
      <c r="G15" s="421" t="s">
        <v>576</v>
      </c>
      <c r="H15" s="418"/>
      <c r="I15" s="418"/>
      <c r="J15" s="418"/>
      <c r="K15" s="421" t="s">
        <v>584</v>
      </c>
      <c r="L15" s="418"/>
      <c r="M15" s="418"/>
      <c r="N15" s="418"/>
      <c r="O15" s="421" t="s">
        <v>590</v>
      </c>
      <c r="P15" s="418"/>
      <c r="Q15" s="418"/>
      <c r="R15" s="418"/>
      <c r="S15" s="421" t="s">
        <v>598</v>
      </c>
      <c r="T15" s="418"/>
      <c r="U15" s="418"/>
      <c r="V15" s="420"/>
      <c r="W15" s="451">
        <f ca="1">IF(A15="","",SUMIF(SK!B$3:B$78,ROW(),SK!D$3:D$78))</f>
        <v>4</v>
      </c>
      <c r="X15" s="20"/>
      <c r="Z15" s="20"/>
      <c r="AA15" s="405">
        <f>IF(Score!T15="", "",Score!T15 )</f>
        <v>11</v>
      </c>
      <c r="AB15" s="405"/>
      <c r="AC15" s="403" t="str">
        <f>IF(Score!U15="", "",Score!U15 )</f>
        <v>K9</v>
      </c>
      <c r="AD15" s="418"/>
      <c r="AE15" s="418"/>
      <c r="AF15" s="418"/>
      <c r="AG15" s="421" t="s">
        <v>650</v>
      </c>
      <c r="AH15" s="418"/>
      <c r="AI15" s="418"/>
      <c r="AJ15" s="418"/>
      <c r="AK15" s="421" t="s">
        <v>664</v>
      </c>
      <c r="AL15" s="418"/>
      <c r="AM15" s="418"/>
      <c r="AN15" s="418"/>
      <c r="AO15" s="421" t="s">
        <v>614</v>
      </c>
      <c r="AP15" s="418" t="s">
        <v>663</v>
      </c>
      <c r="AQ15" s="418"/>
      <c r="AR15" s="418"/>
      <c r="AS15" s="421" t="s">
        <v>625</v>
      </c>
      <c r="AT15" s="418"/>
      <c r="AU15" s="418"/>
      <c r="AV15" s="420"/>
      <c r="AW15" s="451">
        <f ca="1">IF(AA15="","",SUMIF(SK!R$3:R$78,ROW(),SK!T$3:T$78))</f>
        <v>0</v>
      </c>
      <c r="AX15" s="20"/>
      <c r="AZ15" s="20"/>
    </row>
    <row r="16" spans="1:52" ht="32.1" customHeight="1" thickBot="1" x14ac:dyDescent="0.35">
      <c r="A16" s="400">
        <f>IF(Score!A16="", "",Score!A16 )</f>
        <v>12</v>
      </c>
      <c r="B16" s="404"/>
      <c r="C16" s="402" t="str">
        <f>IF(Score!B16="", "",Score!B16 )</f>
        <v>84</v>
      </c>
      <c r="D16" s="418"/>
      <c r="E16" s="418"/>
      <c r="F16" s="418"/>
      <c r="G16" s="419" t="s">
        <v>602</v>
      </c>
      <c r="H16" s="418"/>
      <c r="I16" s="418"/>
      <c r="J16" s="418"/>
      <c r="K16" s="419" t="s">
        <v>586</v>
      </c>
      <c r="L16" s="418"/>
      <c r="M16" s="418"/>
      <c r="N16" s="418"/>
      <c r="O16" s="419" t="s">
        <v>581</v>
      </c>
      <c r="P16" s="418"/>
      <c r="Q16" s="418"/>
      <c r="R16" s="418"/>
      <c r="S16" s="419" t="s">
        <v>594</v>
      </c>
      <c r="T16" s="418" t="s">
        <v>140</v>
      </c>
      <c r="U16" s="418"/>
      <c r="V16" s="420"/>
      <c r="W16" s="451">
        <f ca="1">IF(A16="","",SUMIF(SK!B$3:B$78,ROW(),SK!D$3:D$78))</f>
        <v>15</v>
      </c>
      <c r="X16" s="20"/>
      <c r="Y16" s="641" t="str">
        <f>IF(IGRF!B20="","",IGRF!B20)</f>
        <v>33</v>
      </c>
      <c r="Z16" s="638" t="str">
        <f>IF(IGRF!C20="","",IGRF!C20)</f>
        <v>Suzy Slam</v>
      </c>
      <c r="AA16" s="404">
        <f>IF(Score!T16="", "",Score!T16 )</f>
        <v>12</v>
      </c>
      <c r="AB16" s="404"/>
      <c r="AC16" s="402" t="str">
        <f>IF(Score!U16="", "",Score!U16 )</f>
        <v>451</v>
      </c>
      <c r="AD16" s="418"/>
      <c r="AE16" s="418"/>
      <c r="AF16" s="418"/>
      <c r="AG16" s="419" t="s">
        <v>612</v>
      </c>
      <c r="AH16" s="418"/>
      <c r="AI16" s="418"/>
      <c r="AJ16" s="418"/>
      <c r="AK16" s="419" t="s">
        <v>604</v>
      </c>
      <c r="AL16" s="418"/>
      <c r="AM16" s="418"/>
      <c r="AN16" s="418"/>
      <c r="AO16" s="419" t="s">
        <v>614</v>
      </c>
      <c r="AP16" s="418" t="s">
        <v>140</v>
      </c>
      <c r="AQ16" s="418"/>
      <c r="AR16" s="418"/>
      <c r="AS16" s="419" t="s">
        <v>621</v>
      </c>
      <c r="AT16" s="418"/>
      <c r="AU16" s="418"/>
      <c r="AV16" s="420"/>
      <c r="AW16" s="451">
        <f ca="1">IF(AA16="","",SUMIF(SK!R$3:R$78,ROW(),SK!T$3:T$78))</f>
        <v>0</v>
      </c>
      <c r="AX16" s="20"/>
      <c r="AY16" s="641" t="str">
        <f>IF(IGRF!H20="","",IGRF!H20)</f>
        <v>45</v>
      </c>
      <c r="AZ16" s="638" t="str">
        <f>IF(IGRF!I20="","",IGRF!I20)</f>
        <v>Miss Carriage</v>
      </c>
    </row>
    <row r="17" spans="1:52" ht="32.1" customHeight="1" thickBot="1" x14ac:dyDescent="0.35">
      <c r="A17" s="401">
        <f>IF(Score!A17="", "",Score!A17 )</f>
        <v>13</v>
      </c>
      <c r="B17" s="405"/>
      <c r="C17" s="403" t="str">
        <f>IF(Score!B17="", "",Score!B17 )</f>
        <v>4</v>
      </c>
      <c r="D17" s="418"/>
      <c r="E17" s="418"/>
      <c r="F17" s="418"/>
      <c r="G17" s="421" t="s">
        <v>576</v>
      </c>
      <c r="H17" s="418"/>
      <c r="I17" s="418"/>
      <c r="J17" s="418"/>
      <c r="K17" s="421" t="s">
        <v>596</v>
      </c>
      <c r="L17" s="418"/>
      <c r="M17" s="418"/>
      <c r="N17" s="418"/>
      <c r="O17" s="421" t="s">
        <v>584</v>
      </c>
      <c r="P17" s="418"/>
      <c r="Q17" s="418"/>
      <c r="R17" s="418"/>
      <c r="S17" s="421" t="s">
        <v>598</v>
      </c>
      <c r="T17" s="418"/>
      <c r="U17" s="418"/>
      <c r="V17" s="420"/>
      <c r="W17" s="451">
        <f ca="1">IF(A17="","",SUMIF(SK!B$3:B$78,ROW(),SK!D$3:D$78))</f>
        <v>12</v>
      </c>
      <c r="X17" s="20"/>
      <c r="Z17" s="20"/>
      <c r="AA17" s="405">
        <f>IF(Score!T17="", "",Score!T17 )</f>
        <v>13</v>
      </c>
      <c r="AB17" s="405"/>
      <c r="AC17" s="403" t="str">
        <f>IF(Score!U17="", "",Score!U17 )</f>
        <v>511</v>
      </c>
      <c r="AD17" s="418" t="s">
        <v>140</v>
      </c>
      <c r="AE17" s="418"/>
      <c r="AF17" s="418"/>
      <c r="AG17" s="421" t="s">
        <v>606</v>
      </c>
      <c r="AH17" s="418"/>
      <c r="AI17" s="418"/>
      <c r="AJ17" s="418"/>
      <c r="AK17" s="421" t="s">
        <v>608</v>
      </c>
      <c r="AL17" s="418"/>
      <c r="AM17" s="418"/>
      <c r="AN17" s="418"/>
      <c r="AO17" s="421" t="s">
        <v>664</v>
      </c>
      <c r="AP17" s="418"/>
      <c r="AQ17" s="418"/>
      <c r="AR17" s="418"/>
      <c r="AS17" s="421" t="s">
        <v>614</v>
      </c>
      <c r="AT17" s="418"/>
      <c r="AU17" s="418"/>
      <c r="AV17" s="420"/>
      <c r="AW17" s="451">
        <f ca="1">IF(AA17="","",SUMIF(SK!R$3:R$78,ROW(),SK!T$3:T$78))</f>
        <v>0</v>
      </c>
      <c r="AX17" s="20"/>
      <c r="AZ17" s="20"/>
    </row>
    <row r="18" spans="1:52" ht="32.1" customHeight="1" thickBot="1" x14ac:dyDescent="0.35">
      <c r="A18" s="400">
        <f>IF(Score!A18="", "",Score!A18 )</f>
        <v>14</v>
      </c>
      <c r="B18" s="404"/>
      <c r="C18" s="402" t="str">
        <f>IF(Score!B18="", "",Score!B18 )</f>
        <v>19</v>
      </c>
      <c r="D18" s="418"/>
      <c r="E18" s="418"/>
      <c r="F18" s="418"/>
      <c r="G18" s="419" t="s">
        <v>602</v>
      </c>
      <c r="H18" s="418"/>
      <c r="I18" s="418"/>
      <c r="J18" s="418"/>
      <c r="K18" s="419" t="s">
        <v>586</v>
      </c>
      <c r="L18" s="418"/>
      <c r="M18" s="418"/>
      <c r="N18" s="418"/>
      <c r="O18" s="419" t="s">
        <v>592</v>
      </c>
      <c r="P18" s="418"/>
      <c r="Q18" s="418"/>
      <c r="R18" s="418"/>
      <c r="S18" s="419" t="s">
        <v>594</v>
      </c>
      <c r="T18" s="418"/>
      <c r="U18" s="418"/>
      <c r="V18" s="420"/>
      <c r="W18" s="451">
        <f ca="1">IF(A18="","",SUMIF(SK!B$3:B$78,ROW(),SK!D$3:D$78))</f>
        <v>4</v>
      </c>
      <c r="X18" s="20"/>
      <c r="Y18" s="641" t="str">
        <f>IF(IGRF!B21="","",IGRF!B21)</f>
        <v>4</v>
      </c>
      <c r="Z18" s="638" t="str">
        <f>IF(IGRF!C21="","",IGRF!C21)</f>
        <v>Psykosonic</v>
      </c>
      <c r="AA18" s="404">
        <f>IF(Score!T18="", "",Score!T18 )</f>
        <v>14</v>
      </c>
      <c r="AB18" s="404"/>
      <c r="AC18" s="402" t="str">
        <f>IF(Score!U18="", "",Score!U18 )</f>
        <v>58</v>
      </c>
      <c r="AD18" s="418"/>
      <c r="AE18" s="418"/>
      <c r="AF18" s="418"/>
      <c r="AG18" s="419" t="s">
        <v>612</v>
      </c>
      <c r="AH18" s="418"/>
      <c r="AI18" s="418"/>
      <c r="AJ18" s="418"/>
      <c r="AK18" s="419" t="s">
        <v>604</v>
      </c>
      <c r="AL18" s="418" t="s">
        <v>663</v>
      </c>
      <c r="AM18" s="418"/>
      <c r="AN18" s="418"/>
      <c r="AO18" s="419" t="s">
        <v>627</v>
      </c>
      <c r="AP18" s="418"/>
      <c r="AQ18" s="418"/>
      <c r="AR18" s="418"/>
      <c r="AS18" s="419" t="s">
        <v>621</v>
      </c>
      <c r="AT18" s="418"/>
      <c r="AU18" s="418"/>
      <c r="AV18" s="420"/>
      <c r="AW18" s="451">
        <f ca="1">IF(AA18="","",SUMIF(SK!R$3:R$78,ROW(),SK!T$3:T$78))</f>
        <v>0</v>
      </c>
      <c r="AX18" s="20"/>
      <c r="AY18" s="641" t="str">
        <f>IF(IGRF!H21="","",IGRF!H21)</f>
        <v>451</v>
      </c>
      <c r="AZ18" s="638" t="str">
        <f>IF(IGRF!I21="","",IGRF!I21)</f>
        <v>fErinheit</v>
      </c>
    </row>
    <row r="19" spans="1:52" ht="32.1" customHeight="1" thickBot="1" x14ac:dyDescent="0.35">
      <c r="A19" s="401">
        <f>IF(Score!A19="", "",Score!A19 )</f>
        <v>15</v>
      </c>
      <c r="B19" s="405"/>
      <c r="C19" s="403" t="str">
        <f>IF(Score!B19="", "",Score!B19 )</f>
        <v>20</v>
      </c>
      <c r="D19" s="418"/>
      <c r="E19" s="418"/>
      <c r="F19" s="418"/>
      <c r="G19" s="421" t="s">
        <v>576</v>
      </c>
      <c r="H19" s="418" t="s">
        <v>663</v>
      </c>
      <c r="I19" s="418"/>
      <c r="J19" s="418"/>
      <c r="K19" s="421" t="s">
        <v>598</v>
      </c>
      <c r="L19" s="418" t="s">
        <v>663</v>
      </c>
      <c r="M19" s="418"/>
      <c r="N19" s="418"/>
      <c r="O19" s="421" t="s">
        <v>590</v>
      </c>
      <c r="P19" s="418"/>
      <c r="Q19" s="418"/>
      <c r="R19" s="418"/>
      <c r="S19" s="421" t="s">
        <v>582</v>
      </c>
      <c r="T19" s="418"/>
      <c r="U19" s="418"/>
      <c r="V19" s="420"/>
      <c r="W19" s="451">
        <f ca="1">IF(A19="","",SUMIF(SK!B$3:B$78,ROW(),SK!D$3:D$78))</f>
        <v>0</v>
      </c>
      <c r="X19" s="20"/>
      <c r="Z19" s="20"/>
      <c r="AA19" s="405">
        <f>IF(Score!T19="", "",Score!T19 )</f>
        <v>15</v>
      </c>
      <c r="AB19" s="405"/>
      <c r="AC19" s="403" t="str">
        <f>IF(Score!U19="", "",Score!U19 )</f>
        <v>K9</v>
      </c>
      <c r="AD19" s="418"/>
      <c r="AE19" s="418"/>
      <c r="AF19" s="418"/>
      <c r="AG19" s="421" t="s">
        <v>650</v>
      </c>
      <c r="AH19" s="418"/>
      <c r="AI19" s="418"/>
      <c r="AJ19" s="418"/>
      <c r="AK19" s="421" t="s">
        <v>604</v>
      </c>
      <c r="AL19" s="418" t="s">
        <v>150</v>
      </c>
      <c r="AM19" s="418"/>
      <c r="AN19" s="418"/>
      <c r="AO19" s="421" t="s">
        <v>619</v>
      </c>
      <c r="AP19" s="418"/>
      <c r="AQ19" s="418"/>
      <c r="AR19" s="418"/>
      <c r="AS19" s="421" t="s">
        <v>664</v>
      </c>
      <c r="AT19" s="418"/>
      <c r="AU19" s="418"/>
      <c r="AV19" s="420"/>
      <c r="AW19" s="451">
        <f ca="1">IF(AA19="","",SUMIF(SK!R$3:R$78,ROW(),SK!T$3:T$78))</f>
        <v>0</v>
      </c>
      <c r="AX19" s="20"/>
      <c r="AZ19" s="20"/>
    </row>
    <row r="20" spans="1:52" ht="32.1" customHeight="1" thickBot="1" x14ac:dyDescent="0.35">
      <c r="A20" s="400">
        <f>IF(Score!A20="", "",Score!A20 )</f>
        <v>16</v>
      </c>
      <c r="B20" s="404"/>
      <c r="C20" s="402" t="str">
        <f>IF(Score!B20="", "",Score!B20 )</f>
        <v>480</v>
      </c>
      <c r="D20" s="418"/>
      <c r="E20" s="418"/>
      <c r="F20" s="418"/>
      <c r="G20" s="419" t="s">
        <v>576</v>
      </c>
      <c r="H20" s="418" t="s">
        <v>140</v>
      </c>
      <c r="I20" s="418"/>
      <c r="J20" s="418"/>
      <c r="K20" s="419" t="s">
        <v>598</v>
      </c>
      <c r="L20" s="418" t="s">
        <v>140</v>
      </c>
      <c r="M20" s="418"/>
      <c r="N20" s="418"/>
      <c r="O20" s="419" t="s">
        <v>602</v>
      </c>
      <c r="P20" s="418"/>
      <c r="Q20" s="418"/>
      <c r="R20" s="418"/>
      <c r="S20" s="419" t="s">
        <v>592</v>
      </c>
      <c r="T20" s="418"/>
      <c r="U20" s="418"/>
      <c r="V20" s="420"/>
      <c r="W20" s="451">
        <f ca="1">IF(A20="","",SUMIF(SK!B$3:B$78,ROW(),SK!D$3:D$78))</f>
        <v>0</v>
      </c>
      <c r="X20" s="20"/>
      <c r="Y20" s="641" t="str">
        <f>IF(IGRF!B22="","",IGRF!B22)</f>
        <v>42</v>
      </c>
      <c r="Z20" s="638" t="str">
        <f>IF(IGRF!C22="","",IGRF!C22)</f>
        <v>Meg N' Plead</v>
      </c>
      <c r="AA20" s="404">
        <f>IF(Score!T20="", "",Score!T20 )</f>
        <v>16</v>
      </c>
      <c r="AB20" s="404"/>
      <c r="AC20" s="402" t="str">
        <f>IF(Score!U20="", "",Score!U20 )</f>
        <v>451</v>
      </c>
      <c r="AD20" s="418"/>
      <c r="AE20" s="418"/>
      <c r="AF20" s="418"/>
      <c r="AG20" s="419" t="s">
        <v>612</v>
      </c>
      <c r="AH20" s="418"/>
      <c r="AI20" s="418"/>
      <c r="AJ20" s="418"/>
      <c r="AK20" s="419" t="s">
        <v>604</v>
      </c>
      <c r="AL20" s="418" t="s">
        <v>140</v>
      </c>
      <c r="AM20" s="418"/>
      <c r="AN20" s="418"/>
      <c r="AO20" s="419" t="s">
        <v>625</v>
      </c>
      <c r="AP20" s="418"/>
      <c r="AQ20" s="418"/>
      <c r="AR20" s="418"/>
      <c r="AS20" s="419" t="s">
        <v>621</v>
      </c>
      <c r="AT20" s="418"/>
      <c r="AU20" s="418"/>
      <c r="AV20" s="420"/>
      <c r="AW20" s="451">
        <f ca="1">IF(AA20="","",SUMIF(SK!R$3:R$78,ROW(),SK!T$3:T$78))</f>
        <v>4</v>
      </c>
      <c r="AX20" s="20"/>
      <c r="AY20" s="641" t="str">
        <f>IF(IGRF!H22="","",IGRF!H22)</f>
        <v>511</v>
      </c>
      <c r="AZ20" s="638" t="str">
        <f>IF(IGRF!I22="","",IGRF!I22)</f>
        <v>Bean Stalker</v>
      </c>
    </row>
    <row r="21" spans="1:52" ht="32.1" customHeight="1" thickBot="1" x14ac:dyDescent="0.35">
      <c r="A21" s="401">
        <f>IF(Score!A21="", "",Score!A21 )</f>
        <v>17</v>
      </c>
      <c r="B21" s="405"/>
      <c r="C21" s="403" t="str">
        <f>IF(Score!B21="", "",Score!B21 )</f>
        <v>84</v>
      </c>
      <c r="D21" s="418"/>
      <c r="E21" s="418"/>
      <c r="F21" s="418"/>
      <c r="G21" s="421" t="s">
        <v>576</v>
      </c>
      <c r="H21" s="418"/>
      <c r="I21" s="418"/>
      <c r="J21" s="418"/>
      <c r="K21" s="421" t="s">
        <v>590</v>
      </c>
      <c r="L21" s="418"/>
      <c r="M21" s="418"/>
      <c r="N21" s="418"/>
      <c r="O21" s="421" t="s">
        <v>598</v>
      </c>
      <c r="P21" s="418"/>
      <c r="Q21" s="418"/>
      <c r="R21" s="418"/>
      <c r="S21" s="421" t="s">
        <v>584</v>
      </c>
      <c r="T21" s="418"/>
      <c r="U21" s="418"/>
      <c r="V21" s="420"/>
      <c r="W21" s="451">
        <f ca="1">IF(A21="","",SUMIF(SK!B$3:B$78,ROW(),SK!D$3:D$78))</f>
        <v>0</v>
      </c>
      <c r="X21" s="20"/>
      <c r="Z21" s="20"/>
      <c r="AA21" s="405">
        <f>IF(Score!T21="", "",Score!T21 )</f>
        <v>17</v>
      </c>
      <c r="AB21" s="405"/>
      <c r="AC21" s="403" t="str">
        <f>IF(Score!U21="", "",Score!U21 )</f>
        <v>11G6</v>
      </c>
      <c r="AD21" s="418"/>
      <c r="AE21" s="418"/>
      <c r="AF21" s="418"/>
      <c r="AG21" s="421" t="s">
        <v>650</v>
      </c>
      <c r="AH21" s="418"/>
      <c r="AI21" s="418"/>
      <c r="AJ21" s="418"/>
      <c r="AK21" s="421" t="s">
        <v>608</v>
      </c>
      <c r="AL21" s="418"/>
      <c r="AM21" s="418"/>
      <c r="AN21" s="418"/>
      <c r="AO21" s="421" t="s">
        <v>664</v>
      </c>
      <c r="AP21" s="418"/>
      <c r="AQ21" s="418"/>
      <c r="AR21" s="418"/>
      <c r="AS21" s="421" t="s">
        <v>614</v>
      </c>
      <c r="AT21" s="418"/>
      <c r="AU21" s="418"/>
      <c r="AV21" s="420"/>
      <c r="AW21" s="451">
        <f ca="1">IF(AA21="","",SUMIF(SK!R$3:R$78,ROW(),SK!T$3:T$78))</f>
        <v>3</v>
      </c>
      <c r="AX21" s="20"/>
      <c r="AZ21" s="20"/>
    </row>
    <row r="22" spans="1:52" ht="32.1" customHeight="1" thickBot="1" x14ac:dyDescent="0.35">
      <c r="A22" s="400">
        <f>IF(Score!A22="", "",Score!A22 )</f>
        <v>18</v>
      </c>
      <c r="B22" s="404"/>
      <c r="C22" s="402" t="str">
        <f>IF(Score!B22="", "",Score!B22 )</f>
        <v>4</v>
      </c>
      <c r="D22" s="418"/>
      <c r="E22" s="418"/>
      <c r="F22" s="418"/>
      <c r="G22" s="419" t="s">
        <v>602</v>
      </c>
      <c r="H22" s="418" t="s">
        <v>663</v>
      </c>
      <c r="I22" s="418"/>
      <c r="J22" s="418"/>
      <c r="K22" s="419" t="s">
        <v>594</v>
      </c>
      <c r="L22" s="418"/>
      <c r="M22" s="418"/>
      <c r="N22" s="418"/>
      <c r="O22" s="419" t="s">
        <v>586</v>
      </c>
      <c r="P22" s="418"/>
      <c r="Q22" s="418"/>
      <c r="R22" s="418"/>
      <c r="S22" s="419" t="s">
        <v>581</v>
      </c>
      <c r="T22" s="418"/>
      <c r="U22" s="418"/>
      <c r="V22" s="420"/>
      <c r="W22" s="451">
        <f ca="1">IF(A22="","",SUMIF(SK!B$3:B$78,ROW(),SK!D$3:D$78))</f>
        <v>4</v>
      </c>
      <c r="X22" s="20"/>
      <c r="Y22" s="641" t="str">
        <f>IF(IGRF!B23="","",IGRF!B23)</f>
        <v>44</v>
      </c>
      <c r="Z22" s="638" t="str">
        <f>IF(IGRF!C23="","",IGRF!C23)</f>
        <v>Brunt Force Bunny</v>
      </c>
      <c r="AA22" s="404">
        <f>IF(Score!T22="", "",Score!T22 )</f>
        <v>18</v>
      </c>
      <c r="AB22" s="404"/>
      <c r="AC22" s="402" t="str">
        <f>IF(Score!U22="", "",Score!U22 )</f>
        <v>58</v>
      </c>
      <c r="AD22" s="418"/>
      <c r="AE22" s="418"/>
      <c r="AF22" s="418"/>
      <c r="AG22" s="419" t="s">
        <v>612</v>
      </c>
      <c r="AH22" s="418"/>
      <c r="AI22" s="418"/>
      <c r="AJ22" s="418"/>
      <c r="AK22" s="419" t="s">
        <v>621</v>
      </c>
      <c r="AL22" s="418"/>
      <c r="AM22" s="418"/>
      <c r="AN22" s="418"/>
      <c r="AO22" s="419" t="s">
        <v>604</v>
      </c>
      <c r="AP22" s="418"/>
      <c r="AQ22" s="418"/>
      <c r="AR22" s="418"/>
      <c r="AS22" s="419" t="s">
        <v>627</v>
      </c>
      <c r="AT22" s="418"/>
      <c r="AU22" s="418"/>
      <c r="AV22" s="420"/>
      <c r="AW22" s="451">
        <f ca="1">IF(AA22="","",SUMIF(SK!R$3:R$78,ROW(),SK!T$3:T$78))</f>
        <v>0</v>
      </c>
      <c r="AX22" s="20"/>
      <c r="AY22" s="641" t="str">
        <f>IF(IGRF!H23="","",IGRF!H23)</f>
        <v>519</v>
      </c>
      <c r="AZ22" s="638" t="str">
        <f>IF(IGRF!I23="","",IGRF!I23)</f>
        <v>Smashin' Good Time</v>
      </c>
    </row>
    <row r="23" spans="1:52" ht="32.1" customHeight="1" thickBot="1" x14ac:dyDescent="0.35">
      <c r="A23" s="401" t="str">
        <f>IF(Score!A23="", "",Score!A23 )</f>
        <v>SP*</v>
      </c>
      <c r="B23" s="405"/>
      <c r="C23" s="403" t="str">
        <f>IF(Score!B23="", "",Score!B23 )</f>
        <v/>
      </c>
      <c r="D23" s="418"/>
      <c r="E23" s="418"/>
      <c r="F23" s="418"/>
      <c r="G23" s="421"/>
      <c r="H23" s="418"/>
      <c r="I23" s="418"/>
      <c r="J23" s="418"/>
      <c r="K23" s="421"/>
      <c r="L23" s="418"/>
      <c r="M23" s="418"/>
      <c r="N23" s="418"/>
      <c r="O23" s="421"/>
      <c r="P23" s="418"/>
      <c r="Q23" s="418"/>
      <c r="R23" s="418"/>
      <c r="S23" s="421"/>
      <c r="T23" s="418"/>
      <c r="U23" s="418"/>
      <c r="V23" s="420"/>
      <c r="W23" s="451">
        <f ca="1">IF(A23="","",SUMIF(SK!B$3:B$78,ROW(),SK!D$3:D$78))</f>
        <v>0</v>
      </c>
      <c r="X23" s="20"/>
      <c r="Z23" s="20"/>
      <c r="AA23" s="405" t="str">
        <f>IF(Score!T23="", "",Score!T23 )</f>
        <v>SP</v>
      </c>
      <c r="AB23" s="405"/>
      <c r="AC23" s="403" t="str">
        <f>IF(Score!U23="", "",Score!U23 )</f>
        <v>26</v>
      </c>
      <c r="AD23" s="418"/>
      <c r="AE23" s="418"/>
      <c r="AF23" s="418"/>
      <c r="AG23" s="421"/>
      <c r="AH23" s="418"/>
      <c r="AI23" s="418"/>
      <c r="AJ23" s="418"/>
      <c r="AK23" s="421"/>
      <c r="AL23" s="418"/>
      <c r="AM23" s="418"/>
      <c r="AN23" s="418"/>
      <c r="AO23" s="421"/>
      <c r="AP23" s="418"/>
      <c r="AQ23" s="418"/>
      <c r="AR23" s="418"/>
      <c r="AS23" s="421"/>
      <c r="AT23" s="418"/>
      <c r="AU23" s="418"/>
      <c r="AV23" s="420"/>
      <c r="AW23" s="451">
        <f ca="1">IF(AA23="","",SUMIF(SK!R$3:R$78,ROW(),SK!T$3:T$78))</f>
        <v>0</v>
      </c>
      <c r="AX23" s="20"/>
      <c r="AZ23" s="20"/>
    </row>
    <row r="24" spans="1:52" ht="32.1" customHeight="1" thickBot="1" x14ac:dyDescent="0.35">
      <c r="A24" s="400">
        <f>IF(Score!A24="", "",Score!A24 )</f>
        <v>19</v>
      </c>
      <c r="B24" s="404"/>
      <c r="C24" s="402" t="str">
        <f>IF(Score!B24="", "",Score!B24 )</f>
        <v>84</v>
      </c>
      <c r="D24" s="418"/>
      <c r="E24" s="418"/>
      <c r="F24" s="418"/>
      <c r="G24" s="419" t="s">
        <v>602</v>
      </c>
      <c r="H24" s="418" t="s">
        <v>140</v>
      </c>
      <c r="I24" s="418"/>
      <c r="J24" s="418"/>
      <c r="K24" s="419" t="s">
        <v>598</v>
      </c>
      <c r="L24" s="418"/>
      <c r="M24" s="418"/>
      <c r="N24" s="418"/>
      <c r="O24" s="419" t="s">
        <v>576</v>
      </c>
      <c r="P24" s="418"/>
      <c r="Q24" s="418"/>
      <c r="R24" s="418"/>
      <c r="S24" s="419" t="s">
        <v>596</v>
      </c>
      <c r="T24" s="418"/>
      <c r="U24" s="418"/>
      <c r="V24" s="420"/>
      <c r="W24" s="451">
        <f ca="1">IF(A24="","",SUMIF(SK!B$3:B$78,ROW(),SK!D$3:D$78))</f>
        <v>8</v>
      </c>
      <c r="X24" s="20"/>
      <c r="Y24" s="641" t="str">
        <f>IF(IGRF!B24="","",IGRF!B24)</f>
        <v>480</v>
      </c>
      <c r="Z24" s="638" t="str">
        <f>IF(IGRF!C24="","",IGRF!C24)</f>
        <v>Slaughterhouse Streeter</v>
      </c>
      <c r="AA24" s="404">
        <f>IF(Score!T24="", "",Score!T24 )</f>
        <v>19</v>
      </c>
      <c r="AB24" s="404"/>
      <c r="AC24" s="402" t="str">
        <f>IF(Score!U24="", "",Score!U24 )</f>
        <v>K9</v>
      </c>
      <c r="AD24" s="418"/>
      <c r="AE24" s="418"/>
      <c r="AF24" s="418"/>
      <c r="AG24" s="419" t="s">
        <v>650</v>
      </c>
      <c r="AH24" s="418"/>
      <c r="AI24" s="418"/>
      <c r="AJ24" s="418"/>
      <c r="AK24" s="419" t="s">
        <v>664</v>
      </c>
      <c r="AL24" s="418"/>
      <c r="AM24" s="418"/>
      <c r="AN24" s="418"/>
      <c r="AO24" s="419" t="s">
        <v>625</v>
      </c>
      <c r="AP24" s="418"/>
      <c r="AQ24" s="418"/>
      <c r="AR24" s="418"/>
      <c r="AS24" s="419" t="s">
        <v>614</v>
      </c>
      <c r="AT24" s="418"/>
      <c r="AU24" s="418"/>
      <c r="AV24" s="420"/>
      <c r="AW24" s="451">
        <f ca="1">IF(AA24="","",SUMIF(SK!R$3:R$78,ROW(),SK!T$3:T$78))</f>
        <v>4</v>
      </c>
      <c r="AX24" s="20"/>
      <c r="AY24" s="641" t="str">
        <f>IF(IGRF!H24="","",IGRF!H24)</f>
        <v>58</v>
      </c>
      <c r="AZ24" s="638" t="str">
        <f>IF(IGRF!I24="","",IGRF!I24)</f>
        <v>Natty B</v>
      </c>
    </row>
    <row r="25" spans="1:52" ht="32.1" customHeight="1" thickBot="1" x14ac:dyDescent="0.35">
      <c r="A25" s="401" t="str">
        <f>IF(Score!A25="", "",Score!A25 )</f>
        <v/>
      </c>
      <c r="B25" s="405"/>
      <c r="C25" s="403" t="str">
        <f>IF(Score!B25="", "",Score!B25 )</f>
        <v/>
      </c>
      <c r="D25" s="418"/>
      <c r="E25" s="418"/>
      <c r="F25" s="418"/>
      <c r="G25" s="421"/>
      <c r="H25" s="418"/>
      <c r="I25" s="418"/>
      <c r="J25" s="418"/>
      <c r="K25" s="421"/>
      <c r="L25" s="418"/>
      <c r="M25" s="418"/>
      <c r="N25" s="418"/>
      <c r="O25" s="421"/>
      <c r="P25" s="418"/>
      <c r="Q25" s="418"/>
      <c r="R25" s="418"/>
      <c r="S25" s="421"/>
      <c r="T25" s="418"/>
      <c r="U25" s="418"/>
      <c r="V25" s="420"/>
      <c r="W25" s="451" t="str">
        <f>IF(A25="","",SUMIF(SK!B$3:B$78,ROW(),SK!D$3:D$78))</f>
        <v/>
      </c>
      <c r="X25" s="20"/>
      <c r="Z25" s="20"/>
      <c r="AA25" s="405" t="str">
        <f>IF(Score!T25="", "",Score!T25 )</f>
        <v/>
      </c>
      <c r="AB25" s="405"/>
      <c r="AC25" s="403" t="str">
        <f>IF(Score!U25="", "",Score!U25 )</f>
        <v/>
      </c>
      <c r="AD25" s="418"/>
      <c r="AE25" s="418"/>
      <c r="AF25" s="418"/>
      <c r="AG25" s="421"/>
      <c r="AH25" s="418"/>
      <c r="AI25" s="418"/>
      <c r="AJ25" s="418"/>
      <c r="AK25" s="421"/>
      <c r="AL25" s="418"/>
      <c r="AM25" s="418"/>
      <c r="AN25" s="418"/>
      <c r="AO25" s="421"/>
      <c r="AP25" s="418"/>
      <c r="AQ25" s="418"/>
      <c r="AR25" s="418"/>
      <c r="AS25" s="421"/>
      <c r="AT25" s="418"/>
      <c r="AU25" s="418"/>
      <c r="AV25" s="420"/>
      <c r="AW25" s="451" t="str">
        <f>IF(AA25="","",SUMIF(SK!R$3:R$78,ROW(),SK!T$3:T$78))</f>
        <v/>
      </c>
      <c r="AX25" s="20"/>
      <c r="AZ25" s="20"/>
    </row>
    <row r="26" spans="1:52" ht="32.1" customHeight="1" thickBot="1" x14ac:dyDescent="0.35">
      <c r="A26" s="400" t="str">
        <f>IF(Score!A26="", "",Score!A26 )</f>
        <v/>
      </c>
      <c r="B26" s="404"/>
      <c r="C26" s="402" t="str">
        <f>IF(Score!B26="", "",Score!B26 )</f>
        <v/>
      </c>
      <c r="D26" s="418"/>
      <c r="E26" s="418"/>
      <c r="F26" s="418"/>
      <c r="G26" s="419"/>
      <c r="H26" s="418"/>
      <c r="I26" s="418"/>
      <c r="J26" s="418"/>
      <c r="K26" s="419"/>
      <c r="L26" s="418"/>
      <c r="M26" s="418"/>
      <c r="N26" s="418"/>
      <c r="O26" s="419"/>
      <c r="P26" s="418"/>
      <c r="Q26" s="418"/>
      <c r="R26" s="418"/>
      <c r="S26" s="419"/>
      <c r="T26" s="418"/>
      <c r="U26" s="418"/>
      <c r="V26" s="420"/>
      <c r="W26" s="451" t="str">
        <f>IF(A26="","",SUMIF(SK!B$3:B$78,ROW(),SK!D$3:D$78))</f>
        <v/>
      </c>
      <c r="X26" s="20"/>
      <c r="Y26" s="641" t="str">
        <f>IF(IGRF!B25="","",IGRF!B25)</f>
        <v>64</v>
      </c>
      <c r="Z26" s="638" t="str">
        <f>IF(IGRF!C25="","",IGRF!C25)</f>
        <v>Cannonball Doll</v>
      </c>
      <c r="AA26" s="404" t="str">
        <f>IF(Score!T26="", "",Score!T26 )</f>
        <v/>
      </c>
      <c r="AB26" s="404"/>
      <c r="AC26" s="402" t="str">
        <f>IF(Score!U26="", "",Score!U26 )</f>
        <v/>
      </c>
      <c r="AD26" s="418"/>
      <c r="AE26" s="418"/>
      <c r="AF26" s="418"/>
      <c r="AG26" s="419"/>
      <c r="AH26" s="418"/>
      <c r="AI26" s="418"/>
      <c r="AJ26" s="418"/>
      <c r="AK26" s="419"/>
      <c r="AL26" s="418"/>
      <c r="AM26" s="418"/>
      <c r="AN26" s="418"/>
      <c r="AO26" s="419"/>
      <c r="AP26" s="418"/>
      <c r="AQ26" s="418"/>
      <c r="AR26" s="418"/>
      <c r="AS26" s="419"/>
      <c r="AT26" s="418"/>
      <c r="AU26" s="418"/>
      <c r="AV26" s="420"/>
      <c r="AW26" s="451" t="str">
        <f>IF(AA26="","",SUMIF(SK!R$3:R$78,ROW(),SK!T$3:T$78))</f>
        <v/>
      </c>
      <c r="AX26" s="20"/>
      <c r="AY26" s="641" t="str">
        <f>IF(IGRF!H25="","",IGRF!H25)</f>
        <v>932</v>
      </c>
      <c r="AZ26" s="638" t="str">
        <f>IF(IGRF!I25="","",IGRF!I25)</f>
        <v>Heaven Lee Bash</v>
      </c>
    </row>
    <row r="27" spans="1:52" ht="32.1" customHeight="1" thickBot="1" x14ac:dyDescent="0.35">
      <c r="A27" s="401" t="str">
        <f>IF(Score!A27="", "",Score!A27 )</f>
        <v/>
      </c>
      <c r="B27" s="405"/>
      <c r="C27" s="403" t="str">
        <f>IF(Score!B27="", "",Score!B27 )</f>
        <v/>
      </c>
      <c r="D27" s="418"/>
      <c r="E27" s="418"/>
      <c r="F27" s="418"/>
      <c r="G27" s="421"/>
      <c r="H27" s="418"/>
      <c r="I27" s="418"/>
      <c r="J27" s="418"/>
      <c r="K27" s="421"/>
      <c r="L27" s="418"/>
      <c r="M27" s="418"/>
      <c r="N27" s="418"/>
      <c r="O27" s="421"/>
      <c r="P27" s="418"/>
      <c r="Q27" s="418"/>
      <c r="R27" s="418"/>
      <c r="S27" s="421"/>
      <c r="T27" s="418"/>
      <c r="U27" s="418"/>
      <c r="V27" s="420"/>
      <c r="W27" s="451" t="str">
        <f>IF(A27="","",SUMIF(SK!B$3:B$78,ROW(),SK!D$3:D$78))</f>
        <v/>
      </c>
      <c r="X27" s="20"/>
      <c r="Z27" s="20"/>
      <c r="AA27" s="405" t="str">
        <f>IF(Score!T27="", "",Score!T27 )</f>
        <v/>
      </c>
      <c r="AB27" s="405"/>
      <c r="AC27" s="403" t="str">
        <f>IF(Score!U27="", "",Score!U27 )</f>
        <v/>
      </c>
      <c r="AD27" s="418"/>
      <c r="AE27" s="418"/>
      <c r="AF27" s="418"/>
      <c r="AG27" s="421"/>
      <c r="AH27" s="418"/>
      <c r="AI27" s="418"/>
      <c r="AJ27" s="418"/>
      <c r="AK27" s="421"/>
      <c r="AL27" s="418"/>
      <c r="AM27" s="418"/>
      <c r="AN27" s="418"/>
      <c r="AO27" s="421"/>
      <c r="AP27" s="418"/>
      <c r="AQ27" s="418"/>
      <c r="AR27" s="418"/>
      <c r="AS27" s="421"/>
      <c r="AT27" s="418"/>
      <c r="AU27" s="418"/>
      <c r="AV27" s="420"/>
      <c r="AW27" s="451" t="str">
        <f>IF(AA27="","",SUMIF(SK!R$3:R$78,ROW(),SK!T$3:T$78))</f>
        <v/>
      </c>
      <c r="AX27" s="20"/>
      <c r="AZ27" s="20"/>
    </row>
    <row r="28" spans="1:52" ht="32.1" customHeight="1" thickBot="1" x14ac:dyDescent="0.35">
      <c r="A28" s="400" t="str">
        <f>IF(Score!A28="", "",Score!A28 )</f>
        <v/>
      </c>
      <c r="B28" s="404"/>
      <c r="C28" s="402" t="str">
        <f>IF(Score!B28="", "",Score!B28 )</f>
        <v/>
      </c>
      <c r="D28" s="418"/>
      <c r="E28" s="418"/>
      <c r="F28" s="418"/>
      <c r="G28" s="419"/>
      <c r="H28" s="418"/>
      <c r="I28" s="418"/>
      <c r="J28" s="418"/>
      <c r="K28" s="419"/>
      <c r="L28" s="418"/>
      <c r="M28" s="418"/>
      <c r="N28" s="418"/>
      <c r="O28" s="419"/>
      <c r="P28" s="418"/>
      <c r="Q28" s="418"/>
      <c r="R28" s="418"/>
      <c r="S28" s="419"/>
      <c r="T28" s="418"/>
      <c r="U28" s="418"/>
      <c r="V28" s="420"/>
      <c r="W28" s="451" t="str">
        <f>IF(A28="","",SUMIF(SK!B$3:B$78,ROW(),SK!D$3:D$78))</f>
        <v/>
      </c>
      <c r="X28" s="20"/>
      <c r="Y28" s="641" t="str">
        <f>IF(IGRF!B26="","",IGRF!B26)</f>
        <v>84</v>
      </c>
      <c r="Z28" s="638" t="str">
        <f>IF(IGRF!C26="","",IGRF!C26)</f>
        <v>MEGAnTRON</v>
      </c>
      <c r="AA28" s="404" t="str">
        <f>IF(Score!T28="", "",Score!T28 )</f>
        <v/>
      </c>
      <c r="AB28" s="404"/>
      <c r="AC28" s="402" t="str">
        <f>IF(Score!U28="", "",Score!U28 )</f>
        <v/>
      </c>
      <c r="AD28" s="418"/>
      <c r="AE28" s="418"/>
      <c r="AF28" s="418"/>
      <c r="AG28" s="419"/>
      <c r="AH28" s="418"/>
      <c r="AI28" s="418"/>
      <c r="AJ28" s="418"/>
      <c r="AK28" s="419"/>
      <c r="AL28" s="418"/>
      <c r="AM28" s="418"/>
      <c r="AN28" s="418"/>
      <c r="AO28" s="419"/>
      <c r="AP28" s="418"/>
      <c r="AQ28" s="418"/>
      <c r="AR28" s="418"/>
      <c r="AS28" s="419"/>
      <c r="AT28" s="418"/>
      <c r="AU28" s="418"/>
      <c r="AV28" s="420"/>
      <c r="AW28" s="451" t="str">
        <f>IF(AA28="","",SUMIF(SK!R$3:R$78,ROW(),SK!T$3:T$78))</f>
        <v/>
      </c>
      <c r="AX28" s="20"/>
      <c r="AY28" s="641" t="str">
        <f>IF(IGRF!H26="","",IGRF!H26)</f>
        <v>H20</v>
      </c>
      <c r="AZ28" s="638" t="str">
        <f>IF(IGRF!I26="","",IGRF!I26)</f>
        <v>Lethal Mermaid</v>
      </c>
    </row>
    <row r="29" spans="1:52" ht="32.1" customHeight="1" thickBot="1" x14ac:dyDescent="0.35">
      <c r="A29" s="401" t="str">
        <f>IF(Score!A29="", "",Score!A29 )</f>
        <v/>
      </c>
      <c r="B29" s="405"/>
      <c r="C29" s="403" t="str">
        <f>IF(Score!B29="", "",Score!B29 )</f>
        <v/>
      </c>
      <c r="D29" s="418"/>
      <c r="E29" s="418"/>
      <c r="F29" s="418"/>
      <c r="G29" s="421"/>
      <c r="H29" s="418"/>
      <c r="I29" s="418"/>
      <c r="J29" s="418"/>
      <c r="K29" s="421"/>
      <c r="L29" s="418"/>
      <c r="M29" s="418"/>
      <c r="N29" s="418"/>
      <c r="O29" s="421"/>
      <c r="P29" s="418"/>
      <c r="Q29" s="418"/>
      <c r="R29" s="418"/>
      <c r="S29" s="421"/>
      <c r="T29" s="418"/>
      <c r="U29" s="418"/>
      <c r="V29" s="420"/>
      <c r="W29" s="451" t="str">
        <f>IF(A29="","",SUMIF(SK!B$3:B$78,ROW(),SK!D$3:D$78))</f>
        <v/>
      </c>
      <c r="X29" s="20"/>
      <c r="Z29" s="20"/>
      <c r="AA29" s="405" t="str">
        <f>IF(Score!T29="", "",Score!T29 )</f>
        <v/>
      </c>
      <c r="AB29" s="405"/>
      <c r="AC29" s="403" t="str">
        <f>IF(Score!U29="", "",Score!U29 )</f>
        <v/>
      </c>
      <c r="AD29" s="418"/>
      <c r="AE29" s="418"/>
      <c r="AF29" s="418"/>
      <c r="AG29" s="421"/>
      <c r="AH29" s="418"/>
      <c r="AI29" s="418"/>
      <c r="AJ29" s="418"/>
      <c r="AK29" s="421"/>
      <c r="AL29" s="418"/>
      <c r="AM29" s="418"/>
      <c r="AN29" s="418"/>
      <c r="AO29" s="421"/>
      <c r="AP29" s="418"/>
      <c r="AQ29" s="418"/>
      <c r="AR29" s="418"/>
      <c r="AS29" s="421"/>
      <c r="AT29" s="418"/>
      <c r="AU29" s="418"/>
      <c r="AV29" s="420"/>
      <c r="AW29" s="451" t="str">
        <f>IF(AA29="","",SUMIF(SK!R$3:R$78,ROW(),SK!T$3:T$78))</f>
        <v/>
      </c>
      <c r="AX29" s="20"/>
      <c r="AZ29" s="20"/>
    </row>
    <row r="30" spans="1:52" ht="32.1" customHeight="1" thickBot="1" x14ac:dyDescent="0.35">
      <c r="A30" s="400" t="str">
        <f>IF(Score!A30="", "",Score!A30 )</f>
        <v/>
      </c>
      <c r="B30" s="404"/>
      <c r="C30" s="402" t="str">
        <f>IF(Score!B30="", "",Score!B30 )</f>
        <v/>
      </c>
      <c r="D30" s="418"/>
      <c r="E30" s="418"/>
      <c r="F30" s="418"/>
      <c r="G30" s="419"/>
      <c r="H30" s="418"/>
      <c r="I30" s="418"/>
      <c r="J30" s="418"/>
      <c r="K30" s="419"/>
      <c r="L30" s="418"/>
      <c r="M30" s="418"/>
      <c r="N30" s="418"/>
      <c r="O30" s="419"/>
      <c r="P30" s="418"/>
      <c r="Q30" s="418"/>
      <c r="R30" s="418"/>
      <c r="S30" s="419"/>
      <c r="T30" s="418"/>
      <c r="U30" s="418"/>
      <c r="V30" s="420"/>
      <c r="W30" s="451" t="str">
        <f>IF(A30="","",SUMIF(SK!B$3:B$78,ROW(),SK!D$3:D$78))</f>
        <v/>
      </c>
      <c r="X30" s="20"/>
      <c r="Y30" s="641" t="str">
        <f>IF(IGRF!B27="","",IGRF!B27)</f>
        <v>N01</v>
      </c>
      <c r="Z30" s="638" t="str">
        <f>IF(IGRF!C27="","",IGRF!C27)</f>
        <v>Commander Will Wrecker</v>
      </c>
      <c r="AA30" s="404" t="str">
        <f>IF(Score!T30="", "",Score!T30 )</f>
        <v/>
      </c>
      <c r="AB30" s="404"/>
      <c r="AC30" s="402" t="str">
        <f>IF(Score!U30="", "",Score!U30 )</f>
        <v/>
      </c>
      <c r="AD30" s="418"/>
      <c r="AE30" s="418"/>
      <c r="AF30" s="418"/>
      <c r="AG30" s="419"/>
      <c r="AH30" s="418"/>
      <c r="AI30" s="418"/>
      <c r="AJ30" s="418"/>
      <c r="AK30" s="419"/>
      <c r="AL30" s="418"/>
      <c r="AM30" s="418"/>
      <c r="AN30" s="418"/>
      <c r="AO30" s="419"/>
      <c r="AP30" s="418"/>
      <c r="AQ30" s="418"/>
      <c r="AR30" s="418"/>
      <c r="AS30" s="419"/>
      <c r="AT30" s="418"/>
      <c r="AU30" s="418"/>
      <c r="AV30" s="420"/>
      <c r="AW30" s="451" t="str">
        <f>IF(AA30="","",SUMIF(SK!R$3:R$78,ROW(),SK!T$3:T$78))</f>
        <v/>
      </c>
      <c r="AX30" s="20"/>
      <c r="AY30" s="641" t="str">
        <f>IF(IGRF!H27="","",IGRF!H27)</f>
        <v>K9</v>
      </c>
      <c r="AZ30" s="638" t="str">
        <f>IF(IGRF!I27="","",IGRF!I27)</f>
        <v>Scooby Doom</v>
      </c>
    </row>
    <row r="31" spans="1:52" ht="32.1" customHeight="1" thickBot="1" x14ac:dyDescent="0.35">
      <c r="A31" s="401" t="str">
        <f>IF(Score!A31="", "",Score!A31 )</f>
        <v/>
      </c>
      <c r="B31" s="405"/>
      <c r="C31" s="403" t="str">
        <f>IF(Score!B31="", "",Score!B31 )</f>
        <v/>
      </c>
      <c r="D31" s="418"/>
      <c r="E31" s="418"/>
      <c r="F31" s="418"/>
      <c r="G31" s="421"/>
      <c r="H31" s="418"/>
      <c r="I31" s="418"/>
      <c r="J31" s="418"/>
      <c r="K31" s="421"/>
      <c r="L31" s="418"/>
      <c r="M31" s="418"/>
      <c r="N31" s="418"/>
      <c r="O31" s="421"/>
      <c r="P31" s="418"/>
      <c r="Q31" s="418"/>
      <c r="R31" s="418"/>
      <c r="S31" s="421"/>
      <c r="T31" s="418"/>
      <c r="U31" s="418"/>
      <c r="V31" s="420"/>
      <c r="W31" s="451" t="str">
        <f>IF(A31="","",SUMIF(SK!B$3:B$78,ROW(),SK!D$3:D$78))</f>
        <v/>
      </c>
      <c r="X31" s="20"/>
      <c r="Z31" s="20"/>
      <c r="AA31" s="405" t="str">
        <f>IF(Score!T31="", "",Score!T31 )</f>
        <v/>
      </c>
      <c r="AB31" s="405"/>
      <c r="AC31" s="403" t="str">
        <f>IF(Score!U31="", "",Score!U31 )</f>
        <v/>
      </c>
      <c r="AD31" s="418"/>
      <c r="AE31" s="418"/>
      <c r="AF31" s="418"/>
      <c r="AG31" s="421"/>
      <c r="AH31" s="418"/>
      <c r="AI31" s="418"/>
      <c r="AJ31" s="418"/>
      <c r="AK31" s="421"/>
      <c r="AL31" s="418"/>
      <c r="AM31" s="418"/>
      <c r="AN31" s="418"/>
      <c r="AO31" s="421"/>
      <c r="AP31" s="418"/>
      <c r="AQ31" s="418"/>
      <c r="AR31" s="418"/>
      <c r="AS31" s="421"/>
      <c r="AT31" s="418"/>
      <c r="AU31" s="418"/>
      <c r="AV31" s="420"/>
      <c r="AW31" s="451" t="str">
        <f>IF(AA31="","",SUMIF(SK!R$3:R$78,ROW(),SK!T$3:T$78))</f>
        <v/>
      </c>
      <c r="AX31" s="20"/>
      <c r="AZ31" s="20"/>
    </row>
    <row r="32" spans="1:52" ht="32.1" customHeight="1" thickBot="1" x14ac:dyDescent="0.35">
      <c r="A32" s="400" t="str">
        <f>IF(Score!A32="", "",Score!A32 )</f>
        <v/>
      </c>
      <c r="B32" s="404"/>
      <c r="C32" s="402" t="str">
        <f>IF(Score!B32="", "",Score!B32 )</f>
        <v/>
      </c>
      <c r="D32" s="418"/>
      <c r="E32" s="418"/>
      <c r="F32" s="418"/>
      <c r="G32" s="419"/>
      <c r="H32" s="418"/>
      <c r="I32" s="418"/>
      <c r="J32" s="418"/>
      <c r="K32" s="419"/>
      <c r="L32" s="418"/>
      <c r="M32" s="418"/>
      <c r="N32" s="418"/>
      <c r="O32" s="419"/>
      <c r="P32" s="418"/>
      <c r="Q32" s="418"/>
      <c r="R32" s="418"/>
      <c r="S32" s="419"/>
      <c r="T32" s="418"/>
      <c r="U32" s="418"/>
      <c r="V32" s="420"/>
      <c r="W32" s="451" t="str">
        <f>IF(A32="","",SUMIF(SK!B$3:B$78,ROW(),SK!D$3:D$78))</f>
        <v/>
      </c>
      <c r="X32" s="20"/>
      <c r="Y32" s="641" t="str">
        <f>IF(IGRF!B28="","",IGRF!B28)</f>
        <v/>
      </c>
      <c r="Z32" s="638" t="str">
        <f>IF(IGRF!C28="","",IGRF!C28)</f>
        <v/>
      </c>
      <c r="AA32" s="404" t="str">
        <f>IF(Score!T32="", "",Score!T32 )</f>
        <v/>
      </c>
      <c r="AB32" s="404"/>
      <c r="AC32" s="402" t="str">
        <f>IF(Score!U32="", "",Score!U32 )</f>
        <v/>
      </c>
      <c r="AD32" s="418"/>
      <c r="AE32" s="418"/>
      <c r="AF32" s="418"/>
      <c r="AG32" s="419"/>
      <c r="AH32" s="418"/>
      <c r="AI32" s="418"/>
      <c r="AJ32" s="418"/>
      <c r="AK32" s="419"/>
      <c r="AL32" s="418"/>
      <c r="AM32" s="418"/>
      <c r="AN32" s="418"/>
      <c r="AO32" s="419"/>
      <c r="AP32" s="418"/>
      <c r="AQ32" s="418"/>
      <c r="AR32" s="418"/>
      <c r="AS32" s="419"/>
      <c r="AT32" s="418"/>
      <c r="AU32" s="418"/>
      <c r="AV32" s="420"/>
      <c r="AW32" s="451" t="str">
        <f>IF(AA32="","",SUMIF(SK!R$3:R$78,ROW(),SK!T$3:T$78))</f>
        <v/>
      </c>
      <c r="AX32" s="20"/>
      <c r="AY32" s="641" t="str">
        <f>IF(IGRF!H28="","",IGRF!H28)</f>
        <v/>
      </c>
      <c r="AZ32" s="638" t="str">
        <f>IF(IGRF!I28="","",IGRF!I28)</f>
        <v/>
      </c>
    </row>
    <row r="33" spans="1:52" ht="32.1" customHeight="1" thickBot="1" x14ac:dyDescent="0.35">
      <c r="A33" s="401" t="str">
        <f>IF(Score!A33="", "",Score!A33 )</f>
        <v/>
      </c>
      <c r="B33" s="405"/>
      <c r="C33" s="403" t="str">
        <f>IF(Score!B33="", "",Score!B33 )</f>
        <v/>
      </c>
      <c r="D33" s="418"/>
      <c r="E33" s="418"/>
      <c r="F33" s="418"/>
      <c r="G33" s="421"/>
      <c r="H33" s="418"/>
      <c r="I33" s="418"/>
      <c r="J33" s="418"/>
      <c r="K33" s="421"/>
      <c r="L33" s="418"/>
      <c r="M33" s="418"/>
      <c r="N33" s="418"/>
      <c r="O33" s="421"/>
      <c r="P33" s="418"/>
      <c r="Q33" s="418"/>
      <c r="R33" s="418"/>
      <c r="S33" s="421"/>
      <c r="T33" s="418"/>
      <c r="U33" s="418"/>
      <c r="V33" s="420"/>
      <c r="W33" s="451" t="str">
        <f>IF(A33="","",SUMIF(SK!B$3:B$78,ROW(),SK!D$3:D$78))</f>
        <v/>
      </c>
      <c r="X33" s="20"/>
      <c r="Z33" s="20"/>
      <c r="AA33" s="405" t="str">
        <f>IF(Score!T33="", "",Score!T33 )</f>
        <v/>
      </c>
      <c r="AB33" s="405"/>
      <c r="AC33" s="403" t="str">
        <f>IF(Score!U33="", "",Score!U33 )</f>
        <v/>
      </c>
      <c r="AD33" s="418"/>
      <c r="AE33" s="418"/>
      <c r="AF33" s="418"/>
      <c r="AG33" s="421"/>
      <c r="AH33" s="418"/>
      <c r="AI33" s="418"/>
      <c r="AJ33" s="418"/>
      <c r="AK33" s="421"/>
      <c r="AL33" s="418"/>
      <c r="AM33" s="418"/>
      <c r="AN33" s="418"/>
      <c r="AO33" s="421"/>
      <c r="AP33" s="418"/>
      <c r="AQ33" s="418"/>
      <c r="AR33" s="418"/>
      <c r="AS33" s="421"/>
      <c r="AT33" s="418"/>
      <c r="AU33" s="418"/>
      <c r="AV33" s="420"/>
      <c r="AW33" s="451" t="str">
        <f>IF(AA33="","",SUMIF(SK!R$3:R$78,ROW(),SK!T$3:T$78))</f>
        <v/>
      </c>
      <c r="AX33" s="20"/>
      <c r="AZ33" s="20"/>
    </row>
    <row r="34" spans="1:52" ht="32.1" customHeight="1" thickBot="1" x14ac:dyDescent="0.35">
      <c r="A34" s="400" t="str">
        <f>IF(Score!A34="", "",Score!A34 )</f>
        <v/>
      </c>
      <c r="B34" s="404"/>
      <c r="C34" s="402" t="str">
        <f>IF(Score!B34="", "",Score!B34 )</f>
        <v/>
      </c>
      <c r="D34" s="418"/>
      <c r="E34" s="418"/>
      <c r="F34" s="418"/>
      <c r="G34" s="419"/>
      <c r="H34" s="418"/>
      <c r="I34" s="418"/>
      <c r="J34" s="418"/>
      <c r="K34" s="419"/>
      <c r="L34" s="418"/>
      <c r="M34" s="418"/>
      <c r="N34" s="418"/>
      <c r="O34" s="419"/>
      <c r="P34" s="418"/>
      <c r="Q34" s="418"/>
      <c r="R34" s="418"/>
      <c r="S34" s="419"/>
      <c r="T34" s="418"/>
      <c r="U34" s="418"/>
      <c r="V34" s="420"/>
      <c r="W34" s="451" t="str">
        <f>IF(A34="","",SUMIF(SK!B$3:B$78,ROW(),SK!D$3:D$78))</f>
        <v/>
      </c>
      <c r="X34" s="20"/>
      <c r="Y34" s="641" t="str">
        <f>IF(IGRF!B29="","",IGRF!B29)</f>
        <v/>
      </c>
      <c r="Z34" s="638" t="str">
        <f>IF(IGRF!C29="","",IGRF!C29)</f>
        <v/>
      </c>
      <c r="AA34" s="404" t="str">
        <f>IF(Score!T34="", "",Score!T34 )</f>
        <v/>
      </c>
      <c r="AB34" s="404"/>
      <c r="AC34" s="402" t="str">
        <f>IF(Score!U34="", "",Score!U34 )</f>
        <v/>
      </c>
      <c r="AD34" s="418"/>
      <c r="AE34" s="418"/>
      <c r="AF34" s="418"/>
      <c r="AG34" s="419"/>
      <c r="AH34" s="418"/>
      <c r="AI34" s="418"/>
      <c r="AJ34" s="418"/>
      <c r="AK34" s="419"/>
      <c r="AL34" s="418"/>
      <c r="AM34" s="418"/>
      <c r="AN34" s="418"/>
      <c r="AO34" s="419"/>
      <c r="AP34" s="418"/>
      <c r="AQ34" s="418"/>
      <c r="AR34" s="418"/>
      <c r="AS34" s="419"/>
      <c r="AT34" s="418"/>
      <c r="AU34" s="418"/>
      <c r="AV34" s="420"/>
      <c r="AW34" s="451" t="str">
        <f>IF(AA34="","",SUMIF(SK!R$3:R$78,ROW(),SK!T$3:T$78))</f>
        <v/>
      </c>
      <c r="AX34" s="20"/>
      <c r="AY34" s="641" t="str">
        <f>IF(IGRF!H29="","",IGRF!H29)</f>
        <v/>
      </c>
      <c r="AZ34" s="638" t="str">
        <f>IF(IGRF!I29="","",IGRF!I29)</f>
        <v/>
      </c>
    </row>
    <row r="35" spans="1:52" ht="32.1" customHeight="1" thickBot="1" x14ac:dyDescent="0.35">
      <c r="A35" s="401" t="str">
        <f>IF(Score!A35="", "",Score!A35 )</f>
        <v/>
      </c>
      <c r="B35" s="405"/>
      <c r="C35" s="403" t="str">
        <f>IF(Score!B35="", "",Score!B35 )</f>
        <v/>
      </c>
      <c r="D35" s="418"/>
      <c r="E35" s="418"/>
      <c r="F35" s="418"/>
      <c r="G35" s="421"/>
      <c r="H35" s="418"/>
      <c r="I35" s="418"/>
      <c r="J35" s="418"/>
      <c r="K35" s="421"/>
      <c r="L35" s="418"/>
      <c r="M35" s="418"/>
      <c r="N35" s="418"/>
      <c r="O35" s="421"/>
      <c r="P35" s="418"/>
      <c r="Q35" s="418"/>
      <c r="R35" s="418"/>
      <c r="S35" s="421"/>
      <c r="T35" s="418"/>
      <c r="U35" s="418"/>
      <c r="V35" s="420"/>
      <c r="W35" s="451" t="str">
        <f>IF(A35="","",SUMIF(SK!B$3:B$78,ROW(),SK!D$3:D$78))</f>
        <v/>
      </c>
      <c r="X35" s="20"/>
      <c r="Y35" s="641"/>
      <c r="Z35" s="638"/>
      <c r="AA35" s="405" t="str">
        <f>IF(Score!T35="", "",Score!T35 )</f>
        <v/>
      </c>
      <c r="AB35" s="405"/>
      <c r="AC35" s="403" t="str">
        <f>IF(Score!U35="", "",Score!U35 )</f>
        <v/>
      </c>
      <c r="AD35" s="418"/>
      <c r="AE35" s="418"/>
      <c r="AF35" s="418"/>
      <c r="AG35" s="421"/>
      <c r="AH35" s="418"/>
      <c r="AI35" s="418"/>
      <c r="AJ35" s="418"/>
      <c r="AK35" s="421"/>
      <c r="AL35" s="418"/>
      <c r="AM35" s="418"/>
      <c r="AN35" s="418"/>
      <c r="AO35" s="421"/>
      <c r="AP35" s="418"/>
      <c r="AQ35" s="418"/>
      <c r="AR35" s="418"/>
      <c r="AS35" s="421"/>
      <c r="AT35" s="418"/>
      <c r="AU35" s="418"/>
      <c r="AV35" s="420"/>
      <c r="AW35" s="451" t="str">
        <f>IF(AA35="","",SUMIF(SK!R$3:R$78,ROW(),SK!T$3:T$78))</f>
        <v/>
      </c>
      <c r="AX35" s="20"/>
      <c r="AZ35" s="20"/>
    </row>
    <row r="36" spans="1:52" ht="32.1" customHeight="1" thickBot="1" x14ac:dyDescent="0.35">
      <c r="A36" s="400" t="str">
        <f>IF(Score!A36="", "",Score!A36 )</f>
        <v/>
      </c>
      <c r="B36" s="404"/>
      <c r="C36" s="402" t="str">
        <f>IF(Score!B36="", "",Score!B36 )</f>
        <v/>
      </c>
      <c r="D36" s="418"/>
      <c r="E36" s="418"/>
      <c r="F36" s="418"/>
      <c r="G36" s="419"/>
      <c r="H36" s="418"/>
      <c r="I36" s="418"/>
      <c r="J36" s="418"/>
      <c r="K36" s="419"/>
      <c r="L36" s="418"/>
      <c r="M36" s="418"/>
      <c r="N36" s="418"/>
      <c r="O36" s="419"/>
      <c r="P36" s="418"/>
      <c r="Q36" s="418"/>
      <c r="R36" s="418"/>
      <c r="S36" s="419"/>
      <c r="T36" s="418"/>
      <c r="U36" s="418"/>
      <c r="V36" s="420"/>
      <c r="W36" s="451" t="str">
        <f>IF(A36="","",SUMIF(SK!B$3:B$78,ROW(),SK!D$3:D$78))</f>
        <v/>
      </c>
      <c r="X36" s="20"/>
      <c r="Y36" s="641" t="str">
        <f>IF(IGRF!B30="","",IGRF!B30)</f>
        <v/>
      </c>
      <c r="Z36" s="638" t="str">
        <f>IF(IGRF!C30="","",IGRF!C30)</f>
        <v/>
      </c>
      <c r="AA36" s="404" t="str">
        <f>IF(Score!T36="", "",Score!T36 )</f>
        <v/>
      </c>
      <c r="AB36" s="404"/>
      <c r="AC36" s="402" t="str">
        <f>IF(Score!U36="", "",Score!U36 )</f>
        <v/>
      </c>
      <c r="AD36" s="418"/>
      <c r="AE36" s="418"/>
      <c r="AF36" s="418"/>
      <c r="AG36" s="419"/>
      <c r="AH36" s="418"/>
      <c r="AI36" s="418"/>
      <c r="AJ36" s="418"/>
      <c r="AK36" s="419"/>
      <c r="AL36" s="418"/>
      <c r="AM36" s="418"/>
      <c r="AN36" s="418"/>
      <c r="AO36" s="419"/>
      <c r="AP36" s="418"/>
      <c r="AQ36" s="418"/>
      <c r="AR36" s="418"/>
      <c r="AS36" s="419"/>
      <c r="AT36" s="418"/>
      <c r="AU36" s="418"/>
      <c r="AV36" s="420"/>
      <c r="AW36" s="451" t="str">
        <f>IF(AA36="","",SUMIF(SK!R$3:R$78,ROW(),SK!T$3:T$78))</f>
        <v/>
      </c>
      <c r="AX36" s="636"/>
      <c r="AY36" s="641" t="str">
        <f>IF(IGRF!H30="","",IGRF!H30)</f>
        <v/>
      </c>
      <c r="AZ36" s="638" t="str">
        <f>IF(IGRF!I30="","",IGRF!I30)</f>
        <v/>
      </c>
    </row>
    <row r="37" spans="1:52" ht="32.1" customHeight="1" thickBot="1" x14ac:dyDescent="0.35">
      <c r="A37" s="401" t="str">
        <f>IF(Score!A37="", "",Score!A37 )</f>
        <v/>
      </c>
      <c r="B37" s="405"/>
      <c r="C37" s="403" t="str">
        <f>IF(Score!B37="", "",Score!B37 )</f>
        <v/>
      </c>
      <c r="D37" s="418"/>
      <c r="E37" s="418"/>
      <c r="F37" s="418"/>
      <c r="G37" s="421"/>
      <c r="H37" s="418"/>
      <c r="I37" s="418"/>
      <c r="J37" s="418"/>
      <c r="K37" s="421"/>
      <c r="L37" s="418"/>
      <c r="M37" s="418"/>
      <c r="N37" s="418"/>
      <c r="O37" s="421"/>
      <c r="P37" s="418"/>
      <c r="Q37" s="418"/>
      <c r="R37" s="418"/>
      <c r="S37" s="421"/>
      <c r="T37" s="418"/>
      <c r="U37" s="418"/>
      <c r="V37" s="420"/>
      <c r="W37" s="451" t="str">
        <f>IF(A37="","",SUMIF(SK!B$3:B$78,ROW(),SK!D$3:D$78))</f>
        <v/>
      </c>
      <c r="X37" s="20"/>
      <c r="Y37" s="641"/>
      <c r="Z37" s="638"/>
      <c r="AA37" s="405" t="str">
        <f>IF(Score!T37="", "",Score!T37 )</f>
        <v/>
      </c>
      <c r="AB37" s="405"/>
      <c r="AC37" s="403" t="str">
        <f>IF(Score!U37="", "",Score!U37 )</f>
        <v/>
      </c>
      <c r="AD37" s="418"/>
      <c r="AE37" s="418"/>
      <c r="AF37" s="418"/>
      <c r="AG37" s="421"/>
      <c r="AH37" s="418"/>
      <c r="AI37" s="418"/>
      <c r="AJ37" s="418"/>
      <c r="AK37" s="421"/>
      <c r="AL37" s="418"/>
      <c r="AM37" s="418"/>
      <c r="AN37" s="418"/>
      <c r="AO37" s="421"/>
      <c r="AP37" s="418"/>
      <c r="AQ37" s="418"/>
      <c r="AR37" s="418"/>
      <c r="AS37" s="421"/>
      <c r="AT37" s="418"/>
      <c r="AU37" s="418"/>
      <c r="AV37" s="420"/>
      <c r="AW37" s="451" t="str">
        <f>IF(AA37="","",SUMIF(SK!R$3:R$78,ROW(),SK!T$3:T$78))</f>
        <v/>
      </c>
      <c r="AX37" s="635"/>
      <c r="AZ37" s="20"/>
    </row>
    <row r="38" spans="1:52" ht="32.1" customHeight="1" thickBot="1" x14ac:dyDescent="0.35">
      <c r="A38" s="400" t="str">
        <f>IF(Score!A38="", "",Score!A38 )</f>
        <v/>
      </c>
      <c r="B38" s="404"/>
      <c r="C38" s="402" t="str">
        <f>IF(Score!B38="", "",Score!B38 )</f>
        <v/>
      </c>
      <c r="D38" s="418"/>
      <c r="E38" s="418"/>
      <c r="F38" s="418"/>
      <c r="G38" s="419"/>
      <c r="H38" s="418"/>
      <c r="I38" s="418"/>
      <c r="J38" s="418"/>
      <c r="K38" s="419"/>
      <c r="L38" s="418"/>
      <c r="M38" s="418"/>
      <c r="N38" s="418"/>
      <c r="O38" s="419"/>
      <c r="P38" s="418"/>
      <c r="Q38" s="418"/>
      <c r="R38" s="418"/>
      <c r="S38" s="419"/>
      <c r="T38" s="418"/>
      <c r="U38" s="418"/>
      <c r="V38" s="420"/>
      <c r="W38" s="451" t="str">
        <f>IF(A38="","",SUMIF(SK!B$3:B$78,ROW(),SK!D$3:D$78))</f>
        <v/>
      </c>
      <c r="X38" s="20"/>
      <c r="Y38" s="641" t="str">
        <f>IF(IGRF!B31="","",IGRF!B31)</f>
        <v/>
      </c>
      <c r="Z38" s="638" t="str">
        <f>IF(IGRF!C31="","",IGRF!C31)</f>
        <v/>
      </c>
      <c r="AA38" s="404" t="str">
        <f>IF(Score!T38="", "",Score!T38 )</f>
        <v/>
      </c>
      <c r="AB38" s="404"/>
      <c r="AC38" s="402" t="str">
        <f>IF(Score!U38="", "",Score!U38 )</f>
        <v/>
      </c>
      <c r="AD38" s="418"/>
      <c r="AE38" s="418"/>
      <c r="AF38" s="418"/>
      <c r="AG38" s="419"/>
      <c r="AH38" s="418"/>
      <c r="AI38" s="418"/>
      <c r="AJ38" s="418"/>
      <c r="AK38" s="419"/>
      <c r="AL38" s="418"/>
      <c r="AM38" s="418"/>
      <c r="AN38" s="418"/>
      <c r="AO38" s="419"/>
      <c r="AP38" s="418"/>
      <c r="AQ38" s="418"/>
      <c r="AR38" s="418"/>
      <c r="AS38" s="419"/>
      <c r="AT38" s="418"/>
      <c r="AU38" s="418"/>
      <c r="AV38" s="420"/>
      <c r="AW38" s="451" t="str">
        <f>IF(AA38="","",SUMIF(SK!R$3:R$78,ROW(),SK!T$3:T$78))</f>
        <v/>
      </c>
      <c r="AX38" s="397"/>
      <c r="AY38" s="641" t="str">
        <f>IF(IGRF!H31="","",IGRF!H31)</f>
        <v/>
      </c>
      <c r="AZ38" s="638" t="str">
        <f>IF(IGRF!I31="","",IGRF!I31)</f>
        <v/>
      </c>
    </row>
    <row r="39" spans="1:52" ht="32.1" customHeight="1" thickBot="1" x14ac:dyDescent="0.35">
      <c r="A39" s="401" t="str">
        <f>IF(Score!A39="", "",Score!A39 )</f>
        <v/>
      </c>
      <c r="B39" s="405"/>
      <c r="C39" s="403" t="str">
        <f>IF(Score!B39="", "",Score!B39 )</f>
        <v/>
      </c>
      <c r="D39" s="418"/>
      <c r="E39" s="418"/>
      <c r="F39" s="418"/>
      <c r="G39" s="421"/>
      <c r="H39" s="418"/>
      <c r="I39" s="418"/>
      <c r="J39" s="418"/>
      <c r="K39" s="421"/>
      <c r="L39" s="418"/>
      <c r="M39" s="418"/>
      <c r="N39" s="418"/>
      <c r="O39" s="421"/>
      <c r="P39" s="418"/>
      <c r="Q39" s="418"/>
      <c r="R39" s="418"/>
      <c r="S39" s="421"/>
      <c r="T39" s="418"/>
      <c r="U39" s="418"/>
      <c r="V39" s="420"/>
      <c r="W39" s="451" t="str">
        <f>IF(A39="","",SUMIF(SK!B$3:B$78,ROW(),SK!D$3:D$78))</f>
        <v/>
      </c>
      <c r="X39" s="20"/>
      <c r="Y39" s="641"/>
      <c r="Z39" s="638"/>
      <c r="AA39" s="405" t="str">
        <f>IF(Score!T39="", "",Score!T39 )</f>
        <v/>
      </c>
      <c r="AB39" s="405"/>
      <c r="AC39" s="403" t="str">
        <f>IF(Score!U39="", "",Score!U39 )</f>
        <v/>
      </c>
      <c r="AD39" s="418"/>
      <c r="AE39" s="418"/>
      <c r="AF39" s="418"/>
      <c r="AG39" s="421"/>
      <c r="AH39" s="418"/>
      <c r="AI39" s="418"/>
      <c r="AJ39" s="418"/>
      <c r="AK39" s="421"/>
      <c r="AL39" s="418"/>
      <c r="AM39" s="418"/>
      <c r="AN39" s="418"/>
      <c r="AO39" s="421"/>
      <c r="AP39" s="418"/>
      <c r="AQ39" s="418"/>
      <c r="AR39" s="418"/>
      <c r="AS39" s="421"/>
      <c r="AT39" s="418"/>
      <c r="AU39" s="418"/>
      <c r="AV39" s="420"/>
      <c r="AW39" s="451" t="str">
        <f>IF(AA39="","",SUMIF(SK!R$3:R$78,ROW(),SK!T$3:T$78))</f>
        <v/>
      </c>
      <c r="AX39" s="397"/>
      <c r="AZ39" s="20"/>
    </row>
    <row r="40" spans="1:52" ht="32.1" customHeight="1" thickBot="1" x14ac:dyDescent="0.35">
      <c r="A40" s="400" t="str">
        <f>IF(Score!A40="", "",Score!A40 )</f>
        <v/>
      </c>
      <c r="B40" s="404"/>
      <c r="C40" s="402" t="str">
        <f>IF(Score!B40="", "",Score!B40 )</f>
        <v/>
      </c>
      <c r="D40" s="418"/>
      <c r="E40" s="418"/>
      <c r="F40" s="418"/>
      <c r="G40" s="419"/>
      <c r="H40" s="418"/>
      <c r="I40" s="418"/>
      <c r="J40" s="418"/>
      <c r="K40" s="419"/>
      <c r="L40" s="418"/>
      <c r="M40" s="418"/>
      <c r="N40" s="418"/>
      <c r="O40" s="419"/>
      <c r="P40" s="418"/>
      <c r="Q40" s="418"/>
      <c r="R40" s="418"/>
      <c r="S40" s="419"/>
      <c r="T40" s="418"/>
      <c r="U40" s="418"/>
      <c r="V40" s="420"/>
      <c r="W40" s="451" t="str">
        <f>IF(A40="","",SUMIF(SK!B$3:B$78,ROW(),SK!D$3:D$78))</f>
        <v/>
      </c>
      <c r="X40" s="20"/>
      <c r="Y40" s="641" t="str">
        <f>IF(IGRF!B32="","",IGRF!B32)</f>
        <v/>
      </c>
      <c r="Z40" s="638" t="str">
        <f>IF(IGRF!C32="","",IGRF!C32)</f>
        <v/>
      </c>
      <c r="AA40" s="404" t="str">
        <f>IF(Score!T40="", "",Score!T40 )</f>
        <v/>
      </c>
      <c r="AB40" s="404"/>
      <c r="AC40" s="402" t="str">
        <f>IF(Score!U40="", "",Score!U40 )</f>
        <v/>
      </c>
      <c r="AD40" s="418"/>
      <c r="AE40" s="418"/>
      <c r="AF40" s="418"/>
      <c r="AG40" s="419"/>
      <c r="AH40" s="418"/>
      <c r="AI40" s="418"/>
      <c r="AJ40" s="418"/>
      <c r="AK40" s="419"/>
      <c r="AL40" s="418"/>
      <c r="AM40" s="418"/>
      <c r="AN40" s="418"/>
      <c r="AO40" s="419"/>
      <c r="AP40" s="418"/>
      <c r="AQ40" s="418"/>
      <c r="AR40" s="418"/>
      <c r="AS40" s="419"/>
      <c r="AT40" s="418"/>
      <c r="AU40" s="418"/>
      <c r="AV40" s="420"/>
      <c r="AW40" s="451" t="str">
        <f>IF(AA40="","",SUMIF(SK!R$3:R$78,ROW(),SK!T$3:T$78))</f>
        <v/>
      </c>
      <c r="AX40" s="399"/>
      <c r="AY40" s="641" t="str">
        <f>IF(IGRF!H32="","",IGRF!H32)</f>
        <v/>
      </c>
      <c r="AZ40" s="638" t="str">
        <f>IF(IGRF!I32="","",IGRF!I32)</f>
        <v/>
      </c>
    </row>
    <row r="41" spans="1:52" ht="32.1" customHeight="1" thickBot="1" x14ac:dyDescent="0.35">
      <c r="A41" s="401" t="str">
        <f>IF(Score!A41="", "",Score!A41 )</f>
        <v/>
      </c>
      <c r="B41" s="405"/>
      <c r="C41" s="403" t="str">
        <f>IF(Score!B41="", "",Score!B41 )</f>
        <v/>
      </c>
      <c r="D41" s="418"/>
      <c r="E41" s="418"/>
      <c r="F41" s="418"/>
      <c r="G41" s="421"/>
      <c r="H41" s="418"/>
      <c r="I41" s="418"/>
      <c r="J41" s="418"/>
      <c r="K41" s="421"/>
      <c r="L41" s="418"/>
      <c r="M41" s="418"/>
      <c r="N41" s="418"/>
      <c r="O41" s="421"/>
      <c r="P41" s="418"/>
      <c r="Q41" s="418"/>
      <c r="R41" s="418"/>
      <c r="S41" s="421"/>
      <c r="T41" s="418"/>
      <c r="U41" s="418"/>
      <c r="V41" s="420"/>
      <c r="W41" s="451" t="str">
        <f>IF(A41="","",SUMIF(SK!B$3:B$78,ROW(),SK!D$3:D$78))</f>
        <v/>
      </c>
      <c r="X41" s="20"/>
      <c r="Y41" s="641" t="str">
        <f>IF(IGRF!B33="","",IGRF!B33)</f>
        <v/>
      </c>
      <c r="Z41" s="639" t="str">
        <f>IF(IGRF!C33="","",IGRF!C33)</f>
        <v/>
      </c>
      <c r="AA41" s="405" t="str">
        <f>IF(Score!T41="", "",Score!T41 )</f>
        <v/>
      </c>
      <c r="AB41" s="405"/>
      <c r="AC41" s="403" t="str">
        <f>IF(Score!U41="", "",Score!U41 )</f>
        <v/>
      </c>
      <c r="AD41" s="418"/>
      <c r="AE41" s="418"/>
      <c r="AF41" s="418"/>
      <c r="AG41" s="421"/>
      <c r="AH41" s="418"/>
      <c r="AI41" s="418"/>
      <c r="AJ41" s="418"/>
      <c r="AK41" s="421"/>
      <c r="AL41" s="418"/>
      <c r="AM41" s="418"/>
      <c r="AN41" s="418"/>
      <c r="AO41" s="421"/>
      <c r="AP41" s="418"/>
      <c r="AQ41" s="418"/>
      <c r="AR41" s="418"/>
      <c r="AS41" s="421"/>
      <c r="AT41" s="418"/>
      <c r="AU41" s="418"/>
      <c r="AV41" s="420"/>
      <c r="AW41" s="451" t="str">
        <f>IF(AA41="","",SUMIF(SK!R$3:R$78,ROW(),SK!T$3:T$78))</f>
        <v/>
      </c>
      <c r="AX41" s="398"/>
      <c r="AY41" s="641" t="str">
        <f>IF(IGRF!H33="","",IGRF!H33)</f>
        <v/>
      </c>
      <c r="AZ41" s="639" t="str">
        <f>IF(IGRF!I33="","",IGRF!I33)</f>
        <v/>
      </c>
    </row>
    <row r="42" spans="1:52" s="417" customFormat="1" ht="15" customHeight="1" x14ac:dyDescent="0.3">
      <c r="A42" s="990" t="s">
        <v>468</v>
      </c>
      <c r="B42" s="990"/>
      <c r="C42" s="990"/>
      <c r="D42" s="990"/>
      <c r="E42" s="990"/>
      <c r="F42" s="990"/>
      <c r="G42" s="990"/>
      <c r="H42" s="990"/>
      <c r="I42" s="990"/>
      <c r="J42" s="990"/>
      <c r="K42" s="990"/>
      <c r="L42" s="990"/>
      <c r="M42" s="990"/>
      <c r="N42" s="990"/>
      <c r="O42" s="990"/>
      <c r="P42" s="990"/>
      <c r="Q42" s="990"/>
      <c r="R42" s="990"/>
      <c r="S42" s="990"/>
      <c r="T42" s="990"/>
      <c r="U42" s="990"/>
      <c r="V42" s="990"/>
      <c r="W42" s="990"/>
      <c r="X42" s="990"/>
      <c r="Y42" s="990"/>
      <c r="Z42" s="990"/>
      <c r="AA42" s="990" t="s">
        <v>468</v>
      </c>
      <c r="AB42" s="990"/>
      <c r="AC42" s="990"/>
      <c r="AD42" s="990"/>
      <c r="AE42" s="990"/>
      <c r="AF42" s="990"/>
      <c r="AG42" s="990"/>
      <c r="AH42" s="990"/>
      <c r="AI42" s="990"/>
      <c r="AJ42" s="990"/>
      <c r="AK42" s="990"/>
      <c r="AL42" s="990"/>
      <c r="AM42" s="990"/>
      <c r="AN42" s="990"/>
      <c r="AO42" s="990"/>
      <c r="AP42" s="990"/>
      <c r="AQ42" s="990"/>
      <c r="AR42" s="990"/>
      <c r="AS42" s="990"/>
      <c r="AT42" s="990"/>
      <c r="AU42" s="990"/>
      <c r="AV42" s="990"/>
      <c r="AW42" s="990"/>
      <c r="AX42" s="990"/>
      <c r="AY42" s="990"/>
      <c r="AZ42" s="990"/>
    </row>
    <row r="43" spans="1:52" ht="30" customHeight="1" x14ac:dyDescent="0.45">
      <c r="A43" s="983" t="str">
        <f>A1</f>
        <v>Tri-City Roller Derby / Plan B</v>
      </c>
      <c r="B43" s="983"/>
      <c r="C43" s="983"/>
      <c r="D43" s="983"/>
      <c r="E43" s="983"/>
      <c r="F43" s="983"/>
      <c r="G43" s="983"/>
      <c r="H43" s="985" t="s">
        <v>641</v>
      </c>
      <c r="I43" s="985"/>
      <c r="J43" s="985"/>
      <c r="K43" s="985"/>
      <c r="L43" s="985"/>
      <c r="M43" s="985"/>
      <c r="N43" s="985"/>
      <c r="O43" s="985"/>
      <c r="P43" s="986">
        <f>P1</f>
        <v>42105</v>
      </c>
      <c r="Q43" s="986"/>
      <c r="R43" s="986"/>
      <c r="S43" s="986"/>
      <c r="T43" s="988">
        <v>2</v>
      </c>
      <c r="U43" s="988"/>
      <c r="V43" s="988"/>
      <c r="W43" s="452"/>
      <c r="X43" s="980" t="str">
        <f>X1</f>
        <v>Black</v>
      </c>
      <c r="Y43" s="980"/>
      <c r="Z43" s="980"/>
      <c r="AA43" s="983" t="str">
        <f>AA1</f>
        <v>Hammer City Roller Girls / Harlots</v>
      </c>
      <c r="AB43" s="983"/>
      <c r="AC43" s="983"/>
      <c r="AD43" s="983"/>
      <c r="AE43" s="983"/>
      <c r="AF43" s="983"/>
      <c r="AG43" s="983"/>
      <c r="AH43" s="985" t="s">
        <v>642</v>
      </c>
      <c r="AI43" s="985"/>
      <c r="AJ43" s="985"/>
      <c r="AK43" s="985"/>
      <c r="AL43" s="985"/>
      <c r="AM43" s="985"/>
      <c r="AN43" s="985"/>
      <c r="AO43" s="985"/>
      <c r="AP43" s="986">
        <f>P1</f>
        <v>42105</v>
      </c>
      <c r="AQ43" s="986"/>
      <c r="AR43" s="986"/>
      <c r="AS43" s="986"/>
      <c r="AT43" s="988">
        <v>2</v>
      </c>
      <c r="AU43" s="988"/>
      <c r="AV43" s="988"/>
      <c r="AW43" s="452"/>
      <c r="AX43" s="980" t="str">
        <f>AX1</f>
        <v>White</v>
      </c>
      <c r="AY43" s="980"/>
      <c r="AZ43" s="980"/>
    </row>
    <row r="44" spans="1:52" ht="15" customHeight="1" thickBot="1" x14ac:dyDescent="0.35">
      <c r="A44" s="984"/>
      <c r="B44" s="984"/>
      <c r="C44" s="984"/>
      <c r="D44" s="984"/>
      <c r="E44" s="984"/>
      <c r="F44" s="984"/>
      <c r="G44" s="984"/>
      <c r="H44" s="981" t="s">
        <v>240</v>
      </c>
      <c r="I44" s="981"/>
      <c r="J44" s="981"/>
      <c r="K44" s="981"/>
      <c r="L44" s="981"/>
      <c r="M44" s="981"/>
      <c r="N44" s="981"/>
      <c r="O44" s="981"/>
      <c r="P44" s="982" t="s">
        <v>248</v>
      </c>
      <c r="Q44" s="982"/>
      <c r="R44" s="982"/>
      <c r="S44" s="982"/>
      <c r="T44" s="989" t="str">
        <f>T2</f>
        <v>GAME 2</v>
      </c>
      <c r="U44" s="989"/>
      <c r="V44" s="989"/>
      <c r="W44" s="453"/>
      <c r="X44" s="981" t="s">
        <v>245</v>
      </c>
      <c r="Y44" s="981"/>
      <c r="Z44" s="981"/>
      <c r="AA44" s="984"/>
      <c r="AB44" s="984"/>
      <c r="AC44" s="984"/>
      <c r="AD44" s="984"/>
      <c r="AE44" s="984"/>
      <c r="AF44" s="984"/>
      <c r="AG44" s="984"/>
      <c r="AH44" s="981" t="s">
        <v>240</v>
      </c>
      <c r="AI44" s="981"/>
      <c r="AJ44" s="981"/>
      <c r="AK44" s="981"/>
      <c r="AL44" s="981"/>
      <c r="AM44" s="981"/>
      <c r="AN44" s="981"/>
      <c r="AO44" s="981"/>
      <c r="AP44" s="982" t="s">
        <v>248</v>
      </c>
      <c r="AQ44" s="982"/>
      <c r="AR44" s="982"/>
      <c r="AS44" s="982"/>
      <c r="AT44" s="989" t="str">
        <f>T2</f>
        <v>GAME 2</v>
      </c>
      <c r="AU44" s="989"/>
      <c r="AV44" s="989"/>
      <c r="AW44" s="453"/>
      <c r="AX44" s="981" t="s">
        <v>245</v>
      </c>
      <c r="AY44" s="981"/>
      <c r="AZ44" s="981"/>
    </row>
    <row r="45" spans="1:52" ht="13.5" customHeight="1" thickBot="1" x14ac:dyDescent="0.35">
      <c r="A45" s="394" t="s">
        <v>370</v>
      </c>
      <c r="B45" s="395" t="s">
        <v>246</v>
      </c>
      <c r="C45" s="396" t="s">
        <v>124</v>
      </c>
      <c r="D45" s="987" t="s">
        <v>371</v>
      </c>
      <c r="E45" s="987"/>
      <c r="F45" s="987"/>
      <c r="G45" s="396" t="s">
        <v>122</v>
      </c>
      <c r="H45" s="987" t="s">
        <v>371</v>
      </c>
      <c r="I45" s="987"/>
      <c r="J45" s="987"/>
      <c r="K45" s="396" t="s">
        <v>123</v>
      </c>
      <c r="L45" s="987" t="s">
        <v>371</v>
      </c>
      <c r="M45" s="987"/>
      <c r="N45" s="987"/>
      <c r="O45" s="396" t="s">
        <v>123</v>
      </c>
      <c r="P45" s="987" t="s">
        <v>371</v>
      </c>
      <c r="Q45" s="987"/>
      <c r="R45" s="987"/>
      <c r="S45" s="396" t="s">
        <v>123</v>
      </c>
      <c r="T45" s="987" t="s">
        <v>371</v>
      </c>
      <c r="U45" s="987"/>
      <c r="V45" s="987"/>
      <c r="W45" s="454"/>
      <c r="X45" s="991" t="s">
        <v>241</v>
      </c>
      <c r="Y45" s="992"/>
      <c r="Z45" s="993"/>
      <c r="AA45" s="394" t="s">
        <v>370</v>
      </c>
      <c r="AB45" s="395" t="s">
        <v>246</v>
      </c>
      <c r="AC45" s="396" t="s">
        <v>124</v>
      </c>
      <c r="AD45" s="987" t="s">
        <v>371</v>
      </c>
      <c r="AE45" s="987"/>
      <c r="AF45" s="987"/>
      <c r="AG45" s="396" t="s">
        <v>122</v>
      </c>
      <c r="AH45" s="987" t="s">
        <v>371</v>
      </c>
      <c r="AI45" s="987"/>
      <c r="AJ45" s="987"/>
      <c r="AK45" s="396" t="s">
        <v>123</v>
      </c>
      <c r="AL45" s="987" t="s">
        <v>371</v>
      </c>
      <c r="AM45" s="987"/>
      <c r="AN45" s="987"/>
      <c r="AO45" s="396" t="s">
        <v>123</v>
      </c>
      <c r="AP45" s="987" t="s">
        <v>371</v>
      </c>
      <c r="AQ45" s="987"/>
      <c r="AR45" s="987"/>
      <c r="AS45" s="396" t="s">
        <v>123</v>
      </c>
      <c r="AT45" s="987" t="s">
        <v>371</v>
      </c>
      <c r="AU45" s="987"/>
      <c r="AV45" s="987"/>
      <c r="AW45" s="454"/>
      <c r="AX45" s="991" t="s">
        <v>241</v>
      </c>
      <c r="AY45" s="994"/>
      <c r="AZ45" s="995"/>
    </row>
    <row r="46" spans="1:52" ht="32.1" customHeight="1" thickBot="1" x14ac:dyDescent="0.35">
      <c r="A46" s="400">
        <f>IF(Score!A46="", "",Score!A46 )</f>
        <v>1</v>
      </c>
      <c r="B46" s="404"/>
      <c r="C46" s="402" t="str">
        <f>IF(Score!B46="", "",Score!B46 )</f>
        <v>4</v>
      </c>
      <c r="D46" s="418"/>
      <c r="E46" s="418"/>
      <c r="F46" s="418"/>
      <c r="G46" s="419" t="s">
        <v>576</v>
      </c>
      <c r="H46" s="418"/>
      <c r="I46" s="418"/>
      <c r="J46" s="418"/>
      <c r="K46" s="419" t="s">
        <v>584</v>
      </c>
      <c r="L46" s="418"/>
      <c r="M46" s="418"/>
      <c r="N46" s="418"/>
      <c r="O46" s="419" t="s">
        <v>596</v>
      </c>
      <c r="P46" s="418"/>
      <c r="Q46" s="418"/>
      <c r="R46" s="418"/>
      <c r="S46" s="419" t="s">
        <v>598</v>
      </c>
      <c r="T46" s="418"/>
      <c r="U46" s="418"/>
      <c r="V46" s="420"/>
      <c r="W46" s="451">
        <f ca="1">IF(A46="","",SUMIF(SK!B$88:B$163,ROW(),SK!D$88:D$163))</f>
        <v>15</v>
      </c>
      <c r="X46" s="20"/>
      <c r="Y46" s="641" t="str">
        <f>Y4</f>
        <v>0</v>
      </c>
      <c r="Z46" s="638" t="str">
        <f>Z4</f>
        <v>Andi Slamberg</v>
      </c>
      <c r="AA46" s="404">
        <f>IF(Score!T46="", "",Score!T46 )</f>
        <v>1</v>
      </c>
      <c r="AB46" s="404"/>
      <c r="AC46" s="402" t="str">
        <f>IF(Score!U46="", "",Score!U46 )</f>
        <v>58</v>
      </c>
      <c r="AD46" s="418"/>
      <c r="AE46" s="418"/>
      <c r="AF46" s="418"/>
      <c r="AG46" s="419" t="s">
        <v>650</v>
      </c>
      <c r="AH46" s="418"/>
      <c r="AI46" s="418"/>
      <c r="AJ46" s="418"/>
      <c r="AK46" s="419" t="s">
        <v>664</v>
      </c>
      <c r="AL46" s="418"/>
      <c r="AM46" s="418"/>
      <c r="AN46" s="418"/>
      <c r="AO46" s="419" t="s">
        <v>625</v>
      </c>
      <c r="AP46" s="418"/>
      <c r="AQ46" s="418"/>
      <c r="AR46" s="418"/>
      <c r="AS46" s="419" t="s">
        <v>614</v>
      </c>
      <c r="AT46" s="418"/>
      <c r="AU46" s="418"/>
      <c r="AV46" s="420"/>
      <c r="AW46" s="451">
        <f ca="1">IF(AA46="","",SUMIF(SK!R$88:R$163,ROW(),SK!T$88:T$163))</f>
        <v>0</v>
      </c>
      <c r="AX46" s="20"/>
      <c r="AY46" s="641" t="str">
        <f>AY4</f>
        <v>11</v>
      </c>
      <c r="AZ46" s="640" t="str">
        <f>AZ4</f>
        <v>Typhoid Maggie</v>
      </c>
    </row>
    <row r="47" spans="1:52" ht="32.1" customHeight="1" thickBot="1" x14ac:dyDescent="0.35">
      <c r="A47" s="401">
        <f>IF(Score!A47="", "",Score!A47 )</f>
        <v>2</v>
      </c>
      <c r="B47" s="405"/>
      <c r="C47" s="403" t="str">
        <f>IF(Score!B47="", "",Score!B47 )</f>
        <v>19</v>
      </c>
      <c r="D47" s="418"/>
      <c r="E47" s="418"/>
      <c r="F47" s="418"/>
      <c r="G47" s="421" t="s">
        <v>602</v>
      </c>
      <c r="H47" s="418"/>
      <c r="I47" s="418"/>
      <c r="J47" s="418"/>
      <c r="K47" s="421" t="s">
        <v>586</v>
      </c>
      <c r="L47" s="418"/>
      <c r="M47" s="418"/>
      <c r="N47" s="418"/>
      <c r="O47" s="421" t="s">
        <v>594</v>
      </c>
      <c r="P47" s="418"/>
      <c r="Q47" s="418"/>
      <c r="R47" s="418"/>
      <c r="S47" s="421" t="s">
        <v>581</v>
      </c>
      <c r="T47" s="418"/>
      <c r="U47" s="418"/>
      <c r="V47" s="420"/>
      <c r="W47" s="451">
        <f ca="1">IF(A47="","",SUMIF(SK!B$88:B$163,ROW(),SK!D$88:D$163))</f>
        <v>7</v>
      </c>
      <c r="X47" s="20"/>
      <c r="Y47" s="641"/>
      <c r="Z47" s="638"/>
      <c r="AA47" s="405">
        <f>IF(Score!T47="", "",Score!T47 )</f>
        <v>2</v>
      </c>
      <c r="AB47" s="405"/>
      <c r="AC47" s="403" t="str">
        <f>IF(Score!U47="", "",Score!U47 )</f>
        <v>11G6</v>
      </c>
      <c r="AD47" s="418"/>
      <c r="AE47" s="418"/>
      <c r="AF47" s="418"/>
      <c r="AG47" s="421" t="s">
        <v>612</v>
      </c>
      <c r="AH47" s="418"/>
      <c r="AI47" s="418"/>
      <c r="AJ47" s="418"/>
      <c r="AK47" s="421" t="s">
        <v>604</v>
      </c>
      <c r="AL47" s="418"/>
      <c r="AM47" s="418"/>
      <c r="AN47" s="418"/>
      <c r="AO47" s="421" t="s">
        <v>608</v>
      </c>
      <c r="AP47" s="418" t="s">
        <v>663</v>
      </c>
      <c r="AQ47" s="418"/>
      <c r="AR47" s="418"/>
      <c r="AS47" s="421" t="s">
        <v>621</v>
      </c>
      <c r="AT47" s="418"/>
      <c r="AU47" s="418"/>
      <c r="AV47" s="420"/>
      <c r="AW47" s="451">
        <f ca="1">IF(AA47="","",SUMIF(SK!R$88:R$163,ROW(),SK!T$88:T$163))</f>
        <v>0</v>
      </c>
      <c r="AX47" s="20"/>
      <c r="AY47" s="641"/>
      <c r="AZ47" s="638"/>
    </row>
    <row r="48" spans="1:52" ht="32.1" customHeight="1" thickBot="1" x14ac:dyDescent="0.35">
      <c r="A48" s="400">
        <f>IF(Score!A48="", "",Score!A48 )</f>
        <v>3</v>
      </c>
      <c r="B48" s="404"/>
      <c r="C48" s="402" t="str">
        <f>IF(Score!B48="", "",Score!B48 )</f>
        <v>84</v>
      </c>
      <c r="D48" s="418" t="s">
        <v>140</v>
      </c>
      <c r="E48" s="418"/>
      <c r="F48" s="418"/>
      <c r="G48" s="419" t="s">
        <v>576</v>
      </c>
      <c r="H48" s="418"/>
      <c r="I48" s="418"/>
      <c r="J48" s="418"/>
      <c r="K48" s="419" t="s">
        <v>598</v>
      </c>
      <c r="L48" s="418" t="s">
        <v>140</v>
      </c>
      <c r="M48" s="418"/>
      <c r="N48" s="418"/>
      <c r="O48" s="419" t="s">
        <v>590</v>
      </c>
      <c r="P48" s="418"/>
      <c r="Q48" s="418"/>
      <c r="R48" s="418"/>
      <c r="S48" s="419" t="s">
        <v>584</v>
      </c>
      <c r="T48" s="418" t="s">
        <v>140</v>
      </c>
      <c r="U48" s="418"/>
      <c r="V48" s="420"/>
      <c r="W48" s="451">
        <f ca="1">IF(A48="","",SUMIF(SK!B$88:B$163,ROW(),SK!D$88:D$163))</f>
        <v>0</v>
      </c>
      <c r="X48" s="20"/>
      <c r="Y48" s="641" t="str">
        <f>Y6</f>
        <v>1321</v>
      </c>
      <c r="Z48" s="638" t="str">
        <f>Z6</f>
        <v>Kristy Skelton</v>
      </c>
      <c r="AA48" s="404">
        <f>IF(Score!T48="", "",Score!T48 )</f>
        <v>3</v>
      </c>
      <c r="AB48" s="404"/>
      <c r="AC48" s="402" t="str">
        <f>IF(Score!U48="", "",Score!U48 )</f>
        <v>K9</v>
      </c>
      <c r="AD48" s="418"/>
      <c r="AE48" s="418"/>
      <c r="AF48" s="418"/>
      <c r="AG48" s="419" t="s">
        <v>650</v>
      </c>
      <c r="AH48" s="418"/>
      <c r="AI48" s="418"/>
      <c r="AJ48" s="418"/>
      <c r="AK48" s="419" t="s">
        <v>664</v>
      </c>
      <c r="AL48" s="418"/>
      <c r="AM48" s="418"/>
      <c r="AN48" s="418"/>
      <c r="AO48" s="419" t="s">
        <v>608</v>
      </c>
      <c r="AP48" s="418" t="s">
        <v>140</v>
      </c>
      <c r="AQ48" s="418"/>
      <c r="AR48" s="418"/>
      <c r="AS48" s="419" t="s">
        <v>614</v>
      </c>
      <c r="AT48" s="418"/>
      <c r="AU48" s="418"/>
      <c r="AV48" s="420"/>
      <c r="AW48" s="451">
        <f ca="1">IF(AA48="","",SUMIF(SK!R$88:R$163,ROW(),SK!T$88:T$163))</f>
        <v>12</v>
      </c>
      <c r="AX48" s="20"/>
      <c r="AY48" s="641" t="str">
        <f>AY6</f>
        <v>11G6</v>
      </c>
      <c r="AZ48" s="638" t="str">
        <f>AZ6</f>
        <v>Fista Krusher</v>
      </c>
    </row>
    <row r="49" spans="1:52" ht="32.1" customHeight="1" thickBot="1" x14ac:dyDescent="0.35">
      <c r="A49" s="401">
        <f>IF(Score!A49="", "",Score!A49 )</f>
        <v>4</v>
      </c>
      <c r="B49" s="405"/>
      <c r="C49" s="403" t="str">
        <f>IF(Score!B49="", "",Score!B49 )</f>
        <v>4</v>
      </c>
      <c r="D49" s="418"/>
      <c r="E49" s="418"/>
      <c r="F49" s="418"/>
      <c r="G49" s="421" t="s">
        <v>602</v>
      </c>
      <c r="H49" s="418"/>
      <c r="I49" s="418"/>
      <c r="J49" s="418"/>
      <c r="K49" s="421" t="s">
        <v>586</v>
      </c>
      <c r="L49" s="418" t="s">
        <v>140</v>
      </c>
      <c r="M49" s="418"/>
      <c r="N49" s="418"/>
      <c r="O49" s="421" t="s">
        <v>594</v>
      </c>
      <c r="P49" s="418"/>
      <c r="Q49" s="418"/>
      <c r="R49" s="418"/>
      <c r="S49" s="421" t="s">
        <v>592</v>
      </c>
      <c r="T49" s="418"/>
      <c r="U49" s="418"/>
      <c r="V49" s="420"/>
      <c r="W49" s="451">
        <f ca="1">IF(A49="","",SUMIF(SK!B$88:B$163,ROW(),SK!D$88:D$163))</f>
        <v>4</v>
      </c>
      <c r="X49" s="20"/>
      <c r="Y49" s="641"/>
      <c r="Z49" s="638"/>
      <c r="AA49" s="405">
        <f>IF(Score!T49="", "",Score!T49 )</f>
        <v>4</v>
      </c>
      <c r="AB49" s="405"/>
      <c r="AC49" s="403" t="str">
        <f>IF(Score!U49="", "",Score!U49 )</f>
        <v>451</v>
      </c>
      <c r="AD49" s="418"/>
      <c r="AE49" s="418"/>
      <c r="AF49" s="418"/>
      <c r="AG49" s="421" t="s">
        <v>621</v>
      </c>
      <c r="AH49" s="418" t="s">
        <v>663</v>
      </c>
      <c r="AI49" s="418"/>
      <c r="AJ49" s="418"/>
      <c r="AK49" s="421" t="s">
        <v>604</v>
      </c>
      <c r="AL49" s="418"/>
      <c r="AM49" s="418"/>
      <c r="AN49" s="418"/>
      <c r="AO49" s="421" t="s">
        <v>627</v>
      </c>
      <c r="AP49" s="418"/>
      <c r="AQ49" s="418"/>
      <c r="AR49" s="418"/>
      <c r="AS49" s="421" t="s">
        <v>612</v>
      </c>
      <c r="AT49" s="418"/>
      <c r="AU49" s="418"/>
      <c r="AV49" s="420"/>
      <c r="AW49" s="451">
        <f ca="1">IF(AA49="","",SUMIF(SK!R$88:R$163,ROW(),SK!T$88:T$163))</f>
        <v>4</v>
      </c>
      <c r="AX49" s="20"/>
      <c r="AY49" s="641"/>
      <c r="AZ49" s="638"/>
    </row>
    <row r="50" spans="1:52" ht="32.1" customHeight="1" thickBot="1" x14ac:dyDescent="0.35">
      <c r="A50" s="400">
        <f>IF(Score!A50="", "",Score!A50 )</f>
        <v>5</v>
      </c>
      <c r="B50" s="404"/>
      <c r="C50" s="402" t="str">
        <f>IF(Score!B50="", "",Score!B50 )</f>
        <v>19</v>
      </c>
      <c r="D50" s="418"/>
      <c r="E50" s="418"/>
      <c r="F50" s="418"/>
      <c r="G50" s="419" t="s">
        <v>576</v>
      </c>
      <c r="H50" s="418"/>
      <c r="I50" s="418"/>
      <c r="J50" s="418"/>
      <c r="K50" s="419" t="s">
        <v>596</v>
      </c>
      <c r="L50" s="418" t="s">
        <v>140</v>
      </c>
      <c r="M50" s="418"/>
      <c r="N50" s="418"/>
      <c r="O50" s="419" t="s">
        <v>590</v>
      </c>
      <c r="P50" s="418"/>
      <c r="Q50" s="418"/>
      <c r="R50" s="418"/>
      <c r="S50" s="419" t="s">
        <v>598</v>
      </c>
      <c r="T50" s="418" t="s">
        <v>140</v>
      </c>
      <c r="U50" s="418"/>
      <c r="V50" s="420"/>
      <c r="W50" s="451">
        <f ca="1">IF(A50="","",SUMIF(SK!B$88:B$163,ROW(),SK!D$88:D$163))</f>
        <v>9</v>
      </c>
      <c r="X50" s="20"/>
      <c r="Y50" s="641" t="str">
        <f>Y8</f>
        <v>17</v>
      </c>
      <c r="Z50" s="638" t="str">
        <f>Z8</f>
        <v>Justine Sane</v>
      </c>
      <c r="AA50" s="404">
        <f>IF(Score!T50="", "",Score!T50 )</f>
        <v>5</v>
      </c>
      <c r="AB50" s="404"/>
      <c r="AC50" s="402" t="str">
        <f>IF(Score!U50="", "",Score!U50 )</f>
        <v>11G6</v>
      </c>
      <c r="AD50" s="418"/>
      <c r="AE50" s="418"/>
      <c r="AF50" s="418"/>
      <c r="AG50" s="419" t="s">
        <v>621</v>
      </c>
      <c r="AH50" s="418" t="s">
        <v>140</v>
      </c>
      <c r="AI50" s="418"/>
      <c r="AJ50" s="418"/>
      <c r="AK50" s="419" t="s">
        <v>650</v>
      </c>
      <c r="AL50" s="418"/>
      <c r="AM50" s="418"/>
      <c r="AN50" s="418"/>
      <c r="AO50" s="419" t="s">
        <v>664</v>
      </c>
      <c r="AP50" s="418"/>
      <c r="AQ50" s="418"/>
      <c r="AR50" s="418"/>
      <c r="AS50" s="419" t="s">
        <v>614</v>
      </c>
      <c r="AT50" s="418"/>
      <c r="AU50" s="418"/>
      <c r="AV50" s="420"/>
      <c r="AW50" s="451">
        <f ca="1">IF(AA50="","",SUMIF(SK!R$88:R$163,ROW(),SK!T$88:T$163))</f>
        <v>0</v>
      </c>
      <c r="AX50" s="20"/>
      <c r="AY50" s="641" t="str">
        <f>AY8</f>
        <v>152</v>
      </c>
      <c r="AZ50" s="638" t="str">
        <f>AZ8</f>
        <v>Hitty Pryde</v>
      </c>
    </row>
    <row r="51" spans="1:52" ht="32.1" customHeight="1" thickBot="1" x14ac:dyDescent="0.35">
      <c r="A51" s="401" t="str">
        <f>IF(Score!A51="", "",Score!A51 )</f>
        <v>SP*</v>
      </c>
      <c r="B51" s="405"/>
      <c r="C51" s="403" t="str">
        <f>IF(Score!B51="", "",Score!B51 )</f>
        <v/>
      </c>
      <c r="D51" s="418"/>
      <c r="E51" s="418"/>
      <c r="F51" s="418"/>
      <c r="G51" s="421"/>
      <c r="H51" s="418"/>
      <c r="I51" s="418"/>
      <c r="J51" s="418"/>
      <c r="K51" s="421"/>
      <c r="L51" s="418"/>
      <c r="M51" s="418"/>
      <c r="N51" s="418"/>
      <c r="O51" s="421"/>
      <c r="P51" s="418"/>
      <c r="Q51" s="418"/>
      <c r="R51" s="418"/>
      <c r="S51" s="421"/>
      <c r="T51" s="418"/>
      <c r="U51" s="418"/>
      <c r="V51" s="420"/>
      <c r="W51" s="451">
        <f ca="1">IF(A51="","",SUMIF(SK!B$88:B$163,ROW(),SK!D$88:D$163))</f>
        <v>0</v>
      </c>
      <c r="X51" s="20"/>
      <c r="Y51" s="641"/>
      <c r="Z51" s="638"/>
      <c r="AA51" s="405" t="str">
        <f>IF(Score!T51="", "",Score!T51 )</f>
        <v>SP</v>
      </c>
      <c r="AB51" s="405"/>
      <c r="AC51" s="403" t="str">
        <f>IF(Score!U51="", "",Score!U51 )</f>
        <v>519</v>
      </c>
      <c r="AD51" s="418"/>
      <c r="AE51" s="418"/>
      <c r="AF51" s="418"/>
      <c r="AG51" s="421"/>
      <c r="AH51" s="418"/>
      <c r="AI51" s="418"/>
      <c r="AJ51" s="418"/>
      <c r="AK51" s="421"/>
      <c r="AL51" s="418"/>
      <c r="AM51" s="418"/>
      <c r="AN51" s="418"/>
      <c r="AO51" s="421"/>
      <c r="AP51" s="418"/>
      <c r="AQ51" s="418"/>
      <c r="AR51" s="418"/>
      <c r="AS51" s="421"/>
      <c r="AT51" s="418"/>
      <c r="AU51" s="418"/>
      <c r="AV51" s="420"/>
      <c r="AW51" s="451">
        <f ca="1">IF(AA51="","",SUMIF(SK!R$88:R$163,ROW(),SK!T$88:T$163))</f>
        <v>8</v>
      </c>
      <c r="AX51" s="20"/>
      <c r="AY51" s="641"/>
      <c r="AZ51" s="638"/>
    </row>
    <row r="52" spans="1:52" ht="32.1" customHeight="1" thickBot="1" x14ac:dyDescent="0.35">
      <c r="A52" s="400">
        <f>IF(Score!A52="", "",Score!A52 )</f>
        <v>6</v>
      </c>
      <c r="B52" s="404"/>
      <c r="C52" s="402" t="str">
        <f>IF(Score!B52="", "",Score!B52 )</f>
        <v>20</v>
      </c>
      <c r="D52" s="418"/>
      <c r="E52" s="418"/>
      <c r="F52" s="418"/>
      <c r="G52" s="419" t="s">
        <v>602</v>
      </c>
      <c r="H52" s="418"/>
      <c r="I52" s="418"/>
      <c r="J52" s="418"/>
      <c r="K52" s="419" t="s">
        <v>586</v>
      </c>
      <c r="L52" s="418"/>
      <c r="M52" s="418"/>
      <c r="N52" s="418"/>
      <c r="O52" s="419" t="s">
        <v>592</v>
      </c>
      <c r="P52" s="418"/>
      <c r="Q52" s="418"/>
      <c r="R52" s="418"/>
      <c r="S52" s="419" t="s">
        <v>594</v>
      </c>
      <c r="T52" s="418"/>
      <c r="U52" s="418"/>
      <c r="V52" s="420"/>
      <c r="W52" s="451">
        <f ca="1">IF(A52="","",SUMIF(SK!B$88:B$163,ROW(),SK!D$88:D$163))</f>
        <v>30</v>
      </c>
      <c r="X52" s="20"/>
      <c r="Y52" s="641" t="str">
        <f>Y10</f>
        <v>19</v>
      </c>
      <c r="Z52" s="638" t="str">
        <f>Z10</f>
        <v>Lippy Wrongstockings</v>
      </c>
      <c r="AA52" s="404">
        <f>IF(Score!T52="", "",Score!T52 )</f>
        <v>6</v>
      </c>
      <c r="AB52" s="404"/>
      <c r="AC52" s="402" t="str">
        <f>IF(Score!U52="", "",Score!U52 )</f>
        <v>58</v>
      </c>
      <c r="AD52" s="418"/>
      <c r="AE52" s="418"/>
      <c r="AF52" s="418"/>
      <c r="AG52" s="419" t="s">
        <v>612</v>
      </c>
      <c r="AH52" s="418"/>
      <c r="AI52" s="418"/>
      <c r="AJ52" s="418"/>
      <c r="AK52" s="419" t="s">
        <v>604</v>
      </c>
      <c r="AL52" s="418"/>
      <c r="AM52" s="418"/>
      <c r="AN52" s="418"/>
      <c r="AO52" s="419" t="s">
        <v>625</v>
      </c>
      <c r="AP52" s="418"/>
      <c r="AQ52" s="418"/>
      <c r="AR52" s="418"/>
      <c r="AS52" s="419" t="s">
        <v>664</v>
      </c>
      <c r="AT52" s="418"/>
      <c r="AU52" s="418"/>
      <c r="AV52" s="420"/>
      <c r="AW52" s="451">
        <f ca="1">IF(AA52="","",SUMIF(SK!R$88:R$163,ROW(),SK!T$88:T$163))</f>
        <v>0</v>
      </c>
      <c r="AX52" s="20"/>
      <c r="AY52" s="641" t="str">
        <f>AY10</f>
        <v xml:space="preserve">237 </v>
      </c>
      <c r="AZ52" s="638" t="str">
        <f>AZ10</f>
        <v>GuilloTina</v>
      </c>
    </row>
    <row r="53" spans="1:52" ht="32.1" customHeight="1" thickBot="1" x14ac:dyDescent="0.35">
      <c r="A53" s="401" t="str">
        <f>IF(Score!A53="", "",Score!A53 )</f>
        <v>SP*</v>
      </c>
      <c r="B53" s="405"/>
      <c r="C53" s="403" t="str">
        <f>IF(Score!B53="", "",Score!B53 )</f>
        <v/>
      </c>
      <c r="D53" s="418"/>
      <c r="E53" s="418"/>
      <c r="F53" s="418"/>
      <c r="G53" s="421"/>
      <c r="H53" s="418"/>
      <c r="I53" s="418"/>
      <c r="J53" s="418"/>
      <c r="K53" s="421"/>
      <c r="L53" s="418"/>
      <c r="M53" s="418"/>
      <c r="N53" s="418"/>
      <c r="O53" s="421"/>
      <c r="P53" s="418"/>
      <c r="Q53" s="418"/>
      <c r="R53" s="418"/>
      <c r="S53" s="421"/>
      <c r="T53" s="418"/>
      <c r="U53" s="418"/>
      <c r="V53" s="420"/>
      <c r="W53" s="451">
        <f ca="1">IF(A53="","",SUMIF(SK!B$88:B$163,ROW(),SK!D$88:D$163))</f>
        <v>0</v>
      </c>
      <c r="X53" s="20"/>
      <c r="Y53" s="641"/>
      <c r="Z53" s="638"/>
      <c r="AA53" s="405" t="str">
        <f>IF(Score!T53="", "",Score!T53 )</f>
        <v>SP</v>
      </c>
      <c r="AB53" s="405"/>
      <c r="AC53" s="403" t="str">
        <f>IF(Score!U53="", "",Score!U53 )</f>
        <v>26</v>
      </c>
      <c r="AD53" s="418" t="s">
        <v>140</v>
      </c>
      <c r="AE53" s="418"/>
      <c r="AF53" s="418"/>
      <c r="AG53" s="421" t="s">
        <v>623</v>
      </c>
      <c r="AH53" s="418" t="s">
        <v>663</v>
      </c>
      <c r="AI53" s="418"/>
      <c r="AJ53" s="418"/>
      <c r="AK53" s="421"/>
      <c r="AL53" s="418"/>
      <c r="AM53" s="418"/>
      <c r="AN53" s="418"/>
      <c r="AO53" s="421"/>
      <c r="AP53" s="418"/>
      <c r="AQ53" s="418"/>
      <c r="AR53" s="418"/>
      <c r="AS53" s="421"/>
      <c r="AT53" s="418"/>
      <c r="AU53" s="418"/>
      <c r="AV53" s="420"/>
      <c r="AW53" s="451">
        <f ca="1">IF(AA53="","",SUMIF(SK!R$88:R$163,ROW(),SK!T$88:T$163))</f>
        <v>0</v>
      </c>
      <c r="AX53" s="20"/>
      <c r="AY53" s="641"/>
      <c r="AZ53" s="638"/>
    </row>
    <row r="54" spans="1:52" ht="32.1" customHeight="1" thickBot="1" x14ac:dyDescent="0.35">
      <c r="A54" s="400">
        <f>IF(Score!A54="", "",Score!A54 )</f>
        <v>7</v>
      </c>
      <c r="B54" s="404"/>
      <c r="C54" s="402" t="str">
        <f>IF(Score!B54="", "",Score!B54 )</f>
        <v>84</v>
      </c>
      <c r="D54" s="418"/>
      <c r="E54" s="418"/>
      <c r="F54" s="418"/>
      <c r="G54" s="419" t="s">
        <v>576</v>
      </c>
      <c r="H54" s="418"/>
      <c r="I54" s="418"/>
      <c r="J54" s="418"/>
      <c r="K54" s="419" t="s">
        <v>596</v>
      </c>
      <c r="L54" s="418"/>
      <c r="M54" s="418"/>
      <c r="N54" s="418"/>
      <c r="O54" s="419" t="s">
        <v>590</v>
      </c>
      <c r="P54" s="418"/>
      <c r="Q54" s="418"/>
      <c r="R54" s="418"/>
      <c r="S54" s="419" t="s">
        <v>598</v>
      </c>
      <c r="T54" s="418"/>
      <c r="U54" s="418"/>
      <c r="V54" s="420"/>
      <c r="W54" s="451">
        <f ca="1">IF(A54="","",SUMIF(SK!B$88:B$163,ROW(),SK!D$88:D$163))</f>
        <v>4</v>
      </c>
      <c r="X54" s="20"/>
      <c r="Y54" s="641" t="str">
        <f>Y12</f>
        <v>20</v>
      </c>
      <c r="Z54" s="638" t="str">
        <f>Z12</f>
        <v>Zooks</v>
      </c>
      <c r="AA54" s="404">
        <f>IF(Score!T54="", "",Score!T54 )</f>
        <v>7</v>
      </c>
      <c r="AB54" s="404"/>
      <c r="AC54" s="402" t="str">
        <f>IF(Score!U54="", "",Score!U54 )</f>
        <v>26</v>
      </c>
      <c r="AD54" s="418" t="s">
        <v>140</v>
      </c>
      <c r="AE54" s="418"/>
      <c r="AF54" s="418"/>
      <c r="AG54" s="419" t="s">
        <v>621</v>
      </c>
      <c r="AH54" s="418"/>
      <c r="AI54" s="418"/>
      <c r="AJ54" s="418"/>
      <c r="AK54" s="419" t="s">
        <v>623</v>
      </c>
      <c r="AL54" s="418" t="s">
        <v>140</v>
      </c>
      <c r="AM54" s="418"/>
      <c r="AN54" s="418"/>
      <c r="AO54" s="419" t="s">
        <v>619</v>
      </c>
      <c r="AP54" s="418"/>
      <c r="AQ54" s="418"/>
      <c r="AR54" s="418"/>
      <c r="AS54" s="419" t="s">
        <v>614</v>
      </c>
      <c r="AT54" s="418"/>
      <c r="AU54" s="418"/>
      <c r="AV54" s="420"/>
      <c r="AW54" s="451">
        <f ca="1">IF(AA54="","",SUMIF(SK!R$88:R$163,ROW(),SK!T$88:T$163))</f>
        <v>0</v>
      </c>
      <c r="AX54" s="20"/>
      <c r="AY54" s="641" t="str">
        <f>AY12</f>
        <v>26</v>
      </c>
      <c r="AZ54" s="638" t="str">
        <f>AZ12</f>
        <v>Bam Bam Bigelow</v>
      </c>
    </row>
    <row r="55" spans="1:52" ht="32.1" customHeight="1" thickBot="1" x14ac:dyDescent="0.35">
      <c r="A55" s="401" t="str">
        <f>IF(Score!A55="", "",Score!A55 )</f>
        <v>SP*</v>
      </c>
      <c r="B55" s="405"/>
      <c r="C55" s="403" t="str">
        <f>IF(Score!B55="", "",Score!B55 )</f>
        <v/>
      </c>
      <c r="D55" s="418"/>
      <c r="E55" s="418"/>
      <c r="F55" s="418"/>
      <c r="G55" s="421"/>
      <c r="H55" s="418"/>
      <c r="I55" s="418"/>
      <c r="J55" s="418"/>
      <c r="K55" s="421"/>
      <c r="L55" s="418"/>
      <c r="M55" s="418"/>
      <c r="N55" s="418"/>
      <c r="O55" s="421"/>
      <c r="P55" s="418"/>
      <c r="Q55" s="418"/>
      <c r="R55" s="418"/>
      <c r="S55" s="421"/>
      <c r="T55" s="418"/>
      <c r="U55" s="418"/>
      <c r="V55" s="420"/>
      <c r="W55" s="451">
        <f ca="1">IF(A55="","",SUMIF(SK!B$88:B$163,ROW(),SK!D$88:D$163))</f>
        <v>0</v>
      </c>
      <c r="X55" s="20"/>
      <c r="Y55" s="641"/>
      <c r="Z55" s="638"/>
      <c r="AA55" s="405" t="str">
        <f>IF(Score!T55="", "",Score!T55 )</f>
        <v>SP</v>
      </c>
      <c r="AB55" s="405"/>
      <c r="AC55" s="403" t="str">
        <f>IF(Score!U55="", "",Score!U55 )</f>
        <v>519</v>
      </c>
      <c r="AD55" s="418"/>
      <c r="AE55" s="418"/>
      <c r="AF55" s="418"/>
      <c r="AG55" s="421"/>
      <c r="AH55" s="418"/>
      <c r="AI55" s="418"/>
      <c r="AJ55" s="418"/>
      <c r="AK55" s="421"/>
      <c r="AL55" s="418"/>
      <c r="AM55" s="418"/>
      <c r="AN55" s="418"/>
      <c r="AO55" s="421"/>
      <c r="AP55" s="418"/>
      <c r="AQ55" s="418"/>
      <c r="AR55" s="418"/>
      <c r="AS55" s="421"/>
      <c r="AT55" s="418"/>
      <c r="AU55" s="418"/>
      <c r="AV55" s="420"/>
      <c r="AW55" s="451">
        <f ca="1">IF(AA55="","",SUMIF(SK!R$88:R$163,ROW(),SK!T$88:T$163))</f>
        <v>1</v>
      </c>
      <c r="AX55" s="20"/>
      <c r="AY55" s="641"/>
      <c r="AZ55" s="638"/>
    </row>
    <row r="56" spans="1:52" ht="32.1" customHeight="1" thickBot="1" x14ac:dyDescent="0.35">
      <c r="A56" s="400">
        <f>IF(Score!A56="", "",Score!A56 )</f>
        <v>8</v>
      </c>
      <c r="B56" s="404"/>
      <c r="C56" s="402" t="str">
        <f>IF(Score!B56="", "",Score!B56 )</f>
        <v>4</v>
      </c>
      <c r="D56" s="418"/>
      <c r="E56" s="418"/>
      <c r="F56" s="418"/>
      <c r="G56" s="419" t="s">
        <v>602</v>
      </c>
      <c r="H56" s="418" t="s">
        <v>663</v>
      </c>
      <c r="I56" s="418"/>
      <c r="J56" s="418"/>
      <c r="K56" s="419" t="s">
        <v>594</v>
      </c>
      <c r="L56" s="418"/>
      <c r="M56" s="418"/>
      <c r="N56" s="418"/>
      <c r="O56" s="419" t="s">
        <v>581</v>
      </c>
      <c r="P56" s="418"/>
      <c r="Q56" s="418"/>
      <c r="R56" s="418"/>
      <c r="S56" s="419" t="s">
        <v>586</v>
      </c>
      <c r="T56" s="418"/>
      <c r="U56" s="418"/>
      <c r="V56" s="420"/>
      <c r="W56" s="451">
        <f ca="1">IF(A56="","",SUMIF(SK!B$88:B$163,ROW(),SK!D$88:D$163))</f>
        <v>4</v>
      </c>
      <c r="X56" s="20"/>
      <c r="Y56" s="641" t="str">
        <f>Y14</f>
        <v>303</v>
      </c>
      <c r="Z56" s="638" t="str">
        <f>Z14</f>
        <v>Violent NoRegard</v>
      </c>
      <c r="AA56" s="404">
        <f>IF(Score!T56="", "",Score!T56 )</f>
        <v>8</v>
      </c>
      <c r="AB56" s="404"/>
      <c r="AC56" s="402" t="str">
        <f>IF(Score!U56="", "",Score!U56 )</f>
        <v>K9</v>
      </c>
      <c r="AD56" s="418"/>
      <c r="AE56" s="418"/>
      <c r="AF56" s="418"/>
      <c r="AG56" s="419" t="s">
        <v>619</v>
      </c>
      <c r="AH56" s="418"/>
      <c r="AI56" s="418"/>
      <c r="AJ56" s="418"/>
      <c r="AK56" s="419" t="s">
        <v>604</v>
      </c>
      <c r="AL56" s="418"/>
      <c r="AM56" s="418"/>
      <c r="AN56" s="418"/>
      <c r="AO56" s="419" t="s">
        <v>612</v>
      </c>
      <c r="AP56" s="418"/>
      <c r="AQ56" s="418"/>
      <c r="AR56" s="418"/>
      <c r="AS56" s="419" t="s">
        <v>608</v>
      </c>
      <c r="AT56" s="418"/>
      <c r="AU56" s="418"/>
      <c r="AV56" s="420"/>
      <c r="AW56" s="451">
        <f ca="1">IF(AA56="","",SUMIF(SK!R$88:R$163,ROW(),SK!T$88:T$163))</f>
        <v>4</v>
      </c>
      <c r="AX56" s="20"/>
      <c r="AY56" s="641" t="str">
        <f>AY14</f>
        <v>2611</v>
      </c>
      <c r="AZ56" s="638" t="str">
        <f>AZ14</f>
        <v>Va Va BOOM</v>
      </c>
    </row>
    <row r="57" spans="1:52" ht="32.1" customHeight="1" thickBot="1" x14ac:dyDescent="0.35">
      <c r="A57" s="401">
        <f>IF(Score!A57="", "",Score!A57 )</f>
        <v>9</v>
      </c>
      <c r="B57" s="405"/>
      <c r="C57" s="403" t="str">
        <f>IF(Score!B57="", "",Score!B57 )</f>
        <v>19</v>
      </c>
      <c r="D57" s="418"/>
      <c r="E57" s="418"/>
      <c r="F57" s="418"/>
      <c r="G57" s="421" t="s">
        <v>602</v>
      </c>
      <c r="H57" s="418" t="s">
        <v>140</v>
      </c>
      <c r="I57" s="418"/>
      <c r="J57" s="418"/>
      <c r="K57" s="421" t="s">
        <v>596</v>
      </c>
      <c r="L57" s="418"/>
      <c r="M57" s="418"/>
      <c r="N57" s="418"/>
      <c r="O57" s="421" t="s">
        <v>576</v>
      </c>
      <c r="P57" s="418"/>
      <c r="Q57" s="418"/>
      <c r="R57" s="418"/>
      <c r="S57" s="421" t="s">
        <v>598</v>
      </c>
      <c r="T57" s="418"/>
      <c r="U57" s="418"/>
      <c r="V57" s="420"/>
      <c r="W57" s="451">
        <f ca="1">IF(A57="","",SUMIF(SK!B$88:B$163,ROW(),SK!D$88:D$163))</f>
        <v>4</v>
      </c>
      <c r="X57" s="20"/>
      <c r="Y57" s="641"/>
      <c r="Z57" s="638"/>
      <c r="AA57" s="405">
        <f>IF(Score!T57="", "",Score!T57 )</f>
        <v>9</v>
      </c>
      <c r="AB57" s="405"/>
      <c r="AC57" s="403" t="str">
        <f>IF(Score!U57="", "",Score!U57 )</f>
        <v>451</v>
      </c>
      <c r="AD57" s="418"/>
      <c r="AE57" s="418"/>
      <c r="AF57" s="418"/>
      <c r="AG57" s="421" t="s">
        <v>650</v>
      </c>
      <c r="AH57" s="418"/>
      <c r="AI57" s="418"/>
      <c r="AJ57" s="418"/>
      <c r="AK57" s="421" t="s">
        <v>614</v>
      </c>
      <c r="AL57" s="418"/>
      <c r="AM57" s="418"/>
      <c r="AN57" s="418"/>
      <c r="AO57" s="421" t="s">
        <v>627</v>
      </c>
      <c r="AP57" s="418"/>
      <c r="AQ57" s="418"/>
      <c r="AR57" s="418"/>
      <c r="AS57" s="421" t="s">
        <v>664</v>
      </c>
      <c r="AT57" s="418"/>
      <c r="AU57" s="418"/>
      <c r="AV57" s="420"/>
      <c r="AW57" s="451">
        <f ca="1">IF(AA57="","",SUMIF(SK!R$88:R$163,ROW(),SK!T$88:T$163))</f>
        <v>2</v>
      </c>
      <c r="AX57" s="20"/>
      <c r="AY57" s="641"/>
      <c r="AZ57" s="638"/>
    </row>
    <row r="58" spans="1:52" ht="32.1" customHeight="1" thickBot="1" x14ac:dyDescent="0.35">
      <c r="A58" s="400">
        <f>IF(Score!A58="", "",Score!A58 )</f>
        <v>10</v>
      </c>
      <c r="B58" s="404"/>
      <c r="C58" s="402" t="str">
        <f>IF(Score!B58="", "",Score!B58 )</f>
        <v>20</v>
      </c>
      <c r="D58" s="418"/>
      <c r="E58" s="418"/>
      <c r="F58" s="418"/>
      <c r="G58" s="419" t="s">
        <v>600</v>
      </c>
      <c r="H58" s="418"/>
      <c r="I58" s="418"/>
      <c r="J58" s="418"/>
      <c r="K58" s="419" t="s">
        <v>586</v>
      </c>
      <c r="L58" s="418"/>
      <c r="M58" s="418"/>
      <c r="N58" s="418"/>
      <c r="O58" s="419" t="s">
        <v>594</v>
      </c>
      <c r="P58" s="418"/>
      <c r="Q58" s="418"/>
      <c r="R58" s="418"/>
      <c r="S58" s="419" t="s">
        <v>602</v>
      </c>
      <c r="T58" s="418"/>
      <c r="U58" s="418"/>
      <c r="V58" s="420"/>
      <c r="W58" s="451">
        <f ca="1">IF(A58="","",SUMIF(SK!B$88:B$163,ROW(),SK!D$88:D$163))</f>
        <v>0</v>
      </c>
      <c r="X58" s="20"/>
      <c r="Y58" s="641" t="str">
        <f>Y16</f>
        <v>33</v>
      </c>
      <c r="Z58" s="638" t="str">
        <f>Z16</f>
        <v>Suzy Slam</v>
      </c>
      <c r="AA58" s="404">
        <f>IF(Score!T58="", "",Score!T58 )</f>
        <v>10</v>
      </c>
      <c r="AB58" s="404"/>
      <c r="AC58" s="402" t="str">
        <f>IF(Score!U58="", "",Score!U58 )</f>
        <v>11G6</v>
      </c>
      <c r="AD58" s="418"/>
      <c r="AE58" s="418"/>
      <c r="AF58" s="418"/>
      <c r="AG58" s="419" t="s">
        <v>621</v>
      </c>
      <c r="AH58" s="418" t="s">
        <v>663</v>
      </c>
      <c r="AI58" s="418"/>
      <c r="AJ58" s="418"/>
      <c r="AK58" s="419" t="s">
        <v>625</v>
      </c>
      <c r="AL58" s="418"/>
      <c r="AM58" s="418"/>
      <c r="AN58" s="418"/>
      <c r="AO58" s="419" t="s">
        <v>604</v>
      </c>
      <c r="AP58" s="418"/>
      <c r="AQ58" s="418"/>
      <c r="AR58" s="418"/>
      <c r="AS58" s="419" t="s">
        <v>612</v>
      </c>
      <c r="AT58" s="418"/>
      <c r="AU58" s="418"/>
      <c r="AV58" s="420"/>
      <c r="AW58" s="451">
        <f ca="1">IF(AA58="","",SUMIF(SK!R$88:R$163,ROW(),SK!T$88:T$163))</f>
        <v>0</v>
      </c>
      <c r="AX58" s="20"/>
      <c r="AY58" s="641" t="str">
        <f>AY16</f>
        <v>45</v>
      </c>
      <c r="AZ58" s="638" t="str">
        <f>AZ16</f>
        <v>Miss Carriage</v>
      </c>
    </row>
    <row r="59" spans="1:52" ht="32.1" customHeight="1" thickBot="1" x14ac:dyDescent="0.35">
      <c r="A59" s="401">
        <f>IF(Score!A59="", "",Score!A59 )</f>
        <v>11</v>
      </c>
      <c r="B59" s="405"/>
      <c r="C59" s="403" t="str">
        <f>IF(Score!B59="", "",Score!B59 )</f>
        <v>4</v>
      </c>
      <c r="D59" s="418" t="s">
        <v>140</v>
      </c>
      <c r="E59" s="418" t="s">
        <v>663</v>
      </c>
      <c r="F59" s="418"/>
      <c r="G59" s="421" t="s">
        <v>576</v>
      </c>
      <c r="H59" s="418"/>
      <c r="I59" s="418"/>
      <c r="J59" s="418"/>
      <c r="K59" s="421" t="s">
        <v>596</v>
      </c>
      <c r="L59" s="418" t="s">
        <v>140</v>
      </c>
      <c r="M59" s="418"/>
      <c r="N59" s="418"/>
      <c r="O59" s="421" t="s">
        <v>598</v>
      </c>
      <c r="P59" s="418"/>
      <c r="Q59" s="418"/>
      <c r="R59" s="418"/>
      <c r="S59" s="421" t="s">
        <v>590</v>
      </c>
      <c r="T59" s="418"/>
      <c r="U59" s="418"/>
      <c r="V59" s="420"/>
      <c r="W59" s="451">
        <f ca="1">IF(A59="","",SUMIF(SK!B$88:B$163,ROW(),SK!D$88:D$163))</f>
        <v>4</v>
      </c>
      <c r="X59" s="20"/>
      <c r="Y59" s="641"/>
      <c r="Z59" s="638"/>
      <c r="AA59" s="405">
        <f>IF(Score!T59="", "",Score!T59 )</f>
        <v>11</v>
      </c>
      <c r="AB59" s="405"/>
      <c r="AC59" s="403" t="str">
        <f>IF(Score!U59="", "",Score!U59 )</f>
        <v>58</v>
      </c>
      <c r="AD59" s="418"/>
      <c r="AE59" s="418"/>
      <c r="AF59" s="418"/>
      <c r="AG59" s="421" t="s">
        <v>621</v>
      </c>
      <c r="AH59" s="418" t="s">
        <v>140</v>
      </c>
      <c r="AI59" s="418"/>
      <c r="AJ59" s="418"/>
      <c r="AK59" s="421" t="s">
        <v>650</v>
      </c>
      <c r="AL59" s="418"/>
      <c r="AM59" s="418"/>
      <c r="AN59" s="418"/>
      <c r="AO59" s="421" t="s">
        <v>664</v>
      </c>
      <c r="AP59" s="418"/>
      <c r="AQ59" s="418"/>
      <c r="AR59" s="418"/>
      <c r="AS59" s="421" t="s">
        <v>614</v>
      </c>
      <c r="AT59" s="418" t="s">
        <v>663</v>
      </c>
      <c r="AU59" s="418"/>
      <c r="AV59" s="420"/>
      <c r="AW59" s="451">
        <f ca="1">IF(AA59="","",SUMIF(SK!R$88:R$163,ROW(),SK!T$88:T$163))</f>
        <v>0</v>
      </c>
      <c r="AX59" s="20"/>
      <c r="AY59" s="641"/>
      <c r="AZ59" s="638"/>
    </row>
    <row r="60" spans="1:52" ht="32.1" customHeight="1" thickBot="1" x14ac:dyDescent="0.35">
      <c r="A60" s="400" t="str">
        <f>IF(Score!A60="", "",Score!A60 )</f>
        <v>SP*</v>
      </c>
      <c r="B60" s="404"/>
      <c r="C60" s="402" t="str">
        <f>IF(Score!B60="", "",Score!B60 )</f>
        <v/>
      </c>
      <c r="D60" s="418"/>
      <c r="E60" s="418"/>
      <c r="F60" s="418"/>
      <c r="G60" s="419"/>
      <c r="H60" s="418"/>
      <c r="I60" s="418"/>
      <c r="J60" s="418"/>
      <c r="K60" s="419"/>
      <c r="L60" s="418"/>
      <c r="M60" s="418"/>
      <c r="N60" s="418"/>
      <c r="O60" s="419"/>
      <c r="P60" s="418"/>
      <c r="Q60" s="418"/>
      <c r="R60" s="418"/>
      <c r="S60" s="419"/>
      <c r="T60" s="418"/>
      <c r="U60" s="418"/>
      <c r="V60" s="420"/>
      <c r="W60" s="451">
        <f ca="1">IF(A60="","",SUMIF(SK!B$88:B$163,ROW(),SK!D$88:D$163))</f>
        <v>0</v>
      </c>
      <c r="X60" s="20"/>
      <c r="Y60" s="641" t="str">
        <f>Y18</f>
        <v>4</v>
      </c>
      <c r="Z60" s="638" t="str">
        <f>Z18</f>
        <v>Psykosonic</v>
      </c>
      <c r="AA60" s="404" t="str">
        <f>IF(Score!T60="", "",Score!T60 )</f>
        <v>SP</v>
      </c>
      <c r="AB60" s="404"/>
      <c r="AC60" s="402" t="str">
        <f>IF(Score!U60="", "",Score!U60 )</f>
        <v>519</v>
      </c>
      <c r="AD60" s="418"/>
      <c r="AE60" s="418"/>
      <c r="AF60" s="418"/>
      <c r="AG60" s="419"/>
      <c r="AH60" s="418"/>
      <c r="AI60" s="418"/>
      <c r="AJ60" s="418"/>
      <c r="AK60" s="419"/>
      <c r="AL60" s="418"/>
      <c r="AM60" s="418"/>
      <c r="AN60" s="418"/>
      <c r="AO60" s="419"/>
      <c r="AP60" s="418"/>
      <c r="AQ60" s="418"/>
      <c r="AR60" s="418"/>
      <c r="AS60" s="419"/>
      <c r="AT60" s="418"/>
      <c r="AU60" s="418"/>
      <c r="AV60" s="420"/>
      <c r="AW60" s="451">
        <f ca="1">IF(AA60="","",SUMIF(SK!R$88:R$163,ROW(),SK!T$88:T$163))</f>
        <v>15</v>
      </c>
      <c r="AX60" s="20"/>
      <c r="AY60" s="641" t="str">
        <f>AY18</f>
        <v>451</v>
      </c>
      <c r="AZ60" s="638" t="str">
        <f>AZ18</f>
        <v>fErinheit</v>
      </c>
    </row>
    <row r="61" spans="1:52" ht="32.1" customHeight="1" thickBot="1" x14ac:dyDescent="0.35">
      <c r="A61" s="401">
        <f>IF(Score!A61="", "",Score!A61 )</f>
        <v>12</v>
      </c>
      <c r="B61" s="405"/>
      <c r="C61" s="403" t="str">
        <f>IF(Score!B61="", "",Score!B61 )</f>
        <v>4</v>
      </c>
      <c r="D61" s="418" t="s">
        <v>140</v>
      </c>
      <c r="E61" s="418"/>
      <c r="F61" s="418"/>
      <c r="G61" s="421" t="s">
        <v>602</v>
      </c>
      <c r="H61" s="418" t="s">
        <v>140</v>
      </c>
      <c r="I61" s="418"/>
      <c r="J61" s="418"/>
      <c r="K61" s="421" t="s">
        <v>594</v>
      </c>
      <c r="L61" s="418" t="s">
        <v>663</v>
      </c>
      <c r="M61" s="418"/>
      <c r="N61" s="418"/>
      <c r="O61" s="421" t="s">
        <v>592</v>
      </c>
      <c r="P61" s="418"/>
      <c r="Q61" s="418"/>
      <c r="R61" s="418"/>
      <c r="S61" s="421" t="s">
        <v>581</v>
      </c>
      <c r="T61" s="418" t="s">
        <v>663</v>
      </c>
      <c r="U61" s="418"/>
      <c r="V61" s="420"/>
      <c r="W61" s="451">
        <f ca="1">IF(A61="","",SUMIF(SK!B$88:B$163,ROW(),SK!D$88:D$163))</f>
        <v>0</v>
      </c>
      <c r="X61" s="20"/>
      <c r="Y61" s="641"/>
      <c r="Z61" s="638"/>
      <c r="AA61" s="405">
        <f>IF(Score!T61="", "",Score!T61 )</f>
        <v>12</v>
      </c>
      <c r="AB61" s="405"/>
      <c r="AC61" s="403" t="str">
        <f>IF(Score!U61="", "",Score!U61 )</f>
        <v>K9</v>
      </c>
      <c r="AD61" s="418"/>
      <c r="AE61" s="418"/>
      <c r="AF61" s="418"/>
      <c r="AG61" s="421" t="s">
        <v>619</v>
      </c>
      <c r="AH61" s="418"/>
      <c r="AI61" s="418"/>
      <c r="AJ61" s="418"/>
      <c r="AK61" s="421" t="s">
        <v>612</v>
      </c>
      <c r="AL61" s="418"/>
      <c r="AM61" s="418"/>
      <c r="AN61" s="418"/>
      <c r="AO61" s="421" t="s">
        <v>604</v>
      </c>
      <c r="AP61" s="418"/>
      <c r="AQ61" s="418"/>
      <c r="AR61" s="418"/>
      <c r="AS61" s="421" t="s">
        <v>614</v>
      </c>
      <c r="AT61" s="418" t="s">
        <v>140</v>
      </c>
      <c r="AU61" s="418"/>
      <c r="AV61" s="420"/>
      <c r="AW61" s="451">
        <f ca="1">IF(AA61="","",SUMIF(SK!R$88:R$163,ROW(),SK!T$88:T$163))</f>
        <v>0</v>
      </c>
      <c r="AX61" s="20"/>
      <c r="AY61" s="641"/>
      <c r="AZ61" s="638"/>
    </row>
    <row r="62" spans="1:52" ht="32.1" customHeight="1" thickBot="1" x14ac:dyDescent="0.35">
      <c r="A62" s="400">
        <f>IF(Score!A62="", "",Score!A62 )</f>
        <v>13</v>
      </c>
      <c r="B62" s="404"/>
      <c r="C62" s="402" t="str">
        <f>IF(Score!B62="", "",Score!B62 )</f>
        <v>19</v>
      </c>
      <c r="D62" s="418" t="s">
        <v>140</v>
      </c>
      <c r="E62" s="418"/>
      <c r="F62" s="418"/>
      <c r="G62" s="419" t="s">
        <v>576</v>
      </c>
      <c r="H62" s="418" t="s">
        <v>663</v>
      </c>
      <c r="I62" s="418"/>
      <c r="J62" s="418"/>
      <c r="K62" s="419" t="s">
        <v>594</v>
      </c>
      <c r="L62" s="418" t="s">
        <v>140</v>
      </c>
      <c r="M62" s="418"/>
      <c r="N62" s="418"/>
      <c r="O62" s="419" t="s">
        <v>592</v>
      </c>
      <c r="P62" s="418" t="s">
        <v>140</v>
      </c>
      <c r="Q62" s="418"/>
      <c r="R62" s="418"/>
      <c r="S62" s="419" t="s">
        <v>581</v>
      </c>
      <c r="T62" s="418" t="s">
        <v>140</v>
      </c>
      <c r="U62" s="418"/>
      <c r="V62" s="420"/>
      <c r="W62" s="451">
        <f ca="1">IF(A62="","",SUMIF(SK!B$88:B$163,ROW(),SK!D$88:D$163))</f>
        <v>12</v>
      </c>
      <c r="X62" s="20"/>
      <c r="Y62" s="641" t="str">
        <f>Y20</f>
        <v>42</v>
      </c>
      <c r="Z62" s="638" t="str">
        <f>Z20</f>
        <v>Meg N' Plead</v>
      </c>
      <c r="AA62" s="404">
        <f>IF(Score!T62="", "",Score!T62 )</f>
        <v>13</v>
      </c>
      <c r="AB62" s="404"/>
      <c r="AC62" s="402" t="str">
        <f>IF(Score!U62="", "",Score!U62 )</f>
        <v>451</v>
      </c>
      <c r="AD62" s="418"/>
      <c r="AE62" s="418"/>
      <c r="AF62" s="418"/>
      <c r="AG62" s="419" t="s">
        <v>619</v>
      </c>
      <c r="AH62" s="418" t="s">
        <v>140</v>
      </c>
      <c r="AI62" s="418"/>
      <c r="AJ62" s="418"/>
      <c r="AK62" s="419" t="s">
        <v>664</v>
      </c>
      <c r="AL62" s="418"/>
      <c r="AM62" s="418"/>
      <c r="AN62" s="418"/>
      <c r="AO62" s="419" t="s">
        <v>608</v>
      </c>
      <c r="AP62" s="418"/>
      <c r="AQ62" s="418"/>
      <c r="AR62" s="418"/>
      <c r="AS62" s="419" t="s">
        <v>614</v>
      </c>
      <c r="AT62" s="418"/>
      <c r="AU62" s="418"/>
      <c r="AV62" s="420"/>
      <c r="AW62" s="451">
        <f ca="1">IF(AA62="","",SUMIF(SK!R$88:R$163,ROW(),SK!T$88:T$163))</f>
        <v>0</v>
      </c>
      <c r="AX62" s="20"/>
      <c r="AY62" s="641" t="str">
        <f>AY20</f>
        <v>511</v>
      </c>
      <c r="AZ62" s="638" t="str">
        <f>AZ20</f>
        <v>Bean Stalker</v>
      </c>
    </row>
    <row r="63" spans="1:52" ht="32.1" customHeight="1" thickBot="1" x14ac:dyDescent="0.35">
      <c r="A63" s="401" t="str">
        <f>IF(Score!A63="", "",Score!A63 )</f>
        <v>SP*</v>
      </c>
      <c r="B63" s="405"/>
      <c r="C63" s="403" t="str">
        <f>IF(Score!B63="", "",Score!B63 )</f>
        <v/>
      </c>
      <c r="D63" s="418"/>
      <c r="E63" s="418"/>
      <c r="F63" s="418"/>
      <c r="G63" s="421"/>
      <c r="H63" s="418"/>
      <c r="I63" s="418"/>
      <c r="J63" s="418"/>
      <c r="K63" s="421"/>
      <c r="L63" s="418"/>
      <c r="M63" s="418"/>
      <c r="N63" s="418"/>
      <c r="O63" s="421"/>
      <c r="P63" s="418"/>
      <c r="Q63" s="418"/>
      <c r="R63" s="418"/>
      <c r="S63" s="421"/>
      <c r="T63" s="418"/>
      <c r="U63" s="418"/>
      <c r="V63" s="420"/>
      <c r="W63" s="451">
        <f ca="1">IF(A63="","",SUMIF(SK!B$88:B$163,ROW(),SK!D$88:D$163))</f>
        <v>0</v>
      </c>
      <c r="X63" s="20"/>
      <c r="Y63" s="641"/>
      <c r="Z63" s="638"/>
      <c r="AA63" s="405" t="str">
        <f>IF(Score!T63="", "",Score!T63 )</f>
        <v>SP</v>
      </c>
      <c r="AB63" s="405"/>
      <c r="AC63" s="403" t="str">
        <f>IF(Score!U63="", "",Score!U63 )</f>
        <v>511</v>
      </c>
      <c r="AD63" s="418"/>
      <c r="AE63" s="418"/>
      <c r="AF63" s="418"/>
      <c r="AG63" s="421" t="s">
        <v>617</v>
      </c>
      <c r="AH63" s="418" t="s">
        <v>663</v>
      </c>
      <c r="AI63" s="418"/>
      <c r="AJ63" s="418"/>
      <c r="AK63" s="421"/>
      <c r="AL63" s="418"/>
      <c r="AM63" s="418"/>
      <c r="AN63" s="418"/>
      <c r="AO63" s="421"/>
      <c r="AP63" s="418"/>
      <c r="AQ63" s="418"/>
      <c r="AR63" s="418"/>
      <c r="AS63" s="421"/>
      <c r="AT63" s="418"/>
      <c r="AU63" s="418"/>
      <c r="AV63" s="420"/>
      <c r="AW63" s="451">
        <f ca="1">IF(AA63="","",SUMIF(SK!R$88:R$163,ROW(),SK!T$88:T$163))</f>
        <v>0</v>
      </c>
      <c r="AX63" s="20"/>
      <c r="AY63" s="641"/>
      <c r="AZ63" s="638"/>
    </row>
    <row r="64" spans="1:52" ht="32.1" customHeight="1" thickBot="1" x14ac:dyDescent="0.35">
      <c r="A64" s="400">
        <f>IF(Score!A64="", "",Score!A64 )</f>
        <v>14</v>
      </c>
      <c r="B64" s="404"/>
      <c r="C64" s="402" t="str">
        <f>IF(Score!B64="", "",Score!B64 )</f>
        <v>84</v>
      </c>
      <c r="D64" s="418"/>
      <c r="E64" s="418"/>
      <c r="F64" s="418"/>
      <c r="G64" s="419" t="s">
        <v>576</v>
      </c>
      <c r="H64" s="418" t="s">
        <v>140</v>
      </c>
      <c r="I64" s="418"/>
      <c r="J64" s="418"/>
      <c r="K64" s="419" t="s">
        <v>596</v>
      </c>
      <c r="L64" s="418"/>
      <c r="M64" s="418"/>
      <c r="N64" s="418"/>
      <c r="O64" s="419" t="s">
        <v>584</v>
      </c>
      <c r="P64" s="418"/>
      <c r="Q64" s="418"/>
      <c r="R64" s="418"/>
      <c r="S64" s="419" t="s">
        <v>598</v>
      </c>
      <c r="T64" s="418"/>
      <c r="U64" s="418"/>
      <c r="V64" s="420"/>
      <c r="W64" s="451">
        <f ca="1">IF(A64="","",SUMIF(SK!B$88:B$163,ROW(),SK!D$88:D$163))</f>
        <v>0</v>
      </c>
      <c r="X64" s="20"/>
      <c r="Y64" s="641" t="str">
        <f>Y22</f>
        <v>44</v>
      </c>
      <c r="Z64" s="638" t="str">
        <f>Z22</f>
        <v>Brunt Force Bunny</v>
      </c>
      <c r="AA64" s="404">
        <f>IF(Score!T64="", "",Score!T64 )</f>
        <v>14</v>
      </c>
      <c r="AB64" s="404"/>
      <c r="AC64" s="402" t="str">
        <f>IF(Score!U64="", "",Score!U64 )</f>
        <v>11G6</v>
      </c>
      <c r="AD64" s="418"/>
      <c r="AE64" s="418"/>
      <c r="AF64" s="418"/>
      <c r="AG64" s="419" t="s">
        <v>612</v>
      </c>
      <c r="AH64" s="418"/>
      <c r="AI64" s="418"/>
      <c r="AJ64" s="418"/>
      <c r="AK64" s="419" t="s">
        <v>617</v>
      </c>
      <c r="AL64" s="418" t="s">
        <v>140</v>
      </c>
      <c r="AM64" s="418"/>
      <c r="AN64" s="418"/>
      <c r="AO64" s="419" t="s">
        <v>604</v>
      </c>
      <c r="AP64" s="418"/>
      <c r="AQ64" s="418"/>
      <c r="AR64" s="418"/>
      <c r="AS64" s="419" t="s">
        <v>621</v>
      </c>
      <c r="AT64" s="418"/>
      <c r="AU64" s="418"/>
      <c r="AV64" s="420"/>
      <c r="AW64" s="451">
        <f ca="1">IF(AA64="","",SUMIF(SK!R$88:R$163,ROW(),SK!T$88:T$163))</f>
        <v>4</v>
      </c>
      <c r="AX64" s="20"/>
      <c r="AY64" s="641" t="str">
        <f>AY22</f>
        <v>519</v>
      </c>
      <c r="AZ64" s="638" t="str">
        <f>AZ22</f>
        <v>Smashin' Good Time</v>
      </c>
    </row>
    <row r="65" spans="1:52" ht="32.1" customHeight="1" thickBot="1" x14ac:dyDescent="0.35">
      <c r="A65" s="401">
        <f>IF(Score!A65="", "",Score!A65 )</f>
        <v>15</v>
      </c>
      <c r="B65" s="405"/>
      <c r="C65" s="403" t="str">
        <f>IF(Score!B65="", "",Score!B65 )</f>
        <v>33</v>
      </c>
      <c r="D65" s="418"/>
      <c r="E65" s="418"/>
      <c r="F65" s="418"/>
      <c r="G65" s="421" t="s">
        <v>602</v>
      </c>
      <c r="H65" s="418"/>
      <c r="I65" s="418"/>
      <c r="J65" s="418"/>
      <c r="K65" s="421" t="s">
        <v>580</v>
      </c>
      <c r="L65" s="418"/>
      <c r="M65" s="418"/>
      <c r="N65" s="418"/>
      <c r="O65" s="421" t="s">
        <v>594</v>
      </c>
      <c r="P65" s="418"/>
      <c r="Q65" s="418"/>
      <c r="R65" s="418"/>
      <c r="S65" s="421" t="s">
        <v>592</v>
      </c>
      <c r="T65" s="418"/>
      <c r="U65" s="418"/>
      <c r="V65" s="420"/>
      <c r="W65" s="451">
        <f ca="1">IF(A65="","",SUMIF(SK!B$88:B$163,ROW(),SK!D$88:D$163))</f>
        <v>20</v>
      </c>
      <c r="X65" s="20"/>
      <c r="Y65" s="641"/>
      <c r="Z65" s="638"/>
      <c r="AA65" s="405">
        <f>IF(Score!T65="", "",Score!T65 )</f>
        <v>15</v>
      </c>
      <c r="AB65" s="405"/>
      <c r="AC65" s="403" t="str">
        <f>IF(Score!U65="", "",Score!U65 )</f>
        <v>58</v>
      </c>
      <c r="AD65" s="418"/>
      <c r="AE65" s="418"/>
      <c r="AF65" s="418"/>
      <c r="AG65" s="421" t="s">
        <v>650</v>
      </c>
      <c r="AH65" s="418"/>
      <c r="AI65" s="418"/>
      <c r="AJ65" s="418"/>
      <c r="AK65" s="421" t="s">
        <v>664</v>
      </c>
      <c r="AL65" s="418"/>
      <c r="AM65" s="418"/>
      <c r="AN65" s="418"/>
      <c r="AO65" s="421" t="s">
        <v>627</v>
      </c>
      <c r="AP65" s="418" t="s">
        <v>140</v>
      </c>
      <c r="AQ65" s="418"/>
      <c r="AR65" s="418"/>
      <c r="AS65" s="421" t="s">
        <v>614</v>
      </c>
      <c r="AT65" s="418"/>
      <c r="AU65" s="418"/>
      <c r="AV65" s="420"/>
      <c r="AW65" s="451">
        <f ca="1">IF(AA65="","",SUMIF(SK!R$88:R$163,ROW(),SK!T$88:T$163))</f>
        <v>0</v>
      </c>
      <c r="AX65" s="20"/>
      <c r="AY65" s="641"/>
      <c r="AZ65" s="638"/>
    </row>
    <row r="66" spans="1:52" ht="32.1" customHeight="1" thickBot="1" x14ac:dyDescent="0.35">
      <c r="A66" s="400" t="str">
        <f>IF(Score!A66="", "",Score!A66 )</f>
        <v>SP*</v>
      </c>
      <c r="B66" s="404"/>
      <c r="C66" s="402" t="str">
        <f>IF(Score!B66="", "",Score!B66 )</f>
        <v/>
      </c>
      <c r="D66" s="418"/>
      <c r="E66" s="418"/>
      <c r="F66" s="418"/>
      <c r="G66" s="419"/>
      <c r="H66" s="418"/>
      <c r="I66" s="418"/>
      <c r="J66" s="418"/>
      <c r="K66" s="419"/>
      <c r="L66" s="418"/>
      <c r="M66" s="418"/>
      <c r="N66" s="418"/>
      <c r="O66" s="419"/>
      <c r="P66" s="418"/>
      <c r="Q66" s="418"/>
      <c r="R66" s="418"/>
      <c r="S66" s="419"/>
      <c r="T66" s="418"/>
      <c r="U66" s="418"/>
      <c r="V66" s="420"/>
      <c r="W66" s="451">
        <f ca="1">IF(A66="","",SUMIF(SK!B$88:B$163,ROW(),SK!D$88:D$163))</f>
        <v>0</v>
      </c>
      <c r="X66" s="20"/>
      <c r="Y66" s="641" t="str">
        <f>Y24</f>
        <v>480</v>
      </c>
      <c r="Z66" s="638" t="str">
        <f>Z24</f>
        <v>Slaughterhouse Streeter</v>
      </c>
      <c r="AA66" s="404" t="str">
        <f>IF(Score!T66="", "",Score!T66 )</f>
        <v>SP</v>
      </c>
      <c r="AB66" s="404"/>
      <c r="AC66" s="402" t="str">
        <f>IF(Score!U66="", "",Score!U66 )</f>
        <v>45</v>
      </c>
      <c r="AD66" s="418" t="s">
        <v>663</v>
      </c>
      <c r="AE66" s="418"/>
      <c r="AF66" s="418"/>
      <c r="AG66" s="419"/>
      <c r="AH66" s="418"/>
      <c r="AI66" s="418"/>
      <c r="AJ66" s="418"/>
      <c r="AK66" s="419"/>
      <c r="AL66" s="418"/>
      <c r="AM66" s="418"/>
      <c r="AN66" s="418"/>
      <c r="AO66" s="419"/>
      <c r="AP66" s="418"/>
      <c r="AQ66" s="418"/>
      <c r="AR66" s="418"/>
      <c r="AS66" s="419"/>
      <c r="AT66" s="418"/>
      <c r="AU66" s="418"/>
      <c r="AV66" s="420"/>
      <c r="AW66" s="451">
        <f ca="1">IF(AA66="","",SUMIF(SK!R$88:R$163,ROW(),SK!T$88:T$163))</f>
        <v>0</v>
      </c>
      <c r="AX66" s="20"/>
      <c r="AY66" s="641" t="str">
        <f>AY24</f>
        <v>58</v>
      </c>
      <c r="AZ66" s="638" t="str">
        <f>AZ24</f>
        <v>Natty B</v>
      </c>
    </row>
    <row r="67" spans="1:52" ht="32.1" customHeight="1" thickBot="1" x14ac:dyDescent="0.35">
      <c r="A67" s="401">
        <f>IF(Score!A67="", "",Score!A67 )</f>
        <v>16</v>
      </c>
      <c r="B67" s="405"/>
      <c r="C67" s="403" t="str">
        <f>IF(Score!B67="", "",Score!B67 )</f>
        <v>20</v>
      </c>
      <c r="D67" s="418"/>
      <c r="E67" s="418"/>
      <c r="F67" s="418"/>
      <c r="G67" s="421" t="s">
        <v>576</v>
      </c>
      <c r="H67" s="418"/>
      <c r="I67" s="418"/>
      <c r="J67" s="418"/>
      <c r="K67" s="421" t="s">
        <v>596</v>
      </c>
      <c r="L67" s="418"/>
      <c r="M67" s="418"/>
      <c r="N67" s="418"/>
      <c r="O67" s="421" t="s">
        <v>598</v>
      </c>
      <c r="P67" s="418"/>
      <c r="Q67" s="418"/>
      <c r="R67" s="418"/>
      <c r="S67" s="421" t="s">
        <v>590</v>
      </c>
      <c r="T67" s="418"/>
      <c r="U67" s="418"/>
      <c r="V67" s="420"/>
      <c r="W67" s="451">
        <f ca="1">IF(A67="","",SUMIF(SK!B$88:B$163,ROW(),SK!D$88:D$163))</f>
        <v>4</v>
      </c>
      <c r="X67" s="20"/>
      <c r="Y67" s="641"/>
      <c r="Z67" s="638"/>
      <c r="AA67" s="405">
        <f>IF(Score!T67="", "",Score!T67 )</f>
        <v>16</v>
      </c>
      <c r="AB67" s="405"/>
      <c r="AC67" s="403" t="str">
        <f>IF(Score!U67="", "",Score!U67 )</f>
        <v>45</v>
      </c>
      <c r="AD67" s="418" t="s">
        <v>140</v>
      </c>
      <c r="AE67" s="418"/>
      <c r="AF67" s="418"/>
      <c r="AG67" s="421" t="s">
        <v>621</v>
      </c>
      <c r="AH67" s="418"/>
      <c r="AI67" s="418"/>
      <c r="AJ67" s="418"/>
      <c r="AK67" s="421" t="s">
        <v>604</v>
      </c>
      <c r="AL67" s="418"/>
      <c r="AM67" s="418"/>
      <c r="AN67" s="418"/>
      <c r="AO67" s="421" t="s">
        <v>612</v>
      </c>
      <c r="AP67" s="418"/>
      <c r="AQ67" s="418"/>
      <c r="AR67" s="418"/>
      <c r="AS67" s="421" t="s">
        <v>619</v>
      </c>
      <c r="AT67" s="418"/>
      <c r="AU67" s="418"/>
      <c r="AV67" s="420"/>
      <c r="AW67" s="451">
        <f ca="1">IF(AA67="","",SUMIF(SK!R$88:R$163,ROW(),SK!T$88:T$163))</f>
        <v>0</v>
      </c>
      <c r="AX67" s="20"/>
      <c r="AY67" s="641"/>
      <c r="AZ67" s="638"/>
    </row>
    <row r="68" spans="1:52" ht="32.1" customHeight="1" thickBot="1" x14ac:dyDescent="0.35">
      <c r="A68" s="400" t="str">
        <f>IF(Score!A68="", "",Score!A68 )</f>
        <v>SP*</v>
      </c>
      <c r="B68" s="404"/>
      <c r="C68" s="402" t="str">
        <f>IF(Score!B68="", "",Score!B68 )</f>
        <v/>
      </c>
      <c r="D68" s="418"/>
      <c r="E68" s="418"/>
      <c r="F68" s="418"/>
      <c r="G68" s="419"/>
      <c r="H68" s="418"/>
      <c r="I68" s="418"/>
      <c r="J68" s="418"/>
      <c r="K68" s="419"/>
      <c r="L68" s="418"/>
      <c r="M68" s="418"/>
      <c r="N68" s="418"/>
      <c r="O68" s="419"/>
      <c r="P68" s="418"/>
      <c r="Q68" s="418"/>
      <c r="R68" s="418"/>
      <c r="S68" s="419"/>
      <c r="T68" s="418"/>
      <c r="U68" s="418"/>
      <c r="V68" s="420"/>
      <c r="W68" s="451">
        <f ca="1">IF(A68="","",SUMIF(SK!B$88:B$163,ROW(),SK!D$88:D$163))</f>
        <v>0</v>
      </c>
      <c r="X68" s="20"/>
      <c r="Y68" s="641" t="str">
        <f>Y26</f>
        <v>64</v>
      </c>
      <c r="Z68" s="638" t="str">
        <f>Z26</f>
        <v>Cannonball Doll</v>
      </c>
      <c r="AA68" s="404" t="str">
        <f>IF(Score!T68="", "",Score!T68 )</f>
        <v>SP</v>
      </c>
      <c r="AB68" s="404"/>
      <c r="AC68" s="402" t="str">
        <f>IF(Score!U68="", "",Score!U68 )</f>
        <v>519</v>
      </c>
      <c r="AD68" s="418"/>
      <c r="AE68" s="418"/>
      <c r="AF68" s="418"/>
      <c r="AG68" s="419" t="s">
        <v>650</v>
      </c>
      <c r="AH68" s="418"/>
      <c r="AI68" s="418"/>
      <c r="AJ68" s="418"/>
      <c r="AK68" s="419"/>
      <c r="AL68" s="418"/>
      <c r="AM68" s="418"/>
      <c r="AN68" s="418"/>
      <c r="AO68" s="419"/>
      <c r="AP68" s="418"/>
      <c r="AQ68" s="418"/>
      <c r="AR68" s="418"/>
      <c r="AS68" s="419"/>
      <c r="AT68" s="418"/>
      <c r="AU68" s="418"/>
      <c r="AV68" s="420"/>
      <c r="AW68" s="451">
        <f ca="1">IF(AA68="","",SUMIF(SK!R$88:R$163,ROW(),SK!T$88:T$163))</f>
        <v>0</v>
      </c>
      <c r="AX68" s="20"/>
      <c r="AY68" s="641" t="str">
        <f>AY26</f>
        <v>932</v>
      </c>
      <c r="AZ68" s="638" t="str">
        <f>AZ26</f>
        <v>Heaven Lee Bash</v>
      </c>
    </row>
    <row r="69" spans="1:52" ht="32.1" customHeight="1" thickBot="1" x14ac:dyDescent="0.35">
      <c r="A69" s="401">
        <f>IF(Score!A69="", "",Score!A69 )</f>
        <v>17</v>
      </c>
      <c r="B69" s="405"/>
      <c r="C69" s="403" t="str">
        <f>IF(Score!B69="", "",Score!B69 )</f>
        <v>4</v>
      </c>
      <c r="D69" s="418"/>
      <c r="E69" s="418"/>
      <c r="F69" s="418"/>
      <c r="G69" s="421" t="s">
        <v>602</v>
      </c>
      <c r="H69" s="418"/>
      <c r="I69" s="418"/>
      <c r="J69" s="418"/>
      <c r="K69" s="421" t="s">
        <v>594</v>
      </c>
      <c r="L69" s="418"/>
      <c r="M69" s="418"/>
      <c r="N69" s="418"/>
      <c r="O69" s="421" t="s">
        <v>592</v>
      </c>
      <c r="P69" s="418" t="s">
        <v>140</v>
      </c>
      <c r="Q69" s="418"/>
      <c r="R69" s="418"/>
      <c r="S69" s="421" t="s">
        <v>581</v>
      </c>
      <c r="T69" s="418"/>
      <c r="U69" s="418"/>
      <c r="V69" s="420"/>
      <c r="W69" s="451">
        <f ca="1">IF(A69="","",SUMIF(SK!B$88:B$163,ROW(),SK!D$88:D$163))</f>
        <v>10</v>
      </c>
      <c r="X69" s="20"/>
      <c r="Y69" s="641"/>
      <c r="Z69" s="638"/>
      <c r="AA69" s="405">
        <f>IF(Score!T69="", "",Score!T69 )</f>
        <v>17</v>
      </c>
      <c r="AB69" s="405"/>
      <c r="AC69" s="403" t="str">
        <f>IF(Score!U69="", "",Score!U69 )</f>
        <v>K9</v>
      </c>
      <c r="AD69" s="418" t="s">
        <v>663</v>
      </c>
      <c r="AE69" s="418"/>
      <c r="AF69" s="418"/>
      <c r="AG69" s="421" t="s">
        <v>619</v>
      </c>
      <c r="AH69" s="418"/>
      <c r="AI69" s="418"/>
      <c r="AJ69" s="418"/>
      <c r="AK69" s="421" t="s">
        <v>664</v>
      </c>
      <c r="AL69" s="418"/>
      <c r="AM69" s="418"/>
      <c r="AN69" s="418"/>
      <c r="AO69" s="421" t="s">
        <v>625</v>
      </c>
      <c r="AP69" s="418"/>
      <c r="AQ69" s="418"/>
      <c r="AR69" s="418"/>
      <c r="AS69" s="421" t="s">
        <v>614</v>
      </c>
      <c r="AT69" s="418"/>
      <c r="AU69" s="418"/>
      <c r="AV69" s="420"/>
      <c r="AW69" s="451">
        <f ca="1">IF(AA69="","",SUMIF(SK!R$88:R$163,ROW(),SK!T$88:T$163))</f>
        <v>0</v>
      </c>
      <c r="AX69" s="20"/>
      <c r="AY69" s="641"/>
      <c r="AZ69" s="638"/>
    </row>
    <row r="70" spans="1:52" ht="32.1" customHeight="1" thickBot="1" x14ac:dyDescent="0.35">
      <c r="A70" s="400">
        <f>IF(Score!A70="", "",Score!A70 )</f>
        <v>18</v>
      </c>
      <c r="B70" s="404"/>
      <c r="C70" s="402" t="str">
        <f>IF(Score!B70="", "",Score!B70 )</f>
        <v>19</v>
      </c>
      <c r="D70" s="418"/>
      <c r="E70" s="418"/>
      <c r="F70" s="418"/>
      <c r="G70" s="419" t="s">
        <v>576</v>
      </c>
      <c r="H70" s="418"/>
      <c r="I70" s="418"/>
      <c r="J70" s="418"/>
      <c r="K70" s="419" t="s">
        <v>584</v>
      </c>
      <c r="L70" s="418"/>
      <c r="M70" s="418"/>
      <c r="N70" s="418"/>
      <c r="O70" s="419" t="s">
        <v>596</v>
      </c>
      <c r="P70" s="418"/>
      <c r="Q70" s="418"/>
      <c r="R70" s="418"/>
      <c r="S70" s="419" t="s">
        <v>598</v>
      </c>
      <c r="T70" s="418" t="s">
        <v>663</v>
      </c>
      <c r="U70" s="418"/>
      <c r="V70" s="420"/>
      <c r="W70" s="451">
        <f ca="1">IF(A70="","",SUMIF(SK!B$88:B$163,ROW(),SK!D$88:D$163))</f>
        <v>10</v>
      </c>
      <c r="X70" s="20"/>
      <c r="Y70" s="641" t="str">
        <f>Y28</f>
        <v>84</v>
      </c>
      <c r="Z70" s="638" t="str">
        <f>Z28</f>
        <v>MEGAnTRON</v>
      </c>
      <c r="AA70" s="404">
        <f>IF(Score!T70="", "",Score!T70 )</f>
        <v>18</v>
      </c>
      <c r="AB70" s="404"/>
      <c r="AC70" s="402" t="str">
        <f>IF(Score!U70="", "",Score!U70 )</f>
        <v>K9</v>
      </c>
      <c r="AD70" s="418" t="s">
        <v>140</v>
      </c>
      <c r="AE70" s="418" t="s">
        <v>663</v>
      </c>
      <c r="AF70" s="418"/>
      <c r="AG70" s="419" t="s">
        <v>621</v>
      </c>
      <c r="AH70" s="418" t="s">
        <v>140</v>
      </c>
      <c r="AI70" s="418"/>
      <c r="AJ70" s="418"/>
      <c r="AK70" s="419" t="s">
        <v>612</v>
      </c>
      <c r="AL70" s="418"/>
      <c r="AM70" s="418"/>
      <c r="AN70" s="418"/>
      <c r="AO70" s="419" t="s">
        <v>604</v>
      </c>
      <c r="AP70" s="418"/>
      <c r="AQ70" s="418"/>
      <c r="AR70" s="418"/>
      <c r="AS70" s="419" t="s">
        <v>619</v>
      </c>
      <c r="AT70" s="418"/>
      <c r="AU70" s="418"/>
      <c r="AV70" s="420"/>
      <c r="AW70" s="451">
        <f ca="1">IF(AA70="","",SUMIF(SK!R$88:R$163,ROW(),SK!T$88:T$163))</f>
        <v>0</v>
      </c>
      <c r="AX70" s="20"/>
      <c r="AY70" s="641" t="str">
        <f>AY28</f>
        <v>H20</v>
      </c>
      <c r="AZ70" s="638" t="str">
        <f>AZ28</f>
        <v>Lethal Mermaid</v>
      </c>
    </row>
    <row r="71" spans="1:52" ht="32.1" customHeight="1" thickBot="1" x14ac:dyDescent="0.35">
      <c r="A71" s="401" t="str">
        <f>IF(Score!A71="", "",Score!A71 )</f>
        <v/>
      </c>
      <c r="B71" s="405"/>
      <c r="C71" s="403" t="str">
        <f>IF(Score!B71="", "",Score!B71 )</f>
        <v/>
      </c>
      <c r="D71" s="418"/>
      <c r="E71" s="418"/>
      <c r="F71" s="418"/>
      <c r="G71" s="421"/>
      <c r="H71" s="418"/>
      <c r="I71" s="418"/>
      <c r="J71" s="418"/>
      <c r="K71" s="421"/>
      <c r="L71" s="418"/>
      <c r="M71" s="418"/>
      <c r="N71" s="418"/>
      <c r="O71" s="421"/>
      <c r="P71" s="418"/>
      <c r="Q71" s="418"/>
      <c r="R71" s="418"/>
      <c r="S71" s="421"/>
      <c r="T71" s="418"/>
      <c r="U71" s="418"/>
      <c r="V71" s="420"/>
      <c r="W71" s="451" t="str">
        <f>IF(A71="","",SUMIF(SK!B$88:B$163,ROW(),SK!D$88:D$163))</f>
        <v/>
      </c>
      <c r="X71" s="20"/>
      <c r="Y71" s="641"/>
      <c r="Z71" s="638"/>
      <c r="AA71" s="405" t="str">
        <f>IF(Score!T71="", "",Score!T71 )</f>
        <v/>
      </c>
      <c r="AB71" s="405"/>
      <c r="AC71" s="403" t="str">
        <f>IF(Score!U71="", "",Score!U71 )</f>
        <v/>
      </c>
      <c r="AD71" s="418"/>
      <c r="AE71" s="418"/>
      <c r="AF71" s="418"/>
      <c r="AG71" s="421"/>
      <c r="AH71" s="418"/>
      <c r="AI71" s="418"/>
      <c r="AJ71" s="418"/>
      <c r="AK71" s="421"/>
      <c r="AL71" s="418"/>
      <c r="AM71" s="418"/>
      <c r="AN71" s="418"/>
      <c r="AO71" s="421"/>
      <c r="AP71" s="418"/>
      <c r="AQ71" s="418"/>
      <c r="AR71" s="418"/>
      <c r="AS71" s="421"/>
      <c r="AT71" s="418"/>
      <c r="AU71" s="418"/>
      <c r="AV71" s="420"/>
      <c r="AW71" s="451" t="str">
        <f>IF(AA71="","",SUMIF(SK!R$88:R$163,ROW(),SK!T$88:T$163))</f>
        <v/>
      </c>
      <c r="AX71" s="20"/>
      <c r="AY71" s="641"/>
      <c r="AZ71" s="638"/>
    </row>
    <row r="72" spans="1:52" ht="32.1" customHeight="1" thickBot="1" x14ac:dyDescent="0.35">
      <c r="A72" s="400" t="str">
        <f>IF(Score!A72="", "",Score!A72 )</f>
        <v/>
      </c>
      <c r="B72" s="404"/>
      <c r="C72" s="402" t="str">
        <f>IF(Score!B72="", "",Score!B72 )</f>
        <v/>
      </c>
      <c r="D72" s="418"/>
      <c r="E72" s="418"/>
      <c r="F72" s="418"/>
      <c r="G72" s="419"/>
      <c r="H72" s="418"/>
      <c r="I72" s="418"/>
      <c r="J72" s="418"/>
      <c r="K72" s="419"/>
      <c r="L72" s="418"/>
      <c r="M72" s="418"/>
      <c r="N72" s="418"/>
      <c r="O72" s="419"/>
      <c r="P72" s="418"/>
      <c r="Q72" s="418"/>
      <c r="R72" s="418"/>
      <c r="S72" s="419"/>
      <c r="T72" s="418"/>
      <c r="U72" s="418"/>
      <c r="V72" s="420"/>
      <c r="W72" s="451" t="str">
        <f>IF(A72="","",SUMIF(SK!B$88:B$163,ROW(),SK!D$88:D$163))</f>
        <v/>
      </c>
      <c r="X72" s="20"/>
      <c r="Y72" s="641" t="str">
        <f>Y30</f>
        <v>N01</v>
      </c>
      <c r="Z72" s="638" t="str">
        <f>Z30</f>
        <v>Commander Will Wrecker</v>
      </c>
      <c r="AA72" s="404" t="str">
        <f>IF(Score!T72="", "",Score!T72 )</f>
        <v/>
      </c>
      <c r="AB72" s="404"/>
      <c r="AC72" s="402" t="str">
        <f>IF(Score!U72="", "",Score!U72 )</f>
        <v/>
      </c>
      <c r="AD72" s="418"/>
      <c r="AE72" s="418"/>
      <c r="AF72" s="418"/>
      <c r="AG72" s="419"/>
      <c r="AH72" s="418"/>
      <c r="AI72" s="418"/>
      <c r="AJ72" s="418"/>
      <c r="AK72" s="419"/>
      <c r="AL72" s="418"/>
      <c r="AM72" s="418"/>
      <c r="AN72" s="418"/>
      <c r="AO72" s="419"/>
      <c r="AP72" s="418"/>
      <c r="AQ72" s="418"/>
      <c r="AR72" s="418"/>
      <c r="AS72" s="419"/>
      <c r="AT72" s="418"/>
      <c r="AU72" s="418"/>
      <c r="AV72" s="420"/>
      <c r="AW72" s="451" t="str">
        <f>IF(AA72="","",SUMIF(SK!R$88:R$163,ROW(),SK!T$88:T$163))</f>
        <v/>
      </c>
      <c r="AX72" s="20"/>
      <c r="AY72" s="641" t="str">
        <f>AY30</f>
        <v>K9</v>
      </c>
      <c r="AZ72" s="638" t="str">
        <f>AZ30</f>
        <v>Scooby Doom</v>
      </c>
    </row>
    <row r="73" spans="1:52" ht="32.1" customHeight="1" thickBot="1" x14ac:dyDescent="0.35">
      <c r="A73" s="401" t="str">
        <f>IF(Score!A73="", "",Score!A73 )</f>
        <v/>
      </c>
      <c r="B73" s="405"/>
      <c r="C73" s="403" t="str">
        <f>IF(Score!B73="", "",Score!B73 )</f>
        <v/>
      </c>
      <c r="D73" s="418"/>
      <c r="E73" s="418"/>
      <c r="F73" s="418"/>
      <c r="G73" s="421"/>
      <c r="H73" s="418"/>
      <c r="I73" s="418"/>
      <c r="J73" s="418"/>
      <c r="K73" s="421"/>
      <c r="L73" s="418"/>
      <c r="M73" s="418"/>
      <c r="N73" s="418"/>
      <c r="O73" s="421"/>
      <c r="P73" s="418"/>
      <c r="Q73" s="418"/>
      <c r="R73" s="418"/>
      <c r="S73" s="421"/>
      <c r="T73" s="418"/>
      <c r="U73" s="418"/>
      <c r="V73" s="420"/>
      <c r="W73" s="451" t="str">
        <f>IF(A73="","",SUMIF(SK!B$88:B$163,ROW(),SK!D$88:D$163))</f>
        <v/>
      </c>
      <c r="X73" s="20"/>
      <c r="Y73" s="641"/>
      <c r="Z73" s="638"/>
      <c r="AA73" s="405" t="str">
        <f>IF(Score!T73="", "",Score!T73 )</f>
        <v/>
      </c>
      <c r="AB73" s="405"/>
      <c r="AC73" s="403" t="str">
        <f>IF(Score!U73="", "",Score!U73 )</f>
        <v/>
      </c>
      <c r="AD73" s="418"/>
      <c r="AE73" s="418"/>
      <c r="AF73" s="418"/>
      <c r="AG73" s="421"/>
      <c r="AH73" s="418"/>
      <c r="AI73" s="418"/>
      <c r="AJ73" s="418"/>
      <c r="AK73" s="421"/>
      <c r="AL73" s="418"/>
      <c r="AM73" s="418"/>
      <c r="AN73" s="418"/>
      <c r="AO73" s="421"/>
      <c r="AP73" s="418"/>
      <c r="AQ73" s="418"/>
      <c r="AR73" s="418"/>
      <c r="AS73" s="421"/>
      <c r="AT73" s="418"/>
      <c r="AU73" s="418"/>
      <c r="AV73" s="420"/>
      <c r="AW73" s="451" t="str">
        <f>IF(AA73="","",SUMIF(SK!R$88:R$163,ROW(),SK!T$88:T$163))</f>
        <v/>
      </c>
      <c r="AX73" s="20"/>
      <c r="AY73" s="641"/>
      <c r="AZ73" s="638"/>
    </row>
    <row r="74" spans="1:52" ht="32.1" customHeight="1" thickBot="1" x14ac:dyDescent="0.35">
      <c r="A74" s="400" t="str">
        <f>IF(Score!A74="", "",Score!A74 )</f>
        <v/>
      </c>
      <c r="B74" s="404"/>
      <c r="C74" s="402" t="str">
        <f>IF(Score!B74="", "",Score!B74 )</f>
        <v/>
      </c>
      <c r="D74" s="418"/>
      <c r="E74" s="418"/>
      <c r="F74" s="418"/>
      <c r="G74" s="419"/>
      <c r="H74" s="418"/>
      <c r="I74" s="418"/>
      <c r="J74" s="418"/>
      <c r="K74" s="419"/>
      <c r="L74" s="418"/>
      <c r="M74" s="418"/>
      <c r="N74" s="418"/>
      <c r="O74" s="419"/>
      <c r="P74" s="418"/>
      <c r="Q74" s="418"/>
      <c r="R74" s="418"/>
      <c r="S74" s="419"/>
      <c r="T74" s="418"/>
      <c r="U74" s="418"/>
      <c r="V74" s="420"/>
      <c r="W74" s="451" t="str">
        <f>IF(A74="","",SUMIF(SK!B$88:B$163,ROW(),SK!D$88:D$163))</f>
        <v/>
      </c>
      <c r="X74" s="20"/>
      <c r="Y74" s="641" t="str">
        <f>Y32</f>
        <v/>
      </c>
      <c r="Z74" s="638" t="str">
        <f>Z32</f>
        <v/>
      </c>
      <c r="AA74" s="404" t="str">
        <f>IF(Score!T74="", "",Score!T74 )</f>
        <v/>
      </c>
      <c r="AB74" s="404"/>
      <c r="AC74" s="402" t="str">
        <f>IF(Score!U74="", "",Score!U74 )</f>
        <v/>
      </c>
      <c r="AD74" s="418"/>
      <c r="AE74" s="418"/>
      <c r="AF74" s="418"/>
      <c r="AG74" s="419"/>
      <c r="AH74" s="418"/>
      <c r="AI74" s="418"/>
      <c r="AJ74" s="418"/>
      <c r="AK74" s="419"/>
      <c r="AL74" s="418"/>
      <c r="AM74" s="418"/>
      <c r="AN74" s="418"/>
      <c r="AO74" s="419"/>
      <c r="AP74" s="418"/>
      <c r="AQ74" s="418"/>
      <c r="AR74" s="418"/>
      <c r="AS74" s="419"/>
      <c r="AT74" s="418"/>
      <c r="AU74" s="418"/>
      <c r="AV74" s="420"/>
      <c r="AW74" s="451" t="str">
        <f>IF(AA74="","",SUMIF(SK!R$88:R$163,ROW(),SK!T$88:T$163))</f>
        <v/>
      </c>
      <c r="AX74" s="20"/>
      <c r="AY74" s="641" t="str">
        <f>AY32</f>
        <v/>
      </c>
      <c r="AZ74" s="638" t="str">
        <f>AZ32</f>
        <v/>
      </c>
    </row>
    <row r="75" spans="1:52" ht="32.1" customHeight="1" thickBot="1" x14ac:dyDescent="0.35">
      <c r="A75" s="401" t="str">
        <f>IF(Score!A75="", "",Score!A75 )</f>
        <v/>
      </c>
      <c r="B75" s="405"/>
      <c r="C75" s="403" t="str">
        <f>IF(Score!B75="", "",Score!B75 )</f>
        <v/>
      </c>
      <c r="D75" s="418"/>
      <c r="E75" s="418"/>
      <c r="F75" s="418"/>
      <c r="G75" s="421"/>
      <c r="H75" s="418"/>
      <c r="I75" s="418"/>
      <c r="J75" s="418"/>
      <c r="K75" s="421"/>
      <c r="L75" s="418"/>
      <c r="M75" s="418"/>
      <c r="N75" s="418"/>
      <c r="O75" s="421"/>
      <c r="P75" s="418"/>
      <c r="Q75" s="418"/>
      <c r="R75" s="418"/>
      <c r="S75" s="421"/>
      <c r="T75" s="418"/>
      <c r="U75" s="418"/>
      <c r="V75" s="420"/>
      <c r="W75" s="451" t="str">
        <f>IF(A75="","",SUMIF(SK!B$88:B$163,ROW(),SK!D$88:D$163))</f>
        <v/>
      </c>
      <c r="X75" s="20"/>
      <c r="Y75" s="641"/>
      <c r="Z75" s="638"/>
      <c r="AA75" s="405" t="str">
        <f>IF(Score!T75="", "",Score!T75 )</f>
        <v/>
      </c>
      <c r="AB75" s="405"/>
      <c r="AC75" s="403" t="str">
        <f>IF(Score!U75="", "",Score!U75 )</f>
        <v/>
      </c>
      <c r="AD75" s="418"/>
      <c r="AE75" s="418"/>
      <c r="AF75" s="418"/>
      <c r="AG75" s="421"/>
      <c r="AH75" s="418"/>
      <c r="AI75" s="418"/>
      <c r="AJ75" s="418"/>
      <c r="AK75" s="421"/>
      <c r="AL75" s="418"/>
      <c r="AM75" s="418"/>
      <c r="AN75" s="418"/>
      <c r="AO75" s="421"/>
      <c r="AP75" s="418"/>
      <c r="AQ75" s="418"/>
      <c r="AR75" s="418"/>
      <c r="AS75" s="421"/>
      <c r="AT75" s="418"/>
      <c r="AU75" s="418"/>
      <c r="AV75" s="420"/>
      <c r="AW75" s="451" t="str">
        <f>IF(AA75="","",SUMIF(SK!R$88:R$163,ROW(),SK!T$88:T$163))</f>
        <v/>
      </c>
      <c r="AX75" s="20"/>
      <c r="AY75" s="641"/>
      <c r="AZ75" s="638"/>
    </row>
    <row r="76" spans="1:52" ht="32.1" customHeight="1" thickBot="1" x14ac:dyDescent="0.35">
      <c r="A76" s="400" t="str">
        <f>IF(Score!A76="", "",Score!A76 )</f>
        <v/>
      </c>
      <c r="B76" s="404"/>
      <c r="C76" s="402" t="str">
        <f>IF(Score!B76="", "",Score!B76 )</f>
        <v/>
      </c>
      <c r="D76" s="418"/>
      <c r="E76" s="418"/>
      <c r="F76" s="418"/>
      <c r="G76" s="419"/>
      <c r="H76" s="418"/>
      <c r="I76" s="418"/>
      <c r="J76" s="418"/>
      <c r="K76" s="419"/>
      <c r="L76" s="418"/>
      <c r="M76" s="418"/>
      <c r="N76" s="418"/>
      <c r="O76" s="419"/>
      <c r="P76" s="418"/>
      <c r="Q76" s="418"/>
      <c r="R76" s="418"/>
      <c r="S76" s="419"/>
      <c r="T76" s="418"/>
      <c r="U76" s="418"/>
      <c r="V76" s="420"/>
      <c r="W76" s="451" t="str">
        <f>IF(A76="","",SUMIF(SK!B$88:B$163,ROW(),SK!D$88:D$163))</f>
        <v/>
      </c>
      <c r="X76" s="20"/>
      <c r="Y76" s="641" t="str">
        <f>Y34</f>
        <v/>
      </c>
      <c r="Z76" s="638" t="str">
        <f>Z34</f>
        <v/>
      </c>
      <c r="AA76" s="404" t="str">
        <f>IF(Score!T76="", "",Score!T76 )</f>
        <v/>
      </c>
      <c r="AB76" s="404"/>
      <c r="AC76" s="402" t="str">
        <f>IF(Score!U76="", "",Score!U76 )</f>
        <v/>
      </c>
      <c r="AD76" s="418"/>
      <c r="AE76" s="418"/>
      <c r="AF76" s="418"/>
      <c r="AG76" s="419"/>
      <c r="AH76" s="418"/>
      <c r="AI76" s="418"/>
      <c r="AJ76" s="418"/>
      <c r="AK76" s="419"/>
      <c r="AL76" s="418"/>
      <c r="AM76" s="418"/>
      <c r="AN76" s="418"/>
      <c r="AO76" s="419"/>
      <c r="AP76" s="418"/>
      <c r="AQ76" s="418"/>
      <c r="AR76" s="418"/>
      <c r="AS76" s="419"/>
      <c r="AT76" s="418"/>
      <c r="AU76" s="418"/>
      <c r="AV76" s="420"/>
      <c r="AW76" s="451" t="str">
        <f>IF(AA76="","",SUMIF(SK!R$88:R$163,ROW(),SK!T$88:T$163))</f>
        <v/>
      </c>
      <c r="AX76" s="20"/>
      <c r="AY76" s="641" t="str">
        <f>AY34</f>
        <v/>
      </c>
      <c r="AZ76" s="638" t="str">
        <f>AZ34</f>
        <v/>
      </c>
    </row>
    <row r="77" spans="1:52" ht="32.1" customHeight="1" thickBot="1" x14ac:dyDescent="0.35">
      <c r="A77" s="401" t="str">
        <f>IF(Score!A77="", "",Score!A77 )</f>
        <v/>
      </c>
      <c r="B77" s="405"/>
      <c r="C77" s="403" t="str">
        <f>IF(Score!B77="", "",Score!B77 )</f>
        <v/>
      </c>
      <c r="D77" s="418"/>
      <c r="E77" s="418"/>
      <c r="F77" s="418"/>
      <c r="G77" s="421"/>
      <c r="H77" s="418"/>
      <c r="I77" s="418"/>
      <c r="J77" s="418"/>
      <c r="K77" s="421"/>
      <c r="L77" s="418"/>
      <c r="M77" s="418"/>
      <c r="N77" s="418"/>
      <c r="O77" s="421"/>
      <c r="P77" s="418"/>
      <c r="Q77" s="418"/>
      <c r="R77" s="418"/>
      <c r="S77" s="421"/>
      <c r="T77" s="418"/>
      <c r="U77" s="418"/>
      <c r="V77" s="420"/>
      <c r="W77" s="451" t="str">
        <f>IF(A77="","",SUMIF(SK!B$88:B$163,ROW(),SK!D$88:D$163))</f>
        <v/>
      </c>
      <c r="X77" s="20"/>
      <c r="Y77" s="641"/>
      <c r="Z77" s="638"/>
      <c r="AA77" s="405" t="str">
        <f>IF(Score!T77="", "",Score!T77 )</f>
        <v/>
      </c>
      <c r="AB77" s="405"/>
      <c r="AC77" s="403" t="str">
        <f>IF(Score!U77="", "",Score!U77 )</f>
        <v/>
      </c>
      <c r="AD77" s="418"/>
      <c r="AE77" s="418"/>
      <c r="AF77" s="418"/>
      <c r="AG77" s="421"/>
      <c r="AH77" s="418"/>
      <c r="AI77" s="418"/>
      <c r="AJ77" s="418"/>
      <c r="AK77" s="421"/>
      <c r="AL77" s="418"/>
      <c r="AM77" s="418"/>
      <c r="AN77" s="418"/>
      <c r="AO77" s="421"/>
      <c r="AP77" s="418"/>
      <c r="AQ77" s="418"/>
      <c r="AR77" s="418"/>
      <c r="AS77" s="421"/>
      <c r="AT77" s="418"/>
      <c r="AU77" s="418"/>
      <c r="AV77" s="420"/>
      <c r="AW77" s="451" t="str">
        <f>IF(AA77="","",SUMIF(SK!R$88:R$163,ROW(),SK!T$88:T$163))</f>
        <v/>
      </c>
      <c r="AX77" s="20"/>
      <c r="AY77" s="641"/>
      <c r="AZ77" s="638"/>
    </row>
    <row r="78" spans="1:52" ht="32.1" customHeight="1" thickBot="1" x14ac:dyDescent="0.35">
      <c r="A78" s="400" t="str">
        <f>IF(Score!A78="", "",Score!A78 )</f>
        <v/>
      </c>
      <c r="B78" s="404"/>
      <c r="C78" s="402" t="str">
        <f>IF(Score!B78="", "",Score!B78 )</f>
        <v/>
      </c>
      <c r="D78" s="418"/>
      <c r="E78" s="418"/>
      <c r="F78" s="418"/>
      <c r="G78" s="419"/>
      <c r="H78" s="418"/>
      <c r="I78" s="418"/>
      <c r="J78" s="418"/>
      <c r="K78" s="419"/>
      <c r="L78" s="418"/>
      <c r="M78" s="418"/>
      <c r="N78" s="418"/>
      <c r="O78" s="419"/>
      <c r="P78" s="418"/>
      <c r="Q78" s="418"/>
      <c r="R78" s="418"/>
      <c r="S78" s="419"/>
      <c r="T78" s="418"/>
      <c r="U78" s="418"/>
      <c r="V78" s="420"/>
      <c r="W78" s="451" t="str">
        <f>IF(A78="","",SUMIF(SK!B$88:B$163,ROW(),SK!D$88:D$163))</f>
        <v/>
      </c>
      <c r="X78" s="637"/>
      <c r="Y78" s="641" t="str">
        <f>Y36</f>
        <v/>
      </c>
      <c r="Z78" s="638" t="str">
        <f>Z36</f>
        <v/>
      </c>
      <c r="AA78" s="404" t="str">
        <f>IF(Score!T78="", "",Score!T78 )</f>
        <v/>
      </c>
      <c r="AB78" s="404"/>
      <c r="AC78" s="402" t="str">
        <f>IF(Score!U78="", "",Score!U78 )</f>
        <v/>
      </c>
      <c r="AD78" s="418"/>
      <c r="AE78" s="418"/>
      <c r="AF78" s="418"/>
      <c r="AG78" s="419"/>
      <c r="AH78" s="418"/>
      <c r="AI78" s="418"/>
      <c r="AJ78" s="418"/>
      <c r="AK78" s="419"/>
      <c r="AL78" s="418"/>
      <c r="AM78" s="418"/>
      <c r="AN78" s="418"/>
      <c r="AO78" s="419"/>
      <c r="AP78" s="418"/>
      <c r="AQ78" s="418"/>
      <c r="AR78" s="418"/>
      <c r="AS78" s="419"/>
      <c r="AT78" s="418"/>
      <c r="AU78" s="418"/>
      <c r="AV78" s="420"/>
      <c r="AW78" s="451" t="str">
        <f>IF(AA78="","",SUMIF(SK!R$88:R$163,ROW(),SK!T$88:T$163))</f>
        <v/>
      </c>
      <c r="AX78" s="636"/>
      <c r="AY78" s="641" t="str">
        <f>AY36</f>
        <v/>
      </c>
      <c r="AZ78" s="638" t="str">
        <f>AZ36</f>
        <v/>
      </c>
    </row>
    <row r="79" spans="1:52" ht="32.1" customHeight="1" thickBot="1" x14ac:dyDescent="0.35">
      <c r="A79" s="401" t="str">
        <f>IF(Score!A79="", "",Score!A79 )</f>
        <v/>
      </c>
      <c r="B79" s="405"/>
      <c r="C79" s="403" t="str">
        <f>IF(Score!B79="", "",Score!B79 )</f>
        <v/>
      </c>
      <c r="D79" s="418"/>
      <c r="E79" s="418"/>
      <c r="F79" s="418"/>
      <c r="G79" s="421"/>
      <c r="H79" s="418"/>
      <c r="I79" s="418"/>
      <c r="J79" s="418"/>
      <c r="K79" s="421"/>
      <c r="L79" s="418"/>
      <c r="M79" s="418"/>
      <c r="N79" s="418"/>
      <c r="O79" s="421"/>
      <c r="P79" s="418"/>
      <c r="Q79" s="418"/>
      <c r="R79" s="418"/>
      <c r="S79" s="421"/>
      <c r="T79" s="418"/>
      <c r="U79" s="418"/>
      <c r="V79" s="420"/>
      <c r="W79" s="451" t="str">
        <f>IF(A79="","",SUMIF(SK!B$88:B$163,ROW(),SK!D$88:D$163))</f>
        <v/>
      </c>
      <c r="X79" s="635"/>
      <c r="Y79" s="641"/>
      <c r="Z79" s="638"/>
      <c r="AA79" s="405" t="str">
        <f>IF(Score!T79="", "",Score!T79 )</f>
        <v/>
      </c>
      <c r="AB79" s="405"/>
      <c r="AC79" s="403" t="str">
        <f>IF(Score!U79="", "",Score!U79 )</f>
        <v/>
      </c>
      <c r="AD79" s="418"/>
      <c r="AE79" s="418"/>
      <c r="AF79" s="418"/>
      <c r="AG79" s="421"/>
      <c r="AH79" s="418"/>
      <c r="AI79" s="418"/>
      <c r="AJ79" s="418"/>
      <c r="AK79" s="421"/>
      <c r="AL79" s="418"/>
      <c r="AM79" s="418"/>
      <c r="AN79" s="418"/>
      <c r="AO79" s="421"/>
      <c r="AP79" s="418"/>
      <c r="AQ79" s="418"/>
      <c r="AR79" s="418"/>
      <c r="AS79" s="421"/>
      <c r="AT79" s="418"/>
      <c r="AU79" s="418"/>
      <c r="AV79" s="420"/>
      <c r="AW79" s="451" t="str">
        <f>IF(AA79="","",SUMIF(SK!R$88:R$163,ROW(),SK!T$88:T$163))</f>
        <v/>
      </c>
      <c r="AX79" s="635"/>
      <c r="AY79" s="641"/>
      <c r="AZ79" s="638"/>
    </row>
    <row r="80" spans="1:52" ht="32.1" customHeight="1" thickBot="1" x14ac:dyDescent="0.35">
      <c r="A80" s="400" t="str">
        <f>IF(Score!A80="", "",Score!A80 )</f>
        <v/>
      </c>
      <c r="B80" s="404"/>
      <c r="C80" s="402" t="str">
        <f>IF(Score!B80="", "",Score!B80 )</f>
        <v/>
      </c>
      <c r="D80" s="418"/>
      <c r="E80" s="418"/>
      <c r="F80" s="418"/>
      <c r="G80" s="419"/>
      <c r="H80" s="418"/>
      <c r="I80" s="418"/>
      <c r="J80" s="418"/>
      <c r="K80" s="419"/>
      <c r="L80" s="418"/>
      <c r="M80" s="418"/>
      <c r="N80" s="418"/>
      <c r="O80" s="419"/>
      <c r="P80" s="418"/>
      <c r="Q80" s="418"/>
      <c r="R80" s="418"/>
      <c r="S80" s="419"/>
      <c r="T80" s="418"/>
      <c r="U80" s="418"/>
      <c r="V80" s="420"/>
      <c r="W80" s="451" t="str">
        <f>IF(A80="","",SUMIF(SK!B$88:B$163,ROW(),SK!D$88:D$163))</f>
        <v/>
      </c>
      <c r="X80" s="397"/>
      <c r="Y80" s="641" t="str">
        <f>Y38</f>
        <v/>
      </c>
      <c r="Z80" s="638" t="str">
        <f>Z38</f>
        <v/>
      </c>
      <c r="AA80" s="404" t="str">
        <f>IF(Score!T80="", "",Score!T80 )</f>
        <v/>
      </c>
      <c r="AB80" s="404"/>
      <c r="AC80" s="402" t="str">
        <f>IF(Score!U80="", "",Score!U80 )</f>
        <v/>
      </c>
      <c r="AD80" s="418"/>
      <c r="AE80" s="418"/>
      <c r="AF80" s="418"/>
      <c r="AG80" s="419"/>
      <c r="AH80" s="418"/>
      <c r="AI80" s="418"/>
      <c r="AJ80" s="418"/>
      <c r="AK80" s="419"/>
      <c r="AL80" s="418"/>
      <c r="AM80" s="418"/>
      <c r="AN80" s="418"/>
      <c r="AO80" s="419"/>
      <c r="AP80" s="418"/>
      <c r="AQ80" s="418"/>
      <c r="AR80" s="418"/>
      <c r="AS80" s="419"/>
      <c r="AT80" s="418"/>
      <c r="AU80" s="418"/>
      <c r="AV80" s="420"/>
      <c r="AW80" s="451" t="str">
        <f>IF(AA80="","",SUMIF(SK!R$88:R$163,ROW(),SK!T$88:T$163))</f>
        <v/>
      </c>
      <c r="AX80" s="397"/>
      <c r="AY80" s="641" t="str">
        <f>AY38</f>
        <v/>
      </c>
      <c r="AZ80" s="638" t="str">
        <f>AZ38</f>
        <v/>
      </c>
    </row>
    <row r="81" spans="1:52" ht="32.1" customHeight="1" thickBot="1" x14ac:dyDescent="0.35">
      <c r="A81" s="401" t="str">
        <f>IF(Score!A81="", "",Score!A81 )</f>
        <v/>
      </c>
      <c r="B81" s="405"/>
      <c r="C81" s="403" t="str">
        <f>IF(Score!B81="", "",Score!B81 )</f>
        <v/>
      </c>
      <c r="D81" s="418"/>
      <c r="E81" s="418"/>
      <c r="F81" s="418"/>
      <c r="G81" s="421"/>
      <c r="H81" s="418"/>
      <c r="I81" s="418"/>
      <c r="J81" s="418"/>
      <c r="K81" s="421"/>
      <c r="L81" s="418"/>
      <c r="M81" s="418"/>
      <c r="N81" s="418"/>
      <c r="O81" s="421"/>
      <c r="P81" s="418"/>
      <c r="Q81" s="418"/>
      <c r="R81" s="418"/>
      <c r="S81" s="421"/>
      <c r="T81" s="418"/>
      <c r="U81" s="418"/>
      <c r="V81" s="420"/>
      <c r="W81" s="451" t="str">
        <f>IF(A81="","",SUMIF(SK!B$88:B$163,ROW(),SK!D$88:D$163))</f>
        <v/>
      </c>
      <c r="X81" s="397"/>
      <c r="Y81" s="641"/>
      <c r="Z81" s="638"/>
      <c r="AA81" s="405" t="str">
        <f>IF(Score!T81="", "",Score!T81 )</f>
        <v/>
      </c>
      <c r="AB81" s="405"/>
      <c r="AC81" s="403" t="str">
        <f>IF(Score!U81="", "",Score!U81 )</f>
        <v/>
      </c>
      <c r="AD81" s="418"/>
      <c r="AE81" s="418"/>
      <c r="AF81" s="418"/>
      <c r="AG81" s="421"/>
      <c r="AH81" s="418"/>
      <c r="AI81" s="418"/>
      <c r="AJ81" s="418"/>
      <c r="AK81" s="421"/>
      <c r="AL81" s="418"/>
      <c r="AM81" s="418"/>
      <c r="AN81" s="418"/>
      <c r="AO81" s="421"/>
      <c r="AP81" s="418"/>
      <c r="AQ81" s="418"/>
      <c r="AR81" s="418"/>
      <c r="AS81" s="421"/>
      <c r="AT81" s="418"/>
      <c r="AU81" s="418"/>
      <c r="AV81" s="420"/>
      <c r="AW81" s="451" t="str">
        <f>IF(AA81="","",SUMIF(SK!R$88:R$163,ROW(),SK!T$88:T$163))</f>
        <v/>
      </c>
      <c r="AX81" s="397"/>
      <c r="AY81" s="641"/>
      <c r="AZ81" s="638"/>
    </row>
    <row r="82" spans="1:52" ht="32.1" customHeight="1" thickBot="1" x14ac:dyDescent="0.35">
      <c r="A82" s="400" t="str">
        <f>IF(Score!A82="", "",Score!A82 )</f>
        <v/>
      </c>
      <c r="B82" s="404"/>
      <c r="C82" s="402" t="str">
        <f>IF(Score!B82="", "",Score!B82 )</f>
        <v/>
      </c>
      <c r="D82" s="418"/>
      <c r="E82" s="418"/>
      <c r="F82" s="418"/>
      <c r="G82" s="419"/>
      <c r="H82" s="418"/>
      <c r="I82" s="418"/>
      <c r="J82" s="418"/>
      <c r="K82" s="419"/>
      <c r="L82" s="418"/>
      <c r="M82" s="418"/>
      <c r="N82" s="418"/>
      <c r="O82" s="419"/>
      <c r="P82" s="418"/>
      <c r="Q82" s="418"/>
      <c r="R82" s="418"/>
      <c r="S82" s="419"/>
      <c r="T82" s="418"/>
      <c r="U82" s="418"/>
      <c r="V82" s="420"/>
      <c r="W82" s="451" t="str">
        <f>IF(A82="","",SUMIF(SK!B$88:B$163,ROW(),SK!D$88:D$163))</f>
        <v/>
      </c>
      <c r="X82" s="399"/>
      <c r="Y82" s="641" t="str">
        <f>Y40</f>
        <v/>
      </c>
      <c r="Z82" s="638" t="str">
        <f>Z40</f>
        <v/>
      </c>
      <c r="AA82" s="404" t="str">
        <f>IF(Score!T82="", "",Score!T82 )</f>
        <v/>
      </c>
      <c r="AB82" s="404"/>
      <c r="AC82" s="402" t="str">
        <f>IF(Score!U82="", "",Score!U82 )</f>
        <v/>
      </c>
      <c r="AD82" s="418"/>
      <c r="AE82" s="418"/>
      <c r="AF82" s="418"/>
      <c r="AG82" s="419"/>
      <c r="AH82" s="418"/>
      <c r="AI82" s="418"/>
      <c r="AJ82" s="418"/>
      <c r="AK82" s="419"/>
      <c r="AL82" s="418"/>
      <c r="AM82" s="418"/>
      <c r="AN82" s="418"/>
      <c r="AO82" s="419"/>
      <c r="AP82" s="418"/>
      <c r="AQ82" s="418"/>
      <c r="AR82" s="418"/>
      <c r="AS82" s="419"/>
      <c r="AT82" s="418"/>
      <c r="AU82" s="418"/>
      <c r="AV82" s="420"/>
      <c r="AW82" s="451" t="str">
        <f>IF(AA82="","",SUMIF(SK!R$88:R$163,ROW(),SK!T$88:T$163))</f>
        <v/>
      </c>
      <c r="AX82" s="399"/>
      <c r="AY82" s="641" t="str">
        <f>AY40</f>
        <v/>
      </c>
      <c r="AZ82" s="638" t="str">
        <f>AZ40</f>
        <v/>
      </c>
    </row>
    <row r="83" spans="1:52" ht="32.1" customHeight="1" thickBot="1" x14ac:dyDescent="0.35">
      <c r="A83" s="401" t="str">
        <f>IF(Score!A83="", "",Score!A83 )</f>
        <v/>
      </c>
      <c r="B83" s="405"/>
      <c r="C83" s="403" t="str">
        <f>IF(Score!B83="", "",Score!B83 )</f>
        <v/>
      </c>
      <c r="D83" s="418"/>
      <c r="E83" s="418"/>
      <c r="F83" s="418"/>
      <c r="G83" s="421"/>
      <c r="H83" s="418"/>
      <c r="I83" s="418"/>
      <c r="J83" s="418"/>
      <c r="K83" s="421"/>
      <c r="L83" s="418"/>
      <c r="M83" s="418"/>
      <c r="N83" s="418"/>
      <c r="O83" s="421"/>
      <c r="P83" s="418"/>
      <c r="Q83" s="418"/>
      <c r="R83" s="418"/>
      <c r="S83" s="421"/>
      <c r="T83" s="418"/>
      <c r="U83" s="418"/>
      <c r="V83" s="420"/>
      <c r="W83" s="451" t="str">
        <f>IF(A83="","",SUMIF(SK!B$88:B$163,ROW(),SK!D$88:D$163))</f>
        <v/>
      </c>
      <c r="X83" s="398"/>
      <c r="Y83" s="641" t="str">
        <f>Y41</f>
        <v/>
      </c>
      <c r="Z83" s="638" t="str">
        <f>Z41</f>
        <v/>
      </c>
      <c r="AA83" s="405" t="str">
        <f>IF(Score!T83="", "",Score!T83 )</f>
        <v/>
      </c>
      <c r="AB83" s="405"/>
      <c r="AC83" s="403" t="str">
        <f>IF(Score!U83="", "",Score!U83 )</f>
        <v/>
      </c>
      <c r="AD83" s="418"/>
      <c r="AE83" s="418"/>
      <c r="AF83" s="418"/>
      <c r="AG83" s="421"/>
      <c r="AH83" s="418"/>
      <c r="AI83" s="418"/>
      <c r="AJ83" s="418"/>
      <c r="AK83" s="421"/>
      <c r="AL83" s="418"/>
      <c r="AM83" s="418"/>
      <c r="AN83" s="418"/>
      <c r="AO83" s="421"/>
      <c r="AP83" s="418"/>
      <c r="AQ83" s="418"/>
      <c r="AR83" s="418"/>
      <c r="AS83" s="421"/>
      <c r="AT83" s="418"/>
      <c r="AU83" s="418"/>
      <c r="AV83" s="420"/>
      <c r="AW83" s="451" t="str">
        <f>IF(AA83="","",SUMIF(SK!R$88:R$163,ROW(),SK!T$88:T$163))</f>
        <v/>
      </c>
      <c r="AX83" s="398"/>
      <c r="AY83" s="641" t="str">
        <f>AY41</f>
        <v/>
      </c>
      <c r="AZ83" s="639" t="str">
        <f>AZ41</f>
        <v/>
      </c>
    </row>
    <row r="84" spans="1:52" s="417" customFormat="1" ht="15" customHeight="1" x14ac:dyDescent="0.3">
      <c r="A84" s="990" t="s">
        <v>468</v>
      </c>
      <c r="B84" s="990"/>
      <c r="C84" s="990"/>
      <c r="D84" s="990"/>
      <c r="E84" s="990"/>
      <c r="F84" s="990"/>
      <c r="G84" s="990"/>
      <c r="H84" s="990"/>
      <c r="I84" s="990"/>
      <c r="J84" s="990"/>
      <c r="K84" s="990"/>
      <c r="L84" s="990"/>
      <c r="M84" s="990"/>
      <c r="N84" s="990"/>
      <c r="O84" s="990"/>
      <c r="P84" s="990"/>
      <c r="Q84" s="990"/>
      <c r="R84" s="990"/>
      <c r="S84" s="990"/>
      <c r="T84" s="990"/>
      <c r="U84" s="990"/>
      <c r="V84" s="990"/>
      <c r="W84" s="990"/>
      <c r="X84" s="990"/>
      <c r="Y84" s="990"/>
      <c r="Z84" s="990"/>
      <c r="AA84" s="990" t="s">
        <v>468</v>
      </c>
      <c r="AB84" s="990"/>
      <c r="AC84" s="990"/>
      <c r="AD84" s="990"/>
      <c r="AE84" s="990"/>
      <c r="AF84" s="990"/>
      <c r="AG84" s="990"/>
      <c r="AH84" s="990"/>
      <c r="AI84" s="990"/>
      <c r="AJ84" s="990"/>
      <c r="AK84" s="990"/>
      <c r="AL84" s="990"/>
      <c r="AM84" s="990"/>
      <c r="AN84" s="990"/>
      <c r="AO84" s="990"/>
      <c r="AP84" s="990"/>
      <c r="AQ84" s="990"/>
      <c r="AR84" s="990"/>
      <c r="AS84" s="990"/>
      <c r="AT84" s="990"/>
      <c r="AU84" s="990"/>
      <c r="AV84" s="990"/>
      <c r="AW84" s="990"/>
      <c r="AX84" s="990"/>
      <c r="AY84" s="990"/>
      <c r="AZ84" s="990"/>
    </row>
  </sheetData>
  <mergeCells count="64">
    <mergeCell ref="T43:V43"/>
    <mergeCell ref="T44:V44"/>
    <mergeCell ref="X43:Z43"/>
    <mergeCell ref="X44:Z44"/>
    <mergeCell ref="AT43:AV43"/>
    <mergeCell ref="AT44:AV44"/>
    <mergeCell ref="X3:Z3"/>
    <mergeCell ref="AD3:AF3"/>
    <mergeCell ref="AH3:AJ3"/>
    <mergeCell ref="AL3:AN3"/>
    <mergeCell ref="AP3:AR3"/>
    <mergeCell ref="AX44:AZ44"/>
    <mergeCell ref="AT1:AV1"/>
    <mergeCell ref="AT2:AV2"/>
    <mergeCell ref="AX1:AZ1"/>
    <mergeCell ref="AX2:AZ2"/>
    <mergeCell ref="AT3:AV3"/>
    <mergeCell ref="AX3:AZ3"/>
    <mergeCell ref="P45:R45"/>
    <mergeCell ref="T45:V45"/>
    <mergeCell ref="AX45:AZ45"/>
    <mergeCell ref="AP44:AS44"/>
    <mergeCell ref="AH2:AO2"/>
    <mergeCell ref="AP2:AS2"/>
    <mergeCell ref="AA1:AG2"/>
    <mergeCell ref="AH1:AO1"/>
    <mergeCell ref="AP1:AS1"/>
    <mergeCell ref="AP43:AS43"/>
    <mergeCell ref="AD45:AF45"/>
    <mergeCell ref="AH45:AJ45"/>
    <mergeCell ref="AL45:AN45"/>
    <mergeCell ref="AP45:AR45"/>
    <mergeCell ref="AT45:AV45"/>
    <mergeCell ref="AX43:AZ43"/>
    <mergeCell ref="A43:G44"/>
    <mergeCell ref="H43:O43"/>
    <mergeCell ref="AA42:AZ42"/>
    <mergeCell ref="A42:Z42"/>
    <mergeCell ref="A84:Z84"/>
    <mergeCell ref="AA84:AZ84"/>
    <mergeCell ref="X45:Z45"/>
    <mergeCell ref="H44:O44"/>
    <mergeCell ref="P44:S44"/>
    <mergeCell ref="AH44:AO44"/>
    <mergeCell ref="P43:S43"/>
    <mergeCell ref="AA43:AG44"/>
    <mergeCell ref="AH43:AO43"/>
    <mergeCell ref="D45:F45"/>
    <mergeCell ref="H45:J45"/>
    <mergeCell ref="L45:N45"/>
    <mergeCell ref="D3:F3"/>
    <mergeCell ref="H3:J3"/>
    <mergeCell ref="L3:N3"/>
    <mergeCell ref="P3:R3"/>
    <mergeCell ref="T1:V1"/>
    <mergeCell ref="T2:V2"/>
    <mergeCell ref="T3:V3"/>
    <mergeCell ref="X1:Z1"/>
    <mergeCell ref="X2:Z2"/>
    <mergeCell ref="H2:O2"/>
    <mergeCell ref="P2:S2"/>
    <mergeCell ref="A1:G2"/>
    <mergeCell ref="H1:O1"/>
    <mergeCell ref="P1:S1"/>
  </mergeCells>
  <phoneticPr fontId="6" type="noConversion"/>
  <printOptions horizontalCentered="1"/>
  <pageMargins left="0.5" right="0.5" top="0.79" bottom="0.3" header="0.42" footer="0.15"/>
  <pageSetup scale="52" firstPageNumber="0" fitToWidth="0" fitToHeight="0" orientation="portrait" r:id="rId1"/>
  <headerFooter alignWithMargins="0">
    <oddHeader>&amp;L&amp;"Calibri,Regular"&amp;34&amp;K000000&amp;G&amp;A&amp;R&amp;"Calibri,Regular"&amp;K000000_x000D_‘&amp;A’ revision 150103_x000D_StatsBook © 2008–2015 WFTDA</oddHeader>
  </headerFooter>
  <rowBreaks count="2" manualBreakCount="2">
    <brk id="42" max="49" man="1"/>
    <brk id="84" max="49" man="1"/>
  </rowBreaks>
  <colBreaks count="1" manualBreakCount="1">
    <brk id="26" max="91" man="1"/>
  </colBreaks>
  <legacyDrawing r:id="rId2"/>
  <legacyDrawingHF r:id="rId3"/>
  <extLst>
    <ext xmlns:x14="http://schemas.microsoft.com/office/spreadsheetml/2009/9/main" uri="{78C0D931-6437-407d-A8EE-F0AAD7539E65}">
      <x14:conditionalFormattings>
        <x14:conditionalFormatting xmlns:xm="http://schemas.microsoft.com/office/excel/2006/main">
          <x14:cfRule type="expression" priority="2" id="{3A5FB291-B281-4568-A2E1-A26D35BCD60A}">
            <xm:f>AND(COUNTIF(IGRF!$B$14:$B$33,G4)=0, NOT(ISBLANK(G4)))</xm:f>
            <x14:dxf>
              <fill>
                <patternFill>
                  <bgColor rgb="FFFF0000"/>
                </patternFill>
              </fill>
            </x14:dxf>
          </x14:cfRule>
          <xm:sqref>G4:G41 K4:K41 O4:O41 S4:S41 G46:G83 K46:K83 O46:O83 S46:S83</xm:sqref>
        </x14:conditionalFormatting>
        <x14:conditionalFormatting xmlns:xm="http://schemas.microsoft.com/office/excel/2006/main">
          <x14:cfRule type="expression" priority="1" id="{02200394-7933-4F30-91D3-1E965FB94D3D}">
            <xm:f>AND(COUNTIF(IGRF!$H$14:$H$33, AG4)=0, NOT(ISBLANK(AG4)))</xm:f>
            <x14:dxf>
              <fill>
                <patternFill>
                  <bgColor rgb="FFFF0000"/>
                </patternFill>
              </fill>
            </x14:dxf>
          </x14:cfRule>
          <xm:sqref>AG4:AG41 AK4:AK41 AO4:AO41 AS4:AS41 AG46:AG83 AK46:AK83 AO46:AO83 AS46:AS83</xm:sqref>
        </x14:conditionalFormatting>
      </x14:conditionalFormatting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J42"/>
  <sheetViews>
    <sheetView zoomScale="85" zoomScaleNormal="85" workbookViewId="0">
      <selection activeCell="I3" sqref="I3"/>
    </sheetView>
  </sheetViews>
  <sheetFormatPr defaultColWidth="9.109375" defaultRowHeight="13.2" x14ac:dyDescent="0.25"/>
  <cols>
    <col min="1" max="1" width="10.5546875" style="1209" bestFit="1" customWidth="1"/>
    <col min="2" max="2" width="13.44140625" style="1209" customWidth="1"/>
    <col min="3" max="3" width="21.109375" style="1209" bestFit="1" customWidth="1"/>
    <col min="4" max="4" width="14.88671875" style="1209" customWidth="1"/>
    <col min="5" max="5" width="13.109375" style="1217" customWidth="1"/>
    <col min="6" max="6" width="25.88671875" style="1209" bestFit="1" customWidth="1"/>
    <col min="7" max="7" width="4.5546875" style="1209" customWidth="1"/>
    <col min="8" max="8" width="21.88671875" style="1209" customWidth="1"/>
    <col min="9" max="9" width="23.88671875" style="1209" customWidth="1"/>
    <col min="10" max="10" width="19.109375" style="1209" bestFit="1" customWidth="1"/>
    <col min="11" max="21" width="9.109375" style="1209"/>
    <col min="22" max="22" width="16.88671875" style="1209" bestFit="1" customWidth="1"/>
    <col min="23" max="23" width="20.5546875" style="1209" bestFit="1" customWidth="1"/>
    <col min="24" max="24" width="15.6640625" style="1209" bestFit="1" customWidth="1"/>
    <col min="25" max="16384" width="9.109375" style="1209"/>
  </cols>
  <sheetData>
    <row r="1" spans="1:10" x14ac:dyDescent="0.25">
      <c r="A1" s="1203" t="s">
        <v>248</v>
      </c>
      <c r="B1" s="1204" t="s">
        <v>29</v>
      </c>
      <c r="C1" s="1204" t="s">
        <v>665</v>
      </c>
      <c r="D1" s="1203" t="s">
        <v>68</v>
      </c>
      <c r="E1" s="1205" t="s">
        <v>666</v>
      </c>
      <c r="F1" s="1203" t="s">
        <v>667</v>
      </c>
      <c r="G1" s="1203"/>
      <c r="H1" s="1206" t="s">
        <v>668</v>
      </c>
      <c r="I1" s="1207">
        <f>IGRF!$B$7</f>
        <v>42105</v>
      </c>
      <c r="J1" s="1208">
        <f>IGRF!$H$7</f>
        <v>0.83333333333333337</v>
      </c>
    </row>
    <row r="2" spans="1:10" x14ac:dyDescent="0.25">
      <c r="A2" s="1210">
        <f t="shared" ref="A2:A41" si="0">$I$1</f>
        <v>42105</v>
      </c>
      <c r="B2" s="1211">
        <f t="shared" ref="B2:B41" si="1">$J$1</f>
        <v>0.83333333333333337</v>
      </c>
      <c r="C2" s="1212" t="str">
        <f t="shared" ref="C2:C21" si="2">$I$3</f>
        <v>Hammer City Roller Girls</v>
      </c>
      <c r="D2" s="1209" t="str">
        <f>IGRF!$H$11</f>
        <v>Harlots</v>
      </c>
      <c r="E2" s="1213" t="str">
        <f>IF(ISBLANK(IGRF!H14),"",IGRF!H14)</f>
        <v>11</v>
      </c>
      <c r="F2" s="1203" t="str">
        <f>IGRF!I14</f>
        <v>Typhoid Maggie</v>
      </c>
      <c r="G2" s="1203"/>
      <c r="H2" s="1206" t="s">
        <v>669</v>
      </c>
      <c r="I2" s="1206" t="str">
        <f>IGRF!$B$10</f>
        <v>Tri-City Roller Derby</v>
      </c>
      <c r="J2" s="1206" t="str">
        <f>IGRF!$B$11</f>
        <v>Plan B</v>
      </c>
    </row>
    <row r="3" spans="1:10" x14ac:dyDescent="0.25">
      <c r="A3" s="1210">
        <f t="shared" si="0"/>
        <v>42105</v>
      </c>
      <c r="B3" s="1211">
        <f t="shared" si="1"/>
        <v>0.83333333333333337</v>
      </c>
      <c r="C3" s="1212" t="str">
        <f t="shared" si="2"/>
        <v>Hammer City Roller Girls</v>
      </c>
      <c r="D3" s="1209" t="str">
        <f>IGRF!$H$11</f>
        <v>Harlots</v>
      </c>
      <c r="E3" s="1213" t="str">
        <f>IF(ISBLANK(IGRF!H15),"",IGRF!H15)</f>
        <v>11G6</v>
      </c>
      <c r="F3" s="1203" t="str">
        <f>IGRF!I15</f>
        <v>Fista Krusher</v>
      </c>
      <c r="G3" s="1203"/>
      <c r="H3" s="1206" t="s">
        <v>670</v>
      </c>
      <c r="I3" s="1206" t="str">
        <f>IGRF!$H$10</f>
        <v>Hammer City Roller Girls</v>
      </c>
      <c r="J3" s="1206" t="str">
        <f>IGRF!$H$11</f>
        <v>Harlots</v>
      </c>
    </row>
    <row r="4" spans="1:10" x14ac:dyDescent="0.25">
      <c r="A4" s="1210">
        <f t="shared" si="0"/>
        <v>42105</v>
      </c>
      <c r="B4" s="1211">
        <f t="shared" si="1"/>
        <v>0.83333333333333337</v>
      </c>
      <c r="C4" s="1212" t="str">
        <f t="shared" si="2"/>
        <v>Hammer City Roller Girls</v>
      </c>
      <c r="D4" s="1209" t="str">
        <f>IGRF!$H$11</f>
        <v>Harlots</v>
      </c>
      <c r="E4" s="1213" t="str">
        <f>IF(ISBLANK(IGRF!H16),"",IGRF!H16)</f>
        <v>152</v>
      </c>
      <c r="F4" s="1203" t="str">
        <f>IGRF!I16</f>
        <v>Hitty Pryde</v>
      </c>
      <c r="G4" s="1203"/>
      <c r="H4" s="1203"/>
    </row>
    <row r="5" spans="1:10" x14ac:dyDescent="0.25">
      <c r="A5" s="1210">
        <f t="shared" si="0"/>
        <v>42105</v>
      </c>
      <c r="B5" s="1211">
        <f t="shared" si="1"/>
        <v>0.83333333333333337</v>
      </c>
      <c r="C5" s="1212" t="str">
        <f t="shared" si="2"/>
        <v>Hammer City Roller Girls</v>
      </c>
      <c r="D5" s="1209" t="str">
        <f>IGRF!$H$11</f>
        <v>Harlots</v>
      </c>
      <c r="E5" s="1213" t="str">
        <f>IF(ISBLANK(IGRF!H17),"",IGRF!H17)</f>
        <v xml:space="preserve">237 </v>
      </c>
      <c r="F5" s="1203" t="str">
        <f>IGRF!I17</f>
        <v>GuilloTina</v>
      </c>
      <c r="G5" s="1203"/>
      <c r="H5" s="1203"/>
    </row>
    <row r="6" spans="1:10" x14ac:dyDescent="0.25">
      <c r="A6" s="1210">
        <f t="shared" si="0"/>
        <v>42105</v>
      </c>
      <c r="B6" s="1211">
        <f t="shared" si="1"/>
        <v>0.83333333333333337</v>
      </c>
      <c r="C6" s="1212" t="str">
        <f t="shared" si="2"/>
        <v>Hammer City Roller Girls</v>
      </c>
      <c r="D6" s="1209" t="str">
        <f>IGRF!$H$11</f>
        <v>Harlots</v>
      </c>
      <c r="E6" s="1213" t="str">
        <f>IF(ISBLANK(IGRF!H18),"",IGRF!H18)</f>
        <v>26</v>
      </c>
      <c r="F6" s="1203" t="str">
        <f>IGRF!I18</f>
        <v>Bam Bam Bigelow</v>
      </c>
      <c r="G6" s="1203"/>
      <c r="H6" s="1203"/>
    </row>
    <row r="7" spans="1:10" x14ac:dyDescent="0.25">
      <c r="A7" s="1210">
        <f t="shared" si="0"/>
        <v>42105</v>
      </c>
      <c r="B7" s="1211">
        <f t="shared" si="1"/>
        <v>0.83333333333333337</v>
      </c>
      <c r="C7" s="1212" t="str">
        <f t="shared" si="2"/>
        <v>Hammer City Roller Girls</v>
      </c>
      <c r="D7" s="1209" t="str">
        <f>IGRF!$H$11</f>
        <v>Harlots</v>
      </c>
      <c r="E7" s="1213" t="str">
        <f>IF(ISBLANK(IGRF!H19),"",IGRF!H19)</f>
        <v>2611</v>
      </c>
      <c r="F7" s="1203" t="str">
        <f>IGRF!I19</f>
        <v>Va Va BOOM</v>
      </c>
      <c r="G7" s="1203"/>
      <c r="H7" s="1203"/>
    </row>
    <row r="8" spans="1:10" x14ac:dyDescent="0.25">
      <c r="A8" s="1210">
        <f t="shared" si="0"/>
        <v>42105</v>
      </c>
      <c r="B8" s="1211">
        <f t="shared" si="1"/>
        <v>0.83333333333333337</v>
      </c>
      <c r="C8" s="1212" t="str">
        <f t="shared" si="2"/>
        <v>Hammer City Roller Girls</v>
      </c>
      <c r="D8" s="1209" t="str">
        <f>IGRF!$H$11</f>
        <v>Harlots</v>
      </c>
      <c r="E8" s="1213" t="str">
        <f>IF(ISBLANK(IGRF!H20),"",IGRF!H20)</f>
        <v>45</v>
      </c>
      <c r="F8" s="1203" t="str">
        <f>IGRF!I20</f>
        <v>Miss Carriage</v>
      </c>
      <c r="G8" s="1203"/>
      <c r="H8" s="1203"/>
    </row>
    <row r="9" spans="1:10" x14ac:dyDescent="0.25">
      <c r="A9" s="1210">
        <f t="shared" si="0"/>
        <v>42105</v>
      </c>
      <c r="B9" s="1211">
        <f t="shared" si="1"/>
        <v>0.83333333333333337</v>
      </c>
      <c r="C9" s="1212" t="str">
        <f t="shared" si="2"/>
        <v>Hammer City Roller Girls</v>
      </c>
      <c r="D9" s="1209" t="str">
        <f>IGRF!$H$11</f>
        <v>Harlots</v>
      </c>
      <c r="E9" s="1213" t="str">
        <f>IF(ISBLANK(IGRF!H21),"",IGRF!H21)</f>
        <v>451</v>
      </c>
      <c r="F9" s="1203" t="str">
        <f>IGRF!I21</f>
        <v>fErinheit</v>
      </c>
      <c r="G9" s="1203"/>
      <c r="H9" s="1203"/>
    </row>
    <row r="10" spans="1:10" x14ac:dyDescent="0.25">
      <c r="A10" s="1210">
        <f t="shared" si="0"/>
        <v>42105</v>
      </c>
      <c r="B10" s="1211">
        <f t="shared" si="1"/>
        <v>0.83333333333333337</v>
      </c>
      <c r="C10" s="1212" t="str">
        <f t="shared" si="2"/>
        <v>Hammer City Roller Girls</v>
      </c>
      <c r="D10" s="1209" t="str">
        <f>IGRF!$H$11</f>
        <v>Harlots</v>
      </c>
      <c r="E10" s="1213" t="str">
        <f>IF(ISBLANK(IGRF!H22),"",IGRF!H22)</f>
        <v>511</v>
      </c>
      <c r="F10" s="1203" t="str">
        <f>IGRF!I22</f>
        <v>Bean Stalker</v>
      </c>
      <c r="G10" s="1203"/>
      <c r="H10" s="1203"/>
    </row>
    <row r="11" spans="1:10" x14ac:dyDescent="0.25">
      <c r="A11" s="1210">
        <f t="shared" si="0"/>
        <v>42105</v>
      </c>
      <c r="B11" s="1211">
        <f t="shared" si="1"/>
        <v>0.83333333333333337</v>
      </c>
      <c r="C11" s="1212" t="str">
        <f t="shared" si="2"/>
        <v>Hammer City Roller Girls</v>
      </c>
      <c r="D11" s="1209" t="str">
        <f>IGRF!$H$11</f>
        <v>Harlots</v>
      </c>
      <c r="E11" s="1213" t="str">
        <f>IF(ISBLANK(IGRF!H23),"",IGRF!H23)</f>
        <v>519</v>
      </c>
      <c r="F11" s="1203" t="str">
        <f>IGRF!I23</f>
        <v>Smashin' Good Time</v>
      </c>
      <c r="G11" s="1203"/>
      <c r="H11" s="1203"/>
    </row>
    <row r="12" spans="1:10" x14ac:dyDescent="0.25">
      <c r="A12" s="1210">
        <f t="shared" si="0"/>
        <v>42105</v>
      </c>
      <c r="B12" s="1211">
        <f t="shared" si="1"/>
        <v>0.83333333333333337</v>
      </c>
      <c r="C12" s="1212" t="str">
        <f t="shared" si="2"/>
        <v>Hammer City Roller Girls</v>
      </c>
      <c r="D12" s="1209" t="str">
        <f>IGRF!$H$11</f>
        <v>Harlots</v>
      </c>
      <c r="E12" s="1213" t="str">
        <f>IF(ISBLANK(IGRF!H24),"",IGRF!H24)</f>
        <v>58</v>
      </c>
      <c r="F12" s="1203" t="str">
        <f>IGRF!I24</f>
        <v>Natty B</v>
      </c>
      <c r="G12" s="1203"/>
      <c r="H12" s="1203"/>
    </row>
    <row r="13" spans="1:10" x14ac:dyDescent="0.25">
      <c r="A13" s="1210">
        <f t="shared" si="0"/>
        <v>42105</v>
      </c>
      <c r="B13" s="1211">
        <f t="shared" si="1"/>
        <v>0.83333333333333337</v>
      </c>
      <c r="C13" s="1212" t="str">
        <f t="shared" si="2"/>
        <v>Hammer City Roller Girls</v>
      </c>
      <c r="D13" s="1209" t="str">
        <f>IGRF!$H$11</f>
        <v>Harlots</v>
      </c>
      <c r="E13" s="1213" t="str">
        <f>IF(ISBLANK(IGRF!H25),"",IGRF!H25)</f>
        <v>932</v>
      </c>
      <c r="F13" s="1203" t="str">
        <f>IGRF!I25</f>
        <v>Heaven Lee Bash</v>
      </c>
      <c r="G13" s="1203"/>
      <c r="H13" s="1203"/>
    </row>
    <row r="14" spans="1:10" x14ac:dyDescent="0.25">
      <c r="A14" s="1210">
        <f t="shared" si="0"/>
        <v>42105</v>
      </c>
      <c r="B14" s="1211">
        <f t="shared" si="1"/>
        <v>0.83333333333333337</v>
      </c>
      <c r="C14" s="1212" t="str">
        <f t="shared" si="2"/>
        <v>Hammer City Roller Girls</v>
      </c>
      <c r="D14" s="1209" t="str">
        <f>IGRF!$H$11</f>
        <v>Harlots</v>
      </c>
      <c r="E14" s="1213" t="str">
        <f>IF(ISBLANK(IGRF!H26),"",IGRF!H26)</f>
        <v>H20</v>
      </c>
      <c r="F14" s="1203" t="str">
        <f>IGRF!I26</f>
        <v>Lethal Mermaid</v>
      </c>
      <c r="G14" s="1203"/>
      <c r="H14" s="1203"/>
    </row>
    <row r="15" spans="1:10" x14ac:dyDescent="0.25">
      <c r="A15" s="1210">
        <f t="shared" si="0"/>
        <v>42105</v>
      </c>
      <c r="B15" s="1211">
        <f t="shared" si="1"/>
        <v>0.83333333333333337</v>
      </c>
      <c r="C15" s="1212" t="str">
        <f t="shared" si="2"/>
        <v>Hammer City Roller Girls</v>
      </c>
      <c r="D15" s="1209" t="str">
        <f>IGRF!$H$11</f>
        <v>Harlots</v>
      </c>
      <c r="E15" s="1213" t="str">
        <f>IF(ISBLANK(IGRF!H27),"",IGRF!H27)</f>
        <v>K9</v>
      </c>
      <c r="F15" s="1203" t="str">
        <f>IGRF!I27</f>
        <v>Scooby Doom</v>
      </c>
      <c r="G15" s="1203"/>
      <c r="H15" s="1203"/>
    </row>
    <row r="16" spans="1:10" x14ac:dyDescent="0.25">
      <c r="A16" s="1210">
        <f t="shared" si="0"/>
        <v>42105</v>
      </c>
      <c r="B16" s="1211">
        <f t="shared" si="1"/>
        <v>0.83333333333333337</v>
      </c>
      <c r="C16" s="1212" t="str">
        <f t="shared" si="2"/>
        <v>Hammer City Roller Girls</v>
      </c>
      <c r="D16" s="1209" t="str">
        <f>IGRF!$H$11</f>
        <v>Harlots</v>
      </c>
      <c r="E16" s="1213" t="str">
        <f>IF(ISBLANK(IGRF!H28),"",IGRF!H28)</f>
        <v/>
      </c>
      <c r="F16" s="1203">
        <f>IGRF!I28</f>
        <v>0</v>
      </c>
      <c r="G16" s="1203"/>
      <c r="H16" s="1203"/>
    </row>
    <row r="17" spans="1:9" x14ac:dyDescent="0.25">
      <c r="A17" s="1210">
        <f t="shared" si="0"/>
        <v>42105</v>
      </c>
      <c r="B17" s="1211">
        <f t="shared" si="1"/>
        <v>0.83333333333333337</v>
      </c>
      <c r="C17" s="1212" t="str">
        <f t="shared" si="2"/>
        <v>Hammer City Roller Girls</v>
      </c>
      <c r="D17" s="1209" t="str">
        <f>IGRF!$H$11</f>
        <v>Harlots</v>
      </c>
      <c r="E17" s="1213" t="str">
        <f>IF(ISBLANK(IGRF!H29),"",IGRF!H29)</f>
        <v/>
      </c>
      <c r="F17" s="1203">
        <f>IGRF!I29</f>
        <v>0</v>
      </c>
      <c r="G17" s="1203"/>
      <c r="H17" s="1203"/>
    </row>
    <row r="18" spans="1:9" x14ac:dyDescent="0.25">
      <c r="A18" s="1210">
        <f t="shared" si="0"/>
        <v>42105</v>
      </c>
      <c r="B18" s="1211">
        <f t="shared" si="1"/>
        <v>0.83333333333333337</v>
      </c>
      <c r="C18" s="1212" t="str">
        <f t="shared" si="2"/>
        <v>Hammer City Roller Girls</v>
      </c>
      <c r="D18" s="1209" t="str">
        <f>IGRF!$H$11</f>
        <v>Harlots</v>
      </c>
      <c r="E18" s="1213" t="str">
        <f>IF(ISBLANK(IGRF!H30),"",IGRF!H30)</f>
        <v/>
      </c>
      <c r="F18" s="1203">
        <f>IGRF!I30</f>
        <v>0</v>
      </c>
      <c r="G18" s="1203"/>
    </row>
    <row r="19" spans="1:9" x14ac:dyDescent="0.25">
      <c r="A19" s="1210">
        <f t="shared" si="0"/>
        <v>42105</v>
      </c>
      <c r="B19" s="1211">
        <f t="shared" si="1"/>
        <v>0.83333333333333337</v>
      </c>
      <c r="C19" s="1212" t="str">
        <f t="shared" si="2"/>
        <v>Hammer City Roller Girls</v>
      </c>
      <c r="D19" s="1209" t="str">
        <f>IGRF!$H$11</f>
        <v>Harlots</v>
      </c>
      <c r="E19" s="1213" t="str">
        <f>IF(ISBLANK(IGRF!H31),"",IGRF!H31)</f>
        <v/>
      </c>
      <c r="F19" s="1203">
        <f>IGRF!I31</f>
        <v>0</v>
      </c>
      <c r="G19" s="1203"/>
    </row>
    <row r="20" spans="1:9" x14ac:dyDescent="0.25">
      <c r="A20" s="1210">
        <f t="shared" si="0"/>
        <v>42105</v>
      </c>
      <c r="B20" s="1211">
        <f t="shared" si="1"/>
        <v>0.83333333333333337</v>
      </c>
      <c r="C20" s="1212" t="str">
        <f t="shared" si="2"/>
        <v>Hammer City Roller Girls</v>
      </c>
      <c r="D20" s="1209" t="str">
        <f>IGRF!$H$11</f>
        <v>Harlots</v>
      </c>
      <c r="E20" s="1213" t="str">
        <f>IF(ISBLANK(IGRF!H32),"",IGRF!H32)</f>
        <v/>
      </c>
      <c r="F20" s="1203">
        <f>IGRF!I32</f>
        <v>0</v>
      </c>
      <c r="G20" s="1203"/>
    </row>
    <row r="21" spans="1:9" x14ac:dyDescent="0.25">
      <c r="A21" s="1210">
        <f t="shared" si="0"/>
        <v>42105</v>
      </c>
      <c r="B21" s="1211">
        <f t="shared" si="1"/>
        <v>0.83333333333333337</v>
      </c>
      <c r="C21" s="1212" t="str">
        <f t="shared" si="2"/>
        <v>Hammer City Roller Girls</v>
      </c>
      <c r="D21" s="1209" t="str">
        <f>IGRF!$H$11</f>
        <v>Harlots</v>
      </c>
      <c r="E21" s="1213" t="str">
        <f>IF(ISBLANK(IGRF!H33),"",IGRF!H33)</f>
        <v/>
      </c>
      <c r="F21" s="1203">
        <f>IGRF!I30</f>
        <v>0</v>
      </c>
      <c r="G21" s="1203"/>
    </row>
    <row r="22" spans="1:9" x14ac:dyDescent="0.25">
      <c r="A22" s="1210">
        <f t="shared" si="0"/>
        <v>42105</v>
      </c>
      <c r="B22" s="1211">
        <f t="shared" si="1"/>
        <v>0.83333333333333337</v>
      </c>
      <c r="C22" s="1212" t="str">
        <f t="shared" ref="C22:C41" si="3">$I$2</f>
        <v>Tri-City Roller Derby</v>
      </c>
      <c r="D22" s="1209" t="str">
        <f>IGRF!$B$11</f>
        <v>Plan B</v>
      </c>
      <c r="E22" s="1213" t="str">
        <f>IF(ISBLANK(IGRF!B14),"",IGRF!B14)</f>
        <v>0</v>
      </c>
      <c r="F22" s="1203" t="str">
        <f>IGRF!C14</f>
        <v>Andi Slamberg</v>
      </c>
      <c r="G22" s="1203"/>
      <c r="H22" s="1206"/>
      <c r="I22" s="1206"/>
    </row>
    <row r="23" spans="1:9" x14ac:dyDescent="0.25">
      <c r="A23" s="1210">
        <f t="shared" si="0"/>
        <v>42105</v>
      </c>
      <c r="B23" s="1211">
        <f t="shared" si="1"/>
        <v>0.83333333333333337</v>
      </c>
      <c r="C23" s="1212" t="str">
        <f t="shared" si="3"/>
        <v>Tri-City Roller Derby</v>
      </c>
      <c r="D23" s="1209" t="str">
        <f>IGRF!$B$11</f>
        <v>Plan B</v>
      </c>
      <c r="E23" s="1213" t="str">
        <f>IF(ISBLANK(IGRF!B15),"",IGRF!B15)</f>
        <v>1321</v>
      </c>
      <c r="F23" s="1203" t="str">
        <f>IGRF!C15</f>
        <v>Kristy Skelton</v>
      </c>
      <c r="G23" s="1203"/>
      <c r="H23" s="1203"/>
      <c r="I23" s="1203"/>
    </row>
    <row r="24" spans="1:9" x14ac:dyDescent="0.25">
      <c r="A24" s="1210">
        <f t="shared" si="0"/>
        <v>42105</v>
      </c>
      <c r="B24" s="1211">
        <f t="shared" si="1"/>
        <v>0.83333333333333337</v>
      </c>
      <c r="C24" s="1212" t="str">
        <f t="shared" si="3"/>
        <v>Tri-City Roller Derby</v>
      </c>
      <c r="D24" s="1209" t="str">
        <f>IGRF!$B$11</f>
        <v>Plan B</v>
      </c>
      <c r="E24" s="1213" t="str">
        <f>IF(ISBLANK(IGRF!B16),"",IGRF!B16)</f>
        <v>17</v>
      </c>
      <c r="F24" s="1203" t="str">
        <f>IGRF!C16</f>
        <v>Justine Sane</v>
      </c>
      <c r="G24" s="1203"/>
      <c r="H24" s="1203"/>
      <c r="I24" s="1203"/>
    </row>
    <row r="25" spans="1:9" x14ac:dyDescent="0.25">
      <c r="A25" s="1210">
        <f t="shared" si="0"/>
        <v>42105</v>
      </c>
      <c r="B25" s="1211">
        <f t="shared" si="1"/>
        <v>0.83333333333333337</v>
      </c>
      <c r="C25" s="1212" t="str">
        <f t="shared" si="3"/>
        <v>Tri-City Roller Derby</v>
      </c>
      <c r="D25" s="1209" t="str">
        <f>IGRF!$B$11</f>
        <v>Plan B</v>
      </c>
      <c r="E25" s="1213" t="str">
        <f>IF(ISBLANK(IGRF!B17),"",IGRF!B17)</f>
        <v>19</v>
      </c>
      <c r="F25" s="1203" t="str">
        <f>IGRF!C17</f>
        <v>Lippy Wrongstockings</v>
      </c>
      <c r="G25" s="1203"/>
      <c r="H25" s="1203"/>
      <c r="I25" s="1203"/>
    </row>
    <row r="26" spans="1:9" x14ac:dyDescent="0.25">
      <c r="A26" s="1210">
        <f t="shared" si="0"/>
        <v>42105</v>
      </c>
      <c r="B26" s="1211">
        <f t="shared" si="1"/>
        <v>0.83333333333333337</v>
      </c>
      <c r="C26" s="1212" t="str">
        <f t="shared" si="3"/>
        <v>Tri-City Roller Derby</v>
      </c>
      <c r="D26" s="1209" t="str">
        <f>IGRF!$B$11</f>
        <v>Plan B</v>
      </c>
      <c r="E26" s="1213" t="str">
        <f>IF(ISBLANK(IGRF!B18),"",IGRF!B18)</f>
        <v>20</v>
      </c>
      <c r="F26" s="1203" t="str">
        <f>IGRF!C18</f>
        <v>Zooks</v>
      </c>
      <c r="G26" s="1203"/>
      <c r="H26" s="1214"/>
      <c r="I26" s="1203"/>
    </row>
    <row r="27" spans="1:9" x14ac:dyDescent="0.25">
      <c r="A27" s="1210">
        <f t="shared" si="0"/>
        <v>42105</v>
      </c>
      <c r="B27" s="1211">
        <f t="shared" si="1"/>
        <v>0.83333333333333337</v>
      </c>
      <c r="C27" s="1212" t="str">
        <f t="shared" si="3"/>
        <v>Tri-City Roller Derby</v>
      </c>
      <c r="D27" s="1209" t="str">
        <f>IGRF!$B$11</f>
        <v>Plan B</v>
      </c>
      <c r="E27" s="1213" t="str">
        <f>IF(ISBLANK(IGRF!B19),"",IGRF!B19)</f>
        <v>303</v>
      </c>
      <c r="F27" s="1203" t="str">
        <f>IGRF!C19</f>
        <v>Violent NoRegard</v>
      </c>
      <c r="G27" s="1203"/>
      <c r="H27" s="1204"/>
      <c r="I27" s="1204"/>
    </row>
    <row r="28" spans="1:9" x14ac:dyDescent="0.25">
      <c r="A28" s="1210">
        <f t="shared" si="0"/>
        <v>42105</v>
      </c>
      <c r="B28" s="1211">
        <f t="shared" si="1"/>
        <v>0.83333333333333337</v>
      </c>
      <c r="C28" s="1212" t="str">
        <f t="shared" si="3"/>
        <v>Tri-City Roller Derby</v>
      </c>
      <c r="D28" s="1209" t="str">
        <f>IGRF!$B$11</f>
        <v>Plan B</v>
      </c>
      <c r="E28" s="1213" t="str">
        <f>IF(ISBLANK(IGRF!B20),"",IGRF!B20)</f>
        <v>33</v>
      </c>
      <c r="F28" s="1203" t="str">
        <f>IGRF!C20</f>
        <v>Suzy Slam</v>
      </c>
      <c r="G28" s="1203"/>
      <c r="H28" s="1204"/>
      <c r="I28" s="1215"/>
    </row>
    <row r="29" spans="1:9" x14ac:dyDescent="0.25">
      <c r="A29" s="1210">
        <f t="shared" si="0"/>
        <v>42105</v>
      </c>
      <c r="B29" s="1211">
        <f t="shared" si="1"/>
        <v>0.83333333333333337</v>
      </c>
      <c r="C29" s="1212" t="str">
        <f t="shared" si="3"/>
        <v>Tri-City Roller Derby</v>
      </c>
      <c r="D29" s="1209" t="str">
        <f>IGRF!$B$11</f>
        <v>Plan B</v>
      </c>
      <c r="E29" s="1213" t="str">
        <f>IF(ISBLANK(IGRF!B21),"",IGRF!B21)</f>
        <v>4</v>
      </c>
      <c r="F29" s="1203" t="str">
        <f>IGRF!C21</f>
        <v>Psykosonic</v>
      </c>
      <c r="G29" s="1203"/>
      <c r="H29" s="1204"/>
      <c r="I29" s="1204"/>
    </row>
    <row r="30" spans="1:9" x14ac:dyDescent="0.25">
      <c r="A30" s="1210">
        <f t="shared" si="0"/>
        <v>42105</v>
      </c>
      <c r="B30" s="1211">
        <f t="shared" si="1"/>
        <v>0.83333333333333337</v>
      </c>
      <c r="C30" s="1212" t="str">
        <f t="shared" si="3"/>
        <v>Tri-City Roller Derby</v>
      </c>
      <c r="D30" s="1209" t="str">
        <f>IGRF!$B$11</f>
        <v>Plan B</v>
      </c>
      <c r="E30" s="1213" t="str">
        <f>IF(ISBLANK(IGRF!B22),"",IGRF!B22)</f>
        <v>42</v>
      </c>
      <c r="F30" s="1203" t="str">
        <f>IGRF!C22</f>
        <v>Meg N' Plead</v>
      </c>
      <c r="G30" s="1203"/>
      <c r="H30" s="1204"/>
      <c r="I30" s="1204"/>
    </row>
    <row r="31" spans="1:9" x14ac:dyDescent="0.25">
      <c r="A31" s="1210">
        <f t="shared" si="0"/>
        <v>42105</v>
      </c>
      <c r="B31" s="1211">
        <f t="shared" si="1"/>
        <v>0.83333333333333337</v>
      </c>
      <c r="C31" s="1212" t="str">
        <f t="shared" si="3"/>
        <v>Tri-City Roller Derby</v>
      </c>
      <c r="D31" s="1209" t="str">
        <f>IGRF!$B$11</f>
        <v>Plan B</v>
      </c>
      <c r="E31" s="1213" t="str">
        <f>IF(ISBLANK(IGRF!B23),"",IGRF!B23)</f>
        <v>44</v>
      </c>
      <c r="F31" s="1203" t="str">
        <f>IGRF!C23</f>
        <v>Brunt Force Bunny</v>
      </c>
      <c r="G31" s="1203"/>
      <c r="H31" s="1204"/>
      <c r="I31" s="1204"/>
    </row>
    <row r="32" spans="1:9" x14ac:dyDescent="0.25">
      <c r="A32" s="1210">
        <f t="shared" si="0"/>
        <v>42105</v>
      </c>
      <c r="B32" s="1211">
        <f t="shared" si="1"/>
        <v>0.83333333333333337</v>
      </c>
      <c r="C32" s="1212" t="str">
        <f t="shared" si="3"/>
        <v>Tri-City Roller Derby</v>
      </c>
      <c r="D32" s="1209" t="str">
        <f>IGRF!$B$11</f>
        <v>Plan B</v>
      </c>
      <c r="E32" s="1213" t="str">
        <f>IF(ISBLANK(IGRF!B24),"",IGRF!B24)</f>
        <v>480</v>
      </c>
      <c r="F32" s="1203" t="str">
        <f>IGRF!C24</f>
        <v>Slaughterhouse Streeter</v>
      </c>
      <c r="G32" s="1203"/>
      <c r="H32" s="1204"/>
      <c r="I32" s="1203"/>
    </row>
    <row r="33" spans="1:9" x14ac:dyDescent="0.25">
      <c r="A33" s="1210">
        <f t="shared" si="0"/>
        <v>42105</v>
      </c>
      <c r="B33" s="1211">
        <f t="shared" si="1"/>
        <v>0.83333333333333337</v>
      </c>
      <c r="C33" s="1212" t="str">
        <f t="shared" si="3"/>
        <v>Tri-City Roller Derby</v>
      </c>
      <c r="D33" s="1209" t="str">
        <f>IGRF!$B$11</f>
        <v>Plan B</v>
      </c>
      <c r="E33" s="1213" t="str">
        <f>IF(ISBLANK(IGRF!B25),"",IGRF!B25)</f>
        <v>64</v>
      </c>
      <c r="F33" s="1203" t="str">
        <f>IGRF!C25</f>
        <v>Cannonball Doll</v>
      </c>
      <c r="G33" s="1203"/>
      <c r="H33" s="1204"/>
      <c r="I33" s="1203"/>
    </row>
    <row r="34" spans="1:9" x14ac:dyDescent="0.25">
      <c r="A34" s="1210">
        <f t="shared" si="0"/>
        <v>42105</v>
      </c>
      <c r="B34" s="1211">
        <f t="shared" si="1"/>
        <v>0.83333333333333337</v>
      </c>
      <c r="C34" s="1212" t="str">
        <f t="shared" si="3"/>
        <v>Tri-City Roller Derby</v>
      </c>
      <c r="D34" s="1209" t="str">
        <f>IGRF!$B$11</f>
        <v>Plan B</v>
      </c>
      <c r="E34" s="1213" t="str">
        <f>IF(ISBLANK(IGRF!B26),"",IGRF!B26)</f>
        <v>84</v>
      </c>
      <c r="F34" s="1203" t="str">
        <f>IGRF!C26</f>
        <v>MEGAnTRON</v>
      </c>
    </row>
    <row r="35" spans="1:9" x14ac:dyDescent="0.25">
      <c r="A35" s="1210">
        <f t="shared" si="0"/>
        <v>42105</v>
      </c>
      <c r="B35" s="1211">
        <f t="shared" si="1"/>
        <v>0.83333333333333337</v>
      </c>
      <c r="C35" s="1212" t="str">
        <f t="shared" si="3"/>
        <v>Tri-City Roller Derby</v>
      </c>
      <c r="D35" s="1209" t="str">
        <f>IGRF!$B$11</f>
        <v>Plan B</v>
      </c>
      <c r="E35" s="1213" t="str">
        <f>IF(ISBLANK(IGRF!B27),"",IGRF!B27)</f>
        <v>N01</v>
      </c>
      <c r="F35" s="1203" t="str">
        <f>IGRF!C27</f>
        <v>Commander Will Wrecker</v>
      </c>
    </row>
    <row r="36" spans="1:9" x14ac:dyDescent="0.25">
      <c r="A36" s="1210">
        <f t="shared" si="0"/>
        <v>42105</v>
      </c>
      <c r="B36" s="1211">
        <f t="shared" si="1"/>
        <v>0.83333333333333337</v>
      </c>
      <c r="C36" s="1212" t="str">
        <f t="shared" si="3"/>
        <v>Tri-City Roller Derby</v>
      </c>
      <c r="D36" s="1209" t="str">
        <f>IGRF!$B$11</f>
        <v>Plan B</v>
      </c>
      <c r="E36" s="1213" t="str">
        <f>IF(ISBLANK(IGRF!B28),"",IGRF!B28)</f>
        <v/>
      </c>
      <c r="F36" s="1203">
        <f>IGRF!C28</f>
        <v>0</v>
      </c>
      <c r="H36" s="1214"/>
    </row>
    <row r="37" spans="1:9" x14ac:dyDescent="0.25">
      <c r="A37" s="1210">
        <f t="shared" si="0"/>
        <v>42105</v>
      </c>
      <c r="B37" s="1211">
        <f t="shared" si="1"/>
        <v>0.83333333333333337</v>
      </c>
      <c r="C37" s="1212" t="str">
        <f t="shared" si="3"/>
        <v>Tri-City Roller Derby</v>
      </c>
      <c r="D37" s="1209" t="str">
        <f>IGRF!$B$11</f>
        <v>Plan B</v>
      </c>
      <c r="E37" s="1213" t="str">
        <f>IF(ISBLANK(IGRF!B29),"",IGRF!B29)</f>
        <v/>
      </c>
      <c r="F37" s="1203">
        <f>IGRF!C29</f>
        <v>0</v>
      </c>
      <c r="H37" s="1204"/>
      <c r="I37" s="1204"/>
    </row>
    <row r="38" spans="1:9" x14ac:dyDescent="0.25">
      <c r="A38" s="1210">
        <f t="shared" si="0"/>
        <v>42105</v>
      </c>
      <c r="B38" s="1211">
        <f t="shared" si="1"/>
        <v>0.83333333333333337</v>
      </c>
      <c r="C38" s="1212" t="str">
        <f t="shared" si="3"/>
        <v>Tri-City Roller Derby</v>
      </c>
      <c r="D38" s="1209" t="str">
        <f>IGRF!$B$11</f>
        <v>Plan B</v>
      </c>
      <c r="E38" s="1213" t="str">
        <f>IF(ISBLANK(IGRF!B30),"",IGRF!B30)</f>
        <v/>
      </c>
      <c r="F38" s="1203">
        <f>IGRF!C30</f>
        <v>0</v>
      </c>
      <c r="H38" s="1204"/>
      <c r="I38" s="1204"/>
    </row>
    <row r="39" spans="1:9" x14ac:dyDescent="0.25">
      <c r="A39" s="1210">
        <f t="shared" si="0"/>
        <v>42105</v>
      </c>
      <c r="B39" s="1211">
        <f t="shared" si="1"/>
        <v>0.83333333333333337</v>
      </c>
      <c r="C39" s="1212" t="str">
        <f t="shared" si="3"/>
        <v>Tri-City Roller Derby</v>
      </c>
      <c r="D39" s="1209" t="str">
        <f>IGRF!$B$11</f>
        <v>Plan B</v>
      </c>
      <c r="E39" s="1213" t="str">
        <f>IF(ISBLANK(IGRF!B31),"",IGRF!B31)</f>
        <v/>
      </c>
      <c r="F39" s="1203">
        <f>IGRF!C31</f>
        <v>0</v>
      </c>
      <c r="H39" s="1204"/>
      <c r="I39" s="1216"/>
    </row>
    <row r="40" spans="1:9" x14ac:dyDescent="0.25">
      <c r="A40" s="1210">
        <f t="shared" si="0"/>
        <v>42105</v>
      </c>
      <c r="B40" s="1211">
        <f t="shared" si="1"/>
        <v>0.83333333333333337</v>
      </c>
      <c r="C40" s="1212" t="str">
        <f t="shared" si="3"/>
        <v>Tri-City Roller Derby</v>
      </c>
      <c r="D40" s="1209" t="str">
        <f>IGRF!$B$11</f>
        <v>Plan B</v>
      </c>
      <c r="E40" s="1213" t="str">
        <f>IF(ISBLANK(IGRF!B32),"",IGRF!B32)</f>
        <v/>
      </c>
      <c r="F40" s="1203">
        <f>IGRF!C32</f>
        <v>0</v>
      </c>
      <c r="H40" s="1204"/>
      <c r="I40" s="1216"/>
    </row>
    <row r="41" spans="1:9" x14ac:dyDescent="0.25">
      <c r="A41" s="1210">
        <f t="shared" si="0"/>
        <v>42105</v>
      </c>
      <c r="B41" s="1211">
        <f t="shared" si="1"/>
        <v>0.83333333333333337</v>
      </c>
      <c r="C41" s="1212" t="str">
        <f t="shared" si="3"/>
        <v>Tri-City Roller Derby</v>
      </c>
      <c r="D41" s="1209" t="str">
        <f>IGRF!$B$11</f>
        <v>Plan B</v>
      </c>
      <c r="E41" s="1213" t="str">
        <f>IF(ISBLANK(IGRF!B33),"",IGRF!B33)</f>
        <v/>
      </c>
      <c r="F41" s="1203">
        <f>IGRF!C33</f>
        <v>0</v>
      </c>
      <c r="H41" s="1214"/>
    </row>
    <row r="42" spans="1:9" x14ac:dyDescent="0.25">
      <c r="H42" s="1204"/>
      <c r="I42" s="1204"/>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X153"/>
  <sheetViews>
    <sheetView topLeftCell="A70" zoomScale="85" zoomScaleNormal="85" workbookViewId="0">
      <selection activeCell="T116" sqref="T116"/>
    </sheetView>
  </sheetViews>
  <sheetFormatPr defaultColWidth="9.109375" defaultRowHeight="13.2" x14ac:dyDescent="0.25"/>
  <cols>
    <col min="1" max="1" width="12.6640625" style="1209" bestFit="1" customWidth="1"/>
    <col min="2" max="2" width="12.6640625" style="1209" customWidth="1"/>
    <col min="3" max="4" width="9.109375" style="1209"/>
    <col min="5" max="5" width="30.6640625" style="1209" bestFit="1" customWidth="1"/>
    <col min="6" max="6" width="13.44140625" style="1209" bestFit="1" customWidth="1"/>
    <col min="7" max="8" width="15" style="1209" customWidth="1"/>
    <col min="9" max="9" width="10.44140625" style="1209" customWidth="1"/>
    <col min="10" max="10" width="9.5546875" style="1209" customWidth="1"/>
    <col min="11" max="11" width="11.109375" style="1209" customWidth="1"/>
    <col min="12" max="12" width="9.88671875" style="1209" customWidth="1"/>
    <col min="13" max="13" width="9.109375" style="1209"/>
    <col min="14" max="14" width="10.6640625" style="1209" customWidth="1"/>
    <col min="15" max="17" width="9.109375" style="1209"/>
    <col min="18" max="18" width="7.33203125" style="1209" customWidth="1"/>
    <col min="19" max="19" width="5.5546875" style="1209" bestFit="1" customWidth="1"/>
    <col min="20" max="20" width="8.44140625" style="1209" bestFit="1" customWidth="1"/>
    <col min="21" max="21" width="14.109375" style="1209" bestFit="1" customWidth="1"/>
    <col min="22" max="22" width="22.44140625" style="1209" customWidth="1"/>
    <col min="23" max="23" width="23.5546875" style="1209" bestFit="1" customWidth="1"/>
    <col min="24" max="24" width="14.109375" style="1209" bestFit="1" customWidth="1"/>
    <col min="25" max="33" width="9.109375" style="1209"/>
    <col min="34" max="34" width="16.88671875" style="1209" bestFit="1" customWidth="1"/>
    <col min="35" max="35" width="20.5546875" style="1209" bestFit="1" customWidth="1"/>
    <col min="36" max="36" width="15.6640625" style="1209" bestFit="1" customWidth="1"/>
    <col min="37" max="16384" width="9.109375" style="1209"/>
  </cols>
  <sheetData>
    <row r="1" spans="1:24" x14ac:dyDescent="0.25">
      <c r="A1" s="1218" t="s">
        <v>671</v>
      </c>
      <c r="B1" s="1218" t="s">
        <v>672</v>
      </c>
      <c r="C1" s="1219" t="s">
        <v>219</v>
      </c>
      <c r="D1" s="1219" t="s">
        <v>673</v>
      </c>
      <c r="E1" s="1219" t="s">
        <v>68</v>
      </c>
      <c r="F1" s="1219" t="s">
        <v>674</v>
      </c>
      <c r="G1" s="1219" t="s">
        <v>675</v>
      </c>
      <c r="H1" s="1219" t="s">
        <v>676</v>
      </c>
      <c r="I1" s="1219" t="s">
        <v>132</v>
      </c>
      <c r="J1" s="1219" t="s">
        <v>180</v>
      </c>
      <c r="K1" s="1220" t="s">
        <v>677</v>
      </c>
      <c r="L1" s="1220" t="s">
        <v>678</v>
      </c>
      <c r="M1" s="1219" t="s">
        <v>370</v>
      </c>
      <c r="N1" s="1219" t="s">
        <v>124</v>
      </c>
      <c r="O1" s="1219" t="s">
        <v>25</v>
      </c>
      <c r="P1" s="1219" t="s">
        <v>27</v>
      </c>
      <c r="Q1" s="1219" t="s">
        <v>679</v>
      </c>
      <c r="R1" s="1219" t="s">
        <v>680</v>
      </c>
      <c r="S1" s="1219" t="s">
        <v>681</v>
      </c>
      <c r="T1" s="1219" t="s">
        <v>682</v>
      </c>
      <c r="U1" s="1203"/>
      <c r="V1" s="1206" t="s">
        <v>668</v>
      </c>
      <c r="W1" s="1207">
        <f>Export_IGRF!I1</f>
        <v>42105</v>
      </c>
      <c r="X1" s="1208">
        <f>Export_IGRF!J1</f>
        <v>0.83333333333333337</v>
      </c>
    </row>
    <row r="2" spans="1:24" x14ac:dyDescent="0.25">
      <c r="A2" s="1218">
        <f>[1]IBRF!$B$5</f>
        <v>41734</v>
      </c>
      <c r="B2" s="1221">
        <f t="shared" ref="B2:B65" si="0">$X$1</f>
        <v>0.83333333333333337</v>
      </c>
      <c r="C2" s="1219">
        <v>1</v>
      </c>
      <c r="D2" s="1219">
        <f ca="1">IF(ScoreData[[#This Row],[Passed?]],D1,INDIRECT($X$24&amp;ScoreData[[#This Row],[Jam]]&amp;ScoreData[[#This Row],[RefRow]]))</f>
        <v>1</v>
      </c>
      <c r="E2" s="1219" t="str">
        <f>$X$2</f>
        <v>Plan B</v>
      </c>
      <c r="F2" s="1219" t="str">
        <f ca="1">IF(INDIRECT($X$24&amp;ScoreData[[#This Row],[Jammer]]&amp;ScoreData[[#This Row],[RefRow]])=0,"",INDIRECT($X$24&amp;ScoreData[[#This Row],[Jammer]]&amp;ScoreData[[#This Row],[RefRow]]))</f>
        <v>4</v>
      </c>
      <c r="G2" s="1219" t="str">
        <f ca="1">IF(INDIRECT($X$24&amp;ScoreData[[#This Row],[Lead]]&amp;ScoreData[[#This Row],[RefRow]])="X","YES","NO")</f>
        <v>YES</v>
      </c>
      <c r="H2" s="1219" t="str">
        <f ca="1">IF(INDIRECT($X$24&amp;ScoreData[[#This Row],[Call]]&amp;ScoreData[[#This Row],[RefRow]])="X","YES","NO")</f>
        <v>NO</v>
      </c>
      <c r="I2" s="1219">
        <f ca="1">INDIRECT($X$24&amp;ScoreData[[#This Row],[Pass]]&amp;ScoreData[[#This Row],[RefRow]])</f>
        <v>4</v>
      </c>
      <c r="J2" s="1219">
        <f ca="1">IF(INDIRECT($X$24&amp;ScoreData[[#This Row],[Point]]&amp;ScoreData[[#This Row],[RefRow]])=0,"",INDIRECT($X$24&amp;ScoreData[[#This Row],[Point]]&amp;ScoreData[[#This Row],[RefRow]]))</f>
        <v>13</v>
      </c>
      <c r="K2" s="1219" t="b">
        <f ca="1">IF(OR(INDIRECT($X$24&amp;ScoreData[[#This Row],[Jam]]&amp;ScoreData[[#This Row],[RefRow]])="SP",INDIRECT($X$24&amp;ScoreData[[#This Row],[Jam]]&amp;ScoreData[[#This Row],[RefRow]])="SP*"),TRUE,FALSE)</f>
        <v>0</v>
      </c>
      <c r="L2" s="1219" t="b">
        <v>1</v>
      </c>
      <c r="M2" s="1219" t="str">
        <f t="array" ref="M2">IFERROR(INDEX(ScoreSearch[],MATCH(ScoreData[[#This Row],[Home?]]&amp;ScoreData[[#Headers],[Jam]],ScoreSearch[Home?]&amp;ScoreSearch[Item],1),3),"")</f>
        <v>$A</v>
      </c>
      <c r="N2" s="1219" t="str">
        <f t="array" ref="N2">IFERROR(INDEX(ScoreSearch[],MATCH(ScoreData[[#This Row],[Home?]]&amp;ScoreData[[#Headers],[Jammer]],ScoreSearch[Home?]&amp;ScoreSearch[Item],1),3),"")</f>
        <v>$B</v>
      </c>
      <c r="O2" s="1219" t="str">
        <f t="array" ref="O2">IFERROR(INDEX(ScoreSearch[],MATCH(ScoreData[[#This Row],[Home?]]&amp;ScoreData[[#Headers],[Lead]],ScoreSearch[Home?]&amp;ScoreSearch[Item],1),3),"")</f>
        <v>$D</v>
      </c>
      <c r="P2" s="1219" t="str">
        <f t="array" ref="P2">IFERROR(INDEX(ScoreSearch[],MATCH(ScoreData[[#This Row],[Home?]]&amp;ScoreData[[#Headers],[Call]],ScoreSearch[Home?]&amp;ScoreSearch[Item],1),3),"")</f>
        <v>$E</v>
      </c>
      <c r="Q2" s="1219" t="str">
        <f t="array" ref="Q2">IFERROR(INDEX(ScoreSearch[],MATCH(ScoreData[[#This Row],[Home?]]&amp;ScoreData[[#Headers],[Penalty]],ScoreSearch[Home?]&amp;ScoreSearch[Item],1),3),"")</f>
        <v>$G</v>
      </c>
      <c r="R2" s="1222" t="str">
        <f t="array" ref="R2">IFERROR(INDEX(ScoreSearch[],MATCH(ScoreData[[#This Row],[Home?]]&amp;ScoreData[[#Headers],[Point]],ScoreSearch[Home?]&amp;ScoreSearch[Item],1),3),"")</f>
        <v>$Q</v>
      </c>
      <c r="S2" s="1222" t="str">
        <f t="array" ref="S2">IFERROR(INDEX(ScoreSearch[],MATCH(ScoreData[[#This Row],[Home?]]&amp;ScoreData[[#Headers],[Pass]],ScoreSearch[Home?]&amp;ScoreSearch[Item],1),3),"")</f>
        <v>$S</v>
      </c>
      <c r="T2" s="1219">
        <v>4</v>
      </c>
      <c r="U2" s="1203"/>
      <c r="V2" s="1206" t="s">
        <v>669</v>
      </c>
      <c r="W2" s="1206" t="str">
        <f>Export_IGRF!I2</f>
        <v>Tri-City Roller Derby</v>
      </c>
      <c r="X2" s="1206" t="str">
        <f>Export_IGRF!J2</f>
        <v>Plan B</v>
      </c>
    </row>
    <row r="3" spans="1:24" x14ac:dyDescent="0.25">
      <c r="A3" s="1218">
        <f>[1]IBRF!$B$5</f>
        <v>41734</v>
      </c>
      <c r="B3" s="1221">
        <f t="shared" si="0"/>
        <v>0.83333333333333337</v>
      </c>
      <c r="C3" s="1219">
        <v>1</v>
      </c>
      <c r="D3" s="1219">
        <f ca="1">IF(ScoreData[[#This Row],[Passed?]],D2,INDIRECT($X$24&amp;ScoreData[[#This Row],[Jam]]&amp;ScoreData[[#This Row],[RefRow]]))</f>
        <v>2</v>
      </c>
      <c r="E3" s="1219" t="str">
        <f t="shared" ref="E3:E39" si="1">$X$2</f>
        <v>Plan B</v>
      </c>
      <c r="F3" s="1219" t="str">
        <f ca="1">IF(INDIRECT($X$24&amp;ScoreData[[#This Row],[Jammer]]&amp;ScoreData[[#This Row],[RefRow]])=0,"",INDIRECT($X$24&amp;ScoreData[[#This Row],[Jammer]]&amp;ScoreData[[#This Row],[RefRow]]))</f>
        <v>19</v>
      </c>
      <c r="G3" s="1223" t="str">
        <f ca="1">IF(INDIRECT($X$24&amp;ScoreData[[#This Row],[Lead]]&amp;ScoreData[[#This Row],[RefRow]])="X","YES","NO")</f>
        <v>YES</v>
      </c>
      <c r="H3" s="1223" t="str">
        <f ca="1">IF(INDIRECT($X$24&amp;ScoreData[[#This Row],[Call]]&amp;ScoreData[[#This Row],[RefRow]])="X","YES","NO")</f>
        <v>YES</v>
      </c>
      <c r="I3" s="1223">
        <f ca="1">INDIRECT($X$24&amp;ScoreData[[#This Row],[Pass]]&amp;ScoreData[[#This Row],[RefRow]])</f>
        <v>4</v>
      </c>
      <c r="J3" s="1223">
        <f ca="1">IF(INDIRECT($X$24&amp;ScoreData[[#This Row],[Point]]&amp;ScoreData[[#This Row],[RefRow]])=0,"",INDIRECT($X$24&amp;ScoreData[[#This Row],[Point]]&amp;ScoreData[[#This Row],[RefRow]]))</f>
        <v>20</v>
      </c>
      <c r="K3" s="1219" t="b">
        <f ca="1">IF(OR(INDIRECT($X$24&amp;ScoreData[[#This Row],[Jam]]&amp;ScoreData[[#This Row],[RefRow]])="SP",INDIRECT($X$24&amp;ScoreData[[#This Row],[Jam]]&amp;ScoreData[[#This Row],[RefRow]])="SP*"),TRUE,FALSE)</f>
        <v>0</v>
      </c>
      <c r="L3" s="1219" t="b">
        <v>1</v>
      </c>
      <c r="M3" s="1219" t="str">
        <f t="array" ref="M3">IFERROR(INDEX(ScoreSearch[],MATCH(ScoreData[[#This Row],[Home?]]&amp;ScoreData[[#Headers],[Jam]],ScoreSearch[Home?]&amp;ScoreSearch[Item],1),3),"")</f>
        <v>$A</v>
      </c>
      <c r="N3" s="1219" t="str">
        <f t="array" ref="N3">IFERROR(INDEX(ScoreSearch[],MATCH(ScoreData[[#This Row],[Home?]]&amp;ScoreData[[#Headers],[Jammer]],ScoreSearch[Home?]&amp;ScoreSearch[Item],1),3),"")</f>
        <v>$B</v>
      </c>
      <c r="O3" s="1219" t="str">
        <f t="array" ref="O3">IFERROR(INDEX(ScoreSearch[],MATCH(ScoreData[[#This Row],[Home?]]&amp;ScoreData[[#Headers],[Lead]],ScoreSearch[Home?]&amp;ScoreSearch[Item],1),3),"")</f>
        <v>$D</v>
      </c>
      <c r="P3" s="1219" t="str">
        <f t="array" ref="P3">IFERROR(INDEX(ScoreSearch[],MATCH(ScoreData[[#This Row],[Home?]]&amp;ScoreData[[#Headers],[Call]],ScoreSearch[Home?]&amp;ScoreSearch[Item],1),3),"")</f>
        <v>$E</v>
      </c>
      <c r="Q3" s="1219" t="str">
        <f t="array" ref="Q3">IFERROR(INDEX(ScoreSearch[],MATCH(ScoreData[[#This Row],[Home?]]&amp;ScoreData[[#Headers],[Penalty]],ScoreSearch[Home?]&amp;ScoreSearch[Item],1),3),"")</f>
        <v>$G</v>
      </c>
      <c r="R3" s="1222" t="str">
        <f t="array" ref="R3">IFERROR(INDEX(ScoreSearch[],MATCH(ScoreData[[#This Row],[Home?]]&amp;ScoreData[[#Headers],[Point]],ScoreSearch[Home?]&amp;ScoreSearch[Item],1),3),"")</f>
        <v>$Q</v>
      </c>
      <c r="S3" s="1222" t="str">
        <f t="array" ref="S3">IFERROR(INDEX(ScoreSearch[],MATCH(ScoreData[[#This Row],[Home?]]&amp;ScoreData[[#Headers],[Pass]],ScoreSearch[Home?]&amp;ScoreSearch[Item],1),3),"")</f>
        <v>$S</v>
      </c>
      <c r="T3" s="1219">
        <v>5</v>
      </c>
      <c r="U3" s="1203"/>
      <c r="V3" s="1206" t="s">
        <v>670</v>
      </c>
      <c r="W3" s="1206" t="str">
        <f>Export_IGRF!I3</f>
        <v>Hammer City Roller Girls</v>
      </c>
      <c r="X3" s="1206" t="str">
        <f>Export_IGRF!J3</f>
        <v>Harlots</v>
      </c>
    </row>
    <row r="4" spans="1:24" x14ac:dyDescent="0.25">
      <c r="A4" s="1218">
        <f>[1]IBRF!$B$5</f>
        <v>41734</v>
      </c>
      <c r="B4" s="1221">
        <f t="shared" si="0"/>
        <v>0.83333333333333337</v>
      </c>
      <c r="C4" s="1219">
        <v>1</v>
      </c>
      <c r="D4" s="1219">
        <f ca="1">IF(ScoreData[[#This Row],[Passed?]],D3,INDIRECT($X$24&amp;ScoreData[[#This Row],[Jam]]&amp;ScoreData[[#This Row],[RefRow]]))</f>
        <v>3</v>
      </c>
      <c r="E4" s="1219" t="str">
        <f t="shared" si="1"/>
        <v>Plan B</v>
      </c>
      <c r="F4" s="1219" t="str">
        <f ca="1">IF(INDIRECT($X$24&amp;ScoreData[[#This Row],[Jammer]]&amp;ScoreData[[#This Row],[RefRow]])=0,"",INDIRECT($X$24&amp;ScoreData[[#This Row],[Jammer]]&amp;ScoreData[[#This Row],[RefRow]]))</f>
        <v>1321</v>
      </c>
      <c r="G4" s="1219" t="str">
        <f ca="1">IF(INDIRECT($X$24&amp;ScoreData[[#This Row],[Lead]]&amp;ScoreData[[#This Row],[RefRow]])="X","YES","NO")</f>
        <v>YES</v>
      </c>
      <c r="H4" s="1219" t="str">
        <f ca="1">IF(INDIRECT($X$24&amp;ScoreData[[#This Row],[Call]]&amp;ScoreData[[#This Row],[RefRow]])="X","YES","NO")</f>
        <v>YES</v>
      </c>
      <c r="I4" s="1219">
        <f ca="1">INDIRECT($X$24&amp;ScoreData[[#This Row],[Pass]]&amp;ScoreData[[#This Row],[RefRow]])</f>
        <v>1</v>
      </c>
      <c r="J4" s="1219">
        <f ca="1">IF(INDIRECT($X$24&amp;ScoreData[[#This Row],[Point]]&amp;ScoreData[[#This Row],[RefRow]])=0,"",INDIRECT($X$24&amp;ScoreData[[#This Row],[Point]]&amp;ScoreData[[#This Row],[RefRow]]))</f>
        <v>1</v>
      </c>
      <c r="K4" s="1219" t="b">
        <f ca="1">IF(OR(INDIRECT($X$24&amp;ScoreData[[#This Row],[Jam]]&amp;ScoreData[[#This Row],[RefRow]])="SP",INDIRECT($X$24&amp;ScoreData[[#This Row],[Jam]]&amp;ScoreData[[#This Row],[RefRow]])="SP*"),TRUE,FALSE)</f>
        <v>0</v>
      </c>
      <c r="L4" s="1219" t="b">
        <v>1</v>
      </c>
      <c r="M4" s="1219" t="str">
        <f t="array" ref="M4">IFERROR(INDEX(ScoreSearch[],MATCH(ScoreData[[#This Row],[Home?]]&amp;ScoreData[[#Headers],[Jam]],ScoreSearch[Home?]&amp;ScoreSearch[Item],1),3),"")</f>
        <v>$A</v>
      </c>
      <c r="N4" s="1219" t="str">
        <f t="array" ref="N4">IFERROR(INDEX(ScoreSearch[],MATCH(ScoreData[[#This Row],[Home?]]&amp;ScoreData[[#Headers],[Jammer]],ScoreSearch[Home?]&amp;ScoreSearch[Item],1),3),"")</f>
        <v>$B</v>
      </c>
      <c r="O4" s="1219" t="str">
        <f t="array" ref="O4">IFERROR(INDEX(ScoreSearch[],MATCH(ScoreData[[#This Row],[Home?]]&amp;ScoreData[[#Headers],[Lead]],ScoreSearch[Home?]&amp;ScoreSearch[Item],1),3),"")</f>
        <v>$D</v>
      </c>
      <c r="P4" s="1219" t="str">
        <f t="array" ref="P4">IFERROR(INDEX(ScoreSearch[],MATCH(ScoreData[[#This Row],[Home?]]&amp;ScoreData[[#Headers],[Call]],ScoreSearch[Home?]&amp;ScoreSearch[Item],1),3),"")</f>
        <v>$E</v>
      </c>
      <c r="Q4" s="1219" t="str">
        <f t="array" ref="Q4">IFERROR(INDEX(ScoreSearch[],MATCH(ScoreData[[#This Row],[Home?]]&amp;ScoreData[[#Headers],[Penalty]],ScoreSearch[Home?]&amp;ScoreSearch[Item],1),3),"")</f>
        <v>$G</v>
      </c>
      <c r="R4" s="1222" t="str">
        <f t="array" ref="R4">IFERROR(INDEX(ScoreSearch[],MATCH(ScoreData[[#This Row],[Home?]]&amp;ScoreData[[#Headers],[Point]],ScoreSearch[Home?]&amp;ScoreSearch[Item],1),3),"")</f>
        <v>$Q</v>
      </c>
      <c r="S4" s="1222" t="str">
        <f t="array" ref="S4">IFERROR(INDEX(ScoreSearch[],MATCH(ScoreData[[#This Row],[Home?]]&amp;ScoreData[[#Headers],[Pass]],ScoreSearch[Home?]&amp;ScoreSearch[Item],1),3),"")</f>
        <v>$S</v>
      </c>
      <c r="T4" s="1219">
        <v>6</v>
      </c>
      <c r="U4" s="1203"/>
      <c r="V4" s="1203"/>
    </row>
    <row r="5" spans="1:24" x14ac:dyDescent="0.25">
      <c r="A5" s="1218">
        <f>[1]IBRF!$B$5</f>
        <v>41734</v>
      </c>
      <c r="B5" s="1221">
        <f t="shared" si="0"/>
        <v>0.83333333333333337</v>
      </c>
      <c r="C5" s="1219">
        <v>1</v>
      </c>
      <c r="D5" s="1219">
        <f ca="1">IF(ScoreData[[#This Row],[Passed?]],D4,INDIRECT($X$24&amp;ScoreData[[#This Row],[Jam]]&amp;ScoreData[[#This Row],[RefRow]]))</f>
        <v>4</v>
      </c>
      <c r="E5" s="1219" t="str">
        <f t="shared" si="1"/>
        <v>Plan B</v>
      </c>
      <c r="F5" s="1219" t="str">
        <f ca="1">IF(INDIRECT($X$24&amp;ScoreData[[#This Row],[Jammer]]&amp;ScoreData[[#This Row],[RefRow]])=0,"",INDIRECT($X$24&amp;ScoreData[[#This Row],[Jammer]]&amp;ScoreData[[#This Row],[RefRow]]))</f>
        <v>84</v>
      </c>
      <c r="G5" s="1219" t="str">
        <f ca="1">IF(INDIRECT($X$24&amp;ScoreData[[#This Row],[Lead]]&amp;ScoreData[[#This Row],[RefRow]])="X","YES","NO")</f>
        <v>YES</v>
      </c>
      <c r="H5" s="1219" t="str">
        <f ca="1">IF(INDIRECT($X$24&amp;ScoreData[[#This Row],[Call]]&amp;ScoreData[[#This Row],[RefRow]])="X","YES","NO")</f>
        <v>YES</v>
      </c>
      <c r="I5" s="1219">
        <f ca="1">INDIRECT($X$24&amp;ScoreData[[#This Row],[Pass]]&amp;ScoreData[[#This Row],[RefRow]])</f>
        <v>1</v>
      </c>
      <c r="J5" s="1219">
        <f ca="1">IF(INDIRECT($X$24&amp;ScoreData[[#This Row],[Point]]&amp;ScoreData[[#This Row],[RefRow]])=0,"",INDIRECT($X$24&amp;ScoreData[[#This Row],[Point]]&amp;ScoreData[[#This Row],[RefRow]]))</f>
        <v>4</v>
      </c>
      <c r="K5" s="1219" t="b">
        <f ca="1">IF(OR(INDIRECT($X$24&amp;ScoreData[[#This Row],[Jam]]&amp;ScoreData[[#This Row],[RefRow]])="SP",INDIRECT($X$24&amp;ScoreData[[#This Row],[Jam]]&amp;ScoreData[[#This Row],[RefRow]])="SP*"),TRUE,FALSE)</f>
        <v>0</v>
      </c>
      <c r="L5" s="1219" t="b">
        <v>1</v>
      </c>
      <c r="M5" s="1219" t="str">
        <f t="array" ref="M5">IFERROR(INDEX(ScoreSearch[],MATCH(ScoreData[[#This Row],[Home?]]&amp;ScoreData[[#Headers],[Jam]],ScoreSearch[Home?]&amp;ScoreSearch[Item],1),3),"")</f>
        <v>$A</v>
      </c>
      <c r="N5" s="1219" t="str">
        <f t="array" ref="N5">IFERROR(INDEX(ScoreSearch[],MATCH(ScoreData[[#This Row],[Home?]]&amp;ScoreData[[#Headers],[Jammer]],ScoreSearch[Home?]&amp;ScoreSearch[Item],1),3),"")</f>
        <v>$B</v>
      </c>
      <c r="O5" s="1219" t="str">
        <f t="array" ref="O5">IFERROR(INDEX(ScoreSearch[],MATCH(ScoreData[[#This Row],[Home?]]&amp;ScoreData[[#Headers],[Lead]],ScoreSearch[Home?]&amp;ScoreSearch[Item],1),3),"")</f>
        <v>$D</v>
      </c>
      <c r="P5" s="1219" t="str">
        <f t="array" ref="P5">IFERROR(INDEX(ScoreSearch[],MATCH(ScoreData[[#This Row],[Home?]]&amp;ScoreData[[#Headers],[Call]],ScoreSearch[Home?]&amp;ScoreSearch[Item],1),3),"")</f>
        <v>$E</v>
      </c>
      <c r="Q5" s="1219" t="str">
        <f t="array" ref="Q5">IFERROR(INDEX(ScoreSearch[],MATCH(ScoreData[[#This Row],[Home?]]&amp;ScoreData[[#Headers],[Penalty]],ScoreSearch[Home?]&amp;ScoreSearch[Item],1),3),"")</f>
        <v>$G</v>
      </c>
      <c r="R5" s="1222" t="str">
        <f t="array" ref="R5">IFERROR(INDEX(ScoreSearch[],MATCH(ScoreData[[#This Row],[Home?]]&amp;ScoreData[[#Headers],[Point]],ScoreSearch[Home?]&amp;ScoreSearch[Item],1),3),"")</f>
        <v>$Q</v>
      </c>
      <c r="S5" s="1222" t="str">
        <f t="array" ref="S5">IFERROR(INDEX(ScoreSearch[],MATCH(ScoreData[[#This Row],[Home?]]&amp;ScoreData[[#Headers],[Pass]],ScoreSearch[Home?]&amp;ScoreSearch[Item],1),3),"")</f>
        <v>$S</v>
      </c>
      <c r="T5" s="1219">
        <v>7</v>
      </c>
      <c r="U5" s="1203"/>
      <c r="V5" s="1203"/>
    </row>
    <row r="6" spans="1:24" x14ac:dyDescent="0.25">
      <c r="A6" s="1218">
        <f>[1]IBRF!$B$5</f>
        <v>41734</v>
      </c>
      <c r="B6" s="1221">
        <f t="shared" si="0"/>
        <v>0.83333333333333337</v>
      </c>
      <c r="C6" s="1219">
        <v>1</v>
      </c>
      <c r="D6" s="1219">
        <f ca="1">IF(ScoreData[[#This Row],[Passed?]],D5,INDIRECT($X$24&amp;ScoreData[[#This Row],[Jam]]&amp;ScoreData[[#This Row],[RefRow]]))</f>
        <v>5</v>
      </c>
      <c r="E6" s="1219" t="str">
        <f t="shared" si="1"/>
        <v>Plan B</v>
      </c>
      <c r="F6" s="1219" t="str">
        <f ca="1">IF(INDIRECT($X$24&amp;ScoreData[[#This Row],[Jammer]]&amp;ScoreData[[#This Row],[RefRow]])=0,"",INDIRECT($X$24&amp;ScoreData[[#This Row],[Jammer]]&amp;ScoreData[[#This Row],[RefRow]]))</f>
        <v>4</v>
      </c>
      <c r="G6" s="1219" t="str">
        <f ca="1">IF(INDIRECT($X$24&amp;ScoreData[[#This Row],[Lead]]&amp;ScoreData[[#This Row],[RefRow]])="X","YES","NO")</f>
        <v>YES</v>
      </c>
      <c r="H6" s="1219" t="str">
        <f ca="1">IF(INDIRECT($X$24&amp;ScoreData[[#This Row],[Call]]&amp;ScoreData[[#This Row],[RefRow]])="X","YES","NO")</f>
        <v>YES</v>
      </c>
      <c r="I6" s="1219">
        <f ca="1">INDIRECT($X$24&amp;ScoreData[[#This Row],[Pass]]&amp;ScoreData[[#This Row],[RefRow]])</f>
        <v>1</v>
      </c>
      <c r="J6" s="1219">
        <f ca="1">IF(INDIRECT($X$24&amp;ScoreData[[#This Row],[Point]]&amp;ScoreData[[#This Row],[RefRow]])=0,"",INDIRECT($X$24&amp;ScoreData[[#This Row],[Point]]&amp;ScoreData[[#This Row],[RefRow]]))</f>
        <v>4</v>
      </c>
      <c r="K6" s="1219" t="b">
        <f ca="1">IF(OR(INDIRECT($X$24&amp;ScoreData[[#This Row],[Jam]]&amp;ScoreData[[#This Row],[RefRow]])="SP",INDIRECT($X$24&amp;ScoreData[[#This Row],[Jam]]&amp;ScoreData[[#This Row],[RefRow]])="SP*"),TRUE,FALSE)</f>
        <v>0</v>
      </c>
      <c r="L6" s="1219" t="b">
        <v>1</v>
      </c>
      <c r="M6" s="1219" t="str">
        <f t="array" ref="M6">IFERROR(INDEX(ScoreSearch[],MATCH(ScoreData[[#This Row],[Home?]]&amp;ScoreData[[#Headers],[Jam]],ScoreSearch[Home?]&amp;ScoreSearch[Item],1),3),"")</f>
        <v>$A</v>
      </c>
      <c r="N6" s="1219" t="str">
        <f t="array" ref="N6">IFERROR(INDEX(ScoreSearch[],MATCH(ScoreData[[#This Row],[Home?]]&amp;ScoreData[[#Headers],[Jammer]],ScoreSearch[Home?]&amp;ScoreSearch[Item],1),3),"")</f>
        <v>$B</v>
      </c>
      <c r="O6" s="1219" t="str">
        <f t="array" ref="O6">IFERROR(INDEX(ScoreSearch[],MATCH(ScoreData[[#This Row],[Home?]]&amp;ScoreData[[#Headers],[Lead]],ScoreSearch[Home?]&amp;ScoreSearch[Item],1),3),"")</f>
        <v>$D</v>
      </c>
      <c r="P6" s="1219" t="str">
        <f t="array" ref="P6">IFERROR(INDEX(ScoreSearch[],MATCH(ScoreData[[#This Row],[Home?]]&amp;ScoreData[[#Headers],[Call]],ScoreSearch[Home?]&amp;ScoreSearch[Item],1),3),"")</f>
        <v>$E</v>
      </c>
      <c r="Q6" s="1219" t="str">
        <f t="array" ref="Q6">IFERROR(INDEX(ScoreSearch[],MATCH(ScoreData[[#This Row],[Home?]]&amp;ScoreData[[#Headers],[Penalty]],ScoreSearch[Home?]&amp;ScoreSearch[Item],1),3),"")</f>
        <v>$G</v>
      </c>
      <c r="R6" s="1222" t="str">
        <f t="array" ref="R6">IFERROR(INDEX(ScoreSearch[],MATCH(ScoreData[[#This Row],[Home?]]&amp;ScoreData[[#Headers],[Point]],ScoreSearch[Home?]&amp;ScoreSearch[Item],1),3),"")</f>
        <v>$Q</v>
      </c>
      <c r="S6" s="1222" t="str">
        <f t="array" ref="S6">IFERROR(INDEX(ScoreSearch[],MATCH(ScoreData[[#This Row],[Home?]]&amp;ScoreData[[#Headers],[Pass]],ScoreSearch[Home?]&amp;ScoreSearch[Item],1),3),"")</f>
        <v>$S</v>
      </c>
      <c r="T6" s="1219">
        <v>8</v>
      </c>
      <c r="U6" s="1203"/>
      <c r="V6" s="1203"/>
    </row>
    <row r="7" spans="1:24" x14ac:dyDescent="0.25">
      <c r="A7" s="1218">
        <f>[1]IBRF!$B$5</f>
        <v>41734</v>
      </c>
      <c r="B7" s="1221">
        <f t="shared" si="0"/>
        <v>0.83333333333333337</v>
      </c>
      <c r="C7" s="1219">
        <v>1</v>
      </c>
      <c r="D7" s="1219">
        <f ca="1">IF(ScoreData[[#This Row],[Passed?]],D6,INDIRECT($X$24&amp;ScoreData[[#This Row],[Jam]]&amp;ScoreData[[#This Row],[RefRow]]))</f>
        <v>6</v>
      </c>
      <c r="E7" s="1219" t="str">
        <f t="shared" si="1"/>
        <v>Plan B</v>
      </c>
      <c r="F7" s="1219" t="str">
        <f ca="1">IF(INDIRECT($X$24&amp;ScoreData[[#This Row],[Jammer]]&amp;ScoreData[[#This Row],[RefRow]])=0,"",INDIRECT($X$24&amp;ScoreData[[#This Row],[Jammer]]&amp;ScoreData[[#This Row],[RefRow]]))</f>
        <v>19</v>
      </c>
      <c r="G7" s="1219" t="str">
        <f ca="1">IF(INDIRECT($X$24&amp;ScoreData[[#This Row],[Lead]]&amp;ScoreData[[#This Row],[RefRow]])="X","YES","NO")</f>
        <v>YES</v>
      </c>
      <c r="H7" s="1219" t="str">
        <f ca="1">IF(INDIRECT($X$24&amp;ScoreData[[#This Row],[Call]]&amp;ScoreData[[#This Row],[RefRow]])="X","YES","NO")</f>
        <v>NO</v>
      </c>
      <c r="I7" s="1219">
        <f ca="1">INDIRECT($X$24&amp;ScoreData[[#This Row],[Pass]]&amp;ScoreData[[#This Row],[RefRow]])</f>
        <v>3</v>
      </c>
      <c r="J7" s="1219">
        <f ca="1">IF(INDIRECT($X$24&amp;ScoreData[[#This Row],[Point]]&amp;ScoreData[[#This Row],[RefRow]])=0,"",INDIRECT($X$24&amp;ScoreData[[#This Row],[Point]]&amp;ScoreData[[#This Row],[RefRow]]))</f>
        <v>10</v>
      </c>
      <c r="K7" s="1219" t="b">
        <f ca="1">IF(OR(INDIRECT($X$24&amp;ScoreData[[#This Row],[Jam]]&amp;ScoreData[[#This Row],[RefRow]])="SP",INDIRECT($X$24&amp;ScoreData[[#This Row],[Jam]]&amp;ScoreData[[#This Row],[RefRow]])="SP*"),TRUE,FALSE)</f>
        <v>0</v>
      </c>
      <c r="L7" s="1219" t="b">
        <v>1</v>
      </c>
      <c r="M7" s="1219" t="str">
        <f t="array" ref="M7">IFERROR(INDEX(ScoreSearch[],MATCH(ScoreData[[#This Row],[Home?]]&amp;ScoreData[[#Headers],[Jam]],ScoreSearch[Home?]&amp;ScoreSearch[Item],1),3),"")</f>
        <v>$A</v>
      </c>
      <c r="N7" s="1219" t="str">
        <f t="array" ref="N7">IFERROR(INDEX(ScoreSearch[],MATCH(ScoreData[[#This Row],[Home?]]&amp;ScoreData[[#Headers],[Jammer]],ScoreSearch[Home?]&amp;ScoreSearch[Item],1),3),"")</f>
        <v>$B</v>
      </c>
      <c r="O7" s="1219" t="str">
        <f t="array" ref="O7">IFERROR(INDEX(ScoreSearch[],MATCH(ScoreData[[#This Row],[Home?]]&amp;ScoreData[[#Headers],[Lead]],ScoreSearch[Home?]&amp;ScoreSearch[Item],1),3),"")</f>
        <v>$D</v>
      </c>
      <c r="P7" s="1219" t="str">
        <f t="array" ref="P7">IFERROR(INDEX(ScoreSearch[],MATCH(ScoreData[[#This Row],[Home?]]&amp;ScoreData[[#Headers],[Call]],ScoreSearch[Home?]&amp;ScoreSearch[Item],1),3),"")</f>
        <v>$E</v>
      </c>
      <c r="Q7" s="1219" t="str">
        <f t="array" ref="Q7">IFERROR(INDEX(ScoreSearch[],MATCH(ScoreData[[#This Row],[Home?]]&amp;ScoreData[[#Headers],[Penalty]],ScoreSearch[Home?]&amp;ScoreSearch[Item],1),3),"")</f>
        <v>$G</v>
      </c>
      <c r="R7" s="1222" t="str">
        <f t="array" ref="R7">IFERROR(INDEX(ScoreSearch[],MATCH(ScoreData[[#This Row],[Home?]]&amp;ScoreData[[#Headers],[Point]],ScoreSearch[Home?]&amp;ScoreSearch[Item],1),3),"")</f>
        <v>$Q</v>
      </c>
      <c r="S7" s="1222" t="str">
        <f t="array" ref="S7">IFERROR(INDEX(ScoreSearch[],MATCH(ScoreData[[#This Row],[Home?]]&amp;ScoreData[[#Headers],[Pass]],ScoreSearch[Home?]&amp;ScoreSearch[Item],1),3),"")</f>
        <v>$S</v>
      </c>
      <c r="T7" s="1219">
        <v>9</v>
      </c>
      <c r="U7" s="1203"/>
      <c r="V7" s="1203"/>
    </row>
    <row r="8" spans="1:24" x14ac:dyDescent="0.25">
      <c r="A8" s="1218">
        <f>[1]IBRF!$B$5</f>
        <v>41734</v>
      </c>
      <c r="B8" s="1221">
        <f t="shared" si="0"/>
        <v>0.83333333333333337</v>
      </c>
      <c r="C8" s="1219">
        <v>1</v>
      </c>
      <c r="D8" s="1219">
        <f ca="1">IF(ScoreData[[#This Row],[Passed?]],D7,INDIRECT($X$24&amp;ScoreData[[#This Row],[Jam]]&amp;ScoreData[[#This Row],[RefRow]]))</f>
        <v>6</v>
      </c>
      <c r="E8" s="1219" t="str">
        <f t="shared" si="1"/>
        <v>Plan B</v>
      </c>
      <c r="F8" s="1219" t="str">
        <f ca="1">IF(INDIRECT($X$24&amp;ScoreData[[#This Row],[Jammer]]&amp;ScoreData[[#This Row],[RefRow]])=0,"",INDIRECT($X$24&amp;ScoreData[[#This Row],[Jammer]]&amp;ScoreData[[#This Row],[RefRow]]))</f>
        <v/>
      </c>
      <c r="G8" s="1219" t="str">
        <f ca="1">IF(INDIRECT($X$24&amp;ScoreData[[#This Row],[Lead]]&amp;ScoreData[[#This Row],[RefRow]])="X","YES","NO")</f>
        <v>NO</v>
      </c>
      <c r="H8" s="1219" t="str">
        <f ca="1">IF(INDIRECT($X$24&amp;ScoreData[[#This Row],[Call]]&amp;ScoreData[[#This Row],[RefRow]])="X","YES","NO")</f>
        <v>NO</v>
      </c>
      <c r="I8" s="1219">
        <f ca="1">INDIRECT($X$24&amp;ScoreData[[#This Row],[Pass]]&amp;ScoreData[[#This Row],[RefRow]])</f>
        <v>0</v>
      </c>
      <c r="J8" s="1219" t="str">
        <f ca="1">IF(INDIRECT($X$24&amp;ScoreData[[#This Row],[Point]]&amp;ScoreData[[#This Row],[RefRow]])=0,"",INDIRECT($X$24&amp;ScoreData[[#This Row],[Point]]&amp;ScoreData[[#This Row],[RefRow]]))</f>
        <v/>
      </c>
      <c r="K8" s="1219" t="b">
        <f ca="1">IF(OR(INDIRECT($X$24&amp;ScoreData[[#This Row],[Jam]]&amp;ScoreData[[#This Row],[RefRow]])="SP",INDIRECT($X$24&amp;ScoreData[[#This Row],[Jam]]&amp;ScoreData[[#This Row],[RefRow]])="SP*"),TRUE,FALSE)</f>
        <v>1</v>
      </c>
      <c r="L8" s="1219" t="b">
        <v>1</v>
      </c>
      <c r="M8" s="1219" t="str">
        <f t="array" ref="M8">IFERROR(INDEX(ScoreSearch[],MATCH(ScoreData[[#This Row],[Home?]]&amp;ScoreData[[#Headers],[Jam]],ScoreSearch[Home?]&amp;ScoreSearch[Item],1),3),"")</f>
        <v>$A</v>
      </c>
      <c r="N8" s="1219" t="str">
        <f t="array" ref="N8">IFERROR(INDEX(ScoreSearch[],MATCH(ScoreData[[#This Row],[Home?]]&amp;ScoreData[[#Headers],[Jammer]],ScoreSearch[Home?]&amp;ScoreSearch[Item],1),3),"")</f>
        <v>$B</v>
      </c>
      <c r="O8" s="1219" t="str">
        <f t="array" ref="O8">IFERROR(INDEX(ScoreSearch[],MATCH(ScoreData[[#This Row],[Home?]]&amp;ScoreData[[#Headers],[Lead]],ScoreSearch[Home?]&amp;ScoreSearch[Item],1),3),"")</f>
        <v>$D</v>
      </c>
      <c r="P8" s="1219" t="str">
        <f t="array" ref="P8">IFERROR(INDEX(ScoreSearch[],MATCH(ScoreData[[#This Row],[Home?]]&amp;ScoreData[[#Headers],[Call]],ScoreSearch[Home?]&amp;ScoreSearch[Item],1),3),"")</f>
        <v>$E</v>
      </c>
      <c r="Q8" s="1219" t="str">
        <f t="array" ref="Q8">IFERROR(INDEX(ScoreSearch[],MATCH(ScoreData[[#This Row],[Home?]]&amp;ScoreData[[#Headers],[Penalty]],ScoreSearch[Home?]&amp;ScoreSearch[Item],1),3),"")</f>
        <v>$G</v>
      </c>
      <c r="R8" s="1222" t="str">
        <f t="array" ref="R8">IFERROR(INDEX(ScoreSearch[],MATCH(ScoreData[[#This Row],[Home?]]&amp;ScoreData[[#Headers],[Point]],ScoreSearch[Home?]&amp;ScoreSearch[Item],1),3),"")</f>
        <v>$Q</v>
      </c>
      <c r="S8" s="1222" t="str">
        <f t="array" ref="S8">IFERROR(INDEX(ScoreSearch[],MATCH(ScoreData[[#This Row],[Home?]]&amp;ScoreData[[#Headers],[Pass]],ScoreSearch[Home?]&amp;ScoreSearch[Item],1),3),"")</f>
        <v>$S</v>
      </c>
      <c r="T8" s="1219">
        <v>10</v>
      </c>
      <c r="U8" s="1203"/>
      <c r="V8" s="1203"/>
    </row>
    <row r="9" spans="1:24" x14ac:dyDescent="0.25">
      <c r="A9" s="1218">
        <f>[1]IBRF!$B$5</f>
        <v>41734</v>
      </c>
      <c r="B9" s="1221">
        <f t="shared" si="0"/>
        <v>0.83333333333333337</v>
      </c>
      <c r="C9" s="1219">
        <v>1</v>
      </c>
      <c r="D9" s="1219">
        <f ca="1">IF(ScoreData[[#This Row],[Passed?]],D8,INDIRECT($X$24&amp;ScoreData[[#This Row],[Jam]]&amp;ScoreData[[#This Row],[RefRow]]))</f>
        <v>7</v>
      </c>
      <c r="E9" s="1219" t="str">
        <f t="shared" si="1"/>
        <v>Plan B</v>
      </c>
      <c r="F9" s="1219" t="str">
        <f ca="1">IF(INDIRECT($X$24&amp;ScoreData[[#This Row],[Jammer]]&amp;ScoreData[[#This Row],[RefRow]])=0,"",INDIRECT($X$24&amp;ScoreData[[#This Row],[Jammer]]&amp;ScoreData[[#This Row],[RefRow]]))</f>
        <v>1321</v>
      </c>
      <c r="G9" s="1219" t="str">
        <f ca="1">IF(INDIRECT($X$24&amp;ScoreData[[#This Row],[Lead]]&amp;ScoreData[[#This Row],[RefRow]])="X","YES","NO")</f>
        <v>NO</v>
      </c>
      <c r="H9" s="1219" t="str">
        <f ca="1">IF(INDIRECT($X$24&amp;ScoreData[[#This Row],[Call]]&amp;ScoreData[[#This Row],[RefRow]])="X","YES","NO")</f>
        <v>NO</v>
      </c>
      <c r="I9" s="1219">
        <f ca="1">INDIRECT($X$24&amp;ScoreData[[#This Row],[Pass]]&amp;ScoreData[[#This Row],[RefRow]])</f>
        <v>1</v>
      </c>
      <c r="J9" s="1219">
        <f ca="1">IF(INDIRECT($X$24&amp;ScoreData[[#This Row],[Point]]&amp;ScoreData[[#This Row],[RefRow]])=0,"",INDIRECT($X$24&amp;ScoreData[[#This Row],[Point]]&amp;ScoreData[[#This Row],[RefRow]]))</f>
        <v>3</v>
      </c>
      <c r="K9" s="1219" t="b">
        <f ca="1">IF(OR(INDIRECT($X$24&amp;ScoreData[[#This Row],[Jam]]&amp;ScoreData[[#This Row],[RefRow]])="SP",INDIRECT($X$24&amp;ScoreData[[#This Row],[Jam]]&amp;ScoreData[[#This Row],[RefRow]])="SP*"),TRUE,FALSE)</f>
        <v>0</v>
      </c>
      <c r="L9" s="1219" t="b">
        <v>1</v>
      </c>
      <c r="M9" s="1219" t="str">
        <f t="array" ref="M9">IFERROR(INDEX(ScoreSearch[],MATCH(ScoreData[[#This Row],[Home?]]&amp;ScoreData[[#Headers],[Jam]],ScoreSearch[Home?]&amp;ScoreSearch[Item],1),3),"")</f>
        <v>$A</v>
      </c>
      <c r="N9" s="1219" t="str">
        <f t="array" ref="N9">IFERROR(INDEX(ScoreSearch[],MATCH(ScoreData[[#This Row],[Home?]]&amp;ScoreData[[#Headers],[Jammer]],ScoreSearch[Home?]&amp;ScoreSearch[Item],1),3),"")</f>
        <v>$B</v>
      </c>
      <c r="O9" s="1219" t="str">
        <f t="array" ref="O9">IFERROR(INDEX(ScoreSearch[],MATCH(ScoreData[[#This Row],[Home?]]&amp;ScoreData[[#Headers],[Lead]],ScoreSearch[Home?]&amp;ScoreSearch[Item],1),3),"")</f>
        <v>$D</v>
      </c>
      <c r="P9" s="1219" t="str">
        <f t="array" ref="P9">IFERROR(INDEX(ScoreSearch[],MATCH(ScoreData[[#This Row],[Home?]]&amp;ScoreData[[#Headers],[Call]],ScoreSearch[Home?]&amp;ScoreSearch[Item],1),3),"")</f>
        <v>$E</v>
      </c>
      <c r="Q9" s="1219" t="str">
        <f t="array" ref="Q9">IFERROR(INDEX(ScoreSearch[],MATCH(ScoreData[[#This Row],[Home?]]&amp;ScoreData[[#Headers],[Penalty]],ScoreSearch[Home?]&amp;ScoreSearch[Item],1),3),"")</f>
        <v>$G</v>
      </c>
      <c r="R9" s="1222" t="str">
        <f t="array" ref="R9">IFERROR(INDEX(ScoreSearch[],MATCH(ScoreData[[#This Row],[Home?]]&amp;ScoreData[[#Headers],[Point]],ScoreSearch[Home?]&amp;ScoreSearch[Item],1),3),"")</f>
        <v>$Q</v>
      </c>
      <c r="S9" s="1222" t="str">
        <f t="array" ref="S9">IFERROR(INDEX(ScoreSearch[],MATCH(ScoreData[[#This Row],[Home?]]&amp;ScoreData[[#Headers],[Pass]],ScoreSearch[Home?]&amp;ScoreSearch[Item],1),3),"")</f>
        <v>$S</v>
      </c>
      <c r="T9" s="1219">
        <v>11</v>
      </c>
      <c r="U9" s="1203"/>
      <c r="V9" s="1203"/>
    </row>
    <row r="10" spans="1:24" x14ac:dyDescent="0.25">
      <c r="A10" s="1218">
        <f>[1]IBRF!$B$5</f>
        <v>41734</v>
      </c>
      <c r="B10" s="1221">
        <f t="shared" si="0"/>
        <v>0.83333333333333337</v>
      </c>
      <c r="C10" s="1219">
        <v>1</v>
      </c>
      <c r="D10" s="1219">
        <f ca="1">IF(ScoreData[[#This Row],[Passed?]],D9,INDIRECT($X$24&amp;ScoreData[[#This Row],[Jam]]&amp;ScoreData[[#This Row],[RefRow]]))</f>
        <v>8</v>
      </c>
      <c r="E10" s="1219" t="str">
        <f t="shared" si="1"/>
        <v>Plan B</v>
      </c>
      <c r="F10" s="1219" t="str">
        <f ca="1">IF(INDIRECT($X$24&amp;ScoreData[[#This Row],[Jammer]]&amp;ScoreData[[#This Row],[RefRow]])=0,"",INDIRECT($X$24&amp;ScoreData[[#This Row],[Jammer]]&amp;ScoreData[[#This Row],[RefRow]]))</f>
        <v>84</v>
      </c>
      <c r="G10" s="1219" t="str">
        <f ca="1">IF(INDIRECT($X$24&amp;ScoreData[[#This Row],[Lead]]&amp;ScoreData[[#This Row],[RefRow]])="X","YES","NO")</f>
        <v>YES</v>
      </c>
      <c r="H10" s="1219" t="str">
        <f ca="1">IF(INDIRECT($X$24&amp;ScoreData[[#This Row],[Call]]&amp;ScoreData[[#This Row],[RefRow]])="X","YES","NO")</f>
        <v>NO</v>
      </c>
      <c r="I10" s="1219">
        <f ca="1">INDIRECT($X$24&amp;ScoreData[[#This Row],[Pass]]&amp;ScoreData[[#This Row],[RefRow]])</f>
        <v>2</v>
      </c>
      <c r="J10" s="1219">
        <f ca="1">IF(INDIRECT($X$24&amp;ScoreData[[#This Row],[Point]]&amp;ScoreData[[#This Row],[RefRow]])=0,"",INDIRECT($X$24&amp;ScoreData[[#This Row],[Point]]&amp;ScoreData[[#This Row],[RefRow]]))</f>
        <v>9</v>
      </c>
      <c r="K10" s="1219" t="b">
        <f ca="1">IF(OR(INDIRECT($X$24&amp;ScoreData[[#This Row],[Jam]]&amp;ScoreData[[#This Row],[RefRow]])="SP",INDIRECT($X$24&amp;ScoreData[[#This Row],[Jam]]&amp;ScoreData[[#This Row],[RefRow]])="SP*"),TRUE,FALSE)</f>
        <v>0</v>
      </c>
      <c r="L10" s="1219" t="b">
        <v>1</v>
      </c>
      <c r="M10" s="1219" t="str">
        <f t="array" ref="M10">IFERROR(INDEX(ScoreSearch[],MATCH(ScoreData[[#This Row],[Home?]]&amp;ScoreData[[#Headers],[Jam]],ScoreSearch[Home?]&amp;ScoreSearch[Item],1),3),"")</f>
        <v>$A</v>
      </c>
      <c r="N10" s="1219" t="str">
        <f t="array" ref="N10">IFERROR(INDEX(ScoreSearch[],MATCH(ScoreData[[#This Row],[Home?]]&amp;ScoreData[[#Headers],[Jammer]],ScoreSearch[Home?]&amp;ScoreSearch[Item],1),3),"")</f>
        <v>$B</v>
      </c>
      <c r="O10" s="1219" t="str">
        <f t="array" ref="O10">IFERROR(INDEX(ScoreSearch[],MATCH(ScoreData[[#This Row],[Home?]]&amp;ScoreData[[#Headers],[Lead]],ScoreSearch[Home?]&amp;ScoreSearch[Item],1),3),"")</f>
        <v>$D</v>
      </c>
      <c r="P10" s="1219" t="str">
        <f t="array" ref="P10">IFERROR(INDEX(ScoreSearch[],MATCH(ScoreData[[#This Row],[Home?]]&amp;ScoreData[[#Headers],[Call]],ScoreSearch[Home?]&amp;ScoreSearch[Item],1),3),"")</f>
        <v>$E</v>
      </c>
      <c r="Q10" s="1219" t="str">
        <f t="array" ref="Q10">IFERROR(INDEX(ScoreSearch[],MATCH(ScoreData[[#This Row],[Home?]]&amp;ScoreData[[#Headers],[Penalty]],ScoreSearch[Home?]&amp;ScoreSearch[Item],1),3),"")</f>
        <v>$G</v>
      </c>
      <c r="R10" s="1222" t="str">
        <f t="array" ref="R10">IFERROR(INDEX(ScoreSearch[],MATCH(ScoreData[[#This Row],[Home?]]&amp;ScoreData[[#Headers],[Point]],ScoreSearch[Home?]&amp;ScoreSearch[Item],1),3),"")</f>
        <v>$Q</v>
      </c>
      <c r="S10" s="1222" t="str">
        <f t="array" ref="S10">IFERROR(INDEX(ScoreSearch[],MATCH(ScoreData[[#This Row],[Home?]]&amp;ScoreData[[#Headers],[Pass]],ScoreSearch[Home?]&amp;ScoreSearch[Item],1),3),"")</f>
        <v>$S</v>
      </c>
      <c r="T10" s="1219">
        <v>12</v>
      </c>
      <c r="U10" s="1203"/>
      <c r="V10" s="1203"/>
    </row>
    <row r="11" spans="1:24" x14ac:dyDescent="0.25">
      <c r="A11" s="1218">
        <f>[1]IBRF!$B$5</f>
        <v>41734</v>
      </c>
      <c r="B11" s="1221">
        <f t="shared" si="0"/>
        <v>0.83333333333333337</v>
      </c>
      <c r="C11" s="1219">
        <v>1</v>
      </c>
      <c r="D11" s="1219">
        <f ca="1">IF(ScoreData[[#This Row],[Passed?]],D10,INDIRECT($X$24&amp;ScoreData[[#This Row],[Jam]]&amp;ScoreData[[#This Row],[RefRow]]))</f>
        <v>9</v>
      </c>
      <c r="E11" s="1219" t="str">
        <f t="shared" si="1"/>
        <v>Plan B</v>
      </c>
      <c r="F11" s="1219" t="str">
        <f ca="1">IF(INDIRECT($X$24&amp;ScoreData[[#This Row],[Jammer]]&amp;ScoreData[[#This Row],[RefRow]])=0,"",INDIRECT($X$24&amp;ScoreData[[#This Row],[Jammer]]&amp;ScoreData[[#This Row],[RefRow]]))</f>
        <v>4</v>
      </c>
      <c r="G11" s="1219" t="str">
        <f ca="1">IF(INDIRECT($X$24&amp;ScoreData[[#This Row],[Lead]]&amp;ScoreData[[#This Row],[RefRow]])="X","YES","NO")</f>
        <v>YES</v>
      </c>
      <c r="H11" s="1219" t="str">
        <f ca="1">IF(INDIRECT($X$24&amp;ScoreData[[#This Row],[Call]]&amp;ScoreData[[#This Row],[RefRow]])="X","YES","NO")</f>
        <v>YES</v>
      </c>
      <c r="I11" s="1219">
        <f ca="1">INDIRECT($X$24&amp;ScoreData[[#This Row],[Pass]]&amp;ScoreData[[#This Row],[RefRow]])</f>
        <v>4</v>
      </c>
      <c r="J11" s="1219">
        <f ca="1">IF(INDIRECT($X$24&amp;ScoreData[[#This Row],[Point]]&amp;ScoreData[[#This Row],[RefRow]])=0,"",INDIRECT($X$24&amp;ScoreData[[#This Row],[Point]]&amp;ScoreData[[#This Row],[RefRow]]))</f>
        <v>15</v>
      </c>
      <c r="K11" s="1219" t="b">
        <f ca="1">IF(OR(INDIRECT($X$24&amp;ScoreData[[#This Row],[Jam]]&amp;ScoreData[[#This Row],[RefRow]])="SP",INDIRECT($X$24&amp;ScoreData[[#This Row],[Jam]]&amp;ScoreData[[#This Row],[RefRow]])="SP*"),TRUE,FALSE)</f>
        <v>0</v>
      </c>
      <c r="L11" s="1219" t="b">
        <v>1</v>
      </c>
      <c r="M11" s="1219" t="str">
        <f t="array" ref="M11">IFERROR(INDEX(ScoreSearch[],MATCH(ScoreData[[#This Row],[Home?]]&amp;ScoreData[[#Headers],[Jam]],ScoreSearch[Home?]&amp;ScoreSearch[Item],1),3),"")</f>
        <v>$A</v>
      </c>
      <c r="N11" s="1219" t="str">
        <f t="array" ref="N11">IFERROR(INDEX(ScoreSearch[],MATCH(ScoreData[[#This Row],[Home?]]&amp;ScoreData[[#Headers],[Jammer]],ScoreSearch[Home?]&amp;ScoreSearch[Item],1),3),"")</f>
        <v>$B</v>
      </c>
      <c r="O11" s="1219" t="str">
        <f t="array" ref="O11">IFERROR(INDEX(ScoreSearch[],MATCH(ScoreData[[#This Row],[Home?]]&amp;ScoreData[[#Headers],[Lead]],ScoreSearch[Home?]&amp;ScoreSearch[Item],1),3),"")</f>
        <v>$D</v>
      </c>
      <c r="P11" s="1219" t="str">
        <f t="array" ref="P11">IFERROR(INDEX(ScoreSearch[],MATCH(ScoreData[[#This Row],[Home?]]&amp;ScoreData[[#Headers],[Call]],ScoreSearch[Home?]&amp;ScoreSearch[Item],1),3),"")</f>
        <v>$E</v>
      </c>
      <c r="Q11" s="1219" t="str">
        <f t="array" ref="Q11">IFERROR(INDEX(ScoreSearch[],MATCH(ScoreData[[#This Row],[Home?]]&amp;ScoreData[[#Headers],[Penalty]],ScoreSearch[Home?]&amp;ScoreSearch[Item],1),3),"")</f>
        <v>$G</v>
      </c>
      <c r="R11" s="1222" t="str">
        <f t="array" ref="R11">IFERROR(INDEX(ScoreSearch[],MATCH(ScoreData[[#This Row],[Home?]]&amp;ScoreData[[#Headers],[Point]],ScoreSearch[Home?]&amp;ScoreSearch[Item],1),3),"")</f>
        <v>$Q</v>
      </c>
      <c r="S11" s="1222" t="str">
        <f t="array" ref="S11">IFERROR(INDEX(ScoreSearch[],MATCH(ScoreData[[#This Row],[Home?]]&amp;ScoreData[[#Headers],[Pass]],ScoreSearch[Home?]&amp;ScoreSearch[Item],1),3),"")</f>
        <v>$S</v>
      </c>
      <c r="T11" s="1219">
        <v>13</v>
      </c>
      <c r="U11" s="1203"/>
      <c r="V11" s="1203"/>
    </row>
    <row r="12" spans="1:24" x14ac:dyDescent="0.25">
      <c r="A12" s="1218">
        <f>[1]IBRF!$B$5</f>
        <v>41734</v>
      </c>
      <c r="B12" s="1221">
        <f t="shared" si="0"/>
        <v>0.83333333333333337</v>
      </c>
      <c r="C12" s="1219">
        <v>1</v>
      </c>
      <c r="D12" s="1219">
        <f ca="1">IF(ScoreData[[#This Row],[Passed?]],D11,INDIRECT($X$24&amp;ScoreData[[#This Row],[Jam]]&amp;ScoreData[[#This Row],[RefRow]]))</f>
        <v>10</v>
      </c>
      <c r="E12" s="1219" t="str">
        <f t="shared" si="1"/>
        <v>Plan B</v>
      </c>
      <c r="F12" s="1219" t="str">
        <f ca="1">IF(INDIRECT($X$24&amp;ScoreData[[#This Row],[Jammer]]&amp;ScoreData[[#This Row],[RefRow]])=0,"",INDIRECT($X$24&amp;ScoreData[[#This Row],[Jammer]]&amp;ScoreData[[#This Row],[RefRow]]))</f>
        <v>19</v>
      </c>
      <c r="G12" s="1219" t="str">
        <f ca="1">IF(INDIRECT($X$24&amp;ScoreData[[#This Row],[Lead]]&amp;ScoreData[[#This Row],[RefRow]])="X","YES","NO")</f>
        <v>NO</v>
      </c>
      <c r="H12" s="1219" t="str">
        <f ca="1">IF(INDIRECT($X$24&amp;ScoreData[[#This Row],[Call]]&amp;ScoreData[[#This Row],[RefRow]])="X","YES","NO")</f>
        <v>NO</v>
      </c>
      <c r="I12" s="1219">
        <f ca="1">INDIRECT($X$24&amp;ScoreData[[#This Row],[Pass]]&amp;ScoreData[[#This Row],[RefRow]])</f>
        <v>1</v>
      </c>
      <c r="J12" s="1219" t="str">
        <f ca="1">IF(INDIRECT($X$24&amp;ScoreData[[#This Row],[Point]]&amp;ScoreData[[#This Row],[RefRow]])=0,"",INDIRECT($X$24&amp;ScoreData[[#This Row],[Point]]&amp;ScoreData[[#This Row],[RefRow]]))</f>
        <v/>
      </c>
      <c r="K12" s="1219" t="b">
        <f ca="1">IF(OR(INDIRECT($X$24&amp;ScoreData[[#This Row],[Jam]]&amp;ScoreData[[#This Row],[RefRow]])="SP",INDIRECT($X$24&amp;ScoreData[[#This Row],[Jam]]&amp;ScoreData[[#This Row],[RefRow]])="SP*"),TRUE,FALSE)</f>
        <v>0</v>
      </c>
      <c r="L12" s="1219" t="b">
        <v>1</v>
      </c>
      <c r="M12" s="1219" t="str">
        <f t="array" ref="M12">IFERROR(INDEX(ScoreSearch[],MATCH(ScoreData[[#This Row],[Home?]]&amp;ScoreData[[#Headers],[Jam]],ScoreSearch[Home?]&amp;ScoreSearch[Item],1),3),"")</f>
        <v>$A</v>
      </c>
      <c r="N12" s="1219" t="str">
        <f t="array" ref="N12">IFERROR(INDEX(ScoreSearch[],MATCH(ScoreData[[#This Row],[Home?]]&amp;ScoreData[[#Headers],[Jammer]],ScoreSearch[Home?]&amp;ScoreSearch[Item],1),3),"")</f>
        <v>$B</v>
      </c>
      <c r="O12" s="1219" t="str">
        <f t="array" ref="O12">IFERROR(INDEX(ScoreSearch[],MATCH(ScoreData[[#This Row],[Home?]]&amp;ScoreData[[#Headers],[Lead]],ScoreSearch[Home?]&amp;ScoreSearch[Item],1),3),"")</f>
        <v>$D</v>
      </c>
      <c r="P12" s="1219" t="str">
        <f t="array" ref="P12">IFERROR(INDEX(ScoreSearch[],MATCH(ScoreData[[#This Row],[Home?]]&amp;ScoreData[[#Headers],[Call]],ScoreSearch[Home?]&amp;ScoreSearch[Item],1),3),"")</f>
        <v>$E</v>
      </c>
      <c r="Q12" s="1219" t="str">
        <f t="array" ref="Q12">IFERROR(INDEX(ScoreSearch[],MATCH(ScoreData[[#This Row],[Home?]]&amp;ScoreData[[#Headers],[Penalty]],ScoreSearch[Home?]&amp;ScoreSearch[Item],1),3),"")</f>
        <v>$G</v>
      </c>
      <c r="R12" s="1222" t="str">
        <f t="array" ref="R12">IFERROR(INDEX(ScoreSearch[],MATCH(ScoreData[[#This Row],[Home?]]&amp;ScoreData[[#Headers],[Point]],ScoreSearch[Home?]&amp;ScoreSearch[Item],1),3),"")</f>
        <v>$Q</v>
      </c>
      <c r="S12" s="1222" t="str">
        <f t="array" ref="S12">IFERROR(INDEX(ScoreSearch[],MATCH(ScoreData[[#This Row],[Home?]]&amp;ScoreData[[#Headers],[Pass]],ScoreSearch[Home?]&amp;ScoreSearch[Item],1),3),"")</f>
        <v>$S</v>
      </c>
      <c r="T12" s="1219">
        <v>14</v>
      </c>
      <c r="U12" s="1203"/>
      <c r="V12" s="1203"/>
    </row>
    <row r="13" spans="1:24" x14ac:dyDescent="0.25">
      <c r="A13" s="1218">
        <f>[1]IBRF!$B$5</f>
        <v>41734</v>
      </c>
      <c r="B13" s="1221">
        <f t="shared" si="0"/>
        <v>0.83333333333333337</v>
      </c>
      <c r="C13" s="1219">
        <v>1</v>
      </c>
      <c r="D13" s="1219">
        <f ca="1">IF(ScoreData[[#This Row],[Passed?]],D12,INDIRECT($X$24&amp;ScoreData[[#This Row],[Jam]]&amp;ScoreData[[#This Row],[RefRow]]))</f>
        <v>11</v>
      </c>
      <c r="E13" s="1219" t="str">
        <f t="shared" si="1"/>
        <v>Plan B</v>
      </c>
      <c r="F13" s="1219" t="str">
        <f ca="1">IF(INDIRECT($X$24&amp;ScoreData[[#This Row],[Jammer]]&amp;ScoreData[[#This Row],[RefRow]])=0,"",INDIRECT($X$24&amp;ScoreData[[#This Row],[Jammer]]&amp;ScoreData[[#This Row],[RefRow]]))</f>
        <v>1321</v>
      </c>
      <c r="G13" s="1219" t="str">
        <f ca="1">IF(INDIRECT($X$24&amp;ScoreData[[#This Row],[Lead]]&amp;ScoreData[[#This Row],[RefRow]])="X","YES","NO")</f>
        <v>YES</v>
      </c>
      <c r="H13" s="1219" t="str">
        <f ca="1">IF(INDIRECT($X$24&amp;ScoreData[[#This Row],[Call]]&amp;ScoreData[[#This Row],[RefRow]])="X","YES","NO")</f>
        <v>YES</v>
      </c>
      <c r="I13" s="1219">
        <f ca="1">INDIRECT($X$24&amp;ScoreData[[#This Row],[Pass]]&amp;ScoreData[[#This Row],[RefRow]])</f>
        <v>1</v>
      </c>
      <c r="J13" s="1219">
        <f ca="1">IF(INDIRECT($X$24&amp;ScoreData[[#This Row],[Point]]&amp;ScoreData[[#This Row],[RefRow]])=0,"",INDIRECT($X$24&amp;ScoreData[[#This Row],[Point]]&amp;ScoreData[[#This Row],[RefRow]]))</f>
        <v>4</v>
      </c>
      <c r="K13" s="1219" t="b">
        <f ca="1">IF(OR(INDIRECT($X$24&amp;ScoreData[[#This Row],[Jam]]&amp;ScoreData[[#This Row],[RefRow]])="SP",INDIRECT($X$24&amp;ScoreData[[#This Row],[Jam]]&amp;ScoreData[[#This Row],[RefRow]])="SP*"),TRUE,FALSE)</f>
        <v>0</v>
      </c>
      <c r="L13" s="1219" t="b">
        <v>1</v>
      </c>
      <c r="M13" s="1219" t="str">
        <f t="array" ref="M13">IFERROR(INDEX(ScoreSearch[],MATCH(ScoreData[[#This Row],[Home?]]&amp;ScoreData[[#Headers],[Jam]],ScoreSearch[Home?]&amp;ScoreSearch[Item],1),3),"")</f>
        <v>$A</v>
      </c>
      <c r="N13" s="1219" t="str">
        <f t="array" ref="N13">IFERROR(INDEX(ScoreSearch[],MATCH(ScoreData[[#This Row],[Home?]]&amp;ScoreData[[#Headers],[Jammer]],ScoreSearch[Home?]&amp;ScoreSearch[Item],1),3),"")</f>
        <v>$B</v>
      </c>
      <c r="O13" s="1219" t="str">
        <f t="array" ref="O13">IFERROR(INDEX(ScoreSearch[],MATCH(ScoreData[[#This Row],[Home?]]&amp;ScoreData[[#Headers],[Lead]],ScoreSearch[Home?]&amp;ScoreSearch[Item],1),3),"")</f>
        <v>$D</v>
      </c>
      <c r="P13" s="1219" t="str">
        <f t="array" ref="P13">IFERROR(INDEX(ScoreSearch[],MATCH(ScoreData[[#This Row],[Home?]]&amp;ScoreData[[#Headers],[Call]],ScoreSearch[Home?]&amp;ScoreSearch[Item],1),3),"")</f>
        <v>$E</v>
      </c>
      <c r="Q13" s="1219" t="str">
        <f t="array" ref="Q13">IFERROR(INDEX(ScoreSearch[],MATCH(ScoreData[[#This Row],[Home?]]&amp;ScoreData[[#Headers],[Penalty]],ScoreSearch[Home?]&amp;ScoreSearch[Item],1),3),"")</f>
        <v>$G</v>
      </c>
      <c r="R13" s="1222" t="str">
        <f t="array" ref="R13">IFERROR(INDEX(ScoreSearch[],MATCH(ScoreData[[#This Row],[Home?]]&amp;ScoreData[[#Headers],[Point]],ScoreSearch[Home?]&amp;ScoreSearch[Item],1),3),"")</f>
        <v>$Q</v>
      </c>
      <c r="S13" s="1222" t="str">
        <f t="array" ref="S13">IFERROR(INDEX(ScoreSearch[],MATCH(ScoreData[[#This Row],[Home?]]&amp;ScoreData[[#Headers],[Pass]],ScoreSearch[Home?]&amp;ScoreSearch[Item],1),3),"")</f>
        <v>$S</v>
      </c>
      <c r="T13" s="1219">
        <v>15</v>
      </c>
      <c r="U13" s="1203"/>
      <c r="V13" s="1203"/>
    </row>
    <row r="14" spans="1:24" x14ac:dyDescent="0.25">
      <c r="A14" s="1218">
        <f>[1]IBRF!$B$5</f>
        <v>41734</v>
      </c>
      <c r="B14" s="1221">
        <f t="shared" si="0"/>
        <v>0.83333333333333337</v>
      </c>
      <c r="C14" s="1219">
        <v>1</v>
      </c>
      <c r="D14" s="1219">
        <f ca="1">IF(ScoreData[[#This Row],[Passed?]],D13,INDIRECT($X$24&amp;ScoreData[[#This Row],[Jam]]&amp;ScoreData[[#This Row],[RefRow]]))</f>
        <v>12</v>
      </c>
      <c r="E14" s="1219" t="str">
        <f t="shared" si="1"/>
        <v>Plan B</v>
      </c>
      <c r="F14" s="1219" t="str">
        <f ca="1">IF(INDIRECT($X$24&amp;ScoreData[[#This Row],[Jammer]]&amp;ScoreData[[#This Row],[RefRow]])=0,"",INDIRECT($X$24&amp;ScoreData[[#This Row],[Jammer]]&amp;ScoreData[[#This Row],[RefRow]]))</f>
        <v>84</v>
      </c>
      <c r="G14" s="1219" t="str">
        <f ca="1">IF(INDIRECT($X$24&amp;ScoreData[[#This Row],[Lead]]&amp;ScoreData[[#This Row],[RefRow]])="X","YES","NO")</f>
        <v>YES</v>
      </c>
      <c r="H14" s="1219" t="str">
        <f ca="1">IF(INDIRECT($X$24&amp;ScoreData[[#This Row],[Call]]&amp;ScoreData[[#This Row],[RefRow]])="X","YES","NO")</f>
        <v>NO</v>
      </c>
      <c r="I14" s="1219">
        <f ca="1">INDIRECT($X$24&amp;ScoreData[[#This Row],[Pass]]&amp;ScoreData[[#This Row],[RefRow]])</f>
        <v>3</v>
      </c>
      <c r="J14" s="1219">
        <f ca="1">IF(INDIRECT($X$24&amp;ScoreData[[#This Row],[Point]]&amp;ScoreData[[#This Row],[RefRow]])=0,"",INDIRECT($X$24&amp;ScoreData[[#This Row],[Point]]&amp;ScoreData[[#This Row],[RefRow]]))</f>
        <v>15</v>
      </c>
      <c r="K14" s="1219" t="b">
        <f ca="1">IF(OR(INDIRECT($X$24&amp;ScoreData[[#This Row],[Jam]]&amp;ScoreData[[#This Row],[RefRow]])="SP",INDIRECT($X$24&amp;ScoreData[[#This Row],[Jam]]&amp;ScoreData[[#This Row],[RefRow]])="SP*"),TRUE,FALSE)</f>
        <v>0</v>
      </c>
      <c r="L14" s="1219" t="b">
        <v>1</v>
      </c>
      <c r="M14" s="1219" t="str">
        <f t="array" ref="M14">IFERROR(INDEX(ScoreSearch[],MATCH(ScoreData[[#This Row],[Home?]]&amp;ScoreData[[#Headers],[Jam]],ScoreSearch[Home?]&amp;ScoreSearch[Item],1),3),"")</f>
        <v>$A</v>
      </c>
      <c r="N14" s="1219" t="str">
        <f t="array" ref="N14">IFERROR(INDEX(ScoreSearch[],MATCH(ScoreData[[#This Row],[Home?]]&amp;ScoreData[[#Headers],[Jammer]],ScoreSearch[Home?]&amp;ScoreSearch[Item],1),3),"")</f>
        <v>$B</v>
      </c>
      <c r="O14" s="1219" t="str">
        <f t="array" ref="O14">IFERROR(INDEX(ScoreSearch[],MATCH(ScoreData[[#This Row],[Home?]]&amp;ScoreData[[#Headers],[Lead]],ScoreSearch[Home?]&amp;ScoreSearch[Item],1),3),"")</f>
        <v>$D</v>
      </c>
      <c r="P14" s="1219" t="str">
        <f t="array" ref="P14">IFERROR(INDEX(ScoreSearch[],MATCH(ScoreData[[#This Row],[Home?]]&amp;ScoreData[[#Headers],[Call]],ScoreSearch[Home?]&amp;ScoreSearch[Item],1),3),"")</f>
        <v>$E</v>
      </c>
      <c r="Q14" s="1219" t="str">
        <f t="array" ref="Q14">IFERROR(INDEX(ScoreSearch[],MATCH(ScoreData[[#This Row],[Home?]]&amp;ScoreData[[#Headers],[Penalty]],ScoreSearch[Home?]&amp;ScoreSearch[Item],1),3),"")</f>
        <v>$G</v>
      </c>
      <c r="R14" s="1222" t="str">
        <f t="array" ref="R14">IFERROR(INDEX(ScoreSearch[],MATCH(ScoreData[[#This Row],[Home?]]&amp;ScoreData[[#Headers],[Point]],ScoreSearch[Home?]&amp;ScoreSearch[Item],1),3),"")</f>
        <v>$Q</v>
      </c>
      <c r="S14" s="1222" t="str">
        <f t="array" ref="S14">IFERROR(INDEX(ScoreSearch[],MATCH(ScoreData[[#This Row],[Home?]]&amp;ScoreData[[#Headers],[Pass]],ScoreSearch[Home?]&amp;ScoreSearch[Item],1),3),"")</f>
        <v>$S</v>
      </c>
      <c r="T14" s="1219">
        <v>16</v>
      </c>
      <c r="U14" s="1203"/>
      <c r="V14" s="1203"/>
    </row>
    <row r="15" spans="1:24" x14ac:dyDescent="0.25">
      <c r="A15" s="1218">
        <f>[1]IBRF!$B$5</f>
        <v>41734</v>
      </c>
      <c r="B15" s="1221">
        <f t="shared" si="0"/>
        <v>0.83333333333333337</v>
      </c>
      <c r="C15" s="1219">
        <v>1</v>
      </c>
      <c r="D15" s="1219">
        <f ca="1">IF(ScoreData[[#This Row],[Passed?]],D14,INDIRECT($X$24&amp;ScoreData[[#This Row],[Jam]]&amp;ScoreData[[#This Row],[RefRow]]))</f>
        <v>13</v>
      </c>
      <c r="E15" s="1219" t="str">
        <f t="shared" si="1"/>
        <v>Plan B</v>
      </c>
      <c r="F15" s="1219" t="str">
        <f ca="1">IF(INDIRECT($X$24&amp;ScoreData[[#This Row],[Jammer]]&amp;ScoreData[[#This Row],[RefRow]])=0,"",INDIRECT($X$24&amp;ScoreData[[#This Row],[Jammer]]&amp;ScoreData[[#This Row],[RefRow]]))</f>
        <v>4</v>
      </c>
      <c r="G15" s="1219" t="str">
        <f ca="1">IF(INDIRECT($X$24&amp;ScoreData[[#This Row],[Lead]]&amp;ScoreData[[#This Row],[RefRow]])="X","YES","NO")</f>
        <v>YES</v>
      </c>
      <c r="H15" s="1219" t="str">
        <f ca="1">IF(INDIRECT($X$24&amp;ScoreData[[#This Row],[Call]]&amp;ScoreData[[#This Row],[RefRow]])="X","YES","NO")</f>
        <v>YES</v>
      </c>
      <c r="I15" s="1219">
        <f ca="1">INDIRECT($X$24&amp;ScoreData[[#This Row],[Pass]]&amp;ScoreData[[#This Row],[RefRow]])</f>
        <v>3</v>
      </c>
      <c r="J15" s="1219">
        <f ca="1">IF(INDIRECT($X$24&amp;ScoreData[[#This Row],[Point]]&amp;ScoreData[[#This Row],[RefRow]])=0,"",INDIRECT($X$24&amp;ScoreData[[#This Row],[Point]]&amp;ScoreData[[#This Row],[RefRow]]))</f>
        <v>12</v>
      </c>
      <c r="K15" s="1219" t="b">
        <f ca="1">IF(OR(INDIRECT($X$24&amp;ScoreData[[#This Row],[Jam]]&amp;ScoreData[[#This Row],[RefRow]])="SP",INDIRECT($X$24&amp;ScoreData[[#This Row],[Jam]]&amp;ScoreData[[#This Row],[RefRow]])="SP*"),TRUE,FALSE)</f>
        <v>0</v>
      </c>
      <c r="L15" s="1219" t="b">
        <v>1</v>
      </c>
      <c r="M15" s="1219" t="str">
        <f t="array" ref="M15">IFERROR(INDEX(ScoreSearch[],MATCH(ScoreData[[#This Row],[Home?]]&amp;ScoreData[[#Headers],[Jam]],ScoreSearch[Home?]&amp;ScoreSearch[Item],1),3),"")</f>
        <v>$A</v>
      </c>
      <c r="N15" s="1219" t="str">
        <f t="array" ref="N15">IFERROR(INDEX(ScoreSearch[],MATCH(ScoreData[[#This Row],[Home?]]&amp;ScoreData[[#Headers],[Jammer]],ScoreSearch[Home?]&amp;ScoreSearch[Item],1),3),"")</f>
        <v>$B</v>
      </c>
      <c r="O15" s="1219" t="str">
        <f t="array" ref="O15">IFERROR(INDEX(ScoreSearch[],MATCH(ScoreData[[#This Row],[Home?]]&amp;ScoreData[[#Headers],[Lead]],ScoreSearch[Home?]&amp;ScoreSearch[Item],1),3),"")</f>
        <v>$D</v>
      </c>
      <c r="P15" s="1219" t="str">
        <f t="array" ref="P15">IFERROR(INDEX(ScoreSearch[],MATCH(ScoreData[[#This Row],[Home?]]&amp;ScoreData[[#Headers],[Call]],ScoreSearch[Home?]&amp;ScoreSearch[Item],1),3),"")</f>
        <v>$E</v>
      </c>
      <c r="Q15" s="1219" t="str">
        <f t="array" ref="Q15">IFERROR(INDEX(ScoreSearch[],MATCH(ScoreData[[#This Row],[Home?]]&amp;ScoreData[[#Headers],[Penalty]],ScoreSearch[Home?]&amp;ScoreSearch[Item],1),3),"")</f>
        <v>$G</v>
      </c>
      <c r="R15" s="1222" t="str">
        <f t="array" ref="R15">IFERROR(INDEX(ScoreSearch[],MATCH(ScoreData[[#This Row],[Home?]]&amp;ScoreData[[#Headers],[Point]],ScoreSearch[Home?]&amp;ScoreSearch[Item],1),3),"")</f>
        <v>$Q</v>
      </c>
      <c r="S15" s="1222" t="str">
        <f t="array" ref="S15">IFERROR(INDEX(ScoreSearch[],MATCH(ScoreData[[#This Row],[Home?]]&amp;ScoreData[[#Headers],[Pass]],ScoreSearch[Home?]&amp;ScoreSearch[Item],1),3),"")</f>
        <v>$S</v>
      </c>
      <c r="T15" s="1219">
        <v>17</v>
      </c>
      <c r="U15" s="1203"/>
      <c r="V15" s="1203"/>
    </row>
    <row r="16" spans="1:24" x14ac:dyDescent="0.25">
      <c r="A16" s="1218">
        <f>[1]IBRF!$B$5</f>
        <v>41734</v>
      </c>
      <c r="B16" s="1221">
        <f t="shared" si="0"/>
        <v>0.83333333333333337</v>
      </c>
      <c r="C16" s="1219">
        <v>1</v>
      </c>
      <c r="D16" s="1219">
        <f ca="1">IF(ScoreData[[#This Row],[Passed?]],D15,INDIRECT($X$24&amp;ScoreData[[#This Row],[Jam]]&amp;ScoreData[[#This Row],[RefRow]]))</f>
        <v>14</v>
      </c>
      <c r="E16" s="1219" t="str">
        <f t="shared" si="1"/>
        <v>Plan B</v>
      </c>
      <c r="F16" s="1219" t="str">
        <f ca="1">IF(INDIRECT($X$24&amp;ScoreData[[#This Row],[Jammer]]&amp;ScoreData[[#This Row],[RefRow]])=0,"",INDIRECT($X$24&amp;ScoreData[[#This Row],[Jammer]]&amp;ScoreData[[#This Row],[RefRow]]))</f>
        <v>19</v>
      </c>
      <c r="G16" s="1219" t="str">
        <f ca="1">IF(INDIRECT($X$24&amp;ScoreData[[#This Row],[Lead]]&amp;ScoreData[[#This Row],[RefRow]])="X","YES","NO")</f>
        <v>YES</v>
      </c>
      <c r="H16" s="1219" t="str">
        <f ca="1">IF(INDIRECT($X$24&amp;ScoreData[[#This Row],[Call]]&amp;ScoreData[[#This Row],[RefRow]])="X","YES","NO")</f>
        <v>YES</v>
      </c>
      <c r="I16" s="1219">
        <f ca="1">INDIRECT($X$24&amp;ScoreData[[#This Row],[Pass]]&amp;ScoreData[[#This Row],[RefRow]])</f>
        <v>2</v>
      </c>
      <c r="J16" s="1219">
        <f ca="1">IF(INDIRECT($X$24&amp;ScoreData[[#This Row],[Point]]&amp;ScoreData[[#This Row],[RefRow]])=0,"",INDIRECT($X$24&amp;ScoreData[[#This Row],[Point]]&amp;ScoreData[[#This Row],[RefRow]]))</f>
        <v>4</v>
      </c>
      <c r="K16" s="1219" t="b">
        <f ca="1">IF(OR(INDIRECT($X$24&amp;ScoreData[[#This Row],[Jam]]&amp;ScoreData[[#This Row],[RefRow]])="SP",INDIRECT($X$24&amp;ScoreData[[#This Row],[Jam]]&amp;ScoreData[[#This Row],[RefRow]])="SP*"),TRUE,FALSE)</f>
        <v>0</v>
      </c>
      <c r="L16" s="1219" t="b">
        <v>1</v>
      </c>
      <c r="M16" s="1219" t="str">
        <f t="array" ref="M16">IFERROR(INDEX(ScoreSearch[],MATCH(ScoreData[[#This Row],[Home?]]&amp;ScoreData[[#Headers],[Jam]],ScoreSearch[Home?]&amp;ScoreSearch[Item],1),3),"")</f>
        <v>$A</v>
      </c>
      <c r="N16" s="1219" t="str">
        <f t="array" ref="N16">IFERROR(INDEX(ScoreSearch[],MATCH(ScoreData[[#This Row],[Home?]]&amp;ScoreData[[#Headers],[Jammer]],ScoreSearch[Home?]&amp;ScoreSearch[Item],1),3),"")</f>
        <v>$B</v>
      </c>
      <c r="O16" s="1219" t="str">
        <f t="array" ref="O16">IFERROR(INDEX(ScoreSearch[],MATCH(ScoreData[[#This Row],[Home?]]&amp;ScoreData[[#Headers],[Lead]],ScoreSearch[Home?]&amp;ScoreSearch[Item],1),3),"")</f>
        <v>$D</v>
      </c>
      <c r="P16" s="1219" t="str">
        <f t="array" ref="P16">IFERROR(INDEX(ScoreSearch[],MATCH(ScoreData[[#This Row],[Home?]]&amp;ScoreData[[#Headers],[Call]],ScoreSearch[Home?]&amp;ScoreSearch[Item],1),3),"")</f>
        <v>$E</v>
      </c>
      <c r="Q16" s="1219" t="str">
        <f t="array" ref="Q16">IFERROR(INDEX(ScoreSearch[],MATCH(ScoreData[[#This Row],[Home?]]&amp;ScoreData[[#Headers],[Penalty]],ScoreSearch[Home?]&amp;ScoreSearch[Item],1),3),"")</f>
        <v>$G</v>
      </c>
      <c r="R16" s="1222" t="str">
        <f t="array" ref="R16">IFERROR(INDEX(ScoreSearch[],MATCH(ScoreData[[#This Row],[Home?]]&amp;ScoreData[[#Headers],[Point]],ScoreSearch[Home?]&amp;ScoreSearch[Item],1),3),"")</f>
        <v>$Q</v>
      </c>
      <c r="S16" s="1222" t="str">
        <f t="array" ref="S16">IFERROR(INDEX(ScoreSearch[],MATCH(ScoreData[[#This Row],[Home?]]&amp;ScoreData[[#Headers],[Pass]],ScoreSearch[Home?]&amp;ScoreSearch[Item],1),3),"")</f>
        <v>$S</v>
      </c>
      <c r="T16" s="1219">
        <v>18</v>
      </c>
      <c r="U16" s="1203"/>
      <c r="V16" s="1203"/>
    </row>
    <row r="17" spans="1:24" x14ac:dyDescent="0.25">
      <c r="A17" s="1218">
        <f>[1]IBRF!$B$5</f>
        <v>41734</v>
      </c>
      <c r="B17" s="1221">
        <f t="shared" si="0"/>
        <v>0.83333333333333337</v>
      </c>
      <c r="C17" s="1219">
        <v>1</v>
      </c>
      <c r="D17" s="1219">
        <f ca="1">IF(ScoreData[[#This Row],[Passed?]],D16,INDIRECT($X$24&amp;ScoreData[[#This Row],[Jam]]&amp;ScoreData[[#This Row],[RefRow]]))</f>
        <v>15</v>
      </c>
      <c r="E17" s="1219" t="str">
        <f t="shared" si="1"/>
        <v>Plan B</v>
      </c>
      <c r="F17" s="1219" t="str">
        <f ca="1">IF(INDIRECT($X$24&amp;ScoreData[[#This Row],[Jammer]]&amp;ScoreData[[#This Row],[RefRow]])=0,"",INDIRECT($X$24&amp;ScoreData[[#This Row],[Jammer]]&amp;ScoreData[[#This Row],[RefRow]]))</f>
        <v>20</v>
      </c>
      <c r="G17" s="1219" t="str">
        <f ca="1">IF(INDIRECT($X$24&amp;ScoreData[[#This Row],[Lead]]&amp;ScoreData[[#This Row],[RefRow]])="X","YES","NO")</f>
        <v>NO</v>
      </c>
      <c r="H17" s="1219" t="str">
        <f ca="1">IF(INDIRECT($X$24&amp;ScoreData[[#This Row],[Call]]&amp;ScoreData[[#This Row],[RefRow]])="X","YES","NO")</f>
        <v>NO</v>
      </c>
      <c r="I17" s="1219">
        <f ca="1">INDIRECT($X$24&amp;ScoreData[[#This Row],[Pass]]&amp;ScoreData[[#This Row],[RefRow]])</f>
        <v>1</v>
      </c>
      <c r="J17" s="1219" t="str">
        <f ca="1">IF(INDIRECT($X$24&amp;ScoreData[[#This Row],[Point]]&amp;ScoreData[[#This Row],[RefRow]])=0,"",INDIRECT($X$24&amp;ScoreData[[#This Row],[Point]]&amp;ScoreData[[#This Row],[RefRow]]))</f>
        <v/>
      </c>
      <c r="K17" s="1219" t="b">
        <f ca="1">IF(OR(INDIRECT($X$24&amp;ScoreData[[#This Row],[Jam]]&amp;ScoreData[[#This Row],[RefRow]])="SP",INDIRECT($X$24&amp;ScoreData[[#This Row],[Jam]]&amp;ScoreData[[#This Row],[RefRow]])="SP*"),TRUE,FALSE)</f>
        <v>0</v>
      </c>
      <c r="L17" s="1219" t="b">
        <v>1</v>
      </c>
      <c r="M17" s="1219" t="str">
        <f t="array" ref="M17">IFERROR(INDEX(ScoreSearch[],MATCH(ScoreData[[#This Row],[Home?]]&amp;ScoreData[[#Headers],[Jam]],ScoreSearch[Home?]&amp;ScoreSearch[Item],1),3),"")</f>
        <v>$A</v>
      </c>
      <c r="N17" s="1219" t="str">
        <f t="array" ref="N17">IFERROR(INDEX(ScoreSearch[],MATCH(ScoreData[[#This Row],[Home?]]&amp;ScoreData[[#Headers],[Jammer]],ScoreSearch[Home?]&amp;ScoreSearch[Item],1),3),"")</f>
        <v>$B</v>
      </c>
      <c r="O17" s="1219" t="str">
        <f t="array" ref="O17">IFERROR(INDEX(ScoreSearch[],MATCH(ScoreData[[#This Row],[Home?]]&amp;ScoreData[[#Headers],[Lead]],ScoreSearch[Home?]&amp;ScoreSearch[Item],1),3),"")</f>
        <v>$D</v>
      </c>
      <c r="P17" s="1219" t="str">
        <f t="array" ref="P17">IFERROR(INDEX(ScoreSearch[],MATCH(ScoreData[[#This Row],[Home?]]&amp;ScoreData[[#Headers],[Call]],ScoreSearch[Home?]&amp;ScoreSearch[Item],1),3),"")</f>
        <v>$E</v>
      </c>
      <c r="Q17" s="1219" t="str">
        <f t="array" ref="Q17">IFERROR(INDEX(ScoreSearch[],MATCH(ScoreData[[#This Row],[Home?]]&amp;ScoreData[[#Headers],[Penalty]],ScoreSearch[Home?]&amp;ScoreSearch[Item],1),3),"")</f>
        <v>$G</v>
      </c>
      <c r="R17" s="1222" t="str">
        <f t="array" ref="R17">IFERROR(INDEX(ScoreSearch[],MATCH(ScoreData[[#This Row],[Home?]]&amp;ScoreData[[#Headers],[Point]],ScoreSearch[Home?]&amp;ScoreSearch[Item],1),3),"")</f>
        <v>$Q</v>
      </c>
      <c r="S17" s="1222" t="str">
        <f t="array" ref="S17">IFERROR(INDEX(ScoreSearch[],MATCH(ScoreData[[#This Row],[Home?]]&amp;ScoreData[[#Headers],[Pass]],ScoreSearch[Home?]&amp;ScoreSearch[Item],1),3),"")</f>
        <v>$S</v>
      </c>
      <c r="T17" s="1219">
        <v>19</v>
      </c>
      <c r="U17" s="1203"/>
      <c r="V17" s="1203"/>
    </row>
    <row r="18" spans="1:24" x14ac:dyDescent="0.25">
      <c r="A18" s="1218">
        <f>[1]IBRF!$B$5</f>
        <v>41734</v>
      </c>
      <c r="B18" s="1221">
        <f t="shared" si="0"/>
        <v>0.83333333333333337</v>
      </c>
      <c r="C18" s="1219">
        <v>1</v>
      </c>
      <c r="D18" s="1219">
        <f ca="1">IF(ScoreData[[#This Row],[Passed?]],D17,INDIRECT($X$24&amp;ScoreData[[#This Row],[Jam]]&amp;ScoreData[[#This Row],[RefRow]]))</f>
        <v>16</v>
      </c>
      <c r="E18" s="1219" t="str">
        <f t="shared" si="1"/>
        <v>Plan B</v>
      </c>
      <c r="F18" s="1219" t="str">
        <f ca="1">IF(INDIRECT($X$24&amp;ScoreData[[#This Row],[Jammer]]&amp;ScoreData[[#This Row],[RefRow]])=0,"",INDIRECT($X$24&amp;ScoreData[[#This Row],[Jammer]]&amp;ScoreData[[#This Row],[RefRow]]))</f>
        <v>480</v>
      </c>
      <c r="G18" s="1219" t="str">
        <f ca="1">IF(INDIRECT($X$24&amp;ScoreData[[#This Row],[Lead]]&amp;ScoreData[[#This Row],[RefRow]])="X","YES","NO")</f>
        <v>NO</v>
      </c>
      <c r="H18" s="1219" t="str">
        <f ca="1">IF(INDIRECT($X$24&amp;ScoreData[[#This Row],[Call]]&amp;ScoreData[[#This Row],[RefRow]])="X","YES","NO")</f>
        <v>NO</v>
      </c>
      <c r="I18" s="1219">
        <f ca="1">INDIRECT($X$24&amp;ScoreData[[#This Row],[Pass]]&amp;ScoreData[[#This Row],[RefRow]])</f>
        <v>1</v>
      </c>
      <c r="J18" s="1219" t="str">
        <f ca="1">IF(INDIRECT($X$24&amp;ScoreData[[#This Row],[Point]]&amp;ScoreData[[#This Row],[RefRow]])=0,"",INDIRECT($X$24&amp;ScoreData[[#This Row],[Point]]&amp;ScoreData[[#This Row],[RefRow]]))</f>
        <v/>
      </c>
      <c r="K18" s="1219" t="b">
        <f ca="1">IF(OR(INDIRECT($X$24&amp;ScoreData[[#This Row],[Jam]]&amp;ScoreData[[#This Row],[RefRow]])="SP",INDIRECT($X$24&amp;ScoreData[[#This Row],[Jam]]&amp;ScoreData[[#This Row],[RefRow]])="SP*"),TRUE,FALSE)</f>
        <v>0</v>
      </c>
      <c r="L18" s="1219" t="b">
        <v>1</v>
      </c>
      <c r="M18" s="1219" t="str">
        <f t="array" ref="M18">IFERROR(INDEX(ScoreSearch[],MATCH(ScoreData[[#This Row],[Home?]]&amp;ScoreData[[#Headers],[Jam]],ScoreSearch[Home?]&amp;ScoreSearch[Item],1),3),"")</f>
        <v>$A</v>
      </c>
      <c r="N18" s="1219" t="str">
        <f t="array" ref="N18">IFERROR(INDEX(ScoreSearch[],MATCH(ScoreData[[#This Row],[Home?]]&amp;ScoreData[[#Headers],[Jammer]],ScoreSearch[Home?]&amp;ScoreSearch[Item],1),3),"")</f>
        <v>$B</v>
      </c>
      <c r="O18" s="1219" t="str">
        <f t="array" ref="O18">IFERROR(INDEX(ScoreSearch[],MATCH(ScoreData[[#This Row],[Home?]]&amp;ScoreData[[#Headers],[Lead]],ScoreSearch[Home?]&amp;ScoreSearch[Item],1),3),"")</f>
        <v>$D</v>
      </c>
      <c r="P18" s="1219" t="str">
        <f t="array" ref="P18">IFERROR(INDEX(ScoreSearch[],MATCH(ScoreData[[#This Row],[Home?]]&amp;ScoreData[[#Headers],[Call]],ScoreSearch[Home?]&amp;ScoreSearch[Item],1),3),"")</f>
        <v>$E</v>
      </c>
      <c r="Q18" s="1219" t="str">
        <f t="array" ref="Q18">IFERROR(INDEX(ScoreSearch[],MATCH(ScoreData[[#This Row],[Home?]]&amp;ScoreData[[#Headers],[Penalty]],ScoreSearch[Home?]&amp;ScoreSearch[Item],1),3),"")</f>
        <v>$G</v>
      </c>
      <c r="R18" s="1222" t="str">
        <f t="array" ref="R18">IFERROR(INDEX(ScoreSearch[],MATCH(ScoreData[[#This Row],[Home?]]&amp;ScoreData[[#Headers],[Point]],ScoreSearch[Home?]&amp;ScoreSearch[Item],1),3),"")</f>
        <v>$Q</v>
      </c>
      <c r="S18" s="1222" t="str">
        <f t="array" ref="S18">IFERROR(INDEX(ScoreSearch[],MATCH(ScoreData[[#This Row],[Home?]]&amp;ScoreData[[#Headers],[Pass]],ScoreSearch[Home?]&amp;ScoreSearch[Item],1),3),"")</f>
        <v>$S</v>
      </c>
      <c r="T18" s="1219">
        <v>20</v>
      </c>
      <c r="U18" s="1203"/>
    </row>
    <row r="19" spans="1:24" x14ac:dyDescent="0.25">
      <c r="A19" s="1218">
        <f>[1]IBRF!$B$5</f>
        <v>41734</v>
      </c>
      <c r="B19" s="1221">
        <f t="shared" si="0"/>
        <v>0.83333333333333337</v>
      </c>
      <c r="C19" s="1219">
        <v>1</v>
      </c>
      <c r="D19" s="1219">
        <f ca="1">IF(ScoreData[[#This Row],[Passed?]],D18,INDIRECT($X$24&amp;ScoreData[[#This Row],[Jam]]&amp;ScoreData[[#This Row],[RefRow]]))</f>
        <v>17</v>
      </c>
      <c r="E19" s="1219" t="str">
        <f t="shared" si="1"/>
        <v>Plan B</v>
      </c>
      <c r="F19" s="1219" t="str">
        <f ca="1">IF(INDIRECT($X$24&amp;ScoreData[[#This Row],[Jammer]]&amp;ScoreData[[#This Row],[RefRow]])=0,"",INDIRECT($X$24&amp;ScoreData[[#This Row],[Jammer]]&amp;ScoreData[[#This Row],[RefRow]]))</f>
        <v>84</v>
      </c>
      <c r="G19" s="1219" t="str">
        <f ca="1">IF(INDIRECT($X$24&amp;ScoreData[[#This Row],[Lead]]&amp;ScoreData[[#This Row],[RefRow]])="X","YES","NO")</f>
        <v>NO</v>
      </c>
      <c r="H19" s="1219" t="str">
        <f ca="1">IF(INDIRECT($X$24&amp;ScoreData[[#This Row],[Call]]&amp;ScoreData[[#This Row],[RefRow]])="X","YES","NO")</f>
        <v>NO</v>
      </c>
      <c r="I19" s="1219">
        <f ca="1">INDIRECT($X$24&amp;ScoreData[[#This Row],[Pass]]&amp;ScoreData[[#This Row],[RefRow]])</f>
        <v>1</v>
      </c>
      <c r="J19" s="1219" t="str">
        <f ca="1">IF(INDIRECT($X$24&amp;ScoreData[[#This Row],[Point]]&amp;ScoreData[[#This Row],[RefRow]])=0,"",INDIRECT($X$24&amp;ScoreData[[#This Row],[Point]]&amp;ScoreData[[#This Row],[RefRow]]))</f>
        <v/>
      </c>
      <c r="K19" s="1219" t="b">
        <f ca="1">IF(OR(INDIRECT($X$24&amp;ScoreData[[#This Row],[Jam]]&amp;ScoreData[[#This Row],[RefRow]])="SP",INDIRECT($X$24&amp;ScoreData[[#This Row],[Jam]]&amp;ScoreData[[#This Row],[RefRow]])="SP*"),TRUE,FALSE)</f>
        <v>0</v>
      </c>
      <c r="L19" s="1219" t="b">
        <v>1</v>
      </c>
      <c r="M19" s="1219" t="str">
        <f t="array" ref="M19">IFERROR(INDEX(ScoreSearch[],MATCH(ScoreData[[#This Row],[Home?]]&amp;ScoreData[[#Headers],[Jam]],ScoreSearch[Home?]&amp;ScoreSearch[Item],1),3),"")</f>
        <v>$A</v>
      </c>
      <c r="N19" s="1219" t="str">
        <f t="array" ref="N19">IFERROR(INDEX(ScoreSearch[],MATCH(ScoreData[[#This Row],[Home?]]&amp;ScoreData[[#Headers],[Jammer]],ScoreSearch[Home?]&amp;ScoreSearch[Item],1),3),"")</f>
        <v>$B</v>
      </c>
      <c r="O19" s="1219" t="str">
        <f t="array" ref="O19">IFERROR(INDEX(ScoreSearch[],MATCH(ScoreData[[#This Row],[Home?]]&amp;ScoreData[[#Headers],[Lead]],ScoreSearch[Home?]&amp;ScoreSearch[Item],1),3),"")</f>
        <v>$D</v>
      </c>
      <c r="P19" s="1219" t="str">
        <f t="array" ref="P19">IFERROR(INDEX(ScoreSearch[],MATCH(ScoreData[[#This Row],[Home?]]&amp;ScoreData[[#Headers],[Call]],ScoreSearch[Home?]&amp;ScoreSearch[Item],1),3),"")</f>
        <v>$E</v>
      </c>
      <c r="Q19" s="1219" t="str">
        <f t="array" ref="Q19">IFERROR(INDEX(ScoreSearch[],MATCH(ScoreData[[#This Row],[Home?]]&amp;ScoreData[[#Headers],[Penalty]],ScoreSearch[Home?]&amp;ScoreSearch[Item],1),3),"")</f>
        <v>$G</v>
      </c>
      <c r="R19" s="1222" t="str">
        <f t="array" ref="R19">IFERROR(INDEX(ScoreSearch[],MATCH(ScoreData[[#This Row],[Home?]]&amp;ScoreData[[#Headers],[Point]],ScoreSearch[Home?]&amp;ScoreSearch[Item],1),3),"")</f>
        <v>$Q</v>
      </c>
      <c r="S19" s="1222" t="str">
        <f t="array" ref="S19">IFERROR(INDEX(ScoreSearch[],MATCH(ScoreData[[#This Row],[Home?]]&amp;ScoreData[[#Headers],[Pass]],ScoreSearch[Home?]&amp;ScoreSearch[Item],1),3),"")</f>
        <v>$S</v>
      </c>
      <c r="T19" s="1219">
        <v>21</v>
      </c>
      <c r="U19" s="1203"/>
    </row>
    <row r="20" spans="1:24" x14ac:dyDescent="0.25">
      <c r="A20" s="1218">
        <f>[1]IBRF!$B$5</f>
        <v>41734</v>
      </c>
      <c r="B20" s="1221">
        <f t="shared" si="0"/>
        <v>0.83333333333333337</v>
      </c>
      <c r="C20" s="1219">
        <v>1</v>
      </c>
      <c r="D20" s="1219">
        <f ca="1">IF(ScoreData[[#This Row],[Passed?]],D19,INDIRECT($X$24&amp;ScoreData[[#This Row],[Jam]]&amp;ScoreData[[#This Row],[RefRow]]))</f>
        <v>18</v>
      </c>
      <c r="E20" s="1219" t="str">
        <f t="shared" si="1"/>
        <v>Plan B</v>
      </c>
      <c r="F20" s="1219" t="str">
        <f ca="1">IF(INDIRECT($X$24&amp;ScoreData[[#This Row],[Jammer]]&amp;ScoreData[[#This Row],[RefRow]])=0,"",INDIRECT($X$24&amp;ScoreData[[#This Row],[Jammer]]&amp;ScoreData[[#This Row],[RefRow]]))</f>
        <v>4</v>
      </c>
      <c r="G20" s="1219" t="str">
        <f ca="1">IF(INDIRECT($X$24&amp;ScoreData[[#This Row],[Lead]]&amp;ScoreData[[#This Row],[RefRow]])="X","YES","NO")</f>
        <v>YES</v>
      </c>
      <c r="H20" s="1219" t="str">
        <f ca="1">IF(INDIRECT($X$24&amp;ScoreData[[#This Row],[Call]]&amp;ScoreData[[#This Row],[RefRow]])="X","YES","NO")</f>
        <v>YES</v>
      </c>
      <c r="I20" s="1219">
        <f ca="1">INDIRECT($X$24&amp;ScoreData[[#This Row],[Pass]]&amp;ScoreData[[#This Row],[RefRow]])</f>
        <v>1</v>
      </c>
      <c r="J20" s="1219">
        <f ca="1">IF(INDIRECT($X$24&amp;ScoreData[[#This Row],[Point]]&amp;ScoreData[[#This Row],[RefRow]])=0,"",INDIRECT($X$24&amp;ScoreData[[#This Row],[Point]]&amp;ScoreData[[#This Row],[RefRow]]))</f>
        <v>4</v>
      </c>
      <c r="K20" s="1219" t="b">
        <f ca="1">IF(OR(INDIRECT($X$24&amp;ScoreData[[#This Row],[Jam]]&amp;ScoreData[[#This Row],[RefRow]])="SP",INDIRECT($X$24&amp;ScoreData[[#This Row],[Jam]]&amp;ScoreData[[#This Row],[RefRow]])="SP*"),TRUE,FALSE)</f>
        <v>0</v>
      </c>
      <c r="L20" s="1219" t="b">
        <v>1</v>
      </c>
      <c r="M20" s="1219" t="str">
        <f t="array" ref="M20">IFERROR(INDEX(ScoreSearch[],MATCH(ScoreData[[#This Row],[Home?]]&amp;ScoreData[[#Headers],[Jam]],ScoreSearch[Home?]&amp;ScoreSearch[Item],1),3),"")</f>
        <v>$A</v>
      </c>
      <c r="N20" s="1219" t="str">
        <f t="array" ref="N20">IFERROR(INDEX(ScoreSearch[],MATCH(ScoreData[[#This Row],[Home?]]&amp;ScoreData[[#Headers],[Jammer]],ScoreSearch[Home?]&amp;ScoreSearch[Item],1),3),"")</f>
        <v>$B</v>
      </c>
      <c r="O20" s="1219" t="str">
        <f t="array" ref="O20">IFERROR(INDEX(ScoreSearch[],MATCH(ScoreData[[#This Row],[Home?]]&amp;ScoreData[[#Headers],[Lead]],ScoreSearch[Home?]&amp;ScoreSearch[Item],1),3),"")</f>
        <v>$D</v>
      </c>
      <c r="P20" s="1219" t="str">
        <f t="array" ref="P20">IFERROR(INDEX(ScoreSearch[],MATCH(ScoreData[[#This Row],[Home?]]&amp;ScoreData[[#Headers],[Call]],ScoreSearch[Home?]&amp;ScoreSearch[Item],1),3),"")</f>
        <v>$E</v>
      </c>
      <c r="Q20" s="1219" t="str">
        <f t="array" ref="Q20">IFERROR(INDEX(ScoreSearch[],MATCH(ScoreData[[#This Row],[Home?]]&amp;ScoreData[[#Headers],[Penalty]],ScoreSearch[Home?]&amp;ScoreSearch[Item],1),3),"")</f>
        <v>$G</v>
      </c>
      <c r="R20" s="1222" t="str">
        <f t="array" ref="R20">IFERROR(INDEX(ScoreSearch[],MATCH(ScoreData[[#This Row],[Home?]]&amp;ScoreData[[#Headers],[Point]],ScoreSearch[Home?]&amp;ScoreSearch[Item],1),3),"")</f>
        <v>$Q</v>
      </c>
      <c r="S20" s="1222" t="str">
        <f t="array" ref="S20">IFERROR(INDEX(ScoreSearch[],MATCH(ScoreData[[#This Row],[Home?]]&amp;ScoreData[[#Headers],[Pass]],ScoreSearch[Home?]&amp;ScoreSearch[Item],1),3),"")</f>
        <v>$S</v>
      </c>
      <c r="T20" s="1219">
        <v>22</v>
      </c>
      <c r="U20" s="1203"/>
    </row>
    <row r="21" spans="1:24" x14ac:dyDescent="0.25">
      <c r="A21" s="1218">
        <f>[1]IBRF!$B$5</f>
        <v>41734</v>
      </c>
      <c r="B21" s="1221">
        <f t="shared" si="0"/>
        <v>0.83333333333333337</v>
      </c>
      <c r="C21" s="1219">
        <v>1</v>
      </c>
      <c r="D21" s="1219">
        <f ca="1">IF(ScoreData[[#This Row],[Passed?]],D20,INDIRECT($X$24&amp;ScoreData[[#This Row],[Jam]]&amp;ScoreData[[#This Row],[RefRow]]))</f>
        <v>18</v>
      </c>
      <c r="E21" s="1219" t="str">
        <f t="shared" si="1"/>
        <v>Plan B</v>
      </c>
      <c r="F21" s="1219" t="str">
        <f ca="1">IF(INDIRECT($X$24&amp;ScoreData[[#This Row],[Jammer]]&amp;ScoreData[[#This Row],[RefRow]])=0,"",INDIRECT($X$24&amp;ScoreData[[#This Row],[Jammer]]&amp;ScoreData[[#This Row],[RefRow]]))</f>
        <v/>
      </c>
      <c r="G21" s="1219" t="str">
        <f ca="1">IF(INDIRECT($X$24&amp;ScoreData[[#This Row],[Lead]]&amp;ScoreData[[#This Row],[RefRow]])="X","YES","NO")</f>
        <v>NO</v>
      </c>
      <c r="H21" s="1219" t="str">
        <f ca="1">IF(INDIRECT($X$24&amp;ScoreData[[#This Row],[Call]]&amp;ScoreData[[#This Row],[RefRow]])="X","YES","NO")</f>
        <v>NO</v>
      </c>
      <c r="I21" s="1219">
        <f ca="1">INDIRECT($X$24&amp;ScoreData[[#This Row],[Pass]]&amp;ScoreData[[#This Row],[RefRow]])</f>
        <v>0</v>
      </c>
      <c r="J21" s="1219" t="str">
        <f ca="1">IF(INDIRECT($X$24&amp;ScoreData[[#This Row],[Point]]&amp;ScoreData[[#This Row],[RefRow]])=0,"",INDIRECT($X$24&amp;ScoreData[[#This Row],[Point]]&amp;ScoreData[[#This Row],[RefRow]]))</f>
        <v/>
      </c>
      <c r="K21" s="1219" t="b">
        <f ca="1">IF(OR(INDIRECT($X$24&amp;ScoreData[[#This Row],[Jam]]&amp;ScoreData[[#This Row],[RefRow]])="SP",INDIRECT($X$24&amp;ScoreData[[#This Row],[Jam]]&amp;ScoreData[[#This Row],[RefRow]])="SP*"),TRUE,FALSE)</f>
        <v>1</v>
      </c>
      <c r="L21" s="1219" t="b">
        <v>1</v>
      </c>
      <c r="M21" s="1219" t="str">
        <f t="array" ref="M21">IFERROR(INDEX(ScoreSearch[],MATCH(ScoreData[[#This Row],[Home?]]&amp;ScoreData[[#Headers],[Jam]],ScoreSearch[Home?]&amp;ScoreSearch[Item],1),3),"")</f>
        <v>$A</v>
      </c>
      <c r="N21" s="1219" t="str">
        <f t="array" ref="N21">IFERROR(INDEX(ScoreSearch[],MATCH(ScoreData[[#This Row],[Home?]]&amp;ScoreData[[#Headers],[Jammer]],ScoreSearch[Home?]&amp;ScoreSearch[Item],1),3),"")</f>
        <v>$B</v>
      </c>
      <c r="O21" s="1219" t="str">
        <f t="array" ref="O21">IFERROR(INDEX(ScoreSearch[],MATCH(ScoreData[[#This Row],[Home?]]&amp;ScoreData[[#Headers],[Lead]],ScoreSearch[Home?]&amp;ScoreSearch[Item],1),3),"")</f>
        <v>$D</v>
      </c>
      <c r="P21" s="1219" t="str">
        <f t="array" ref="P21">IFERROR(INDEX(ScoreSearch[],MATCH(ScoreData[[#This Row],[Home?]]&amp;ScoreData[[#Headers],[Call]],ScoreSearch[Home?]&amp;ScoreSearch[Item],1),3),"")</f>
        <v>$E</v>
      </c>
      <c r="Q21" s="1219" t="str">
        <f t="array" ref="Q21">IFERROR(INDEX(ScoreSearch[],MATCH(ScoreData[[#This Row],[Home?]]&amp;ScoreData[[#Headers],[Penalty]],ScoreSearch[Home?]&amp;ScoreSearch[Item],1),3),"")</f>
        <v>$G</v>
      </c>
      <c r="R21" s="1222" t="str">
        <f t="array" ref="R21">IFERROR(INDEX(ScoreSearch[],MATCH(ScoreData[[#This Row],[Home?]]&amp;ScoreData[[#Headers],[Point]],ScoreSearch[Home?]&amp;ScoreSearch[Item],1),3),"")</f>
        <v>$Q</v>
      </c>
      <c r="S21" s="1222" t="str">
        <f t="array" ref="S21">IFERROR(INDEX(ScoreSearch[],MATCH(ScoreData[[#This Row],[Home?]]&amp;ScoreData[[#Headers],[Pass]],ScoreSearch[Home?]&amp;ScoreSearch[Item],1),3),"")</f>
        <v>$S</v>
      </c>
      <c r="T21" s="1219">
        <v>23</v>
      </c>
      <c r="U21" s="1203"/>
    </row>
    <row r="22" spans="1:24" x14ac:dyDescent="0.25">
      <c r="A22" s="1218">
        <f>[1]IBRF!$B$5</f>
        <v>41734</v>
      </c>
      <c r="B22" s="1221">
        <f t="shared" si="0"/>
        <v>0.83333333333333337</v>
      </c>
      <c r="C22" s="1219">
        <v>1</v>
      </c>
      <c r="D22" s="1219">
        <f ca="1">IF(ScoreData[[#This Row],[Passed?]],D21,INDIRECT($X$24&amp;ScoreData[[#This Row],[Jam]]&amp;ScoreData[[#This Row],[RefRow]]))</f>
        <v>19</v>
      </c>
      <c r="E22" s="1219" t="str">
        <f t="shared" si="1"/>
        <v>Plan B</v>
      </c>
      <c r="F22" s="1219" t="str">
        <f ca="1">IF(INDIRECT($X$24&amp;ScoreData[[#This Row],[Jammer]]&amp;ScoreData[[#This Row],[RefRow]])=0,"",INDIRECT($X$24&amp;ScoreData[[#This Row],[Jammer]]&amp;ScoreData[[#This Row],[RefRow]]))</f>
        <v>84</v>
      </c>
      <c r="G22" s="1219" t="str">
        <f ca="1">IF(INDIRECT($X$24&amp;ScoreData[[#This Row],[Lead]]&amp;ScoreData[[#This Row],[RefRow]])="X","YES","NO")</f>
        <v>YES</v>
      </c>
      <c r="H22" s="1219" t="str">
        <f ca="1">IF(INDIRECT($X$24&amp;ScoreData[[#This Row],[Call]]&amp;ScoreData[[#This Row],[RefRow]])="X","YES","NO")</f>
        <v>NO</v>
      </c>
      <c r="I22" s="1219">
        <f ca="1">INDIRECT($X$24&amp;ScoreData[[#This Row],[Pass]]&amp;ScoreData[[#This Row],[RefRow]])</f>
        <v>2</v>
      </c>
      <c r="J22" s="1219">
        <f ca="1">IF(INDIRECT($X$24&amp;ScoreData[[#This Row],[Point]]&amp;ScoreData[[#This Row],[RefRow]])=0,"",INDIRECT($X$24&amp;ScoreData[[#This Row],[Point]]&amp;ScoreData[[#This Row],[RefRow]]))</f>
        <v>8</v>
      </c>
      <c r="K22" s="1219" t="b">
        <f ca="1">IF(OR(INDIRECT($X$24&amp;ScoreData[[#This Row],[Jam]]&amp;ScoreData[[#This Row],[RefRow]])="SP",INDIRECT($X$24&amp;ScoreData[[#This Row],[Jam]]&amp;ScoreData[[#This Row],[RefRow]])="SP*"),TRUE,FALSE)</f>
        <v>0</v>
      </c>
      <c r="L22" s="1219" t="b">
        <v>1</v>
      </c>
      <c r="M22" s="1219" t="str">
        <f t="array" ref="M22">IFERROR(INDEX(ScoreSearch[],MATCH(ScoreData[[#This Row],[Home?]]&amp;ScoreData[[#Headers],[Jam]],ScoreSearch[Home?]&amp;ScoreSearch[Item],1),3),"")</f>
        <v>$A</v>
      </c>
      <c r="N22" s="1219" t="str">
        <f t="array" ref="N22">IFERROR(INDEX(ScoreSearch[],MATCH(ScoreData[[#This Row],[Home?]]&amp;ScoreData[[#Headers],[Jammer]],ScoreSearch[Home?]&amp;ScoreSearch[Item],1),3),"")</f>
        <v>$B</v>
      </c>
      <c r="O22" s="1219" t="str">
        <f t="array" ref="O22">IFERROR(INDEX(ScoreSearch[],MATCH(ScoreData[[#This Row],[Home?]]&amp;ScoreData[[#Headers],[Lead]],ScoreSearch[Home?]&amp;ScoreSearch[Item],1),3),"")</f>
        <v>$D</v>
      </c>
      <c r="P22" s="1219" t="str">
        <f t="array" ref="P22">IFERROR(INDEX(ScoreSearch[],MATCH(ScoreData[[#This Row],[Home?]]&amp;ScoreData[[#Headers],[Call]],ScoreSearch[Home?]&amp;ScoreSearch[Item],1),3),"")</f>
        <v>$E</v>
      </c>
      <c r="Q22" s="1219" t="str">
        <f t="array" ref="Q22">IFERROR(INDEX(ScoreSearch[],MATCH(ScoreData[[#This Row],[Home?]]&amp;ScoreData[[#Headers],[Penalty]],ScoreSearch[Home?]&amp;ScoreSearch[Item],1),3),"")</f>
        <v>$G</v>
      </c>
      <c r="R22" s="1222" t="str">
        <f t="array" ref="R22">IFERROR(INDEX(ScoreSearch[],MATCH(ScoreData[[#This Row],[Home?]]&amp;ScoreData[[#Headers],[Point]],ScoreSearch[Home?]&amp;ScoreSearch[Item],1),3),"")</f>
        <v>$Q</v>
      </c>
      <c r="S22" s="1222" t="str">
        <f t="array" ref="S22">IFERROR(INDEX(ScoreSearch[],MATCH(ScoreData[[#This Row],[Home?]]&amp;ScoreData[[#Headers],[Pass]],ScoreSearch[Home?]&amp;ScoreSearch[Item],1),3),"")</f>
        <v>$S</v>
      </c>
      <c r="T22" s="1219">
        <v>24</v>
      </c>
      <c r="U22" s="1203"/>
      <c r="V22" s="1206"/>
      <c r="W22" s="1206"/>
    </row>
    <row r="23" spans="1:24" x14ac:dyDescent="0.25">
      <c r="A23" s="1218">
        <f>[1]IBRF!$B$5</f>
        <v>41734</v>
      </c>
      <c r="B23" s="1221">
        <f t="shared" si="0"/>
        <v>0.83333333333333337</v>
      </c>
      <c r="C23" s="1219">
        <v>1</v>
      </c>
      <c r="D23" s="1219">
        <f ca="1">IF(ScoreData[[#This Row],[Passed?]],D22,INDIRECT($X$24&amp;ScoreData[[#This Row],[Jam]]&amp;ScoreData[[#This Row],[RefRow]]))</f>
        <v>0</v>
      </c>
      <c r="E23" s="1219" t="str">
        <f t="shared" si="1"/>
        <v>Plan B</v>
      </c>
      <c r="F23" s="1219" t="str">
        <f ca="1">IF(INDIRECT($X$24&amp;ScoreData[[#This Row],[Jammer]]&amp;ScoreData[[#This Row],[RefRow]])=0,"",INDIRECT($X$24&amp;ScoreData[[#This Row],[Jammer]]&amp;ScoreData[[#This Row],[RefRow]]))</f>
        <v/>
      </c>
      <c r="G23" s="1219" t="str">
        <f ca="1">IF(INDIRECT($X$24&amp;ScoreData[[#This Row],[Lead]]&amp;ScoreData[[#This Row],[RefRow]])="X","YES","NO")</f>
        <v>NO</v>
      </c>
      <c r="H23" s="1219" t="str">
        <f ca="1">IF(INDIRECT($X$24&amp;ScoreData[[#This Row],[Call]]&amp;ScoreData[[#This Row],[RefRow]])="X","YES","NO")</f>
        <v>NO</v>
      </c>
      <c r="I23" s="1219">
        <f ca="1">INDIRECT($X$24&amp;ScoreData[[#This Row],[Pass]]&amp;ScoreData[[#This Row],[RefRow]])</f>
        <v>0</v>
      </c>
      <c r="J23" s="1219" t="str">
        <f ca="1">IF(INDIRECT($X$24&amp;ScoreData[[#This Row],[Point]]&amp;ScoreData[[#This Row],[RefRow]])=0,"",INDIRECT($X$24&amp;ScoreData[[#This Row],[Point]]&amp;ScoreData[[#This Row],[RefRow]]))</f>
        <v/>
      </c>
      <c r="K23" s="1219" t="b">
        <f ca="1">IF(OR(INDIRECT($X$24&amp;ScoreData[[#This Row],[Jam]]&amp;ScoreData[[#This Row],[RefRow]])="SP",INDIRECT($X$24&amp;ScoreData[[#This Row],[Jam]]&amp;ScoreData[[#This Row],[RefRow]])="SP*"),TRUE,FALSE)</f>
        <v>0</v>
      </c>
      <c r="L23" s="1219" t="b">
        <v>1</v>
      </c>
      <c r="M23" s="1219" t="str">
        <f t="array" ref="M23">IFERROR(INDEX(ScoreSearch[],MATCH(ScoreData[[#This Row],[Home?]]&amp;ScoreData[[#Headers],[Jam]],ScoreSearch[Home?]&amp;ScoreSearch[Item],1),3),"")</f>
        <v>$A</v>
      </c>
      <c r="N23" s="1219" t="str">
        <f t="array" ref="N23">IFERROR(INDEX(ScoreSearch[],MATCH(ScoreData[[#This Row],[Home?]]&amp;ScoreData[[#Headers],[Jammer]],ScoreSearch[Home?]&amp;ScoreSearch[Item],1),3),"")</f>
        <v>$B</v>
      </c>
      <c r="O23" s="1219" t="str">
        <f t="array" ref="O23">IFERROR(INDEX(ScoreSearch[],MATCH(ScoreData[[#This Row],[Home?]]&amp;ScoreData[[#Headers],[Lead]],ScoreSearch[Home?]&amp;ScoreSearch[Item],1),3),"")</f>
        <v>$D</v>
      </c>
      <c r="P23" s="1219" t="str">
        <f t="array" ref="P23">IFERROR(INDEX(ScoreSearch[],MATCH(ScoreData[[#This Row],[Home?]]&amp;ScoreData[[#Headers],[Call]],ScoreSearch[Home?]&amp;ScoreSearch[Item],1),3),"")</f>
        <v>$E</v>
      </c>
      <c r="Q23" s="1219" t="str">
        <f t="array" ref="Q23">IFERROR(INDEX(ScoreSearch[],MATCH(ScoreData[[#This Row],[Home?]]&amp;ScoreData[[#Headers],[Penalty]],ScoreSearch[Home?]&amp;ScoreSearch[Item],1),3),"")</f>
        <v>$G</v>
      </c>
      <c r="R23" s="1222" t="str">
        <f t="array" ref="R23">IFERROR(INDEX(ScoreSearch[],MATCH(ScoreData[[#This Row],[Home?]]&amp;ScoreData[[#Headers],[Point]],ScoreSearch[Home?]&amp;ScoreSearch[Item],1),3),"")</f>
        <v>$Q</v>
      </c>
      <c r="S23" s="1222" t="str">
        <f t="array" ref="S23">IFERROR(INDEX(ScoreSearch[],MATCH(ScoreData[[#This Row],[Home?]]&amp;ScoreData[[#Headers],[Pass]],ScoreSearch[Home?]&amp;ScoreSearch[Item],1),3),"")</f>
        <v>$S</v>
      </c>
      <c r="T23" s="1219">
        <v>25</v>
      </c>
      <c r="U23" s="1203"/>
      <c r="V23" s="1203"/>
      <c r="W23" s="1203"/>
    </row>
    <row r="24" spans="1:24" x14ac:dyDescent="0.25">
      <c r="A24" s="1218">
        <f>[1]IBRF!$B$5</f>
        <v>41734</v>
      </c>
      <c r="B24" s="1221">
        <f t="shared" si="0"/>
        <v>0.83333333333333337</v>
      </c>
      <c r="C24" s="1219">
        <v>1</v>
      </c>
      <c r="D24" s="1219">
        <f ca="1">IF(ScoreData[[#This Row],[Passed?]],D23,INDIRECT($X$24&amp;ScoreData[[#This Row],[Jam]]&amp;ScoreData[[#This Row],[RefRow]]))</f>
        <v>0</v>
      </c>
      <c r="E24" s="1219" t="str">
        <f t="shared" si="1"/>
        <v>Plan B</v>
      </c>
      <c r="F24" s="1219" t="str">
        <f ca="1">IF(INDIRECT($X$24&amp;ScoreData[[#This Row],[Jammer]]&amp;ScoreData[[#This Row],[RefRow]])=0,"",INDIRECT($X$24&amp;ScoreData[[#This Row],[Jammer]]&amp;ScoreData[[#This Row],[RefRow]]))</f>
        <v/>
      </c>
      <c r="G24" s="1219" t="str">
        <f ca="1">IF(INDIRECT($X$24&amp;ScoreData[[#This Row],[Lead]]&amp;ScoreData[[#This Row],[RefRow]])="X","YES","NO")</f>
        <v>NO</v>
      </c>
      <c r="H24" s="1219" t="str">
        <f ca="1">IF(INDIRECT($X$24&amp;ScoreData[[#This Row],[Call]]&amp;ScoreData[[#This Row],[RefRow]])="X","YES","NO")</f>
        <v>NO</v>
      </c>
      <c r="I24" s="1219">
        <f ca="1">INDIRECT($X$24&amp;ScoreData[[#This Row],[Pass]]&amp;ScoreData[[#This Row],[RefRow]])</f>
        <v>0</v>
      </c>
      <c r="J24" s="1219" t="str">
        <f ca="1">IF(INDIRECT($X$24&amp;ScoreData[[#This Row],[Point]]&amp;ScoreData[[#This Row],[RefRow]])=0,"",INDIRECT($X$24&amp;ScoreData[[#This Row],[Point]]&amp;ScoreData[[#This Row],[RefRow]]))</f>
        <v/>
      </c>
      <c r="K24" s="1219" t="b">
        <f ca="1">IF(OR(INDIRECT($X$24&amp;ScoreData[[#This Row],[Jam]]&amp;ScoreData[[#This Row],[RefRow]])="SP",INDIRECT($X$24&amp;ScoreData[[#This Row],[Jam]]&amp;ScoreData[[#This Row],[RefRow]])="SP*"),TRUE,FALSE)</f>
        <v>0</v>
      </c>
      <c r="L24" s="1219" t="b">
        <v>1</v>
      </c>
      <c r="M24" s="1219" t="str">
        <f t="array" ref="M24">IFERROR(INDEX(ScoreSearch[],MATCH(ScoreData[[#This Row],[Home?]]&amp;ScoreData[[#Headers],[Jam]],ScoreSearch[Home?]&amp;ScoreSearch[Item],1),3),"")</f>
        <v>$A</v>
      </c>
      <c r="N24" s="1219" t="str">
        <f t="array" ref="N24">IFERROR(INDEX(ScoreSearch[],MATCH(ScoreData[[#This Row],[Home?]]&amp;ScoreData[[#Headers],[Jammer]],ScoreSearch[Home?]&amp;ScoreSearch[Item],1),3),"")</f>
        <v>$B</v>
      </c>
      <c r="O24" s="1219" t="str">
        <f t="array" ref="O24">IFERROR(INDEX(ScoreSearch[],MATCH(ScoreData[[#This Row],[Home?]]&amp;ScoreData[[#Headers],[Lead]],ScoreSearch[Home?]&amp;ScoreSearch[Item],1),3),"")</f>
        <v>$D</v>
      </c>
      <c r="P24" s="1219" t="str">
        <f t="array" ref="P24">IFERROR(INDEX(ScoreSearch[],MATCH(ScoreData[[#This Row],[Home?]]&amp;ScoreData[[#Headers],[Call]],ScoreSearch[Home?]&amp;ScoreSearch[Item],1),3),"")</f>
        <v>$E</v>
      </c>
      <c r="Q24" s="1219" t="str">
        <f t="array" ref="Q24">IFERROR(INDEX(ScoreSearch[],MATCH(ScoreData[[#This Row],[Home?]]&amp;ScoreData[[#Headers],[Penalty]],ScoreSearch[Home?]&amp;ScoreSearch[Item],1),3),"")</f>
        <v>$G</v>
      </c>
      <c r="R24" s="1222" t="str">
        <f t="array" ref="R24">IFERROR(INDEX(ScoreSearch[],MATCH(ScoreData[[#This Row],[Home?]]&amp;ScoreData[[#Headers],[Point]],ScoreSearch[Home?]&amp;ScoreSearch[Item],1),3),"")</f>
        <v>$Q</v>
      </c>
      <c r="S24" s="1222" t="str">
        <f t="array" ref="S24">IFERROR(INDEX(ScoreSearch[],MATCH(ScoreData[[#This Row],[Home?]]&amp;ScoreData[[#Headers],[Pass]],ScoreSearch[Home?]&amp;ScoreSearch[Item],1),3),"")</f>
        <v>$S</v>
      </c>
      <c r="T24" s="1219">
        <v>26</v>
      </c>
      <c r="U24" s="1203"/>
      <c r="V24" s="1203"/>
      <c r="W24" s="1216" t="s">
        <v>683</v>
      </c>
      <c r="X24" s="1216" t="s">
        <v>684</v>
      </c>
    </row>
    <row r="25" spans="1:24" x14ac:dyDescent="0.25">
      <c r="A25" s="1218">
        <f>[1]IBRF!$B$5</f>
        <v>41734</v>
      </c>
      <c r="B25" s="1221">
        <f t="shared" si="0"/>
        <v>0.83333333333333337</v>
      </c>
      <c r="C25" s="1219">
        <v>1</v>
      </c>
      <c r="D25" s="1219">
        <f ca="1">IF(ScoreData[[#This Row],[Passed?]],D24,INDIRECT($X$24&amp;ScoreData[[#This Row],[Jam]]&amp;ScoreData[[#This Row],[RefRow]]))</f>
        <v>0</v>
      </c>
      <c r="E25" s="1219" t="str">
        <f t="shared" si="1"/>
        <v>Plan B</v>
      </c>
      <c r="F25" s="1219" t="str">
        <f ca="1">IF(INDIRECT($X$24&amp;ScoreData[[#This Row],[Jammer]]&amp;ScoreData[[#This Row],[RefRow]])=0,"",INDIRECT($X$24&amp;ScoreData[[#This Row],[Jammer]]&amp;ScoreData[[#This Row],[RefRow]]))</f>
        <v/>
      </c>
      <c r="G25" s="1219" t="str">
        <f ca="1">IF(INDIRECT($X$24&amp;ScoreData[[#This Row],[Lead]]&amp;ScoreData[[#This Row],[RefRow]])="X","YES","NO")</f>
        <v>NO</v>
      </c>
      <c r="H25" s="1219" t="str">
        <f ca="1">IF(INDIRECT($X$24&amp;ScoreData[[#This Row],[Call]]&amp;ScoreData[[#This Row],[RefRow]])="X","YES","NO")</f>
        <v>NO</v>
      </c>
      <c r="I25" s="1219">
        <f ca="1">INDIRECT($X$24&amp;ScoreData[[#This Row],[Pass]]&amp;ScoreData[[#This Row],[RefRow]])</f>
        <v>0</v>
      </c>
      <c r="J25" s="1219" t="str">
        <f ca="1">IF(INDIRECT($X$24&amp;ScoreData[[#This Row],[Point]]&amp;ScoreData[[#This Row],[RefRow]])=0,"",INDIRECT($X$24&amp;ScoreData[[#This Row],[Point]]&amp;ScoreData[[#This Row],[RefRow]]))</f>
        <v/>
      </c>
      <c r="K25" s="1219" t="b">
        <f ca="1">IF(OR(INDIRECT($X$24&amp;ScoreData[[#This Row],[Jam]]&amp;ScoreData[[#This Row],[RefRow]])="SP",INDIRECT($X$24&amp;ScoreData[[#This Row],[Jam]]&amp;ScoreData[[#This Row],[RefRow]])="SP*"),TRUE,FALSE)</f>
        <v>0</v>
      </c>
      <c r="L25" s="1219" t="b">
        <v>1</v>
      </c>
      <c r="M25" s="1219" t="str">
        <f t="array" ref="M25">IFERROR(INDEX(ScoreSearch[],MATCH(ScoreData[[#This Row],[Home?]]&amp;ScoreData[[#Headers],[Jam]],ScoreSearch[Home?]&amp;ScoreSearch[Item],1),3),"")</f>
        <v>$A</v>
      </c>
      <c r="N25" s="1219" t="str">
        <f t="array" ref="N25">IFERROR(INDEX(ScoreSearch[],MATCH(ScoreData[[#This Row],[Home?]]&amp;ScoreData[[#Headers],[Jammer]],ScoreSearch[Home?]&amp;ScoreSearch[Item],1),3),"")</f>
        <v>$B</v>
      </c>
      <c r="O25" s="1219" t="str">
        <f t="array" ref="O25">IFERROR(INDEX(ScoreSearch[],MATCH(ScoreData[[#This Row],[Home?]]&amp;ScoreData[[#Headers],[Lead]],ScoreSearch[Home?]&amp;ScoreSearch[Item],1),3),"")</f>
        <v>$D</v>
      </c>
      <c r="P25" s="1219" t="str">
        <f t="array" ref="P25">IFERROR(INDEX(ScoreSearch[],MATCH(ScoreData[[#This Row],[Home?]]&amp;ScoreData[[#Headers],[Call]],ScoreSearch[Home?]&amp;ScoreSearch[Item],1),3),"")</f>
        <v>$E</v>
      </c>
      <c r="Q25" s="1219" t="str">
        <f t="array" ref="Q25">IFERROR(INDEX(ScoreSearch[],MATCH(ScoreData[[#This Row],[Home?]]&amp;ScoreData[[#Headers],[Penalty]],ScoreSearch[Home?]&amp;ScoreSearch[Item],1),3),"")</f>
        <v>$G</v>
      </c>
      <c r="R25" s="1222" t="str">
        <f t="array" ref="R25">IFERROR(INDEX(ScoreSearch[],MATCH(ScoreData[[#This Row],[Home?]]&amp;ScoreData[[#Headers],[Point]],ScoreSearch[Home?]&amp;ScoreSearch[Item],1),3),"")</f>
        <v>$Q</v>
      </c>
      <c r="S25" s="1222" t="str">
        <f t="array" ref="S25">IFERROR(INDEX(ScoreSearch[],MATCH(ScoreData[[#This Row],[Home?]]&amp;ScoreData[[#Headers],[Pass]],ScoreSearch[Home?]&amp;ScoreSearch[Item],1),3),"")</f>
        <v>$S</v>
      </c>
      <c r="T25" s="1219">
        <v>27</v>
      </c>
      <c r="U25" s="1203"/>
      <c r="V25" s="1203"/>
      <c r="W25" s="1203"/>
    </row>
    <row r="26" spans="1:24" x14ac:dyDescent="0.25">
      <c r="A26" s="1218">
        <f>[1]IBRF!$B$5</f>
        <v>41734</v>
      </c>
      <c r="B26" s="1221">
        <f t="shared" si="0"/>
        <v>0.83333333333333337</v>
      </c>
      <c r="C26" s="1219">
        <v>1</v>
      </c>
      <c r="D26" s="1219">
        <f ca="1">IF(ScoreData[[#This Row],[Passed?]],D25,INDIRECT($X$24&amp;ScoreData[[#This Row],[Jam]]&amp;ScoreData[[#This Row],[RefRow]]))</f>
        <v>0</v>
      </c>
      <c r="E26" s="1219" t="str">
        <f t="shared" si="1"/>
        <v>Plan B</v>
      </c>
      <c r="F26" s="1219" t="str">
        <f ca="1">IF(INDIRECT($X$24&amp;ScoreData[[#This Row],[Jammer]]&amp;ScoreData[[#This Row],[RefRow]])=0,"",INDIRECT($X$24&amp;ScoreData[[#This Row],[Jammer]]&amp;ScoreData[[#This Row],[RefRow]]))</f>
        <v/>
      </c>
      <c r="G26" s="1219" t="str">
        <f ca="1">IF(INDIRECT($X$24&amp;ScoreData[[#This Row],[Lead]]&amp;ScoreData[[#This Row],[RefRow]])="X","YES","NO")</f>
        <v>NO</v>
      </c>
      <c r="H26" s="1219" t="str">
        <f ca="1">IF(INDIRECT($X$24&amp;ScoreData[[#This Row],[Call]]&amp;ScoreData[[#This Row],[RefRow]])="X","YES","NO")</f>
        <v>NO</v>
      </c>
      <c r="I26" s="1219">
        <f ca="1">INDIRECT($X$24&amp;ScoreData[[#This Row],[Pass]]&amp;ScoreData[[#This Row],[RefRow]])</f>
        <v>0</v>
      </c>
      <c r="J26" s="1219" t="str">
        <f ca="1">IF(INDIRECT($X$24&amp;ScoreData[[#This Row],[Point]]&amp;ScoreData[[#This Row],[RefRow]])=0,"",INDIRECT($X$24&amp;ScoreData[[#This Row],[Point]]&amp;ScoreData[[#This Row],[RefRow]]))</f>
        <v/>
      </c>
      <c r="K26" s="1219" t="b">
        <f ca="1">IF(OR(INDIRECT($X$24&amp;ScoreData[[#This Row],[Jam]]&amp;ScoreData[[#This Row],[RefRow]])="SP",INDIRECT($X$24&amp;ScoreData[[#This Row],[Jam]]&amp;ScoreData[[#This Row],[RefRow]])="SP*"),TRUE,FALSE)</f>
        <v>0</v>
      </c>
      <c r="L26" s="1219" t="b">
        <v>1</v>
      </c>
      <c r="M26" s="1219" t="str">
        <f t="array" ref="M26">IFERROR(INDEX(ScoreSearch[],MATCH(ScoreData[[#This Row],[Home?]]&amp;ScoreData[[#Headers],[Jam]],ScoreSearch[Home?]&amp;ScoreSearch[Item],1),3),"")</f>
        <v>$A</v>
      </c>
      <c r="N26" s="1219" t="str">
        <f t="array" ref="N26">IFERROR(INDEX(ScoreSearch[],MATCH(ScoreData[[#This Row],[Home?]]&amp;ScoreData[[#Headers],[Jammer]],ScoreSearch[Home?]&amp;ScoreSearch[Item],1),3),"")</f>
        <v>$B</v>
      </c>
      <c r="O26" s="1219" t="str">
        <f t="array" ref="O26">IFERROR(INDEX(ScoreSearch[],MATCH(ScoreData[[#This Row],[Home?]]&amp;ScoreData[[#Headers],[Lead]],ScoreSearch[Home?]&amp;ScoreSearch[Item],1),3),"")</f>
        <v>$D</v>
      </c>
      <c r="P26" s="1219" t="str">
        <f t="array" ref="P26">IFERROR(INDEX(ScoreSearch[],MATCH(ScoreData[[#This Row],[Home?]]&amp;ScoreData[[#Headers],[Call]],ScoreSearch[Home?]&amp;ScoreSearch[Item],1),3),"")</f>
        <v>$E</v>
      </c>
      <c r="Q26" s="1219" t="str">
        <f t="array" ref="Q26">IFERROR(INDEX(ScoreSearch[],MATCH(ScoreData[[#This Row],[Home?]]&amp;ScoreData[[#Headers],[Penalty]],ScoreSearch[Home?]&amp;ScoreSearch[Item],1),3),"")</f>
        <v>$G</v>
      </c>
      <c r="R26" s="1222" t="str">
        <f t="array" ref="R26">IFERROR(INDEX(ScoreSearch[],MATCH(ScoreData[[#This Row],[Home?]]&amp;ScoreData[[#Headers],[Point]],ScoreSearch[Home?]&amp;ScoreSearch[Item],1),3),"")</f>
        <v>$Q</v>
      </c>
      <c r="S26" s="1222" t="str">
        <f t="array" ref="S26">IFERROR(INDEX(ScoreSearch[],MATCH(ScoreData[[#This Row],[Home?]]&amp;ScoreData[[#Headers],[Pass]],ScoreSearch[Home?]&amp;ScoreSearch[Item],1),3),"")</f>
        <v>$S</v>
      </c>
      <c r="T26" s="1219">
        <v>28</v>
      </c>
      <c r="U26" s="1203"/>
      <c r="V26" s="1209" t="s">
        <v>678</v>
      </c>
      <c r="W26" s="1209" t="s">
        <v>685</v>
      </c>
      <c r="X26" s="1209" t="s">
        <v>686</v>
      </c>
    </row>
    <row r="27" spans="1:24" x14ac:dyDescent="0.25">
      <c r="A27" s="1218">
        <f>[1]IBRF!$B$5</f>
        <v>41734</v>
      </c>
      <c r="B27" s="1221">
        <f t="shared" si="0"/>
        <v>0.83333333333333337</v>
      </c>
      <c r="C27" s="1219">
        <v>1</v>
      </c>
      <c r="D27" s="1219">
        <f ca="1">IF(ScoreData[[#This Row],[Passed?]],D26,INDIRECT($X$24&amp;ScoreData[[#This Row],[Jam]]&amp;ScoreData[[#This Row],[RefRow]]))</f>
        <v>0</v>
      </c>
      <c r="E27" s="1219" t="str">
        <f t="shared" si="1"/>
        <v>Plan B</v>
      </c>
      <c r="F27" s="1219" t="str">
        <f ca="1">IF(INDIRECT($X$24&amp;ScoreData[[#This Row],[Jammer]]&amp;ScoreData[[#This Row],[RefRow]])=0,"",INDIRECT($X$24&amp;ScoreData[[#This Row],[Jammer]]&amp;ScoreData[[#This Row],[RefRow]]))</f>
        <v/>
      </c>
      <c r="G27" s="1219" t="str">
        <f ca="1">IF(INDIRECT($X$24&amp;ScoreData[[#This Row],[Lead]]&amp;ScoreData[[#This Row],[RefRow]])="X","YES","NO")</f>
        <v>NO</v>
      </c>
      <c r="H27" s="1219" t="str">
        <f ca="1">IF(INDIRECT($X$24&amp;ScoreData[[#This Row],[Call]]&amp;ScoreData[[#This Row],[RefRow]])="X","YES","NO")</f>
        <v>NO</v>
      </c>
      <c r="I27" s="1219">
        <f ca="1">INDIRECT($X$24&amp;ScoreData[[#This Row],[Pass]]&amp;ScoreData[[#This Row],[RefRow]])</f>
        <v>0</v>
      </c>
      <c r="J27" s="1219" t="str">
        <f ca="1">IF(INDIRECT($X$24&amp;ScoreData[[#This Row],[Point]]&amp;ScoreData[[#This Row],[RefRow]])=0,"",INDIRECT($X$24&amp;ScoreData[[#This Row],[Point]]&amp;ScoreData[[#This Row],[RefRow]]))</f>
        <v/>
      </c>
      <c r="K27" s="1219" t="b">
        <f ca="1">IF(OR(INDIRECT($X$24&amp;ScoreData[[#This Row],[Jam]]&amp;ScoreData[[#This Row],[RefRow]])="SP",INDIRECT($X$24&amp;ScoreData[[#This Row],[Jam]]&amp;ScoreData[[#This Row],[RefRow]])="SP*"),TRUE,FALSE)</f>
        <v>0</v>
      </c>
      <c r="L27" s="1219" t="b">
        <v>1</v>
      </c>
      <c r="M27" s="1219" t="str">
        <f t="array" ref="M27">IFERROR(INDEX(ScoreSearch[],MATCH(ScoreData[[#This Row],[Home?]]&amp;ScoreData[[#Headers],[Jam]],ScoreSearch[Home?]&amp;ScoreSearch[Item],1),3),"")</f>
        <v>$A</v>
      </c>
      <c r="N27" s="1219" t="str">
        <f t="array" ref="N27">IFERROR(INDEX(ScoreSearch[],MATCH(ScoreData[[#This Row],[Home?]]&amp;ScoreData[[#Headers],[Jammer]],ScoreSearch[Home?]&amp;ScoreSearch[Item],1),3),"")</f>
        <v>$B</v>
      </c>
      <c r="O27" s="1219" t="str">
        <f t="array" ref="O27">IFERROR(INDEX(ScoreSearch[],MATCH(ScoreData[[#This Row],[Home?]]&amp;ScoreData[[#Headers],[Lead]],ScoreSearch[Home?]&amp;ScoreSearch[Item],1),3),"")</f>
        <v>$D</v>
      </c>
      <c r="P27" s="1219" t="str">
        <f t="array" ref="P27">IFERROR(INDEX(ScoreSearch[],MATCH(ScoreData[[#This Row],[Home?]]&amp;ScoreData[[#Headers],[Call]],ScoreSearch[Home?]&amp;ScoreSearch[Item],1),3),"")</f>
        <v>$E</v>
      </c>
      <c r="Q27" s="1219" t="str">
        <f t="array" ref="Q27">IFERROR(INDEX(ScoreSearch[],MATCH(ScoreData[[#This Row],[Home?]]&amp;ScoreData[[#Headers],[Penalty]],ScoreSearch[Home?]&amp;ScoreSearch[Item],1),3),"")</f>
        <v>$G</v>
      </c>
      <c r="R27" s="1222" t="str">
        <f t="array" ref="R27">IFERROR(INDEX(ScoreSearch[],MATCH(ScoreData[[#This Row],[Home?]]&amp;ScoreData[[#Headers],[Point]],ScoreSearch[Home?]&amp;ScoreSearch[Item],1),3),"")</f>
        <v>$Q</v>
      </c>
      <c r="S27" s="1222" t="str">
        <f t="array" ref="S27">IFERROR(INDEX(ScoreSearch[],MATCH(ScoreData[[#This Row],[Home?]]&amp;ScoreData[[#Headers],[Pass]],ScoreSearch[Home?]&amp;ScoreSearch[Item],1),3),"")</f>
        <v>$S</v>
      </c>
      <c r="T27" s="1219">
        <v>29</v>
      </c>
      <c r="U27" s="1203"/>
      <c r="V27" s="1209" t="b">
        <v>0</v>
      </c>
      <c r="W27" s="1209" t="s">
        <v>27</v>
      </c>
      <c r="X27" s="1209" t="s">
        <v>687</v>
      </c>
    </row>
    <row r="28" spans="1:24" x14ac:dyDescent="0.25">
      <c r="A28" s="1218">
        <f>[1]IBRF!$B$5</f>
        <v>41734</v>
      </c>
      <c r="B28" s="1221">
        <f t="shared" si="0"/>
        <v>0.83333333333333337</v>
      </c>
      <c r="C28" s="1219">
        <v>1</v>
      </c>
      <c r="D28" s="1219">
        <f ca="1">IF(ScoreData[[#This Row],[Passed?]],D27,INDIRECT($X$24&amp;ScoreData[[#This Row],[Jam]]&amp;ScoreData[[#This Row],[RefRow]]))</f>
        <v>0</v>
      </c>
      <c r="E28" s="1219" t="str">
        <f t="shared" si="1"/>
        <v>Plan B</v>
      </c>
      <c r="F28" s="1219" t="str">
        <f ca="1">IF(INDIRECT($X$24&amp;ScoreData[[#This Row],[Jammer]]&amp;ScoreData[[#This Row],[RefRow]])=0,"",INDIRECT($X$24&amp;ScoreData[[#This Row],[Jammer]]&amp;ScoreData[[#This Row],[RefRow]]))</f>
        <v/>
      </c>
      <c r="G28" s="1219" t="str">
        <f ca="1">IF(INDIRECT($X$24&amp;ScoreData[[#This Row],[Lead]]&amp;ScoreData[[#This Row],[RefRow]])="X","YES","NO")</f>
        <v>NO</v>
      </c>
      <c r="H28" s="1219" t="str">
        <f ca="1">IF(INDIRECT($X$24&amp;ScoreData[[#This Row],[Call]]&amp;ScoreData[[#This Row],[RefRow]])="X","YES","NO")</f>
        <v>NO</v>
      </c>
      <c r="I28" s="1219">
        <f ca="1">INDIRECT($X$24&amp;ScoreData[[#This Row],[Pass]]&amp;ScoreData[[#This Row],[RefRow]])</f>
        <v>0</v>
      </c>
      <c r="J28" s="1219" t="str">
        <f ca="1">IF(INDIRECT($X$24&amp;ScoreData[[#This Row],[Point]]&amp;ScoreData[[#This Row],[RefRow]])=0,"",INDIRECT($X$24&amp;ScoreData[[#This Row],[Point]]&amp;ScoreData[[#This Row],[RefRow]]))</f>
        <v/>
      </c>
      <c r="K28" s="1219" t="b">
        <f ca="1">IF(OR(INDIRECT($X$24&amp;ScoreData[[#This Row],[Jam]]&amp;ScoreData[[#This Row],[RefRow]])="SP",INDIRECT($X$24&amp;ScoreData[[#This Row],[Jam]]&amp;ScoreData[[#This Row],[RefRow]])="SP*"),TRUE,FALSE)</f>
        <v>0</v>
      </c>
      <c r="L28" s="1219" t="b">
        <v>1</v>
      </c>
      <c r="M28" s="1219" t="str">
        <f t="array" ref="M28">IFERROR(INDEX(ScoreSearch[],MATCH(ScoreData[[#This Row],[Home?]]&amp;ScoreData[[#Headers],[Jam]],ScoreSearch[Home?]&amp;ScoreSearch[Item],1),3),"")</f>
        <v>$A</v>
      </c>
      <c r="N28" s="1219" t="str">
        <f t="array" ref="N28">IFERROR(INDEX(ScoreSearch[],MATCH(ScoreData[[#This Row],[Home?]]&amp;ScoreData[[#Headers],[Jammer]],ScoreSearch[Home?]&amp;ScoreSearch[Item],1),3),"")</f>
        <v>$B</v>
      </c>
      <c r="O28" s="1219" t="str">
        <f t="array" ref="O28">IFERROR(INDEX(ScoreSearch[],MATCH(ScoreData[[#This Row],[Home?]]&amp;ScoreData[[#Headers],[Lead]],ScoreSearch[Home?]&amp;ScoreSearch[Item],1),3),"")</f>
        <v>$D</v>
      </c>
      <c r="P28" s="1219" t="str">
        <f t="array" ref="P28">IFERROR(INDEX(ScoreSearch[],MATCH(ScoreData[[#This Row],[Home?]]&amp;ScoreData[[#Headers],[Call]],ScoreSearch[Home?]&amp;ScoreSearch[Item],1),3),"")</f>
        <v>$E</v>
      </c>
      <c r="Q28" s="1219" t="str">
        <f t="array" ref="Q28">IFERROR(INDEX(ScoreSearch[],MATCH(ScoreData[[#This Row],[Home?]]&amp;ScoreData[[#Headers],[Penalty]],ScoreSearch[Home?]&amp;ScoreSearch[Item],1),3),"")</f>
        <v>$G</v>
      </c>
      <c r="R28" s="1222" t="str">
        <f t="array" ref="R28">IFERROR(INDEX(ScoreSearch[],MATCH(ScoreData[[#This Row],[Home?]]&amp;ScoreData[[#Headers],[Point]],ScoreSearch[Home?]&amp;ScoreSearch[Item],1),3),"")</f>
        <v>$Q</v>
      </c>
      <c r="S28" s="1222" t="str">
        <f t="array" ref="S28">IFERROR(INDEX(ScoreSearch[],MATCH(ScoreData[[#This Row],[Home?]]&amp;ScoreData[[#Headers],[Pass]],ScoreSearch[Home?]&amp;ScoreSearch[Item],1),3),"")</f>
        <v>$S</v>
      </c>
      <c r="T28" s="1219">
        <v>30</v>
      </c>
      <c r="U28" s="1203"/>
      <c r="V28" s="1209" t="b">
        <v>0</v>
      </c>
      <c r="W28" s="1209" t="s">
        <v>370</v>
      </c>
      <c r="X28" s="1209" t="s">
        <v>688</v>
      </c>
    </row>
    <row r="29" spans="1:24" x14ac:dyDescent="0.25">
      <c r="A29" s="1218">
        <f>[1]IBRF!$B$5</f>
        <v>41734</v>
      </c>
      <c r="B29" s="1221">
        <f t="shared" si="0"/>
        <v>0.83333333333333337</v>
      </c>
      <c r="C29" s="1219">
        <v>1</v>
      </c>
      <c r="D29" s="1219">
        <f ca="1">IF(ScoreData[[#This Row],[Passed?]],D28,INDIRECT($X$24&amp;ScoreData[[#This Row],[Jam]]&amp;ScoreData[[#This Row],[RefRow]]))</f>
        <v>0</v>
      </c>
      <c r="E29" s="1219" t="str">
        <f t="shared" si="1"/>
        <v>Plan B</v>
      </c>
      <c r="F29" s="1219" t="str">
        <f ca="1">IF(INDIRECT($X$24&amp;ScoreData[[#This Row],[Jammer]]&amp;ScoreData[[#This Row],[RefRow]])=0,"",INDIRECT($X$24&amp;ScoreData[[#This Row],[Jammer]]&amp;ScoreData[[#This Row],[RefRow]]))</f>
        <v/>
      </c>
      <c r="G29" s="1219" t="str">
        <f ca="1">IF(INDIRECT($X$24&amp;ScoreData[[#This Row],[Lead]]&amp;ScoreData[[#This Row],[RefRow]])="X","YES","NO")</f>
        <v>NO</v>
      </c>
      <c r="H29" s="1219" t="str">
        <f ca="1">IF(INDIRECT($X$24&amp;ScoreData[[#This Row],[Call]]&amp;ScoreData[[#This Row],[RefRow]])="X","YES","NO")</f>
        <v>NO</v>
      </c>
      <c r="I29" s="1219">
        <f ca="1">INDIRECT($X$24&amp;ScoreData[[#This Row],[Pass]]&amp;ScoreData[[#This Row],[RefRow]])</f>
        <v>0</v>
      </c>
      <c r="J29" s="1219" t="str">
        <f ca="1">IF(INDIRECT($X$24&amp;ScoreData[[#This Row],[Point]]&amp;ScoreData[[#This Row],[RefRow]])=0,"",INDIRECT($X$24&amp;ScoreData[[#This Row],[Point]]&amp;ScoreData[[#This Row],[RefRow]]))</f>
        <v/>
      </c>
      <c r="K29" s="1219" t="b">
        <f ca="1">IF(OR(INDIRECT($X$24&amp;ScoreData[[#This Row],[Jam]]&amp;ScoreData[[#This Row],[RefRow]])="SP",INDIRECT($X$24&amp;ScoreData[[#This Row],[Jam]]&amp;ScoreData[[#This Row],[RefRow]])="SP*"),TRUE,FALSE)</f>
        <v>0</v>
      </c>
      <c r="L29" s="1219" t="b">
        <v>1</v>
      </c>
      <c r="M29" s="1219" t="str">
        <f t="array" ref="M29">IFERROR(INDEX(ScoreSearch[],MATCH(ScoreData[[#This Row],[Home?]]&amp;ScoreData[[#Headers],[Jam]],ScoreSearch[Home?]&amp;ScoreSearch[Item],1),3),"")</f>
        <v>$A</v>
      </c>
      <c r="N29" s="1219" t="str">
        <f t="array" ref="N29">IFERROR(INDEX(ScoreSearch[],MATCH(ScoreData[[#This Row],[Home?]]&amp;ScoreData[[#Headers],[Jammer]],ScoreSearch[Home?]&amp;ScoreSearch[Item],1),3),"")</f>
        <v>$B</v>
      </c>
      <c r="O29" s="1219" t="str">
        <f t="array" ref="O29">IFERROR(INDEX(ScoreSearch[],MATCH(ScoreData[[#This Row],[Home?]]&amp;ScoreData[[#Headers],[Lead]],ScoreSearch[Home?]&amp;ScoreSearch[Item],1),3),"")</f>
        <v>$D</v>
      </c>
      <c r="P29" s="1219" t="str">
        <f t="array" ref="P29">IFERROR(INDEX(ScoreSearch[],MATCH(ScoreData[[#This Row],[Home?]]&amp;ScoreData[[#Headers],[Call]],ScoreSearch[Home?]&amp;ScoreSearch[Item],1),3),"")</f>
        <v>$E</v>
      </c>
      <c r="Q29" s="1219" t="str">
        <f t="array" ref="Q29">IFERROR(INDEX(ScoreSearch[],MATCH(ScoreData[[#This Row],[Home?]]&amp;ScoreData[[#Headers],[Penalty]],ScoreSearch[Home?]&amp;ScoreSearch[Item],1),3),"")</f>
        <v>$G</v>
      </c>
      <c r="R29" s="1222" t="str">
        <f t="array" ref="R29">IFERROR(INDEX(ScoreSearch[],MATCH(ScoreData[[#This Row],[Home?]]&amp;ScoreData[[#Headers],[Point]],ScoreSearch[Home?]&amp;ScoreSearch[Item],1),3),"")</f>
        <v>$Q</v>
      </c>
      <c r="S29" s="1222" t="str">
        <f t="array" ref="S29">IFERROR(INDEX(ScoreSearch[],MATCH(ScoreData[[#This Row],[Home?]]&amp;ScoreData[[#Headers],[Pass]],ScoreSearch[Home?]&amp;ScoreSearch[Item],1),3),"")</f>
        <v>$S</v>
      </c>
      <c r="T29" s="1219">
        <v>31</v>
      </c>
      <c r="U29" s="1203"/>
      <c r="V29" s="1224" t="b">
        <v>0</v>
      </c>
      <c r="W29" s="1225" t="s">
        <v>124</v>
      </c>
      <c r="X29" s="1225" t="s">
        <v>689</v>
      </c>
    </row>
    <row r="30" spans="1:24" x14ac:dyDescent="0.25">
      <c r="A30" s="1218">
        <f>[1]IBRF!$B$5</f>
        <v>41734</v>
      </c>
      <c r="B30" s="1221">
        <f t="shared" si="0"/>
        <v>0.83333333333333337</v>
      </c>
      <c r="C30" s="1219">
        <v>1</v>
      </c>
      <c r="D30" s="1219">
        <f ca="1">IF(ScoreData[[#This Row],[Passed?]],D29,INDIRECT($X$24&amp;ScoreData[[#This Row],[Jam]]&amp;ScoreData[[#This Row],[RefRow]]))</f>
        <v>0</v>
      </c>
      <c r="E30" s="1219" t="str">
        <f t="shared" si="1"/>
        <v>Plan B</v>
      </c>
      <c r="F30" s="1219" t="str">
        <f ca="1">IF(INDIRECT($X$24&amp;ScoreData[[#This Row],[Jammer]]&amp;ScoreData[[#This Row],[RefRow]])=0,"",INDIRECT($X$24&amp;ScoreData[[#This Row],[Jammer]]&amp;ScoreData[[#This Row],[RefRow]]))</f>
        <v/>
      </c>
      <c r="G30" s="1219" t="str">
        <f ca="1">IF(INDIRECT($X$24&amp;ScoreData[[#This Row],[Lead]]&amp;ScoreData[[#This Row],[RefRow]])="X","YES","NO")</f>
        <v>NO</v>
      </c>
      <c r="H30" s="1219" t="str">
        <f ca="1">IF(INDIRECT($X$24&amp;ScoreData[[#This Row],[Call]]&amp;ScoreData[[#This Row],[RefRow]])="X","YES","NO")</f>
        <v>NO</v>
      </c>
      <c r="I30" s="1219">
        <f ca="1">INDIRECT($X$24&amp;ScoreData[[#This Row],[Pass]]&amp;ScoreData[[#This Row],[RefRow]])</f>
        <v>0</v>
      </c>
      <c r="J30" s="1219" t="str">
        <f ca="1">IF(INDIRECT($X$24&amp;ScoreData[[#This Row],[Point]]&amp;ScoreData[[#This Row],[RefRow]])=0,"",INDIRECT($X$24&amp;ScoreData[[#This Row],[Point]]&amp;ScoreData[[#This Row],[RefRow]]))</f>
        <v/>
      </c>
      <c r="K30" s="1219" t="b">
        <f ca="1">IF(OR(INDIRECT($X$24&amp;ScoreData[[#This Row],[Jam]]&amp;ScoreData[[#This Row],[RefRow]])="SP",INDIRECT($X$24&amp;ScoreData[[#This Row],[Jam]]&amp;ScoreData[[#This Row],[RefRow]])="SP*"),TRUE,FALSE)</f>
        <v>0</v>
      </c>
      <c r="L30" s="1219" t="b">
        <v>1</v>
      </c>
      <c r="M30" s="1219" t="str">
        <f t="array" ref="M30">IFERROR(INDEX(ScoreSearch[],MATCH(ScoreData[[#This Row],[Home?]]&amp;ScoreData[[#Headers],[Jam]],ScoreSearch[Home?]&amp;ScoreSearch[Item],1),3),"")</f>
        <v>$A</v>
      </c>
      <c r="N30" s="1219" t="str">
        <f t="array" ref="N30">IFERROR(INDEX(ScoreSearch[],MATCH(ScoreData[[#This Row],[Home?]]&amp;ScoreData[[#Headers],[Jammer]],ScoreSearch[Home?]&amp;ScoreSearch[Item],1),3),"")</f>
        <v>$B</v>
      </c>
      <c r="O30" s="1219" t="str">
        <f t="array" ref="O30">IFERROR(INDEX(ScoreSearch[],MATCH(ScoreData[[#This Row],[Home?]]&amp;ScoreData[[#Headers],[Lead]],ScoreSearch[Home?]&amp;ScoreSearch[Item],1),3),"")</f>
        <v>$D</v>
      </c>
      <c r="P30" s="1219" t="str">
        <f t="array" ref="P30">IFERROR(INDEX(ScoreSearch[],MATCH(ScoreData[[#This Row],[Home?]]&amp;ScoreData[[#Headers],[Call]],ScoreSearch[Home?]&amp;ScoreSearch[Item],1),3),"")</f>
        <v>$E</v>
      </c>
      <c r="Q30" s="1219" t="str">
        <f t="array" ref="Q30">IFERROR(INDEX(ScoreSearch[],MATCH(ScoreData[[#This Row],[Home?]]&amp;ScoreData[[#Headers],[Penalty]],ScoreSearch[Home?]&amp;ScoreSearch[Item],1),3),"")</f>
        <v>$G</v>
      </c>
      <c r="R30" s="1222" t="str">
        <f t="array" ref="R30">IFERROR(INDEX(ScoreSearch[],MATCH(ScoreData[[#This Row],[Home?]]&amp;ScoreData[[#Headers],[Point]],ScoreSearch[Home?]&amp;ScoreSearch[Item],1),3),"")</f>
        <v>$Q</v>
      </c>
      <c r="S30" s="1222" t="str">
        <f t="array" ref="S30">IFERROR(INDEX(ScoreSearch[],MATCH(ScoreData[[#This Row],[Home?]]&amp;ScoreData[[#Headers],[Pass]],ScoreSearch[Home?]&amp;ScoreSearch[Item],1),3),"")</f>
        <v>$S</v>
      </c>
      <c r="T30" s="1219">
        <v>32</v>
      </c>
      <c r="U30" s="1203"/>
      <c r="V30" s="1209" t="b">
        <v>0</v>
      </c>
      <c r="W30" s="1209" t="s">
        <v>25</v>
      </c>
      <c r="X30" s="1209" t="s">
        <v>690</v>
      </c>
    </row>
    <row r="31" spans="1:24" x14ac:dyDescent="0.25">
      <c r="A31" s="1218">
        <f>[1]IBRF!$B$5</f>
        <v>41734</v>
      </c>
      <c r="B31" s="1221">
        <f t="shared" si="0"/>
        <v>0.83333333333333337</v>
      </c>
      <c r="C31" s="1219">
        <v>1</v>
      </c>
      <c r="D31" s="1219">
        <f ca="1">IF(ScoreData[[#This Row],[Passed?]],D30,INDIRECT($X$24&amp;ScoreData[[#This Row],[Jam]]&amp;ScoreData[[#This Row],[RefRow]]))</f>
        <v>0</v>
      </c>
      <c r="E31" s="1219" t="str">
        <f t="shared" si="1"/>
        <v>Plan B</v>
      </c>
      <c r="F31" s="1219" t="str">
        <f ca="1">IF(INDIRECT($X$24&amp;ScoreData[[#This Row],[Jammer]]&amp;ScoreData[[#This Row],[RefRow]])=0,"",INDIRECT($X$24&amp;ScoreData[[#This Row],[Jammer]]&amp;ScoreData[[#This Row],[RefRow]]))</f>
        <v/>
      </c>
      <c r="G31" s="1219" t="str">
        <f ca="1">IF(INDIRECT($X$24&amp;ScoreData[[#This Row],[Lead]]&amp;ScoreData[[#This Row],[RefRow]])="X","YES","NO")</f>
        <v>NO</v>
      </c>
      <c r="H31" s="1219" t="str">
        <f ca="1">IF(INDIRECT($X$24&amp;ScoreData[[#This Row],[Call]]&amp;ScoreData[[#This Row],[RefRow]])="X","YES","NO")</f>
        <v>NO</v>
      </c>
      <c r="I31" s="1219">
        <f ca="1">INDIRECT($X$24&amp;ScoreData[[#This Row],[Pass]]&amp;ScoreData[[#This Row],[RefRow]])</f>
        <v>0</v>
      </c>
      <c r="J31" s="1219" t="str">
        <f ca="1">IF(INDIRECT($X$24&amp;ScoreData[[#This Row],[Point]]&amp;ScoreData[[#This Row],[RefRow]])=0,"",INDIRECT($X$24&amp;ScoreData[[#This Row],[Point]]&amp;ScoreData[[#This Row],[RefRow]]))</f>
        <v/>
      </c>
      <c r="K31" s="1219" t="b">
        <f ca="1">IF(OR(INDIRECT($X$24&amp;ScoreData[[#This Row],[Jam]]&amp;ScoreData[[#This Row],[RefRow]])="SP",INDIRECT($X$24&amp;ScoreData[[#This Row],[Jam]]&amp;ScoreData[[#This Row],[RefRow]])="SP*"),TRUE,FALSE)</f>
        <v>0</v>
      </c>
      <c r="L31" s="1219" t="b">
        <v>1</v>
      </c>
      <c r="M31" s="1219" t="str">
        <f t="array" ref="M31">IFERROR(INDEX(ScoreSearch[],MATCH(ScoreData[[#This Row],[Home?]]&amp;ScoreData[[#Headers],[Jam]],ScoreSearch[Home?]&amp;ScoreSearch[Item],1),3),"")</f>
        <v>$A</v>
      </c>
      <c r="N31" s="1219" t="str">
        <f t="array" ref="N31">IFERROR(INDEX(ScoreSearch[],MATCH(ScoreData[[#This Row],[Home?]]&amp;ScoreData[[#Headers],[Jammer]],ScoreSearch[Home?]&amp;ScoreSearch[Item],1),3),"")</f>
        <v>$B</v>
      </c>
      <c r="O31" s="1219" t="str">
        <f t="array" ref="O31">IFERROR(INDEX(ScoreSearch[],MATCH(ScoreData[[#This Row],[Home?]]&amp;ScoreData[[#Headers],[Lead]],ScoreSearch[Home?]&amp;ScoreSearch[Item],1),3),"")</f>
        <v>$D</v>
      </c>
      <c r="P31" s="1219" t="str">
        <f t="array" ref="P31">IFERROR(INDEX(ScoreSearch[],MATCH(ScoreData[[#This Row],[Home?]]&amp;ScoreData[[#Headers],[Call]],ScoreSearch[Home?]&amp;ScoreSearch[Item],1),3),"")</f>
        <v>$E</v>
      </c>
      <c r="Q31" s="1219" t="str">
        <f t="array" ref="Q31">IFERROR(INDEX(ScoreSearch[],MATCH(ScoreData[[#This Row],[Home?]]&amp;ScoreData[[#Headers],[Penalty]],ScoreSearch[Home?]&amp;ScoreSearch[Item],1),3),"")</f>
        <v>$G</v>
      </c>
      <c r="R31" s="1222" t="str">
        <f t="array" ref="R31">IFERROR(INDEX(ScoreSearch[],MATCH(ScoreData[[#This Row],[Home?]]&amp;ScoreData[[#Headers],[Point]],ScoreSearch[Home?]&amp;ScoreSearch[Item],1),3),"")</f>
        <v>$Q</v>
      </c>
      <c r="S31" s="1222" t="str">
        <f t="array" ref="S31">IFERROR(INDEX(ScoreSearch[],MATCH(ScoreData[[#This Row],[Home?]]&amp;ScoreData[[#Headers],[Pass]],ScoreSearch[Home?]&amp;ScoreSearch[Item],1),3),"")</f>
        <v>$S</v>
      </c>
      <c r="T31" s="1219">
        <v>33</v>
      </c>
      <c r="U31" s="1203"/>
      <c r="V31" s="1209" t="b">
        <v>0</v>
      </c>
      <c r="W31" s="1216" t="s">
        <v>681</v>
      </c>
      <c r="X31" s="1209" t="s">
        <v>691</v>
      </c>
    </row>
    <row r="32" spans="1:24" x14ac:dyDescent="0.25">
      <c r="A32" s="1218">
        <f>[1]IBRF!$B$5</f>
        <v>41734</v>
      </c>
      <c r="B32" s="1221">
        <f t="shared" si="0"/>
        <v>0.83333333333333337</v>
      </c>
      <c r="C32" s="1219">
        <v>1</v>
      </c>
      <c r="D32" s="1219">
        <f ca="1">IF(ScoreData[[#This Row],[Passed?]],D31,INDIRECT($X$24&amp;ScoreData[[#This Row],[Jam]]&amp;ScoreData[[#This Row],[RefRow]]))</f>
        <v>0</v>
      </c>
      <c r="E32" s="1219" t="str">
        <f t="shared" si="1"/>
        <v>Plan B</v>
      </c>
      <c r="F32" s="1219" t="str">
        <f ca="1">IF(INDIRECT($X$24&amp;ScoreData[[#This Row],[Jammer]]&amp;ScoreData[[#This Row],[RefRow]])=0,"",INDIRECT($X$24&amp;ScoreData[[#This Row],[Jammer]]&amp;ScoreData[[#This Row],[RefRow]]))</f>
        <v/>
      </c>
      <c r="G32" s="1219" t="str">
        <f ca="1">IF(INDIRECT($X$24&amp;ScoreData[[#This Row],[Lead]]&amp;ScoreData[[#This Row],[RefRow]])="X","YES","NO")</f>
        <v>NO</v>
      </c>
      <c r="H32" s="1219" t="str">
        <f ca="1">IF(INDIRECT($X$24&amp;ScoreData[[#This Row],[Call]]&amp;ScoreData[[#This Row],[RefRow]])="X","YES","NO")</f>
        <v>NO</v>
      </c>
      <c r="I32" s="1219">
        <f ca="1">INDIRECT($X$24&amp;ScoreData[[#This Row],[Pass]]&amp;ScoreData[[#This Row],[RefRow]])</f>
        <v>0</v>
      </c>
      <c r="J32" s="1219" t="str">
        <f ca="1">IF(INDIRECT($X$24&amp;ScoreData[[#This Row],[Point]]&amp;ScoreData[[#This Row],[RefRow]])=0,"",INDIRECT($X$24&amp;ScoreData[[#This Row],[Point]]&amp;ScoreData[[#This Row],[RefRow]]))</f>
        <v/>
      </c>
      <c r="K32" s="1219" t="b">
        <f ca="1">IF(OR(INDIRECT($X$24&amp;ScoreData[[#This Row],[Jam]]&amp;ScoreData[[#This Row],[RefRow]])="SP",INDIRECT($X$24&amp;ScoreData[[#This Row],[Jam]]&amp;ScoreData[[#This Row],[RefRow]])="SP*"),TRUE,FALSE)</f>
        <v>0</v>
      </c>
      <c r="L32" s="1219" t="b">
        <v>1</v>
      </c>
      <c r="M32" s="1219" t="str">
        <f t="array" ref="M32">IFERROR(INDEX(ScoreSearch[],MATCH(ScoreData[[#This Row],[Home?]]&amp;ScoreData[[#Headers],[Jam]],ScoreSearch[Home?]&amp;ScoreSearch[Item],1),3),"")</f>
        <v>$A</v>
      </c>
      <c r="N32" s="1219" t="str">
        <f t="array" ref="N32">IFERROR(INDEX(ScoreSearch[],MATCH(ScoreData[[#This Row],[Home?]]&amp;ScoreData[[#Headers],[Jammer]],ScoreSearch[Home?]&amp;ScoreSearch[Item],1),3),"")</f>
        <v>$B</v>
      </c>
      <c r="O32" s="1219" t="str">
        <f t="array" ref="O32">IFERROR(INDEX(ScoreSearch[],MATCH(ScoreData[[#This Row],[Home?]]&amp;ScoreData[[#Headers],[Lead]],ScoreSearch[Home?]&amp;ScoreSearch[Item],1),3),"")</f>
        <v>$D</v>
      </c>
      <c r="P32" s="1219" t="str">
        <f t="array" ref="P32">IFERROR(INDEX(ScoreSearch[],MATCH(ScoreData[[#This Row],[Home?]]&amp;ScoreData[[#Headers],[Call]],ScoreSearch[Home?]&amp;ScoreSearch[Item],1),3),"")</f>
        <v>$E</v>
      </c>
      <c r="Q32" s="1219" t="str">
        <f t="array" ref="Q32">IFERROR(INDEX(ScoreSearch[],MATCH(ScoreData[[#This Row],[Home?]]&amp;ScoreData[[#Headers],[Penalty]],ScoreSearch[Home?]&amp;ScoreSearch[Item],1),3),"")</f>
        <v>$G</v>
      </c>
      <c r="R32" s="1222" t="str">
        <f t="array" ref="R32">IFERROR(INDEX(ScoreSearch[],MATCH(ScoreData[[#This Row],[Home?]]&amp;ScoreData[[#Headers],[Point]],ScoreSearch[Home?]&amp;ScoreSearch[Item],1),3),"")</f>
        <v>$Q</v>
      </c>
      <c r="S32" s="1222" t="str">
        <f t="array" ref="S32">IFERROR(INDEX(ScoreSearch[],MATCH(ScoreData[[#This Row],[Home?]]&amp;ScoreData[[#Headers],[Pass]],ScoreSearch[Home?]&amp;ScoreSearch[Item],1),3),"")</f>
        <v>$S</v>
      </c>
      <c r="T32" s="1219">
        <v>34</v>
      </c>
      <c r="U32" s="1203"/>
      <c r="V32" s="1209" t="b">
        <v>0</v>
      </c>
      <c r="W32" s="1216" t="s">
        <v>679</v>
      </c>
      <c r="X32" s="1216" t="s">
        <v>692</v>
      </c>
    </row>
    <row r="33" spans="1:24" x14ac:dyDescent="0.25">
      <c r="A33" s="1218">
        <f>[1]IBRF!$B$5</f>
        <v>41734</v>
      </c>
      <c r="B33" s="1221">
        <f t="shared" si="0"/>
        <v>0.83333333333333337</v>
      </c>
      <c r="C33" s="1219">
        <v>1</v>
      </c>
      <c r="D33" s="1219">
        <f ca="1">IF(ScoreData[[#This Row],[Passed?]],D32,INDIRECT($X$24&amp;ScoreData[[#This Row],[Jam]]&amp;ScoreData[[#This Row],[RefRow]]))</f>
        <v>0</v>
      </c>
      <c r="E33" s="1219" t="str">
        <f t="shared" si="1"/>
        <v>Plan B</v>
      </c>
      <c r="F33" s="1219" t="str">
        <f ca="1">IF(INDIRECT($X$24&amp;ScoreData[[#This Row],[Jammer]]&amp;ScoreData[[#This Row],[RefRow]])=0,"",INDIRECT($X$24&amp;ScoreData[[#This Row],[Jammer]]&amp;ScoreData[[#This Row],[RefRow]]))</f>
        <v/>
      </c>
      <c r="G33" s="1219" t="str">
        <f ca="1">IF(INDIRECT($X$24&amp;ScoreData[[#This Row],[Lead]]&amp;ScoreData[[#This Row],[RefRow]])="X","YES","NO")</f>
        <v>NO</v>
      </c>
      <c r="H33" s="1219" t="str">
        <f ca="1">IF(INDIRECT($X$24&amp;ScoreData[[#This Row],[Call]]&amp;ScoreData[[#This Row],[RefRow]])="X","YES","NO")</f>
        <v>NO</v>
      </c>
      <c r="I33" s="1219">
        <f ca="1">INDIRECT($X$24&amp;ScoreData[[#This Row],[Pass]]&amp;ScoreData[[#This Row],[RefRow]])</f>
        <v>0</v>
      </c>
      <c r="J33" s="1219" t="str">
        <f ca="1">IF(INDIRECT($X$24&amp;ScoreData[[#This Row],[Point]]&amp;ScoreData[[#This Row],[RefRow]])=0,"",INDIRECT($X$24&amp;ScoreData[[#This Row],[Point]]&amp;ScoreData[[#This Row],[RefRow]]))</f>
        <v/>
      </c>
      <c r="K33" s="1219" t="b">
        <f ca="1">IF(OR(INDIRECT($X$24&amp;ScoreData[[#This Row],[Jam]]&amp;ScoreData[[#This Row],[RefRow]])="SP",INDIRECT($X$24&amp;ScoreData[[#This Row],[Jam]]&amp;ScoreData[[#This Row],[RefRow]])="SP*"),TRUE,FALSE)</f>
        <v>0</v>
      </c>
      <c r="L33" s="1219" t="b">
        <v>1</v>
      </c>
      <c r="M33" s="1219" t="str">
        <f t="array" ref="M33">IFERROR(INDEX(ScoreSearch[],MATCH(ScoreData[[#This Row],[Home?]]&amp;ScoreData[[#Headers],[Jam]],ScoreSearch[Home?]&amp;ScoreSearch[Item],1),3),"")</f>
        <v>$A</v>
      </c>
      <c r="N33" s="1219" t="str">
        <f t="array" ref="N33">IFERROR(INDEX(ScoreSearch[],MATCH(ScoreData[[#This Row],[Home?]]&amp;ScoreData[[#Headers],[Jammer]],ScoreSearch[Home?]&amp;ScoreSearch[Item],1),3),"")</f>
        <v>$B</v>
      </c>
      <c r="O33" s="1219" t="str">
        <f t="array" ref="O33">IFERROR(INDEX(ScoreSearch[],MATCH(ScoreData[[#This Row],[Home?]]&amp;ScoreData[[#Headers],[Lead]],ScoreSearch[Home?]&amp;ScoreSearch[Item],1),3),"")</f>
        <v>$D</v>
      </c>
      <c r="P33" s="1219" t="str">
        <f t="array" ref="P33">IFERROR(INDEX(ScoreSearch[],MATCH(ScoreData[[#This Row],[Home?]]&amp;ScoreData[[#Headers],[Call]],ScoreSearch[Home?]&amp;ScoreSearch[Item],1),3),"")</f>
        <v>$E</v>
      </c>
      <c r="Q33" s="1219" t="str">
        <f t="array" ref="Q33">IFERROR(INDEX(ScoreSearch[],MATCH(ScoreData[[#This Row],[Home?]]&amp;ScoreData[[#Headers],[Penalty]],ScoreSearch[Home?]&amp;ScoreSearch[Item],1),3),"")</f>
        <v>$G</v>
      </c>
      <c r="R33" s="1222" t="str">
        <f t="array" ref="R33">IFERROR(INDEX(ScoreSearch[],MATCH(ScoreData[[#This Row],[Home?]]&amp;ScoreData[[#Headers],[Point]],ScoreSearch[Home?]&amp;ScoreSearch[Item],1),3),"")</f>
        <v>$Q</v>
      </c>
      <c r="S33" s="1222" t="str">
        <f t="array" ref="S33">IFERROR(INDEX(ScoreSearch[],MATCH(ScoreData[[#This Row],[Home?]]&amp;ScoreData[[#Headers],[Pass]],ScoreSearch[Home?]&amp;ScoreSearch[Item],1),3),"")</f>
        <v>$S</v>
      </c>
      <c r="T33" s="1219">
        <v>35</v>
      </c>
      <c r="U33" s="1203"/>
      <c r="V33" s="1209" t="b">
        <v>0</v>
      </c>
      <c r="W33" s="1216" t="s">
        <v>680</v>
      </c>
      <c r="X33" s="1209" t="s">
        <v>693</v>
      </c>
    </row>
    <row r="34" spans="1:24" x14ac:dyDescent="0.25">
      <c r="A34" s="1218">
        <f>[1]IBRF!$B$5</f>
        <v>41734</v>
      </c>
      <c r="B34" s="1221">
        <f t="shared" si="0"/>
        <v>0.83333333333333337</v>
      </c>
      <c r="C34" s="1219">
        <v>1</v>
      </c>
      <c r="D34" s="1219">
        <f ca="1">IF(ScoreData[[#This Row],[Passed?]],D33,INDIRECT($X$24&amp;ScoreData[[#This Row],[Jam]]&amp;ScoreData[[#This Row],[RefRow]]))</f>
        <v>0</v>
      </c>
      <c r="E34" s="1219" t="str">
        <f t="shared" si="1"/>
        <v>Plan B</v>
      </c>
      <c r="F34" s="1219" t="str">
        <f ca="1">IF(INDIRECT($X$24&amp;ScoreData[[#This Row],[Jammer]]&amp;ScoreData[[#This Row],[RefRow]])=0,"",INDIRECT($X$24&amp;ScoreData[[#This Row],[Jammer]]&amp;ScoreData[[#This Row],[RefRow]]))</f>
        <v/>
      </c>
      <c r="G34" s="1219" t="str">
        <f ca="1">IF(INDIRECT($X$24&amp;ScoreData[[#This Row],[Lead]]&amp;ScoreData[[#This Row],[RefRow]])="X","YES","NO")</f>
        <v>NO</v>
      </c>
      <c r="H34" s="1219" t="str">
        <f ca="1">IF(INDIRECT($X$24&amp;ScoreData[[#This Row],[Call]]&amp;ScoreData[[#This Row],[RefRow]])="X","YES","NO")</f>
        <v>NO</v>
      </c>
      <c r="I34" s="1219">
        <f ca="1">INDIRECT($X$24&amp;ScoreData[[#This Row],[Pass]]&amp;ScoreData[[#This Row],[RefRow]])</f>
        <v>0</v>
      </c>
      <c r="J34" s="1219" t="str">
        <f ca="1">IF(INDIRECT($X$24&amp;ScoreData[[#This Row],[Point]]&amp;ScoreData[[#This Row],[RefRow]])=0,"",INDIRECT($X$24&amp;ScoreData[[#This Row],[Point]]&amp;ScoreData[[#This Row],[RefRow]]))</f>
        <v/>
      </c>
      <c r="K34" s="1219" t="b">
        <f ca="1">IF(OR(INDIRECT($X$24&amp;ScoreData[[#This Row],[Jam]]&amp;ScoreData[[#This Row],[RefRow]])="SP",INDIRECT($X$24&amp;ScoreData[[#This Row],[Jam]]&amp;ScoreData[[#This Row],[RefRow]])="SP*"),TRUE,FALSE)</f>
        <v>0</v>
      </c>
      <c r="L34" s="1219" t="b">
        <v>1</v>
      </c>
      <c r="M34" s="1219" t="str">
        <f t="array" ref="M34">IFERROR(INDEX(ScoreSearch[],MATCH(ScoreData[[#This Row],[Home?]]&amp;ScoreData[[#Headers],[Jam]],ScoreSearch[Home?]&amp;ScoreSearch[Item],1),3),"")</f>
        <v>$A</v>
      </c>
      <c r="N34" s="1219" t="str">
        <f t="array" ref="N34">IFERROR(INDEX(ScoreSearch[],MATCH(ScoreData[[#This Row],[Home?]]&amp;ScoreData[[#Headers],[Jammer]],ScoreSearch[Home?]&amp;ScoreSearch[Item],1),3),"")</f>
        <v>$B</v>
      </c>
      <c r="O34" s="1219" t="str">
        <f t="array" ref="O34">IFERROR(INDEX(ScoreSearch[],MATCH(ScoreData[[#This Row],[Home?]]&amp;ScoreData[[#Headers],[Lead]],ScoreSearch[Home?]&amp;ScoreSearch[Item],1),3),"")</f>
        <v>$D</v>
      </c>
      <c r="P34" s="1219" t="str">
        <f t="array" ref="P34">IFERROR(INDEX(ScoreSearch[],MATCH(ScoreData[[#This Row],[Home?]]&amp;ScoreData[[#Headers],[Call]],ScoreSearch[Home?]&amp;ScoreSearch[Item],1),3),"")</f>
        <v>$E</v>
      </c>
      <c r="Q34" s="1219" t="str">
        <f t="array" ref="Q34">IFERROR(INDEX(ScoreSearch[],MATCH(ScoreData[[#This Row],[Home?]]&amp;ScoreData[[#Headers],[Penalty]],ScoreSearch[Home?]&amp;ScoreSearch[Item],1),3),"")</f>
        <v>$G</v>
      </c>
      <c r="R34" s="1222" t="str">
        <f t="array" ref="R34">IFERROR(INDEX(ScoreSearch[],MATCH(ScoreData[[#This Row],[Home?]]&amp;ScoreData[[#Headers],[Point]],ScoreSearch[Home?]&amp;ScoreSearch[Item],1),3),"")</f>
        <v>$Q</v>
      </c>
      <c r="S34" s="1222" t="str">
        <f t="array" ref="S34">IFERROR(INDEX(ScoreSearch[],MATCH(ScoreData[[#This Row],[Home?]]&amp;ScoreData[[#Headers],[Pass]],ScoreSearch[Home?]&amp;ScoreSearch[Item],1),3),"")</f>
        <v>$S</v>
      </c>
      <c r="T34" s="1219">
        <v>36</v>
      </c>
      <c r="V34" s="1209" t="b">
        <v>1</v>
      </c>
      <c r="W34" s="1209" t="s">
        <v>27</v>
      </c>
      <c r="X34" s="1209" t="s">
        <v>694</v>
      </c>
    </row>
    <row r="35" spans="1:24" x14ac:dyDescent="0.25">
      <c r="A35" s="1218">
        <f>[1]IBRF!$B$5</f>
        <v>41734</v>
      </c>
      <c r="B35" s="1221">
        <f t="shared" si="0"/>
        <v>0.83333333333333337</v>
      </c>
      <c r="C35" s="1219">
        <v>1</v>
      </c>
      <c r="D35" s="1219">
        <f ca="1">IF(ScoreData[[#This Row],[Passed?]],D34,INDIRECT($X$24&amp;ScoreData[[#This Row],[Jam]]&amp;ScoreData[[#This Row],[RefRow]]))</f>
        <v>0</v>
      </c>
      <c r="E35" s="1219" t="str">
        <f t="shared" si="1"/>
        <v>Plan B</v>
      </c>
      <c r="F35" s="1219" t="str">
        <f ca="1">IF(INDIRECT($X$24&amp;ScoreData[[#This Row],[Jammer]]&amp;ScoreData[[#This Row],[RefRow]])=0,"",INDIRECT($X$24&amp;ScoreData[[#This Row],[Jammer]]&amp;ScoreData[[#This Row],[RefRow]]))</f>
        <v/>
      </c>
      <c r="G35" s="1219" t="str">
        <f ca="1">IF(INDIRECT($X$24&amp;ScoreData[[#This Row],[Lead]]&amp;ScoreData[[#This Row],[RefRow]])="X","YES","NO")</f>
        <v>NO</v>
      </c>
      <c r="H35" s="1219" t="str">
        <f ca="1">IF(INDIRECT($X$24&amp;ScoreData[[#This Row],[Call]]&amp;ScoreData[[#This Row],[RefRow]])="X","YES","NO")</f>
        <v>NO</v>
      </c>
      <c r="I35" s="1219">
        <f ca="1">INDIRECT($X$24&amp;ScoreData[[#This Row],[Pass]]&amp;ScoreData[[#This Row],[RefRow]])</f>
        <v>0</v>
      </c>
      <c r="J35" s="1219" t="str">
        <f ca="1">IF(INDIRECT($X$24&amp;ScoreData[[#This Row],[Point]]&amp;ScoreData[[#This Row],[RefRow]])=0,"",INDIRECT($X$24&amp;ScoreData[[#This Row],[Point]]&amp;ScoreData[[#This Row],[RefRow]]))</f>
        <v/>
      </c>
      <c r="K35" s="1219" t="b">
        <f ca="1">IF(OR(INDIRECT($X$24&amp;ScoreData[[#This Row],[Jam]]&amp;ScoreData[[#This Row],[RefRow]])="SP",INDIRECT($X$24&amp;ScoreData[[#This Row],[Jam]]&amp;ScoreData[[#This Row],[RefRow]])="SP*"),TRUE,FALSE)</f>
        <v>0</v>
      </c>
      <c r="L35" s="1219" t="b">
        <v>1</v>
      </c>
      <c r="M35" s="1219" t="str">
        <f t="array" ref="M35">IFERROR(INDEX(ScoreSearch[],MATCH(ScoreData[[#This Row],[Home?]]&amp;ScoreData[[#Headers],[Jam]],ScoreSearch[Home?]&amp;ScoreSearch[Item],1),3),"")</f>
        <v>$A</v>
      </c>
      <c r="N35" s="1219" t="str">
        <f t="array" ref="N35">IFERROR(INDEX(ScoreSearch[],MATCH(ScoreData[[#This Row],[Home?]]&amp;ScoreData[[#Headers],[Jammer]],ScoreSearch[Home?]&amp;ScoreSearch[Item],1),3),"")</f>
        <v>$B</v>
      </c>
      <c r="O35" s="1219" t="str">
        <f t="array" ref="O35">IFERROR(INDEX(ScoreSearch[],MATCH(ScoreData[[#This Row],[Home?]]&amp;ScoreData[[#Headers],[Lead]],ScoreSearch[Home?]&amp;ScoreSearch[Item],1),3),"")</f>
        <v>$D</v>
      </c>
      <c r="P35" s="1219" t="str">
        <f t="array" ref="P35">IFERROR(INDEX(ScoreSearch[],MATCH(ScoreData[[#This Row],[Home?]]&amp;ScoreData[[#Headers],[Call]],ScoreSearch[Home?]&amp;ScoreSearch[Item],1),3),"")</f>
        <v>$E</v>
      </c>
      <c r="Q35" s="1219" t="str">
        <f t="array" ref="Q35">IFERROR(INDEX(ScoreSearch[],MATCH(ScoreData[[#This Row],[Home?]]&amp;ScoreData[[#Headers],[Penalty]],ScoreSearch[Home?]&amp;ScoreSearch[Item],1),3),"")</f>
        <v>$G</v>
      </c>
      <c r="R35" s="1222" t="str">
        <f t="array" ref="R35">IFERROR(INDEX(ScoreSearch[],MATCH(ScoreData[[#This Row],[Home?]]&amp;ScoreData[[#Headers],[Point]],ScoreSearch[Home?]&amp;ScoreSearch[Item],1),3),"")</f>
        <v>$Q</v>
      </c>
      <c r="S35" s="1222" t="str">
        <f t="array" ref="S35">IFERROR(INDEX(ScoreSearch[],MATCH(ScoreData[[#This Row],[Home?]]&amp;ScoreData[[#Headers],[Pass]],ScoreSearch[Home?]&amp;ScoreSearch[Item],1),3),"")</f>
        <v>$S</v>
      </c>
      <c r="T35" s="1219">
        <v>37</v>
      </c>
      <c r="V35" s="1209" t="b">
        <v>1</v>
      </c>
      <c r="W35" s="1209" t="s">
        <v>370</v>
      </c>
      <c r="X35" s="1209" t="s">
        <v>695</v>
      </c>
    </row>
    <row r="36" spans="1:24" x14ac:dyDescent="0.25">
      <c r="A36" s="1218">
        <f>[1]IBRF!$B$5</f>
        <v>41734</v>
      </c>
      <c r="B36" s="1221">
        <f t="shared" si="0"/>
        <v>0.83333333333333337</v>
      </c>
      <c r="C36" s="1219">
        <v>1</v>
      </c>
      <c r="D36" s="1219">
        <f ca="1">IF(ScoreData[[#This Row],[Passed?]],D35,INDIRECT($X$24&amp;ScoreData[[#This Row],[Jam]]&amp;ScoreData[[#This Row],[RefRow]]))</f>
        <v>0</v>
      </c>
      <c r="E36" s="1219" t="str">
        <f t="shared" si="1"/>
        <v>Plan B</v>
      </c>
      <c r="F36" s="1219" t="str">
        <f ca="1">IF(INDIRECT($X$24&amp;ScoreData[[#This Row],[Jammer]]&amp;ScoreData[[#This Row],[RefRow]])=0,"",INDIRECT($X$24&amp;ScoreData[[#This Row],[Jammer]]&amp;ScoreData[[#This Row],[RefRow]]))</f>
        <v/>
      </c>
      <c r="G36" s="1219" t="str">
        <f ca="1">IF(INDIRECT($X$24&amp;ScoreData[[#This Row],[Lead]]&amp;ScoreData[[#This Row],[RefRow]])="X","YES","NO")</f>
        <v>NO</v>
      </c>
      <c r="H36" s="1219" t="str">
        <f ca="1">IF(INDIRECT($X$24&amp;ScoreData[[#This Row],[Call]]&amp;ScoreData[[#This Row],[RefRow]])="X","YES","NO")</f>
        <v>NO</v>
      </c>
      <c r="I36" s="1219">
        <f ca="1">INDIRECT($X$24&amp;ScoreData[[#This Row],[Pass]]&amp;ScoreData[[#This Row],[RefRow]])</f>
        <v>0</v>
      </c>
      <c r="J36" s="1219" t="str">
        <f ca="1">IF(INDIRECT($X$24&amp;ScoreData[[#This Row],[Point]]&amp;ScoreData[[#This Row],[RefRow]])=0,"",INDIRECT($X$24&amp;ScoreData[[#This Row],[Point]]&amp;ScoreData[[#This Row],[RefRow]]))</f>
        <v/>
      </c>
      <c r="K36" s="1219" t="b">
        <f ca="1">IF(OR(INDIRECT($X$24&amp;ScoreData[[#This Row],[Jam]]&amp;ScoreData[[#This Row],[RefRow]])="SP",INDIRECT($X$24&amp;ScoreData[[#This Row],[Jam]]&amp;ScoreData[[#This Row],[RefRow]])="SP*"),TRUE,FALSE)</f>
        <v>0</v>
      </c>
      <c r="L36" s="1219" t="b">
        <v>1</v>
      </c>
      <c r="M36" s="1219" t="str">
        <f t="array" ref="M36">IFERROR(INDEX(ScoreSearch[],MATCH(ScoreData[[#This Row],[Home?]]&amp;ScoreData[[#Headers],[Jam]],ScoreSearch[Home?]&amp;ScoreSearch[Item],1),3),"")</f>
        <v>$A</v>
      </c>
      <c r="N36" s="1219" t="str">
        <f t="array" ref="N36">IFERROR(INDEX(ScoreSearch[],MATCH(ScoreData[[#This Row],[Home?]]&amp;ScoreData[[#Headers],[Jammer]],ScoreSearch[Home?]&amp;ScoreSearch[Item],1),3),"")</f>
        <v>$B</v>
      </c>
      <c r="O36" s="1219" t="str">
        <f t="array" ref="O36">IFERROR(INDEX(ScoreSearch[],MATCH(ScoreData[[#This Row],[Home?]]&amp;ScoreData[[#Headers],[Lead]],ScoreSearch[Home?]&amp;ScoreSearch[Item],1),3),"")</f>
        <v>$D</v>
      </c>
      <c r="P36" s="1219" t="str">
        <f t="array" ref="P36">IFERROR(INDEX(ScoreSearch[],MATCH(ScoreData[[#This Row],[Home?]]&amp;ScoreData[[#Headers],[Call]],ScoreSearch[Home?]&amp;ScoreSearch[Item],1),3),"")</f>
        <v>$E</v>
      </c>
      <c r="Q36" s="1219" t="str">
        <f t="array" ref="Q36">IFERROR(INDEX(ScoreSearch[],MATCH(ScoreData[[#This Row],[Home?]]&amp;ScoreData[[#Headers],[Penalty]],ScoreSearch[Home?]&amp;ScoreSearch[Item],1),3),"")</f>
        <v>$G</v>
      </c>
      <c r="R36" s="1222" t="str">
        <f t="array" ref="R36">IFERROR(INDEX(ScoreSearch[],MATCH(ScoreData[[#This Row],[Home?]]&amp;ScoreData[[#Headers],[Point]],ScoreSearch[Home?]&amp;ScoreSearch[Item],1),3),"")</f>
        <v>$Q</v>
      </c>
      <c r="S36" s="1222" t="str">
        <f t="array" ref="S36">IFERROR(INDEX(ScoreSearch[],MATCH(ScoreData[[#This Row],[Home?]]&amp;ScoreData[[#Headers],[Pass]],ScoreSearch[Home?]&amp;ScoreSearch[Item],1),3),"")</f>
        <v>$S</v>
      </c>
      <c r="T36" s="1219">
        <v>38</v>
      </c>
      <c r="V36" s="1224" t="b">
        <v>1</v>
      </c>
      <c r="W36" s="1225" t="s">
        <v>124</v>
      </c>
      <c r="X36" s="1225" t="s">
        <v>696</v>
      </c>
    </row>
    <row r="37" spans="1:24" x14ac:dyDescent="0.25">
      <c r="A37" s="1218">
        <f>[1]IBRF!$B$5</f>
        <v>41734</v>
      </c>
      <c r="B37" s="1221">
        <f t="shared" si="0"/>
        <v>0.83333333333333337</v>
      </c>
      <c r="C37" s="1219">
        <v>1</v>
      </c>
      <c r="D37" s="1219">
        <f ca="1">IF(ScoreData[[#This Row],[Passed?]],D36,INDIRECT($X$24&amp;ScoreData[[#This Row],[Jam]]&amp;ScoreData[[#This Row],[RefRow]]))</f>
        <v>0</v>
      </c>
      <c r="E37" s="1219" t="str">
        <f t="shared" si="1"/>
        <v>Plan B</v>
      </c>
      <c r="F37" s="1219" t="str">
        <f ca="1">IF(INDIRECT($X$24&amp;ScoreData[[#This Row],[Jammer]]&amp;ScoreData[[#This Row],[RefRow]])=0,"",INDIRECT($X$24&amp;ScoreData[[#This Row],[Jammer]]&amp;ScoreData[[#This Row],[RefRow]]))</f>
        <v/>
      </c>
      <c r="G37" s="1219" t="str">
        <f ca="1">IF(INDIRECT($X$24&amp;ScoreData[[#This Row],[Lead]]&amp;ScoreData[[#This Row],[RefRow]])="X","YES","NO")</f>
        <v>NO</v>
      </c>
      <c r="H37" s="1219" t="str">
        <f ca="1">IF(INDIRECT($X$24&amp;ScoreData[[#This Row],[Call]]&amp;ScoreData[[#This Row],[RefRow]])="X","YES","NO")</f>
        <v>NO</v>
      </c>
      <c r="I37" s="1219">
        <f ca="1">INDIRECT($X$24&amp;ScoreData[[#This Row],[Pass]]&amp;ScoreData[[#This Row],[RefRow]])</f>
        <v>0</v>
      </c>
      <c r="J37" s="1219" t="str">
        <f ca="1">IF(INDIRECT($X$24&amp;ScoreData[[#This Row],[Point]]&amp;ScoreData[[#This Row],[RefRow]])=0,"",INDIRECT($X$24&amp;ScoreData[[#This Row],[Point]]&amp;ScoreData[[#This Row],[RefRow]]))</f>
        <v/>
      </c>
      <c r="K37" s="1219" t="b">
        <f ca="1">IF(OR(INDIRECT($X$24&amp;ScoreData[[#This Row],[Jam]]&amp;ScoreData[[#This Row],[RefRow]])="SP",INDIRECT($X$24&amp;ScoreData[[#This Row],[Jam]]&amp;ScoreData[[#This Row],[RefRow]])="SP*"),TRUE,FALSE)</f>
        <v>0</v>
      </c>
      <c r="L37" s="1219" t="b">
        <v>1</v>
      </c>
      <c r="M37" s="1219" t="str">
        <f t="array" ref="M37">IFERROR(INDEX(ScoreSearch[],MATCH(ScoreData[[#This Row],[Home?]]&amp;ScoreData[[#Headers],[Jam]],ScoreSearch[Home?]&amp;ScoreSearch[Item],1),3),"")</f>
        <v>$A</v>
      </c>
      <c r="N37" s="1219" t="str">
        <f t="array" ref="N37">IFERROR(INDEX(ScoreSearch[],MATCH(ScoreData[[#This Row],[Home?]]&amp;ScoreData[[#Headers],[Jammer]],ScoreSearch[Home?]&amp;ScoreSearch[Item],1),3),"")</f>
        <v>$B</v>
      </c>
      <c r="O37" s="1219" t="str">
        <f t="array" ref="O37">IFERROR(INDEX(ScoreSearch[],MATCH(ScoreData[[#This Row],[Home?]]&amp;ScoreData[[#Headers],[Lead]],ScoreSearch[Home?]&amp;ScoreSearch[Item],1),3),"")</f>
        <v>$D</v>
      </c>
      <c r="P37" s="1219" t="str">
        <f t="array" ref="P37">IFERROR(INDEX(ScoreSearch[],MATCH(ScoreData[[#This Row],[Home?]]&amp;ScoreData[[#Headers],[Call]],ScoreSearch[Home?]&amp;ScoreSearch[Item],1),3),"")</f>
        <v>$E</v>
      </c>
      <c r="Q37" s="1219" t="str">
        <f t="array" ref="Q37">IFERROR(INDEX(ScoreSearch[],MATCH(ScoreData[[#This Row],[Home?]]&amp;ScoreData[[#Headers],[Penalty]],ScoreSearch[Home?]&amp;ScoreSearch[Item],1),3),"")</f>
        <v>$G</v>
      </c>
      <c r="R37" s="1222" t="str">
        <f t="array" ref="R37">IFERROR(INDEX(ScoreSearch[],MATCH(ScoreData[[#This Row],[Home?]]&amp;ScoreData[[#Headers],[Point]],ScoreSearch[Home?]&amp;ScoreSearch[Item],1),3),"")</f>
        <v>$Q</v>
      </c>
      <c r="S37" s="1222" t="str">
        <f t="array" ref="S37">IFERROR(INDEX(ScoreSearch[],MATCH(ScoreData[[#This Row],[Home?]]&amp;ScoreData[[#Headers],[Pass]],ScoreSearch[Home?]&amp;ScoreSearch[Item],1),3),"")</f>
        <v>$S</v>
      </c>
      <c r="T37" s="1219">
        <v>39</v>
      </c>
      <c r="V37" s="1209" t="b">
        <v>1</v>
      </c>
      <c r="W37" s="1209" t="s">
        <v>25</v>
      </c>
      <c r="X37" s="1226" t="s">
        <v>697</v>
      </c>
    </row>
    <row r="38" spans="1:24" x14ac:dyDescent="0.25">
      <c r="A38" s="1218">
        <f>[1]IBRF!$B$5</f>
        <v>41734</v>
      </c>
      <c r="B38" s="1221">
        <f t="shared" si="0"/>
        <v>0.83333333333333337</v>
      </c>
      <c r="C38" s="1219">
        <v>1</v>
      </c>
      <c r="D38" s="1219">
        <f ca="1">IF(ScoreData[[#This Row],[Passed?]],D37,INDIRECT($X$24&amp;ScoreData[[#This Row],[Jam]]&amp;ScoreData[[#This Row],[RefRow]]))</f>
        <v>0</v>
      </c>
      <c r="E38" s="1219" t="str">
        <f t="shared" si="1"/>
        <v>Plan B</v>
      </c>
      <c r="F38" s="1219" t="str">
        <f ca="1">IF(INDIRECT($X$24&amp;ScoreData[[#This Row],[Jammer]]&amp;ScoreData[[#This Row],[RefRow]])=0,"",INDIRECT($X$24&amp;ScoreData[[#This Row],[Jammer]]&amp;ScoreData[[#This Row],[RefRow]]))</f>
        <v/>
      </c>
      <c r="G38" s="1219" t="str">
        <f ca="1">IF(INDIRECT($X$24&amp;ScoreData[[#This Row],[Lead]]&amp;ScoreData[[#This Row],[RefRow]])="X","YES","NO")</f>
        <v>NO</v>
      </c>
      <c r="H38" s="1219" t="str">
        <f ca="1">IF(INDIRECT($X$24&amp;ScoreData[[#This Row],[Call]]&amp;ScoreData[[#This Row],[RefRow]])="X","YES","NO")</f>
        <v>NO</v>
      </c>
      <c r="I38" s="1219">
        <f ca="1">INDIRECT($X$24&amp;ScoreData[[#This Row],[Pass]]&amp;ScoreData[[#This Row],[RefRow]])</f>
        <v>0</v>
      </c>
      <c r="J38" s="1219" t="str">
        <f ca="1">IF(INDIRECT($X$24&amp;ScoreData[[#This Row],[Point]]&amp;ScoreData[[#This Row],[RefRow]])=0,"",INDIRECT($X$24&amp;ScoreData[[#This Row],[Point]]&amp;ScoreData[[#This Row],[RefRow]]))</f>
        <v/>
      </c>
      <c r="K38" s="1219" t="b">
        <f ca="1">IF(OR(INDIRECT($X$24&amp;ScoreData[[#This Row],[Jam]]&amp;ScoreData[[#This Row],[RefRow]])="SP",INDIRECT($X$24&amp;ScoreData[[#This Row],[Jam]]&amp;ScoreData[[#This Row],[RefRow]])="SP*"),TRUE,FALSE)</f>
        <v>0</v>
      </c>
      <c r="L38" s="1219" t="b">
        <v>1</v>
      </c>
      <c r="M38" s="1219" t="str">
        <f t="array" ref="M38">IFERROR(INDEX(ScoreSearch[],MATCH(ScoreData[[#This Row],[Home?]]&amp;ScoreData[[#Headers],[Jam]],ScoreSearch[Home?]&amp;ScoreSearch[Item],1),3),"")</f>
        <v>$A</v>
      </c>
      <c r="N38" s="1219" t="str">
        <f t="array" ref="N38">IFERROR(INDEX(ScoreSearch[],MATCH(ScoreData[[#This Row],[Home?]]&amp;ScoreData[[#Headers],[Jammer]],ScoreSearch[Home?]&amp;ScoreSearch[Item],1),3),"")</f>
        <v>$B</v>
      </c>
      <c r="O38" s="1219" t="str">
        <f t="array" ref="O38">IFERROR(INDEX(ScoreSearch[],MATCH(ScoreData[[#This Row],[Home?]]&amp;ScoreData[[#Headers],[Lead]],ScoreSearch[Home?]&amp;ScoreSearch[Item],1),3),"")</f>
        <v>$D</v>
      </c>
      <c r="P38" s="1219" t="str">
        <f t="array" ref="P38">IFERROR(INDEX(ScoreSearch[],MATCH(ScoreData[[#This Row],[Home?]]&amp;ScoreData[[#Headers],[Call]],ScoreSearch[Home?]&amp;ScoreSearch[Item],1),3),"")</f>
        <v>$E</v>
      </c>
      <c r="Q38" s="1219" t="str">
        <f t="array" ref="Q38">IFERROR(INDEX(ScoreSearch[],MATCH(ScoreData[[#This Row],[Home?]]&amp;ScoreData[[#Headers],[Penalty]],ScoreSearch[Home?]&amp;ScoreSearch[Item],1),3),"")</f>
        <v>$G</v>
      </c>
      <c r="R38" s="1222" t="str">
        <f t="array" ref="R38">IFERROR(INDEX(ScoreSearch[],MATCH(ScoreData[[#This Row],[Home?]]&amp;ScoreData[[#Headers],[Point]],ScoreSearch[Home?]&amp;ScoreSearch[Item],1),3),"")</f>
        <v>$Q</v>
      </c>
      <c r="S38" s="1222" t="str">
        <f t="array" ref="S38">IFERROR(INDEX(ScoreSearch[],MATCH(ScoreData[[#This Row],[Home?]]&amp;ScoreData[[#Headers],[Pass]],ScoreSearch[Home?]&amp;ScoreSearch[Item],1),3),"")</f>
        <v>$S</v>
      </c>
      <c r="T38" s="1219">
        <v>40</v>
      </c>
      <c r="V38" s="1209" t="b">
        <v>1</v>
      </c>
      <c r="W38" s="1216" t="s">
        <v>681</v>
      </c>
      <c r="X38" s="1209" t="s">
        <v>698</v>
      </c>
    </row>
    <row r="39" spans="1:24" x14ac:dyDescent="0.25">
      <c r="A39" s="1218">
        <f>[1]IBRF!$B$5</f>
        <v>41734</v>
      </c>
      <c r="B39" s="1221">
        <f t="shared" si="0"/>
        <v>0.83333333333333337</v>
      </c>
      <c r="C39" s="1219">
        <v>1</v>
      </c>
      <c r="D39" s="1219">
        <f ca="1">IF(ScoreData[[#This Row],[Passed?]],D38,INDIRECT($X$24&amp;ScoreData[[#This Row],[Jam]]&amp;ScoreData[[#This Row],[RefRow]]))</f>
        <v>0</v>
      </c>
      <c r="E39" s="1219" t="str">
        <f t="shared" si="1"/>
        <v>Plan B</v>
      </c>
      <c r="F39" s="1219" t="str">
        <f ca="1">IF(INDIRECT($X$24&amp;ScoreData[[#This Row],[Jammer]]&amp;ScoreData[[#This Row],[RefRow]])=0,"",INDIRECT($X$24&amp;ScoreData[[#This Row],[Jammer]]&amp;ScoreData[[#This Row],[RefRow]]))</f>
        <v/>
      </c>
      <c r="G39" s="1219" t="str">
        <f ca="1">IF(INDIRECT($X$24&amp;ScoreData[[#This Row],[Lead]]&amp;ScoreData[[#This Row],[RefRow]])="X","YES","NO")</f>
        <v>NO</v>
      </c>
      <c r="H39" s="1219" t="str">
        <f ca="1">IF(INDIRECT($X$24&amp;ScoreData[[#This Row],[Call]]&amp;ScoreData[[#This Row],[RefRow]])="X","YES","NO")</f>
        <v>NO</v>
      </c>
      <c r="I39" s="1219">
        <f ca="1">INDIRECT($X$24&amp;ScoreData[[#This Row],[Pass]]&amp;ScoreData[[#This Row],[RefRow]])</f>
        <v>0</v>
      </c>
      <c r="J39" s="1219" t="str">
        <f ca="1">IF(INDIRECT($X$24&amp;ScoreData[[#This Row],[Point]]&amp;ScoreData[[#This Row],[RefRow]])=0,"",INDIRECT($X$24&amp;ScoreData[[#This Row],[Point]]&amp;ScoreData[[#This Row],[RefRow]]))</f>
        <v/>
      </c>
      <c r="K39" s="1219" t="b">
        <f ca="1">IF(OR(INDIRECT($X$24&amp;ScoreData[[#This Row],[Jam]]&amp;ScoreData[[#This Row],[RefRow]])="SP",INDIRECT($X$24&amp;ScoreData[[#This Row],[Jam]]&amp;ScoreData[[#This Row],[RefRow]])="SP*"),TRUE,FALSE)</f>
        <v>0</v>
      </c>
      <c r="L39" s="1219" t="b">
        <v>1</v>
      </c>
      <c r="M39" s="1219" t="str">
        <f t="array" ref="M39">IFERROR(INDEX(ScoreSearch[],MATCH(ScoreData[[#This Row],[Home?]]&amp;ScoreData[[#Headers],[Jam]],ScoreSearch[Home?]&amp;ScoreSearch[Item],1),3),"")</f>
        <v>$A</v>
      </c>
      <c r="N39" s="1219" t="str">
        <f t="array" ref="N39">IFERROR(INDEX(ScoreSearch[],MATCH(ScoreData[[#This Row],[Home?]]&amp;ScoreData[[#Headers],[Jammer]],ScoreSearch[Home?]&amp;ScoreSearch[Item],1),3),"")</f>
        <v>$B</v>
      </c>
      <c r="O39" s="1219" t="str">
        <f t="array" ref="O39">IFERROR(INDEX(ScoreSearch[],MATCH(ScoreData[[#This Row],[Home?]]&amp;ScoreData[[#Headers],[Lead]],ScoreSearch[Home?]&amp;ScoreSearch[Item],1),3),"")</f>
        <v>$D</v>
      </c>
      <c r="P39" s="1219" t="str">
        <f t="array" ref="P39">IFERROR(INDEX(ScoreSearch[],MATCH(ScoreData[[#This Row],[Home?]]&amp;ScoreData[[#Headers],[Call]],ScoreSearch[Home?]&amp;ScoreSearch[Item],1),3),"")</f>
        <v>$E</v>
      </c>
      <c r="Q39" s="1219" t="str">
        <f t="array" ref="Q39">IFERROR(INDEX(ScoreSearch[],MATCH(ScoreData[[#This Row],[Home?]]&amp;ScoreData[[#Headers],[Penalty]],ScoreSearch[Home?]&amp;ScoreSearch[Item],1),3),"")</f>
        <v>$G</v>
      </c>
      <c r="R39" s="1222" t="str">
        <f t="array" ref="R39">IFERROR(INDEX(ScoreSearch[],MATCH(ScoreData[[#This Row],[Home?]]&amp;ScoreData[[#Headers],[Point]],ScoreSearch[Home?]&amp;ScoreSearch[Item],1),3),"")</f>
        <v>$Q</v>
      </c>
      <c r="S39" s="1222" t="str">
        <f t="array" ref="S39">IFERROR(INDEX(ScoreSearch[],MATCH(ScoreData[[#This Row],[Home?]]&amp;ScoreData[[#Headers],[Pass]],ScoreSearch[Home?]&amp;ScoreSearch[Item],1),3),"")</f>
        <v>$S</v>
      </c>
      <c r="T39" s="1219">
        <v>41</v>
      </c>
      <c r="V39" s="1209" t="b">
        <v>1</v>
      </c>
      <c r="W39" s="1216" t="s">
        <v>679</v>
      </c>
      <c r="X39" s="1216" t="s">
        <v>699</v>
      </c>
    </row>
    <row r="40" spans="1:24" x14ac:dyDescent="0.25">
      <c r="A40" s="1218">
        <f>[1]IBRF!$B$5</f>
        <v>41734</v>
      </c>
      <c r="B40" s="1221">
        <f t="shared" si="0"/>
        <v>0.83333333333333337</v>
      </c>
      <c r="C40" s="1219">
        <v>1</v>
      </c>
      <c r="D40" s="1219">
        <f ca="1">IF(ScoreData[[#This Row],[Passed?]],D39,INDIRECT($X$24&amp;ScoreData[[#This Row],[Jam]]&amp;ScoreData[[#This Row],[RefRow]]))</f>
        <v>1</v>
      </c>
      <c r="E40" s="1219" t="str">
        <f>$X$3</f>
        <v>Harlots</v>
      </c>
      <c r="F40" s="1219" t="str">
        <f ca="1">IF(INDIRECT($X$24&amp;ScoreData[[#This Row],[Jammer]]&amp;ScoreData[[#This Row],[RefRow]])=0,"",INDIRECT($X$24&amp;ScoreData[[#This Row],[Jammer]]&amp;ScoreData[[#This Row],[RefRow]]))</f>
        <v>11G6</v>
      </c>
      <c r="G40" s="1219" t="str">
        <f ca="1">IF(INDIRECT($X$24&amp;ScoreData[[#This Row],[Lead]]&amp;ScoreData[[#This Row],[RefRow]])="X","YES","NO")</f>
        <v>NO</v>
      </c>
      <c r="H40" s="1219" t="str">
        <f ca="1">IF(INDIRECT($X$24&amp;ScoreData[[#This Row],[Call]]&amp;ScoreData[[#This Row],[RefRow]])="X","YES","NO")</f>
        <v>NO</v>
      </c>
      <c r="I40" s="1219">
        <f ca="1">INDIRECT($X$24&amp;ScoreData[[#This Row],[Pass]]&amp;ScoreData[[#This Row],[RefRow]])</f>
        <v>2</v>
      </c>
      <c r="J40" s="1219">
        <f ca="1">IF(INDIRECT($X$24&amp;ScoreData[[#This Row],[Point]]&amp;ScoreData[[#This Row],[RefRow]])=0,"",INDIRECT($X$24&amp;ScoreData[[#This Row],[Point]]&amp;ScoreData[[#This Row],[RefRow]]))</f>
        <v>4</v>
      </c>
      <c r="K40" s="1219" t="b">
        <f ca="1">IF(OR(INDIRECT($X$24&amp;ScoreData[[#This Row],[Jam]]&amp;ScoreData[[#This Row],[RefRow]])="SP",INDIRECT($X$24&amp;ScoreData[[#This Row],[Jam]]&amp;ScoreData[[#This Row],[RefRow]])="SP*"),TRUE,FALSE)</f>
        <v>0</v>
      </c>
      <c r="L40" s="1219" t="b">
        <v>0</v>
      </c>
      <c r="M40" s="1219" t="str">
        <f t="array" ref="M40">IFERROR(INDEX(ScoreSearch[],MATCH(ScoreData[[#This Row],[Home?]]&amp;ScoreData[[#Headers],[Jam]],ScoreSearch[Home?]&amp;ScoreSearch[Item],1),3),"")</f>
        <v>$T</v>
      </c>
      <c r="N40" s="1219" t="str">
        <f t="array" ref="N40">IFERROR(INDEX(ScoreSearch[],MATCH(ScoreData[[#This Row],[Home?]]&amp;ScoreData[[#Headers],[Jammer]],ScoreSearch[Home?]&amp;ScoreSearch[Item],1),3),"")</f>
        <v>$U</v>
      </c>
      <c r="O40" s="1219" t="str">
        <f t="array" ref="O40">IFERROR(INDEX(ScoreSearch[],MATCH(ScoreData[[#This Row],[Home?]]&amp;ScoreData[[#Headers],[Lead]],ScoreSearch[Home?]&amp;ScoreSearch[Item],1),3),"")</f>
        <v>$W</v>
      </c>
      <c r="P40" s="1219" t="str">
        <f t="array" ref="P40">IFERROR(INDEX(ScoreSearch[],MATCH(ScoreData[[#This Row],[Home?]]&amp;ScoreData[[#Headers],[Call]],ScoreSearch[Home?]&amp;ScoreSearch[Item],1),3),"")</f>
        <v>$X</v>
      </c>
      <c r="Q40" s="1219" t="str">
        <f t="array" ref="Q40">IFERROR(INDEX(ScoreSearch[],MATCH(ScoreData[[#This Row],[Home?]]&amp;ScoreData[[#Headers],[Penalty]],ScoreSearch[Home?]&amp;ScoreSearch[Item],1),3),"")</f>
        <v>$Z</v>
      </c>
      <c r="R40" s="1222" t="str">
        <f t="array" ref="R40">IFERROR(INDEX(ScoreSearch[],MATCH(ScoreData[[#This Row],[Home?]]&amp;ScoreData[[#Headers],[Point]],ScoreSearch[Home?]&amp;ScoreSearch[Item],1),3),"")</f>
        <v>$AJ</v>
      </c>
      <c r="S40" s="1222" t="str">
        <f t="array" ref="S40">IFERROR(INDEX(ScoreSearch[],MATCH(ScoreData[[#This Row],[Home?]]&amp;ScoreData[[#Headers],[Pass]],ScoreSearch[Home?]&amp;ScoreSearch[Item],1),3),"")</f>
        <v>$AL</v>
      </c>
      <c r="T40" s="1219">
        <v>4</v>
      </c>
      <c r="V40" s="1209" t="b">
        <v>1</v>
      </c>
      <c r="W40" s="1216" t="s">
        <v>680</v>
      </c>
      <c r="X40" s="1209" t="s">
        <v>700</v>
      </c>
    </row>
    <row r="41" spans="1:24" x14ac:dyDescent="0.25">
      <c r="A41" s="1218">
        <f>[1]IBRF!$B$5</f>
        <v>41734</v>
      </c>
      <c r="B41" s="1221">
        <f t="shared" si="0"/>
        <v>0.83333333333333337</v>
      </c>
      <c r="C41" s="1219">
        <v>1</v>
      </c>
      <c r="D41" s="1219">
        <f ca="1">IF(ScoreData[[#This Row],[Passed?]],D40,INDIRECT($X$24&amp;ScoreData[[#This Row],[Jam]]&amp;ScoreData[[#This Row],[RefRow]]))</f>
        <v>2</v>
      </c>
      <c r="E41" s="1219" t="str">
        <f t="shared" ref="E41:E77" si="2">$X$3</f>
        <v>Harlots</v>
      </c>
      <c r="F41" s="1219" t="str">
        <f ca="1">IF(INDIRECT($X$24&amp;ScoreData[[#This Row],[Jammer]]&amp;ScoreData[[#This Row],[RefRow]])=0,"",INDIRECT($X$24&amp;ScoreData[[#This Row],[Jammer]]&amp;ScoreData[[#This Row],[RefRow]]))</f>
        <v>58</v>
      </c>
      <c r="G41" s="1223" t="str">
        <f ca="1">IF(INDIRECT($X$24&amp;ScoreData[[#This Row],[Lead]]&amp;ScoreData[[#This Row],[RefRow]])="X","YES","NO")</f>
        <v>NO</v>
      </c>
      <c r="H41" s="1223" t="str">
        <f ca="1">IF(INDIRECT($X$24&amp;ScoreData[[#This Row],[Call]]&amp;ScoreData[[#This Row],[RefRow]])="X","YES","NO")</f>
        <v>NO</v>
      </c>
      <c r="I41" s="1223">
        <f ca="1">INDIRECT($X$24&amp;ScoreData[[#This Row],[Pass]]&amp;ScoreData[[#This Row],[RefRow]])</f>
        <v>0</v>
      </c>
      <c r="J41" s="1223" t="str">
        <f ca="1">IF(INDIRECT($X$24&amp;ScoreData[[#This Row],[Point]]&amp;ScoreData[[#This Row],[RefRow]])=0,"",INDIRECT($X$24&amp;ScoreData[[#This Row],[Point]]&amp;ScoreData[[#This Row],[RefRow]]))</f>
        <v/>
      </c>
      <c r="K41" s="1219" t="b">
        <f ca="1">IF(OR(INDIRECT($X$24&amp;ScoreData[[#This Row],[Jam]]&amp;ScoreData[[#This Row],[RefRow]])="SP",INDIRECT($X$24&amp;ScoreData[[#This Row],[Jam]]&amp;ScoreData[[#This Row],[RefRow]])="SP*"),TRUE,FALSE)</f>
        <v>0</v>
      </c>
      <c r="L41" s="1219" t="b">
        <v>0</v>
      </c>
      <c r="M41" s="1219" t="str">
        <f t="array" ref="M41">IFERROR(INDEX(ScoreSearch[],MATCH(ScoreData[[#This Row],[Home?]]&amp;ScoreData[[#Headers],[Jam]],ScoreSearch[Home?]&amp;ScoreSearch[Item],1),3),"")</f>
        <v>$T</v>
      </c>
      <c r="N41" s="1219" t="str">
        <f t="array" ref="N41">IFERROR(INDEX(ScoreSearch[],MATCH(ScoreData[[#This Row],[Home?]]&amp;ScoreData[[#Headers],[Jammer]],ScoreSearch[Home?]&amp;ScoreSearch[Item],1),3),"")</f>
        <v>$U</v>
      </c>
      <c r="O41" s="1219" t="str">
        <f t="array" ref="O41">IFERROR(INDEX(ScoreSearch[],MATCH(ScoreData[[#This Row],[Home?]]&amp;ScoreData[[#Headers],[Lead]],ScoreSearch[Home?]&amp;ScoreSearch[Item],1),3),"")</f>
        <v>$W</v>
      </c>
      <c r="P41" s="1219" t="str">
        <f t="array" ref="P41">IFERROR(INDEX(ScoreSearch[],MATCH(ScoreData[[#This Row],[Home?]]&amp;ScoreData[[#Headers],[Call]],ScoreSearch[Home?]&amp;ScoreSearch[Item],1),3),"")</f>
        <v>$X</v>
      </c>
      <c r="Q41" s="1219" t="str">
        <f t="array" ref="Q41">IFERROR(INDEX(ScoreSearch[],MATCH(ScoreData[[#This Row],[Home?]]&amp;ScoreData[[#Headers],[Penalty]],ScoreSearch[Home?]&amp;ScoreSearch[Item],1),3),"")</f>
        <v>$Z</v>
      </c>
      <c r="R41" s="1222" t="str">
        <f t="array" ref="R41">IFERROR(INDEX(ScoreSearch[],MATCH(ScoreData[[#This Row],[Home?]]&amp;ScoreData[[#Headers],[Point]],ScoreSearch[Home?]&amp;ScoreSearch[Item],1),3),"")</f>
        <v>$AJ</v>
      </c>
      <c r="S41" s="1222" t="str">
        <f t="array" ref="S41">IFERROR(INDEX(ScoreSearch[],MATCH(ScoreData[[#This Row],[Home?]]&amp;ScoreData[[#Headers],[Pass]],ScoreSearch[Home?]&amp;ScoreSearch[Item],1),3),"")</f>
        <v>$AL</v>
      </c>
      <c r="T41" s="1219">
        <v>5</v>
      </c>
      <c r="V41" s="1204"/>
      <c r="W41" s="1216"/>
    </row>
    <row r="42" spans="1:24" x14ac:dyDescent="0.25">
      <c r="A42" s="1218">
        <f>[1]IBRF!$B$5</f>
        <v>41734</v>
      </c>
      <c r="B42" s="1221">
        <f t="shared" si="0"/>
        <v>0.83333333333333337</v>
      </c>
      <c r="C42" s="1219">
        <v>1</v>
      </c>
      <c r="D42" s="1219">
        <f ca="1">IF(ScoreData[[#This Row],[Passed?]],D41,INDIRECT($X$24&amp;ScoreData[[#This Row],[Jam]]&amp;ScoreData[[#This Row],[RefRow]]))</f>
        <v>3</v>
      </c>
      <c r="E42" s="1219" t="str">
        <f t="shared" si="2"/>
        <v>Harlots</v>
      </c>
      <c r="F42" s="1219" t="str">
        <f ca="1">IF(INDIRECT($X$24&amp;ScoreData[[#This Row],[Jammer]]&amp;ScoreData[[#This Row],[RefRow]])=0,"",INDIRECT($X$24&amp;ScoreData[[#This Row],[Jammer]]&amp;ScoreData[[#This Row],[RefRow]]))</f>
        <v>K9</v>
      </c>
      <c r="G42" s="1219" t="str">
        <f ca="1">IF(INDIRECT($X$24&amp;ScoreData[[#This Row],[Lead]]&amp;ScoreData[[#This Row],[RefRow]])="X","YES","NO")</f>
        <v>NO</v>
      </c>
      <c r="H42" s="1219" t="str">
        <f ca="1">IF(INDIRECT($X$24&amp;ScoreData[[#This Row],[Call]]&amp;ScoreData[[#This Row],[RefRow]])="X","YES","NO")</f>
        <v>NO</v>
      </c>
      <c r="I42" s="1219">
        <f ca="1">INDIRECT($X$24&amp;ScoreData[[#This Row],[Pass]]&amp;ScoreData[[#This Row],[RefRow]])</f>
        <v>1</v>
      </c>
      <c r="J42" s="1219" t="str">
        <f ca="1">IF(INDIRECT($X$24&amp;ScoreData[[#This Row],[Point]]&amp;ScoreData[[#This Row],[RefRow]])=0,"",INDIRECT($X$24&amp;ScoreData[[#This Row],[Point]]&amp;ScoreData[[#This Row],[RefRow]]))</f>
        <v/>
      </c>
      <c r="K42" s="1219" t="b">
        <f ca="1">IF(OR(INDIRECT($X$24&amp;ScoreData[[#This Row],[Jam]]&amp;ScoreData[[#This Row],[RefRow]])="SP",INDIRECT($X$24&amp;ScoreData[[#This Row],[Jam]]&amp;ScoreData[[#This Row],[RefRow]])="SP*"),TRUE,FALSE)</f>
        <v>0</v>
      </c>
      <c r="L42" s="1219" t="b">
        <v>0</v>
      </c>
      <c r="M42" s="1219" t="str">
        <f t="array" ref="M42">IFERROR(INDEX(ScoreSearch[],MATCH(ScoreData[[#This Row],[Home?]]&amp;ScoreData[[#Headers],[Jam]],ScoreSearch[Home?]&amp;ScoreSearch[Item],1),3),"")</f>
        <v>$T</v>
      </c>
      <c r="N42" s="1219" t="str">
        <f t="array" ref="N42">IFERROR(INDEX(ScoreSearch[],MATCH(ScoreData[[#This Row],[Home?]]&amp;ScoreData[[#Headers],[Jammer]],ScoreSearch[Home?]&amp;ScoreSearch[Item],1),3),"")</f>
        <v>$U</v>
      </c>
      <c r="O42" s="1219" t="str">
        <f t="array" ref="O42">IFERROR(INDEX(ScoreSearch[],MATCH(ScoreData[[#This Row],[Home?]]&amp;ScoreData[[#Headers],[Lead]],ScoreSearch[Home?]&amp;ScoreSearch[Item],1),3),"")</f>
        <v>$W</v>
      </c>
      <c r="P42" s="1219" t="str">
        <f t="array" ref="P42">IFERROR(INDEX(ScoreSearch[],MATCH(ScoreData[[#This Row],[Home?]]&amp;ScoreData[[#Headers],[Call]],ScoreSearch[Home?]&amp;ScoreSearch[Item],1),3),"")</f>
        <v>$X</v>
      </c>
      <c r="Q42" s="1219" t="str">
        <f t="array" ref="Q42">IFERROR(INDEX(ScoreSearch[],MATCH(ScoreData[[#This Row],[Home?]]&amp;ScoreData[[#Headers],[Penalty]],ScoreSearch[Home?]&amp;ScoreSearch[Item],1),3),"")</f>
        <v>$Z</v>
      </c>
      <c r="R42" s="1222" t="str">
        <f t="array" ref="R42">IFERROR(INDEX(ScoreSearch[],MATCH(ScoreData[[#This Row],[Home?]]&amp;ScoreData[[#Headers],[Point]],ScoreSearch[Home?]&amp;ScoreSearch[Item],1),3),"")</f>
        <v>$AJ</v>
      </c>
      <c r="S42" s="1222" t="str">
        <f t="array" ref="S42">IFERROR(INDEX(ScoreSearch[],MATCH(ScoreData[[#This Row],[Home?]]&amp;ScoreData[[#Headers],[Pass]],ScoreSearch[Home?]&amp;ScoreSearch[Item],1),3),"")</f>
        <v>$AL</v>
      </c>
      <c r="T42" s="1219">
        <v>6</v>
      </c>
      <c r="V42" s="1214"/>
    </row>
    <row r="43" spans="1:24" x14ac:dyDescent="0.25">
      <c r="A43" s="1218">
        <f>[1]IBRF!$B$5</f>
        <v>41734</v>
      </c>
      <c r="B43" s="1221">
        <f t="shared" si="0"/>
        <v>0.83333333333333337</v>
      </c>
      <c r="C43" s="1219">
        <v>1</v>
      </c>
      <c r="D43" s="1219">
        <f ca="1">IF(ScoreData[[#This Row],[Passed?]],D42,INDIRECT($X$24&amp;ScoreData[[#This Row],[Jam]]&amp;ScoreData[[#This Row],[RefRow]]))</f>
        <v>4</v>
      </c>
      <c r="E43" s="1219" t="str">
        <f t="shared" si="2"/>
        <v>Harlots</v>
      </c>
      <c r="F43" s="1219" t="str">
        <f ca="1">IF(INDIRECT($X$24&amp;ScoreData[[#This Row],[Jammer]]&amp;ScoreData[[#This Row],[RefRow]])=0,"",INDIRECT($X$24&amp;ScoreData[[#This Row],[Jammer]]&amp;ScoreData[[#This Row],[RefRow]]))</f>
        <v>451</v>
      </c>
      <c r="G43" s="1219" t="str">
        <f ca="1">IF(INDIRECT($X$24&amp;ScoreData[[#This Row],[Lead]]&amp;ScoreData[[#This Row],[RefRow]])="X","YES","NO")</f>
        <v>NO</v>
      </c>
      <c r="H43" s="1219" t="str">
        <f ca="1">IF(INDIRECT($X$24&amp;ScoreData[[#This Row],[Call]]&amp;ScoreData[[#This Row],[RefRow]])="X","YES","NO")</f>
        <v>NO</v>
      </c>
      <c r="I43" s="1219">
        <f ca="1">INDIRECT($X$24&amp;ScoreData[[#This Row],[Pass]]&amp;ScoreData[[#This Row],[RefRow]])</f>
        <v>1</v>
      </c>
      <c r="J43" s="1219" t="str">
        <f ca="1">IF(INDIRECT($X$24&amp;ScoreData[[#This Row],[Point]]&amp;ScoreData[[#This Row],[RefRow]])=0,"",INDIRECT($X$24&amp;ScoreData[[#This Row],[Point]]&amp;ScoreData[[#This Row],[RefRow]]))</f>
        <v/>
      </c>
      <c r="K43" s="1219" t="b">
        <f ca="1">IF(OR(INDIRECT($X$24&amp;ScoreData[[#This Row],[Jam]]&amp;ScoreData[[#This Row],[RefRow]])="SP",INDIRECT($X$24&amp;ScoreData[[#This Row],[Jam]]&amp;ScoreData[[#This Row],[RefRow]])="SP*"),TRUE,FALSE)</f>
        <v>0</v>
      </c>
      <c r="L43" s="1219" t="b">
        <v>0</v>
      </c>
      <c r="M43" s="1219" t="str">
        <f t="array" ref="M43">IFERROR(INDEX(ScoreSearch[],MATCH(ScoreData[[#This Row],[Home?]]&amp;ScoreData[[#Headers],[Jam]],ScoreSearch[Home?]&amp;ScoreSearch[Item],1),3),"")</f>
        <v>$T</v>
      </c>
      <c r="N43" s="1219" t="str">
        <f t="array" ref="N43">IFERROR(INDEX(ScoreSearch[],MATCH(ScoreData[[#This Row],[Home?]]&amp;ScoreData[[#Headers],[Jammer]],ScoreSearch[Home?]&amp;ScoreSearch[Item],1),3),"")</f>
        <v>$U</v>
      </c>
      <c r="O43" s="1219" t="str">
        <f t="array" ref="O43">IFERROR(INDEX(ScoreSearch[],MATCH(ScoreData[[#This Row],[Home?]]&amp;ScoreData[[#Headers],[Lead]],ScoreSearch[Home?]&amp;ScoreSearch[Item],1),3),"")</f>
        <v>$W</v>
      </c>
      <c r="P43" s="1219" t="str">
        <f t="array" ref="P43">IFERROR(INDEX(ScoreSearch[],MATCH(ScoreData[[#This Row],[Home?]]&amp;ScoreData[[#Headers],[Call]],ScoreSearch[Home?]&amp;ScoreSearch[Item],1),3),"")</f>
        <v>$X</v>
      </c>
      <c r="Q43" s="1219" t="str">
        <f t="array" ref="Q43">IFERROR(INDEX(ScoreSearch[],MATCH(ScoreData[[#This Row],[Home?]]&amp;ScoreData[[#Headers],[Penalty]],ScoreSearch[Home?]&amp;ScoreSearch[Item],1),3),"")</f>
        <v>$Z</v>
      </c>
      <c r="R43" s="1222" t="str">
        <f t="array" ref="R43">IFERROR(INDEX(ScoreSearch[],MATCH(ScoreData[[#This Row],[Home?]]&amp;ScoreData[[#Headers],[Point]],ScoreSearch[Home?]&amp;ScoreSearch[Item],1),3),"")</f>
        <v>$AJ</v>
      </c>
      <c r="S43" s="1222" t="str">
        <f t="array" ref="S43">IFERROR(INDEX(ScoreSearch[],MATCH(ScoreData[[#This Row],[Home?]]&amp;ScoreData[[#Headers],[Pass]],ScoreSearch[Home?]&amp;ScoreSearch[Item],1),3),"")</f>
        <v>$AL</v>
      </c>
      <c r="T43" s="1219">
        <v>7</v>
      </c>
      <c r="V43" s="1204"/>
      <c r="W43" s="1204"/>
    </row>
    <row r="44" spans="1:24" x14ac:dyDescent="0.25">
      <c r="A44" s="1218">
        <f>[1]IBRF!$B$5</f>
        <v>41734</v>
      </c>
      <c r="B44" s="1221">
        <f t="shared" si="0"/>
        <v>0.83333333333333337</v>
      </c>
      <c r="C44" s="1219">
        <v>1</v>
      </c>
      <c r="D44" s="1219">
        <f ca="1">IF(ScoreData[[#This Row],[Passed?]],D43,INDIRECT($X$24&amp;ScoreData[[#This Row],[Jam]]&amp;ScoreData[[#This Row],[RefRow]]))</f>
        <v>5</v>
      </c>
      <c r="E44" s="1219" t="str">
        <f t="shared" si="2"/>
        <v>Harlots</v>
      </c>
      <c r="F44" s="1219" t="str">
        <f ca="1">IF(INDIRECT($X$24&amp;ScoreData[[#This Row],[Jammer]]&amp;ScoreData[[#This Row],[RefRow]])=0,"",INDIRECT($X$24&amp;ScoreData[[#This Row],[Jammer]]&amp;ScoreData[[#This Row],[RefRow]]))</f>
        <v>11G6</v>
      </c>
      <c r="G44" s="1219" t="str">
        <f ca="1">IF(INDIRECT($X$24&amp;ScoreData[[#This Row],[Lead]]&amp;ScoreData[[#This Row],[RefRow]])="X","YES","NO")</f>
        <v>NO</v>
      </c>
      <c r="H44" s="1219" t="str">
        <f ca="1">IF(INDIRECT($X$24&amp;ScoreData[[#This Row],[Call]]&amp;ScoreData[[#This Row],[RefRow]])="X","YES","NO")</f>
        <v>NO</v>
      </c>
      <c r="I44" s="1219">
        <f ca="1">INDIRECT($X$24&amp;ScoreData[[#This Row],[Pass]]&amp;ScoreData[[#This Row],[RefRow]])</f>
        <v>1</v>
      </c>
      <c r="J44" s="1219" t="str">
        <f ca="1">IF(INDIRECT($X$24&amp;ScoreData[[#This Row],[Point]]&amp;ScoreData[[#This Row],[RefRow]])=0,"",INDIRECT($X$24&amp;ScoreData[[#This Row],[Point]]&amp;ScoreData[[#This Row],[RefRow]]))</f>
        <v/>
      </c>
      <c r="K44" s="1219" t="b">
        <f ca="1">IF(OR(INDIRECT($X$24&amp;ScoreData[[#This Row],[Jam]]&amp;ScoreData[[#This Row],[RefRow]])="SP",INDIRECT($X$24&amp;ScoreData[[#This Row],[Jam]]&amp;ScoreData[[#This Row],[RefRow]])="SP*"),TRUE,FALSE)</f>
        <v>0</v>
      </c>
      <c r="L44" s="1219" t="b">
        <v>0</v>
      </c>
      <c r="M44" s="1219" t="str">
        <f t="array" ref="M44">IFERROR(INDEX(ScoreSearch[],MATCH(ScoreData[[#This Row],[Home?]]&amp;ScoreData[[#Headers],[Jam]],ScoreSearch[Home?]&amp;ScoreSearch[Item],1),3),"")</f>
        <v>$T</v>
      </c>
      <c r="N44" s="1219" t="str">
        <f t="array" ref="N44">IFERROR(INDEX(ScoreSearch[],MATCH(ScoreData[[#This Row],[Home?]]&amp;ScoreData[[#Headers],[Jammer]],ScoreSearch[Home?]&amp;ScoreSearch[Item],1),3),"")</f>
        <v>$U</v>
      </c>
      <c r="O44" s="1219" t="str">
        <f t="array" ref="O44">IFERROR(INDEX(ScoreSearch[],MATCH(ScoreData[[#This Row],[Home?]]&amp;ScoreData[[#Headers],[Lead]],ScoreSearch[Home?]&amp;ScoreSearch[Item],1),3),"")</f>
        <v>$W</v>
      </c>
      <c r="P44" s="1219" t="str">
        <f t="array" ref="P44">IFERROR(INDEX(ScoreSearch[],MATCH(ScoreData[[#This Row],[Home?]]&amp;ScoreData[[#Headers],[Call]],ScoreSearch[Home?]&amp;ScoreSearch[Item],1),3),"")</f>
        <v>$X</v>
      </c>
      <c r="Q44" s="1219" t="str">
        <f t="array" ref="Q44">IFERROR(INDEX(ScoreSearch[],MATCH(ScoreData[[#This Row],[Home?]]&amp;ScoreData[[#Headers],[Penalty]],ScoreSearch[Home?]&amp;ScoreSearch[Item],1),3),"")</f>
        <v>$Z</v>
      </c>
      <c r="R44" s="1222" t="str">
        <f t="array" ref="R44">IFERROR(INDEX(ScoreSearch[],MATCH(ScoreData[[#This Row],[Home?]]&amp;ScoreData[[#Headers],[Point]],ScoreSearch[Home?]&amp;ScoreSearch[Item],1),3),"")</f>
        <v>$AJ</v>
      </c>
      <c r="S44" s="1222" t="str">
        <f t="array" ref="S44">IFERROR(INDEX(ScoreSearch[],MATCH(ScoreData[[#This Row],[Home?]]&amp;ScoreData[[#Headers],[Pass]],ScoreSearch[Home?]&amp;ScoreSearch[Item],1),3),"")</f>
        <v>$AL</v>
      </c>
      <c r="T44" s="1219">
        <v>8</v>
      </c>
    </row>
    <row r="45" spans="1:24" x14ac:dyDescent="0.25">
      <c r="A45" s="1218">
        <f>[1]IBRF!$B$5</f>
        <v>41734</v>
      </c>
      <c r="B45" s="1221">
        <f t="shared" si="0"/>
        <v>0.83333333333333337</v>
      </c>
      <c r="C45" s="1219">
        <v>1</v>
      </c>
      <c r="D45" s="1219">
        <f ca="1">IF(ScoreData[[#This Row],[Passed?]],D44,INDIRECT($X$24&amp;ScoreData[[#This Row],[Jam]]&amp;ScoreData[[#This Row],[RefRow]]))</f>
        <v>6</v>
      </c>
      <c r="E45" s="1219" t="str">
        <f t="shared" si="2"/>
        <v>Harlots</v>
      </c>
      <c r="F45" s="1219" t="str">
        <f ca="1">IF(INDIRECT($X$24&amp;ScoreData[[#This Row],[Jammer]]&amp;ScoreData[[#This Row],[RefRow]])=0,"",INDIRECT($X$24&amp;ScoreData[[#This Row],[Jammer]]&amp;ScoreData[[#This Row],[RefRow]]))</f>
        <v>58</v>
      </c>
      <c r="G45" s="1219" t="str">
        <f ca="1">IF(INDIRECT($X$24&amp;ScoreData[[#This Row],[Lead]]&amp;ScoreData[[#This Row],[RefRow]])="X","YES","NO")</f>
        <v>NO</v>
      </c>
      <c r="H45" s="1219" t="str">
        <f ca="1">IF(INDIRECT($X$24&amp;ScoreData[[#This Row],[Call]]&amp;ScoreData[[#This Row],[RefRow]])="X","YES","NO")</f>
        <v>NO</v>
      </c>
      <c r="I45" s="1219">
        <f ca="1">INDIRECT($X$24&amp;ScoreData[[#This Row],[Pass]]&amp;ScoreData[[#This Row],[RefRow]])</f>
        <v>0</v>
      </c>
      <c r="J45" s="1219" t="str">
        <f ca="1">IF(INDIRECT($X$24&amp;ScoreData[[#This Row],[Point]]&amp;ScoreData[[#This Row],[RefRow]])=0,"",INDIRECT($X$24&amp;ScoreData[[#This Row],[Point]]&amp;ScoreData[[#This Row],[RefRow]]))</f>
        <v/>
      </c>
      <c r="K45" s="1219" t="b">
        <f ca="1">IF(OR(INDIRECT($X$24&amp;ScoreData[[#This Row],[Jam]]&amp;ScoreData[[#This Row],[RefRow]])="SP",INDIRECT($X$24&amp;ScoreData[[#This Row],[Jam]]&amp;ScoreData[[#This Row],[RefRow]])="SP*"),TRUE,FALSE)</f>
        <v>0</v>
      </c>
      <c r="L45" s="1219" t="b">
        <v>0</v>
      </c>
      <c r="M45" s="1219" t="str">
        <f t="array" ref="M45">IFERROR(INDEX(ScoreSearch[],MATCH(ScoreData[[#This Row],[Home?]]&amp;ScoreData[[#Headers],[Jam]],ScoreSearch[Home?]&amp;ScoreSearch[Item],1),3),"")</f>
        <v>$T</v>
      </c>
      <c r="N45" s="1219" t="str">
        <f t="array" ref="N45">IFERROR(INDEX(ScoreSearch[],MATCH(ScoreData[[#This Row],[Home?]]&amp;ScoreData[[#Headers],[Jammer]],ScoreSearch[Home?]&amp;ScoreSearch[Item],1),3),"")</f>
        <v>$U</v>
      </c>
      <c r="O45" s="1219" t="str">
        <f t="array" ref="O45">IFERROR(INDEX(ScoreSearch[],MATCH(ScoreData[[#This Row],[Home?]]&amp;ScoreData[[#Headers],[Lead]],ScoreSearch[Home?]&amp;ScoreSearch[Item],1),3),"")</f>
        <v>$W</v>
      </c>
      <c r="P45" s="1219" t="str">
        <f t="array" ref="P45">IFERROR(INDEX(ScoreSearch[],MATCH(ScoreData[[#This Row],[Home?]]&amp;ScoreData[[#Headers],[Call]],ScoreSearch[Home?]&amp;ScoreSearch[Item],1),3),"")</f>
        <v>$X</v>
      </c>
      <c r="Q45" s="1219" t="str">
        <f t="array" ref="Q45">IFERROR(INDEX(ScoreSearch[],MATCH(ScoreData[[#This Row],[Home?]]&amp;ScoreData[[#Headers],[Penalty]],ScoreSearch[Home?]&amp;ScoreSearch[Item],1),3),"")</f>
        <v>$Z</v>
      </c>
      <c r="R45" s="1222" t="str">
        <f t="array" ref="R45">IFERROR(INDEX(ScoreSearch[],MATCH(ScoreData[[#This Row],[Home?]]&amp;ScoreData[[#Headers],[Point]],ScoreSearch[Home?]&amp;ScoreSearch[Item],1),3),"")</f>
        <v>$AJ</v>
      </c>
      <c r="S45" s="1222" t="str">
        <f t="array" ref="S45">IFERROR(INDEX(ScoreSearch[],MATCH(ScoreData[[#This Row],[Home?]]&amp;ScoreData[[#Headers],[Pass]],ScoreSearch[Home?]&amp;ScoreSearch[Item],1),3),"")</f>
        <v>$AL</v>
      </c>
      <c r="T45" s="1219">
        <v>9</v>
      </c>
    </row>
    <row r="46" spans="1:24" x14ac:dyDescent="0.25">
      <c r="A46" s="1218">
        <f>[1]IBRF!$B$5</f>
        <v>41734</v>
      </c>
      <c r="B46" s="1221">
        <f t="shared" si="0"/>
        <v>0.83333333333333337</v>
      </c>
      <c r="C46" s="1219">
        <v>1</v>
      </c>
      <c r="D46" s="1219">
        <f ca="1">IF(ScoreData[[#This Row],[Passed?]],D45,INDIRECT($X$24&amp;ScoreData[[#This Row],[Jam]]&amp;ScoreData[[#This Row],[RefRow]]))</f>
        <v>6</v>
      </c>
      <c r="E46" s="1219" t="str">
        <f t="shared" si="2"/>
        <v>Harlots</v>
      </c>
      <c r="F46" s="1219" t="str">
        <f ca="1">IF(INDIRECT($X$24&amp;ScoreData[[#This Row],[Jammer]]&amp;ScoreData[[#This Row],[RefRow]])=0,"",INDIRECT($X$24&amp;ScoreData[[#This Row],[Jammer]]&amp;ScoreData[[#This Row],[RefRow]]))</f>
        <v>26</v>
      </c>
      <c r="G46" s="1219" t="str">
        <f ca="1">IF(INDIRECT($X$24&amp;ScoreData[[#This Row],[Lead]]&amp;ScoreData[[#This Row],[RefRow]])="X","YES","NO")</f>
        <v>NO</v>
      </c>
      <c r="H46" s="1219" t="str">
        <f ca="1">IF(INDIRECT($X$24&amp;ScoreData[[#This Row],[Call]]&amp;ScoreData[[#This Row],[RefRow]])="X","YES","NO")</f>
        <v>NO</v>
      </c>
      <c r="I46" s="1219">
        <f ca="1">INDIRECT($X$24&amp;ScoreData[[#This Row],[Pass]]&amp;ScoreData[[#This Row],[RefRow]])</f>
        <v>1</v>
      </c>
      <c r="J46" s="1219" t="str">
        <f ca="1">IF(INDIRECT($X$24&amp;ScoreData[[#This Row],[Point]]&amp;ScoreData[[#This Row],[RefRow]])=0,"",INDIRECT($X$24&amp;ScoreData[[#This Row],[Point]]&amp;ScoreData[[#This Row],[RefRow]]))</f>
        <v/>
      </c>
      <c r="K46" s="1219" t="b">
        <f ca="1">IF(OR(INDIRECT($X$24&amp;ScoreData[[#This Row],[Jam]]&amp;ScoreData[[#This Row],[RefRow]])="SP",INDIRECT($X$24&amp;ScoreData[[#This Row],[Jam]]&amp;ScoreData[[#This Row],[RefRow]])="SP*"),TRUE,FALSE)</f>
        <v>1</v>
      </c>
      <c r="L46" s="1219" t="b">
        <v>0</v>
      </c>
      <c r="M46" s="1219" t="str">
        <f t="array" ref="M46">IFERROR(INDEX(ScoreSearch[],MATCH(ScoreData[[#This Row],[Home?]]&amp;ScoreData[[#Headers],[Jam]],ScoreSearch[Home?]&amp;ScoreSearch[Item],1),3),"")</f>
        <v>$T</v>
      </c>
      <c r="N46" s="1219" t="str">
        <f t="array" ref="N46">IFERROR(INDEX(ScoreSearch[],MATCH(ScoreData[[#This Row],[Home?]]&amp;ScoreData[[#Headers],[Jammer]],ScoreSearch[Home?]&amp;ScoreSearch[Item],1),3),"")</f>
        <v>$U</v>
      </c>
      <c r="O46" s="1219" t="str">
        <f t="array" ref="O46">IFERROR(INDEX(ScoreSearch[],MATCH(ScoreData[[#This Row],[Home?]]&amp;ScoreData[[#Headers],[Lead]],ScoreSearch[Home?]&amp;ScoreSearch[Item],1),3),"")</f>
        <v>$W</v>
      </c>
      <c r="P46" s="1219" t="str">
        <f t="array" ref="P46">IFERROR(INDEX(ScoreSearch[],MATCH(ScoreData[[#This Row],[Home?]]&amp;ScoreData[[#Headers],[Call]],ScoreSearch[Home?]&amp;ScoreSearch[Item],1),3),"")</f>
        <v>$X</v>
      </c>
      <c r="Q46" s="1219" t="str">
        <f t="array" ref="Q46">IFERROR(INDEX(ScoreSearch[],MATCH(ScoreData[[#This Row],[Home?]]&amp;ScoreData[[#Headers],[Penalty]],ScoreSearch[Home?]&amp;ScoreSearch[Item],1),3),"")</f>
        <v>$Z</v>
      </c>
      <c r="R46" s="1222" t="str">
        <f t="array" ref="R46">IFERROR(INDEX(ScoreSearch[],MATCH(ScoreData[[#This Row],[Home?]]&amp;ScoreData[[#Headers],[Point]],ScoreSearch[Home?]&amp;ScoreSearch[Item],1),3),"")</f>
        <v>$AJ</v>
      </c>
      <c r="S46" s="1222" t="str">
        <f t="array" ref="S46">IFERROR(INDEX(ScoreSearch[],MATCH(ScoreData[[#This Row],[Home?]]&amp;ScoreData[[#Headers],[Pass]],ScoreSearch[Home?]&amp;ScoreSearch[Item],1),3),"")</f>
        <v>$AL</v>
      </c>
      <c r="T46" s="1219">
        <v>10</v>
      </c>
    </row>
    <row r="47" spans="1:24" x14ac:dyDescent="0.25">
      <c r="A47" s="1218">
        <f>[1]IBRF!$B$5</f>
        <v>41734</v>
      </c>
      <c r="B47" s="1221">
        <f t="shared" si="0"/>
        <v>0.83333333333333337</v>
      </c>
      <c r="C47" s="1219">
        <v>1</v>
      </c>
      <c r="D47" s="1219">
        <f ca="1">IF(ScoreData[[#This Row],[Passed?]],D46,INDIRECT($X$24&amp;ScoreData[[#This Row],[Jam]]&amp;ScoreData[[#This Row],[RefRow]]))</f>
        <v>7</v>
      </c>
      <c r="E47" s="1219" t="str">
        <f t="shared" si="2"/>
        <v>Harlots</v>
      </c>
      <c r="F47" s="1219" t="str">
        <f ca="1">IF(INDIRECT($X$24&amp;ScoreData[[#This Row],[Jammer]]&amp;ScoreData[[#This Row],[RefRow]])=0,"",INDIRECT($X$24&amp;ScoreData[[#This Row],[Jammer]]&amp;ScoreData[[#This Row],[RefRow]]))</f>
        <v>K9</v>
      </c>
      <c r="G47" s="1219" t="str">
        <f ca="1">IF(INDIRECT($X$24&amp;ScoreData[[#This Row],[Lead]]&amp;ScoreData[[#This Row],[RefRow]])="X","YES","NO")</f>
        <v>YES</v>
      </c>
      <c r="H47" s="1219" t="str">
        <f ca="1">IF(INDIRECT($X$24&amp;ScoreData[[#This Row],[Call]]&amp;ScoreData[[#This Row],[RefRow]])="X","YES","NO")</f>
        <v>YES</v>
      </c>
      <c r="I47" s="1219">
        <f ca="1">INDIRECT($X$24&amp;ScoreData[[#This Row],[Pass]]&amp;ScoreData[[#This Row],[RefRow]])</f>
        <v>1</v>
      </c>
      <c r="J47" s="1219" t="str">
        <f ca="1">IF(INDIRECT($X$24&amp;ScoreData[[#This Row],[Point]]&amp;ScoreData[[#This Row],[RefRow]])=0,"",INDIRECT($X$24&amp;ScoreData[[#This Row],[Point]]&amp;ScoreData[[#This Row],[RefRow]]))</f>
        <v/>
      </c>
      <c r="K47" s="1219" t="b">
        <f ca="1">IF(OR(INDIRECT($X$24&amp;ScoreData[[#This Row],[Jam]]&amp;ScoreData[[#This Row],[RefRow]])="SP",INDIRECT($X$24&amp;ScoreData[[#This Row],[Jam]]&amp;ScoreData[[#This Row],[RefRow]])="SP*"),TRUE,FALSE)</f>
        <v>0</v>
      </c>
      <c r="L47" s="1219" t="b">
        <v>0</v>
      </c>
      <c r="M47" s="1219" t="str">
        <f t="array" ref="M47">IFERROR(INDEX(ScoreSearch[],MATCH(ScoreData[[#This Row],[Home?]]&amp;ScoreData[[#Headers],[Jam]],ScoreSearch[Home?]&amp;ScoreSearch[Item],1),3),"")</f>
        <v>$T</v>
      </c>
      <c r="N47" s="1219" t="str">
        <f t="array" ref="N47">IFERROR(INDEX(ScoreSearch[],MATCH(ScoreData[[#This Row],[Home?]]&amp;ScoreData[[#Headers],[Jammer]],ScoreSearch[Home?]&amp;ScoreSearch[Item],1),3),"")</f>
        <v>$U</v>
      </c>
      <c r="O47" s="1219" t="str">
        <f t="array" ref="O47">IFERROR(INDEX(ScoreSearch[],MATCH(ScoreData[[#This Row],[Home?]]&amp;ScoreData[[#Headers],[Lead]],ScoreSearch[Home?]&amp;ScoreSearch[Item],1),3),"")</f>
        <v>$W</v>
      </c>
      <c r="P47" s="1219" t="str">
        <f t="array" ref="P47">IFERROR(INDEX(ScoreSearch[],MATCH(ScoreData[[#This Row],[Home?]]&amp;ScoreData[[#Headers],[Call]],ScoreSearch[Home?]&amp;ScoreSearch[Item],1),3),"")</f>
        <v>$X</v>
      </c>
      <c r="Q47" s="1219" t="str">
        <f t="array" ref="Q47">IFERROR(INDEX(ScoreSearch[],MATCH(ScoreData[[#This Row],[Home?]]&amp;ScoreData[[#Headers],[Penalty]],ScoreSearch[Home?]&amp;ScoreSearch[Item],1),3),"")</f>
        <v>$Z</v>
      </c>
      <c r="R47" s="1222" t="str">
        <f t="array" ref="R47">IFERROR(INDEX(ScoreSearch[],MATCH(ScoreData[[#This Row],[Home?]]&amp;ScoreData[[#Headers],[Point]],ScoreSearch[Home?]&amp;ScoreSearch[Item],1),3),"")</f>
        <v>$AJ</v>
      </c>
      <c r="S47" s="1222" t="str">
        <f t="array" ref="S47">IFERROR(INDEX(ScoreSearch[],MATCH(ScoreData[[#This Row],[Home?]]&amp;ScoreData[[#Headers],[Pass]],ScoreSearch[Home?]&amp;ScoreSearch[Item],1),3),"")</f>
        <v>$AL</v>
      </c>
      <c r="T47" s="1219">
        <v>11</v>
      </c>
    </row>
    <row r="48" spans="1:24" x14ac:dyDescent="0.25">
      <c r="A48" s="1218">
        <f>[1]IBRF!$B$5</f>
        <v>41734</v>
      </c>
      <c r="B48" s="1221">
        <f t="shared" si="0"/>
        <v>0.83333333333333337</v>
      </c>
      <c r="C48" s="1219">
        <v>1</v>
      </c>
      <c r="D48" s="1219">
        <f ca="1">IF(ScoreData[[#This Row],[Passed?]],D47,INDIRECT($X$24&amp;ScoreData[[#This Row],[Jam]]&amp;ScoreData[[#This Row],[RefRow]]))</f>
        <v>8</v>
      </c>
      <c r="E48" s="1219" t="str">
        <f t="shared" si="2"/>
        <v>Harlots</v>
      </c>
      <c r="F48" s="1219" t="str">
        <f ca="1">IF(INDIRECT($X$24&amp;ScoreData[[#This Row],[Jammer]]&amp;ScoreData[[#This Row],[RefRow]])=0,"",INDIRECT($X$24&amp;ScoreData[[#This Row],[Jammer]]&amp;ScoreData[[#This Row],[RefRow]]))</f>
        <v>451</v>
      </c>
      <c r="G48" s="1219" t="str">
        <f ca="1">IF(INDIRECT($X$24&amp;ScoreData[[#This Row],[Lead]]&amp;ScoreData[[#This Row],[RefRow]])="X","YES","NO")</f>
        <v>NO</v>
      </c>
      <c r="H48" s="1219" t="str">
        <f ca="1">IF(INDIRECT($X$24&amp;ScoreData[[#This Row],[Call]]&amp;ScoreData[[#This Row],[RefRow]])="X","YES","NO")</f>
        <v>NO</v>
      </c>
      <c r="I48" s="1219">
        <f ca="1">INDIRECT($X$24&amp;ScoreData[[#This Row],[Pass]]&amp;ScoreData[[#This Row],[RefRow]])</f>
        <v>3</v>
      </c>
      <c r="J48" s="1219">
        <f ca="1">IF(INDIRECT($X$24&amp;ScoreData[[#This Row],[Point]]&amp;ScoreData[[#This Row],[RefRow]])=0,"",INDIRECT($X$24&amp;ScoreData[[#This Row],[Point]]&amp;ScoreData[[#This Row],[RefRow]]))</f>
        <v>10</v>
      </c>
      <c r="K48" s="1219" t="b">
        <f ca="1">IF(OR(INDIRECT($X$24&amp;ScoreData[[#This Row],[Jam]]&amp;ScoreData[[#This Row],[RefRow]])="SP",INDIRECT($X$24&amp;ScoreData[[#This Row],[Jam]]&amp;ScoreData[[#This Row],[RefRow]])="SP*"),TRUE,FALSE)</f>
        <v>0</v>
      </c>
      <c r="L48" s="1219" t="b">
        <v>0</v>
      </c>
      <c r="M48" s="1219" t="str">
        <f t="array" ref="M48">IFERROR(INDEX(ScoreSearch[],MATCH(ScoreData[[#This Row],[Home?]]&amp;ScoreData[[#Headers],[Jam]],ScoreSearch[Home?]&amp;ScoreSearch[Item],1),3),"")</f>
        <v>$T</v>
      </c>
      <c r="N48" s="1219" t="str">
        <f t="array" ref="N48">IFERROR(INDEX(ScoreSearch[],MATCH(ScoreData[[#This Row],[Home?]]&amp;ScoreData[[#Headers],[Jammer]],ScoreSearch[Home?]&amp;ScoreSearch[Item],1),3),"")</f>
        <v>$U</v>
      </c>
      <c r="O48" s="1219" t="str">
        <f t="array" ref="O48">IFERROR(INDEX(ScoreSearch[],MATCH(ScoreData[[#This Row],[Home?]]&amp;ScoreData[[#Headers],[Lead]],ScoreSearch[Home?]&amp;ScoreSearch[Item],1),3),"")</f>
        <v>$W</v>
      </c>
      <c r="P48" s="1219" t="str">
        <f t="array" ref="P48">IFERROR(INDEX(ScoreSearch[],MATCH(ScoreData[[#This Row],[Home?]]&amp;ScoreData[[#Headers],[Call]],ScoreSearch[Home?]&amp;ScoreSearch[Item],1),3),"")</f>
        <v>$X</v>
      </c>
      <c r="Q48" s="1219" t="str">
        <f t="array" ref="Q48">IFERROR(INDEX(ScoreSearch[],MATCH(ScoreData[[#This Row],[Home?]]&amp;ScoreData[[#Headers],[Penalty]],ScoreSearch[Home?]&amp;ScoreSearch[Item],1),3),"")</f>
        <v>$Z</v>
      </c>
      <c r="R48" s="1222" t="str">
        <f t="array" ref="R48">IFERROR(INDEX(ScoreSearch[],MATCH(ScoreData[[#This Row],[Home?]]&amp;ScoreData[[#Headers],[Point]],ScoreSearch[Home?]&amp;ScoreSearch[Item],1),3),"")</f>
        <v>$AJ</v>
      </c>
      <c r="S48" s="1222" t="str">
        <f t="array" ref="S48">IFERROR(INDEX(ScoreSearch[],MATCH(ScoreData[[#This Row],[Home?]]&amp;ScoreData[[#Headers],[Pass]],ScoreSearch[Home?]&amp;ScoreSearch[Item],1),3),"")</f>
        <v>$AL</v>
      </c>
      <c r="T48" s="1219">
        <v>12</v>
      </c>
    </row>
    <row r="49" spans="1:20" x14ac:dyDescent="0.25">
      <c r="A49" s="1218">
        <f>[1]IBRF!$B$5</f>
        <v>41734</v>
      </c>
      <c r="B49" s="1221">
        <f t="shared" si="0"/>
        <v>0.83333333333333337</v>
      </c>
      <c r="C49" s="1219">
        <v>1</v>
      </c>
      <c r="D49" s="1219">
        <f ca="1">IF(ScoreData[[#This Row],[Passed?]],D48,INDIRECT($X$24&amp;ScoreData[[#This Row],[Jam]]&amp;ScoreData[[#This Row],[RefRow]]))</f>
        <v>9</v>
      </c>
      <c r="E49" s="1219" t="str">
        <f t="shared" si="2"/>
        <v>Harlots</v>
      </c>
      <c r="F49" s="1219" t="str">
        <f ca="1">IF(INDIRECT($X$24&amp;ScoreData[[#This Row],[Jammer]]&amp;ScoreData[[#This Row],[RefRow]])=0,"",INDIRECT($X$24&amp;ScoreData[[#This Row],[Jammer]]&amp;ScoreData[[#This Row],[RefRow]]))</f>
        <v>11G6</v>
      </c>
      <c r="G49" s="1219" t="str">
        <f ca="1">IF(INDIRECT($X$24&amp;ScoreData[[#This Row],[Lead]]&amp;ScoreData[[#This Row],[RefRow]])="X","YES","NO")</f>
        <v>NO</v>
      </c>
      <c r="H49" s="1219" t="str">
        <f ca="1">IF(INDIRECT($X$24&amp;ScoreData[[#This Row],[Call]]&amp;ScoreData[[#This Row],[RefRow]])="X","YES","NO")</f>
        <v>NO</v>
      </c>
      <c r="I49" s="1219">
        <f ca="1">INDIRECT($X$24&amp;ScoreData[[#This Row],[Pass]]&amp;ScoreData[[#This Row],[RefRow]])</f>
        <v>1</v>
      </c>
      <c r="J49" s="1219" t="str">
        <f ca="1">IF(INDIRECT($X$24&amp;ScoreData[[#This Row],[Point]]&amp;ScoreData[[#This Row],[RefRow]])=0,"",INDIRECT($X$24&amp;ScoreData[[#This Row],[Point]]&amp;ScoreData[[#This Row],[RefRow]]))</f>
        <v/>
      </c>
      <c r="K49" s="1219" t="b">
        <f ca="1">IF(OR(INDIRECT($X$24&amp;ScoreData[[#This Row],[Jam]]&amp;ScoreData[[#This Row],[RefRow]])="SP",INDIRECT($X$24&amp;ScoreData[[#This Row],[Jam]]&amp;ScoreData[[#This Row],[RefRow]])="SP*"),TRUE,FALSE)</f>
        <v>0</v>
      </c>
      <c r="L49" s="1219" t="b">
        <v>0</v>
      </c>
      <c r="M49" s="1219" t="str">
        <f t="array" ref="M49">IFERROR(INDEX(ScoreSearch[],MATCH(ScoreData[[#This Row],[Home?]]&amp;ScoreData[[#Headers],[Jam]],ScoreSearch[Home?]&amp;ScoreSearch[Item],1),3),"")</f>
        <v>$T</v>
      </c>
      <c r="N49" s="1219" t="str">
        <f t="array" ref="N49">IFERROR(INDEX(ScoreSearch[],MATCH(ScoreData[[#This Row],[Home?]]&amp;ScoreData[[#Headers],[Jammer]],ScoreSearch[Home?]&amp;ScoreSearch[Item],1),3),"")</f>
        <v>$U</v>
      </c>
      <c r="O49" s="1219" t="str">
        <f t="array" ref="O49">IFERROR(INDEX(ScoreSearch[],MATCH(ScoreData[[#This Row],[Home?]]&amp;ScoreData[[#Headers],[Lead]],ScoreSearch[Home?]&amp;ScoreSearch[Item],1),3),"")</f>
        <v>$W</v>
      </c>
      <c r="P49" s="1219" t="str">
        <f t="array" ref="P49">IFERROR(INDEX(ScoreSearch[],MATCH(ScoreData[[#This Row],[Home?]]&amp;ScoreData[[#Headers],[Call]],ScoreSearch[Home?]&amp;ScoreSearch[Item],1),3),"")</f>
        <v>$X</v>
      </c>
      <c r="Q49" s="1219" t="str">
        <f t="array" ref="Q49">IFERROR(INDEX(ScoreSearch[],MATCH(ScoreData[[#This Row],[Home?]]&amp;ScoreData[[#Headers],[Penalty]],ScoreSearch[Home?]&amp;ScoreSearch[Item],1),3),"")</f>
        <v>$Z</v>
      </c>
      <c r="R49" s="1222" t="str">
        <f t="array" ref="R49">IFERROR(INDEX(ScoreSearch[],MATCH(ScoreData[[#This Row],[Home?]]&amp;ScoreData[[#Headers],[Point]],ScoreSearch[Home?]&amp;ScoreSearch[Item],1),3),"")</f>
        <v>$AJ</v>
      </c>
      <c r="S49" s="1222" t="str">
        <f t="array" ref="S49">IFERROR(INDEX(ScoreSearch[],MATCH(ScoreData[[#This Row],[Home?]]&amp;ScoreData[[#Headers],[Pass]],ScoreSearch[Home?]&amp;ScoreSearch[Item],1),3),"")</f>
        <v>$AL</v>
      </c>
      <c r="T49" s="1219">
        <v>13</v>
      </c>
    </row>
    <row r="50" spans="1:20" x14ac:dyDescent="0.25">
      <c r="A50" s="1218">
        <f>[1]IBRF!$B$5</f>
        <v>41734</v>
      </c>
      <c r="B50" s="1221">
        <f t="shared" si="0"/>
        <v>0.83333333333333337</v>
      </c>
      <c r="C50" s="1219">
        <v>1</v>
      </c>
      <c r="D50" s="1219">
        <f ca="1">IF(ScoreData[[#This Row],[Passed?]],D49,INDIRECT($X$24&amp;ScoreData[[#This Row],[Jam]]&amp;ScoreData[[#This Row],[RefRow]]))</f>
        <v>10</v>
      </c>
      <c r="E50" s="1219" t="str">
        <f t="shared" si="2"/>
        <v>Harlots</v>
      </c>
      <c r="F50" s="1219" t="str">
        <f ca="1">IF(INDIRECT($X$24&amp;ScoreData[[#This Row],[Jammer]]&amp;ScoreData[[#This Row],[RefRow]])=0,"",INDIRECT($X$24&amp;ScoreData[[#This Row],[Jammer]]&amp;ScoreData[[#This Row],[RefRow]]))</f>
        <v>58</v>
      </c>
      <c r="G50" s="1219" t="str">
        <f ca="1">IF(INDIRECT($X$24&amp;ScoreData[[#This Row],[Lead]]&amp;ScoreData[[#This Row],[RefRow]])="X","YES","NO")</f>
        <v>YES</v>
      </c>
      <c r="H50" s="1219" t="str">
        <f ca="1">IF(INDIRECT($X$24&amp;ScoreData[[#This Row],[Call]]&amp;ScoreData[[#This Row],[RefRow]])="X","YES","NO")</f>
        <v>YES</v>
      </c>
      <c r="I50" s="1219">
        <f ca="1">INDIRECT($X$24&amp;ScoreData[[#This Row],[Pass]]&amp;ScoreData[[#This Row],[RefRow]])</f>
        <v>1</v>
      </c>
      <c r="J50" s="1219" t="str">
        <f ca="1">IF(INDIRECT($X$24&amp;ScoreData[[#This Row],[Point]]&amp;ScoreData[[#This Row],[RefRow]])=0,"",INDIRECT($X$24&amp;ScoreData[[#This Row],[Point]]&amp;ScoreData[[#This Row],[RefRow]]))</f>
        <v/>
      </c>
      <c r="K50" s="1219" t="b">
        <f ca="1">IF(OR(INDIRECT($X$24&amp;ScoreData[[#This Row],[Jam]]&amp;ScoreData[[#This Row],[RefRow]])="SP",INDIRECT($X$24&amp;ScoreData[[#This Row],[Jam]]&amp;ScoreData[[#This Row],[RefRow]])="SP*"),TRUE,FALSE)</f>
        <v>0</v>
      </c>
      <c r="L50" s="1219" t="b">
        <v>0</v>
      </c>
      <c r="M50" s="1219" t="str">
        <f t="array" ref="M50">IFERROR(INDEX(ScoreSearch[],MATCH(ScoreData[[#This Row],[Home?]]&amp;ScoreData[[#Headers],[Jam]],ScoreSearch[Home?]&amp;ScoreSearch[Item],1),3),"")</f>
        <v>$T</v>
      </c>
      <c r="N50" s="1219" t="str">
        <f t="array" ref="N50">IFERROR(INDEX(ScoreSearch[],MATCH(ScoreData[[#This Row],[Home?]]&amp;ScoreData[[#Headers],[Jammer]],ScoreSearch[Home?]&amp;ScoreSearch[Item],1),3),"")</f>
        <v>$U</v>
      </c>
      <c r="O50" s="1219" t="str">
        <f t="array" ref="O50">IFERROR(INDEX(ScoreSearch[],MATCH(ScoreData[[#This Row],[Home?]]&amp;ScoreData[[#Headers],[Lead]],ScoreSearch[Home?]&amp;ScoreSearch[Item],1),3),"")</f>
        <v>$W</v>
      </c>
      <c r="P50" s="1219" t="str">
        <f t="array" ref="P50">IFERROR(INDEX(ScoreSearch[],MATCH(ScoreData[[#This Row],[Home?]]&amp;ScoreData[[#Headers],[Call]],ScoreSearch[Home?]&amp;ScoreSearch[Item],1),3),"")</f>
        <v>$X</v>
      </c>
      <c r="Q50" s="1219" t="str">
        <f t="array" ref="Q50">IFERROR(INDEX(ScoreSearch[],MATCH(ScoreData[[#This Row],[Home?]]&amp;ScoreData[[#Headers],[Penalty]],ScoreSearch[Home?]&amp;ScoreSearch[Item],1),3),"")</f>
        <v>$Z</v>
      </c>
      <c r="R50" s="1222" t="str">
        <f t="array" ref="R50">IFERROR(INDEX(ScoreSearch[],MATCH(ScoreData[[#This Row],[Home?]]&amp;ScoreData[[#Headers],[Point]],ScoreSearch[Home?]&amp;ScoreSearch[Item],1),3),"")</f>
        <v>$AJ</v>
      </c>
      <c r="S50" s="1222" t="str">
        <f t="array" ref="S50">IFERROR(INDEX(ScoreSearch[],MATCH(ScoreData[[#This Row],[Home?]]&amp;ScoreData[[#Headers],[Pass]],ScoreSearch[Home?]&amp;ScoreSearch[Item],1),3),"")</f>
        <v>$AL</v>
      </c>
      <c r="T50" s="1219">
        <v>14</v>
      </c>
    </row>
    <row r="51" spans="1:20" x14ac:dyDescent="0.25">
      <c r="A51" s="1218">
        <f>[1]IBRF!$B$5</f>
        <v>41734</v>
      </c>
      <c r="B51" s="1221">
        <f t="shared" si="0"/>
        <v>0.83333333333333337</v>
      </c>
      <c r="C51" s="1219">
        <v>1</v>
      </c>
      <c r="D51" s="1219">
        <f ca="1">IF(ScoreData[[#This Row],[Passed?]],D50,INDIRECT($X$24&amp;ScoreData[[#This Row],[Jam]]&amp;ScoreData[[#This Row],[RefRow]]))</f>
        <v>11</v>
      </c>
      <c r="E51" s="1219" t="str">
        <f t="shared" si="2"/>
        <v>Harlots</v>
      </c>
      <c r="F51" s="1219" t="str">
        <f ca="1">IF(INDIRECT($X$24&amp;ScoreData[[#This Row],[Jammer]]&amp;ScoreData[[#This Row],[RefRow]])=0,"",INDIRECT($X$24&amp;ScoreData[[#This Row],[Jammer]]&amp;ScoreData[[#This Row],[RefRow]]))</f>
        <v>K9</v>
      </c>
      <c r="G51" s="1219" t="str">
        <f ca="1">IF(INDIRECT($X$24&amp;ScoreData[[#This Row],[Lead]]&amp;ScoreData[[#This Row],[RefRow]])="X","YES","NO")</f>
        <v>NO</v>
      </c>
      <c r="H51" s="1219" t="str">
        <f ca="1">IF(INDIRECT($X$24&amp;ScoreData[[#This Row],[Call]]&amp;ScoreData[[#This Row],[RefRow]])="X","YES","NO")</f>
        <v>NO</v>
      </c>
      <c r="I51" s="1219">
        <f ca="1">INDIRECT($X$24&amp;ScoreData[[#This Row],[Pass]]&amp;ScoreData[[#This Row],[RefRow]])</f>
        <v>1</v>
      </c>
      <c r="J51" s="1219" t="str">
        <f ca="1">IF(INDIRECT($X$24&amp;ScoreData[[#This Row],[Point]]&amp;ScoreData[[#This Row],[RefRow]])=0,"",INDIRECT($X$24&amp;ScoreData[[#This Row],[Point]]&amp;ScoreData[[#This Row],[RefRow]]))</f>
        <v/>
      </c>
      <c r="K51" s="1219" t="b">
        <f ca="1">IF(OR(INDIRECT($X$24&amp;ScoreData[[#This Row],[Jam]]&amp;ScoreData[[#This Row],[RefRow]])="SP",INDIRECT($X$24&amp;ScoreData[[#This Row],[Jam]]&amp;ScoreData[[#This Row],[RefRow]])="SP*"),TRUE,FALSE)</f>
        <v>0</v>
      </c>
      <c r="L51" s="1219" t="b">
        <v>0</v>
      </c>
      <c r="M51" s="1219" t="str">
        <f t="array" ref="M51">IFERROR(INDEX(ScoreSearch[],MATCH(ScoreData[[#This Row],[Home?]]&amp;ScoreData[[#Headers],[Jam]],ScoreSearch[Home?]&amp;ScoreSearch[Item],1),3),"")</f>
        <v>$T</v>
      </c>
      <c r="N51" s="1219" t="str">
        <f t="array" ref="N51">IFERROR(INDEX(ScoreSearch[],MATCH(ScoreData[[#This Row],[Home?]]&amp;ScoreData[[#Headers],[Jammer]],ScoreSearch[Home?]&amp;ScoreSearch[Item],1),3),"")</f>
        <v>$U</v>
      </c>
      <c r="O51" s="1219" t="str">
        <f t="array" ref="O51">IFERROR(INDEX(ScoreSearch[],MATCH(ScoreData[[#This Row],[Home?]]&amp;ScoreData[[#Headers],[Lead]],ScoreSearch[Home?]&amp;ScoreSearch[Item],1),3),"")</f>
        <v>$W</v>
      </c>
      <c r="P51" s="1219" t="str">
        <f t="array" ref="P51">IFERROR(INDEX(ScoreSearch[],MATCH(ScoreData[[#This Row],[Home?]]&amp;ScoreData[[#Headers],[Call]],ScoreSearch[Home?]&amp;ScoreSearch[Item],1),3),"")</f>
        <v>$X</v>
      </c>
      <c r="Q51" s="1219" t="str">
        <f t="array" ref="Q51">IFERROR(INDEX(ScoreSearch[],MATCH(ScoreData[[#This Row],[Home?]]&amp;ScoreData[[#Headers],[Penalty]],ScoreSearch[Home?]&amp;ScoreSearch[Item],1),3),"")</f>
        <v>$Z</v>
      </c>
      <c r="R51" s="1222" t="str">
        <f t="array" ref="R51">IFERROR(INDEX(ScoreSearch[],MATCH(ScoreData[[#This Row],[Home?]]&amp;ScoreData[[#Headers],[Point]],ScoreSearch[Home?]&amp;ScoreSearch[Item],1),3),"")</f>
        <v>$AJ</v>
      </c>
      <c r="S51" s="1222" t="str">
        <f t="array" ref="S51">IFERROR(INDEX(ScoreSearch[],MATCH(ScoreData[[#This Row],[Home?]]&amp;ScoreData[[#Headers],[Pass]],ScoreSearch[Home?]&amp;ScoreSearch[Item],1),3),"")</f>
        <v>$AL</v>
      </c>
      <c r="T51" s="1219">
        <v>15</v>
      </c>
    </row>
    <row r="52" spans="1:20" x14ac:dyDescent="0.25">
      <c r="A52" s="1218">
        <f>[1]IBRF!$B$5</f>
        <v>41734</v>
      </c>
      <c r="B52" s="1221">
        <f t="shared" si="0"/>
        <v>0.83333333333333337</v>
      </c>
      <c r="C52" s="1219">
        <v>1</v>
      </c>
      <c r="D52" s="1219">
        <f ca="1">IF(ScoreData[[#This Row],[Passed?]],D51,INDIRECT($X$24&amp;ScoreData[[#This Row],[Jam]]&amp;ScoreData[[#This Row],[RefRow]]))</f>
        <v>12</v>
      </c>
      <c r="E52" s="1219" t="str">
        <f t="shared" si="2"/>
        <v>Harlots</v>
      </c>
      <c r="F52" s="1219" t="str">
        <f ca="1">IF(INDIRECT($X$24&amp;ScoreData[[#This Row],[Jammer]]&amp;ScoreData[[#This Row],[RefRow]])=0,"",INDIRECT($X$24&amp;ScoreData[[#This Row],[Jammer]]&amp;ScoreData[[#This Row],[RefRow]]))</f>
        <v>451</v>
      </c>
      <c r="G52" s="1219" t="str">
        <f ca="1">IF(INDIRECT($X$24&amp;ScoreData[[#This Row],[Lead]]&amp;ScoreData[[#This Row],[RefRow]])="X","YES","NO")</f>
        <v>NO</v>
      </c>
      <c r="H52" s="1219" t="str">
        <f ca="1">IF(INDIRECT($X$24&amp;ScoreData[[#This Row],[Call]]&amp;ScoreData[[#This Row],[RefRow]])="X","YES","NO")</f>
        <v>NO</v>
      </c>
      <c r="I52" s="1219">
        <f ca="1">INDIRECT($X$24&amp;ScoreData[[#This Row],[Pass]]&amp;ScoreData[[#This Row],[RefRow]])</f>
        <v>1</v>
      </c>
      <c r="J52" s="1219" t="str">
        <f ca="1">IF(INDIRECT($X$24&amp;ScoreData[[#This Row],[Point]]&amp;ScoreData[[#This Row],[RefRow]])=0,"",INDIRECT($X$24&amp;ScoreData[[#This Row],[Point]]&amp;ScoreData[[#This Row],[RefRow]]))</f>
        <v/>
      </c>
      <c r="K52" s="1219" t="b">
        <f ca="1">IF(OR(INDIRECT($X$24&amp;ScoreData[[#This Row],[Jam]]&amp;ScoreData[[#This Row],[RefRow]])="SP",INDIRECT($X$24&amp;ScoreData[[#This Row],[Jam]]&amp;ScoreData[[#This Row],[RefRow]])="SP*"),TRUE,FALSE)</f>
        <v>0</v>
      </c>
      <c r="L52" s="1219" t="b">
        <v>0</v>
      </c>
      <c r="M52" s="1219" t="str">
        <f t="array" ref="M52">IFERROR(INDEX(ScoreSearch[],MATCH(ScoreData[[#This Row],[Home?]]&amp;ScoreData[[#Headers],[Jam]],ScoreSearch[Home?]&amp;ScoreSearch[Item],1),3),"")</f>
        <v>$T</v>
      </c>
      <c r="N52" s="1219" t="str">
        <f t="array" ref="N52">IFERROR(INDEX(ScoreSearch[],MATCH(ScoreData[[#This Row],[Home?]]&amp;ScoreData[[#Headers],[Jammer]],ScoreSearch[Home?]&amp;ScoreSearch[Item],1),3),"")</f>
        <v>$U</v>
      </c>
      <c r="O52" s="1219" t="str">
        <f t="array" ref="O52">IFERROR(INDEX(ScoreSearch[],MATCH(ScoreData[[#This Row],[Home?]]&amp;ScoreData[[#Headers],[Lead]],ScoreSearch[Home?]&amp;ScoreSearch[Item],1),3),"")</f>
        <v>$W</v>
      </c>
      <c r="P52" s="1219" t="str">
        <f t="array" ref="P52">IFERROR(INDEX(ScoreSearch[],MATCH(ScoreData[[#This Row],[Home?]]&amp;ScoreData[[#Headers],[Call]],ScoreSearch[Home?]&amp;ScoreSearch[Item],1),3),"")</f>
        <v>$X</v>
      </c>
      <c r="Q52" s="1219" t="str">
        <f t="array" ref="Q52">IFERROR(INDEX(ScoreSearch[],MATCH(ScoreData[[#This Row],[Home?]]&amp;ScoreData[[#Headers],[Penalty]],ScoreSearch[Home?]&amp;ScoreSearch[Item],1),3),"")</f>
        <v>$Z</v>
      </c>
      <c r="R52" s="1222" t="str">
        <f t="array" ref="R52">IFERROR(INDEX(ScoreSearch[],MATCH(ScoreData[[#This Row],[Home?]]&amp;ScoreData[[#Headers],[Point]],ScoreSearch[Home?]&amp;ScoreSearch[Item],1),3),"")</f>
        <v>$AJ</v>
      </c>
      <c r="S52" s="1222" t="str">
        <f t="array" ref="S52">IFERROR(INDEX(ScoreSearch[],MATCH(ScoreData[[#This Row],[Home?]]&amp;ScoreData[[#Headers],[Pass]],ScoreSearch[Home?]&amp;ScoreSearch[Item],1),3),"")</f>
        <v>$AL</v>
      </c>
      <c r="T52" s="1219">
        <v>16</v>
      </c>
    </row>
    <row r="53" spans="1:20" x14ac:dyDescent="0.25">
      <c r="A53" s="1218">
        <f>[1]IBRF!$B$5</f>
        <v>41734</v>
      </c>
      <c r="B53" s="1221">
        <f t="shared" si="0"/>
        <v>0.83333333333333337</v>
      </c>
      <c r="C53" s="1219">
        <v>1</v>
      </c>
      <c r="D53" s="1219">
        <f ca="1">IF(ScoreData[[#This Row],[Passed?]],D52,INDIRECT($X$24&amp;ScoreData[[#This Row],[Jam]]&amp;ScoreData[[#This Row],[RefRow]]))</f>
        <v>13</v>
      </c>
      <c r="E53" s="1219" t="str">
        <f t="shared" si="2"/>
        <v>Harlots</v>
      </c>
      <c r="F53" s="1219" t="str">
        <f ca="1">IF(INDIRECT($X$24&amp;ScoreData[[#This Row],[Jammer]]&amp;ScoreData[[#This Row],[RefRow]])=0,"",INDIRECT($X$24&amp;ScoreData[[#This Row],[Jammer]]&amp;ScoreData[[#This Row],[RefRow]]))</f>
        <v>511</v>
      </c>
      <c r="G53" s="1219" t="str">
        <f ca="1">IF(INDIRECT($X$24&amp;ScoreData[[#This Row],[Lead]]&amp;ScoreData[[#This Row],[RefRow]])="X","YES","NO")</f>
        <v>NO</v>
      </c>
      <c r="H53" s="1219" t="str">
        <f ca="1">IF(INDIRECT($X$24&amp;ScoreData[[#This Row],[Call]]&amp;ScoreData[[#This Row],[RefRow]])="X","YES","NO")</f>
        <v>NO</v>
      </c>
      <c r="I53" s="1219">
        <f ca="1">INDIRECT($X$24&amp;ScoreData[[#This Row],[Pass]]&amp;ScoreData[[#This Row],[RefRow]])</f>
        <v>0</v>
      </c>
      <c r="J53" s="1219" t="str">
        <f ca="1">IF(INDIRECT($X$24&amp;ScoreData[[#This Row],[Point]]&amp;ScoreData[[#This Row],[RefRow]])=0,"",INDIRECT($X$24&amp;ScoreData[[#This Row],[Point]]&amp;ScoreData[[#This Row],[RefRow]]))</f>
        <v/>
      </c>
      <c r="K53" s="1219" t="b">
        <f ca="1">IF(OR(INDIRECT($X$24&amp;ScoreData[[#This Row],[Jam]]&amp;ScoreData[[#This Row],[RefRow]])="SP",INDIRECT($X$24&amp;ScoreData[[#This Row],[Jam]]&amp;ScoreData[[#This Row],[RefRow]])="SP*"),TRUE,FALSE)</f>
        <v>0</v>
      </c>
      <c r="L53" s="1219" t="b">
        <v>0</v>
      </c>
      <c r="M53" s="1219" t="str">
        <f t="array" ref="M53">IFERROR(INDEX(ScoreSearch[],MATCH(ScoreData[[#This Row],[Home?]]&amp;ScoreData[[#Headers],[Jam]],ScoreSearch[Home?]&amp;ScoreSearch[Item],1),3),"")</f>
        <v>$T</v>
      </c>
      <c r="N53" s="1219" t="str">
        <f t="array" ref="N53">IFERROR(INDEX(ScoreSearch[],MATCH(ScoreData[[#This Row],[Home?]]&amp;ScoreData[[#Headers],[Jammer]],ScoreSearch[Home?]&amp;ScoreSearch[Item],1),3),"")</f>
        <v>$U</v>
      </c>
      <c r="O53" s="1219" t="str">
        <f t="array" ref="O53">IFERROR(INDEX(ScoreSearch[],MATCH(ScoreData[[#This Row],[Home?]]&amp;ScoreData[[#Headers],[Lead]],ScoreSearch[Home?]&amp;ScoreSearch[Item],1),3),"")</f>
        <v>$W</v>
      </c>
      <c r="P53" s="1219" t="str">
        <f t="array" ref="P53">IFERROR(INDEX(ScoreSearch[],MATCH(ScoreData[[#This Row],[Home?]]&amp;ScoreData[[#Headers],[Call]],ScoreSearch[Home?]&amp;ScoreSearch[Item],1),3),"")</f>
        <v>$X</v>
      </c>
      <c r="Q53" s="1219" t="str">
        <f t="array" ref="Q53">IFERROR(INDEX(ScoreSearch[],MATCH(ScoreData[[#This Row],[Home?]]&amp;ScoreData[[#Headers],[Penalty]],ScoreSearch[Home?]&amp;ScoreSearch[Item],1),3),"")</f>
        <v>$Z</v>
      </c>
      <c r="R53" s="1222" t="str">
        <f t="array" ref="R53">IFERROR(INDEX(ScoreSearch[],MATCH(ScoreData[[#This Row],[Home?]]&amp;ScoreData[[#Headers],[Point]],ScoreSearch[Home?]&amp;ScoreSearch[Item],1),3),"")</f>
        <v>$AJ</v>
      </c>
      <c r="S53" s="1222" t="str">
        <f t="array" ref="S53">IFERROR(INDEX(ScoreSearch[],MATCH(ScoreData[[#This Row],[Home?]]&amp;ScoreData[[#Headers],[Pass]],ScoreSearch[Home?]&amp;ScoreSearch[Item],1),3),"")</f>
        <v>$AL</v>
      </c>
      <c r="T53" s="1219">
        <v>17</v>
      </c>
    </row>
    <row r="54" spans="1:20" x14ac:dyDescent="0.25">
      <c r="A54" s="1218">
        <f>[1]IBRF!$B$5</f>
        <v>41734</v>
      </c>
      <c r="B54" s="1221">
        <f t="shared" si="0"/>
        <v>0.83333333333333337</v>
      </c>
      <c r="C54" s="1219">
        <v>1</v>
      </c>
      <c r="D54" s="1219">
        <f ca="1">IF(ScoreData[[#This Row],[Passed?]],D53,INDIRECT($X$24&amp;ScoreData[[#This Row],[Jam]]&amp;ScoreData[[#This Row],[RefRow]]))</f>
        <v>14</v>
      </c>
      <c r="E54" s="1219" t="str">
        <f t="shared" si="2"/>
        <v>Harlots</v>
      </c>
      <c r="F54" s="1219" t="str">
        <f ca="1">IF(INDIRECT($X$24&amp;ScoreData[[#This Row],[Jammer]]&amp;ScoreData[[#This Row],[RefRow]])=0,"",INDIRECT($X$24&amp;ScoreData[[#This Row],[Jammer]]&amp;ScoreData[[#This Row],[RefRow]]))</f>
        <v>58</v>
      </c>
      <c r="G54" s="1219" t="str">
        <f ca="1">IF(INDIRECT($X$24&amp;ScoreData[[#This Row],[Lead]]&amp;ScoreData[[#This Row],[RefRow]])="X","YES","NO")</f>
        <v>NO</v>
      </c>
      <c r="H54" s="1219" t="str">
        <f ca="1">IF(INDIRECT($X$24&amp;ScoreData[[#This Row],[Call]]&amp;ScoreData[[#This Row],[RefRow]])="X","YES","NO")</f>
        <v>NO</v>
      </c>
      <c r="I54" s="1219">
        <f ca="1">INDIRECT($X$24&amp;ScoreData[[#This Row],[Pass]]&amp;ScoreData[[#This Row],[RefRow]])</f>
        <v>1</v>
      </c>
      <c r="J54" s="1219" t="str">
        <f ca="1">IF(INDIRECT($X$24&amp;ScoreData[[#This Row],[Point]]&amp;ScoreData[[#This Row],[RefRow]])=0,"",INDIRECT($X$24&amp;ScoreData[[#This Row],[Point]]&amp;ScoreData[[#This Row],[RefRow]]))</f>
        <v/>
      </c>
      <c r="K54" s="1219" t="b">
        <f ca="1">IF(OR(INDIRECT($X$24&amp;ScoreData[[#This Row],[Jam]]&amp;ScoreData[[#This Row],[RefRow]])="SP",INDIRECT($X$24&amp;ScoreData[[#This Row],[Jam]]&amp;ScoreData[[#This Row],[RefRow]])="SP*"),TRUE,FALSE)</f>
        <v>0</v>
      </c>
      <c r="L54" s="1219" t="b">
        <v>0</v>
      </c>
      <c r="M54" s="1219" t="str">
        <f t="array" ref="M54">IFERROR(INDEX(ScoreSearch[],MATCH(ScoreData[[#This Row],[Home?]]&amp;ScoreData[[#Headers],[Jam]],ScoreSearch[Home?]&amp;ScoreSearch[Item],1),3),"")</f>
        <v>$T</v>
      </c>
      <c r="N54" s="1219" t="str">
        <f t="array" ref="N54">IFERROR(INDEX(ScoreSearch[],MATCH(ScoreData[[#This Row],[Home?]]&amp;ScoreData[[#Headers],[Jammer]],ScoreSearch[Home?]&amp;ScoreSearch[Item],1),3),"")</f>
        <v>$U</v>
      </c>
      <c r="O54" s="1219" t="str">
        <f t="array" ref="O54">IFERROR(INDEX(ScoreSearch[],MATCH(ScoreData[[#This Row],[Home?]]&amp;ScoreData[[#Headers],[Lead]],ScoreSearch[Home?]&amp;ScoreSearch[Item],1),3),"")</f>
        <v>$W</v>
      </c>
      <c r="P54" s="1219" t="str">
        <f t="array" ref="P54">IFERROR(INDEX(ScoreSearch[],MATCH(ScoreData[[#This Row],[Home?]]&amp;ScoreData[[#Headers],[Call]],ScoreSearch[Home?]&amp;ScoreSearch[Item],1),3),"")</f>
        <v>$X</v>
      </c>
      <c r="Q54" s="1219" t="str">
        <f t="array" ref="Q54">IFERROR(INDEX(ScoreSearch[],MATCH(ScoreData[[#This Row],[Home?]]&amp;ScoreData[[#Headers],[Penalty]],ScoreSearch[Home?]&amp;ScoreSearch[Item],1),3),"")</f>
        <v>$Z</v>
      </c>
      <c r="R54" s="1222" t="str">
        <f t="array" ref="R54">IFERROR(INDEX(ScoreSearch[],MATCH(ScoreData[[#This Row],[Home?]]&amp;ScoreData[[#Headers],[Point]],ScoreSearch[Home?]&amp;ScoreSearch[Item],1),3),"")</f>
        <v>$AJ</v>
      </c>
      <c r="S54" s="1222" t="str">
        <f t="array" ref="S54">IFERROR(INDEX(ScoreSearch[],MATCH(ScoreData[[#This Row],[Home?]]&amp;ScoreData[[#Headers],[Pass]],ScoreSearch[Home?]&amp;ScoreSearch[Item],1),3),"")</f>
        <v>$AL</v>
      </c>
      <c r="T54" s="1219">
        <v>18</v>
      </c>
    </row>
    <row r="55" spans="1:20" x14ac:dyDescent="0.25">
      <c r="A55" s="1218">
        <f>[1]IBRF!$B$5</f>
        <v>41734</v>
      </c>
      <c r="B55" s="1221">
        <f t="shared" si="0"/>
        <v>0.83333333333333337</v>
      </c>
      <c r="C55" s="1219">
        <v>1</v>
      </c>
      <c r="D55" s="1219">
        <f ca="1">IF(ScoreData[[#This Row],[Passed?]],D54,INDIRECT($X$24&amp;ScoreData[[#This Row],[Jam]]&amp;ScoreData[[#This Row],[RefRow]]))</f>
        <v>15</v>
      </c>
      <c r="E55" s="1219" t="str">
        <f t="shared" si="2"/>
        <v>Harlots</v>
      </c>
      <c r="F55" s="1219" t="str">
        <f ca="1">IF(INDIRECT($X$24&amp;ScoreData[[#This Row],[Jammer]]&amp;ScoreData[[#This Row],[RefRow]])=0,"",INDIRECT($X$24&amp;ScoreData[[#This Row],[Jammer]]&amp;ScoreData[[#This Row],[RefRow]]))</f>
        <v>K9</v>
      </c>
      <c r="G55" s="1219" t="str">
        <f ca="1">IF(INDIRECT($X$24&amp;ScoreData[[#This Row],[Lead]]&amp;ScoreData[[#This Row],[RefRow]])="X","YES","NO")</f>
        <v>YES</v>
      </c>
      <c r="H55" s="1219" t="str">
        <f ca="1">IF(INDIRECT($X$24&amp;ScoreData[[#This Row],[Call]]&amp;ScoreData[[#This Row],[RefRow]])="X","YES","NO")</f>
        <v>YES</v>
      </c>
      <c r="I55" s="1219">
        <f ca="1">INDIRECT($X$24&amp;ScoreData[[#This Row],[Pass]]&amp;ScoreData[[#This Row],[RefRow]])</f>
        <v>1</v>
      </c>
      <c r="J55" s="1219" t="str">
        <f ca="1">IF(INDIRECT($X$24&amp;ScoreData[[#This Row],[Point]]&amp;ScoreData[[#This Row],[RefRow]])=0,"",INDIRECT($X$24&amp;ScoreData[[#This Row],[Point]]&amp;ScoreData[[#This Row],[RefRow]]))</f>
        <v/>
      </c>
      <c r="K55" s="1219" t="b">
        <f ca="1">IF(OR(INDIRECT($X$24&amp;ScoreData[[#This Row],[Jam]]&amp;ScoreData[[#This Row],[RefRow]])="SP",INDIRECT($X$24&amp;ScoreData[[#This Row],[Jam]]&amp;ScoreData[[#This Row],[RefRow]])="SP*"),TRUE,FALSE)</f>
        <v>0</v>
      </c>
      <c r="L55" s="1219" t="b">
        <v>0</v>
      </c>
      <c r="M55" s="1219" t="str">
        <f t="array" ref="M55">IFERROR(INDEX(ScoreSearch[],MATCH(ScoreData[[#This Row],[Home?]]&amp;ScoreData[[#Headers],[Jam]],ScoreSearch[Home?]&amp;ScoreSearch[Item],1),3),"")</f>
        <v>$T</v>
      </c>
      <c r="N55" s="1219" t="str">
        <f t="array" ref="N55">IFERROR(INDEX(ScoreSearch[],MATCH(ScoreData[[#This Row],[Home?]]&amp;ScoreData[[#Headers],[Jammer]],ScoreSearch[Home?]&amp;ScoreSearch[Item],1),3),"")</f>
        <v>$U</v>
      </c>
      <c r="O55" s="1219" t="str">
        <f t="array" ref="O55">IFERROR(INDEX(ScoreSearch[],MATCH(ScoreData[[#This Row],[Home?]]&amp;ScoreData[[#Headers],[Lead]],ScoreSearch[Home?]&amp;ScoreSearch[Item],1),3),"")</f>
        <v>$W</v>
      </c>
      <c r="P55" s="1219" t="str">
        <f t="array" ref="P55">IFERROR(INDEX(ScoreSearch[],MATCH(ScoreData[[#This Row],[Home?]]&amp;ScoreData[[#Headers],[Call]],ScoreSearch[Home?]&amp;ScoreSearch[Item],1),3),"")</f>
        <v>$X</v>
      </c>
      <c r="Q55" s="1219" t="str">
        <f t="array" ref="Q55">IFERROR(INDEX(ScoreSearch[],MATCH(ScoreData[[#This Row],[Home?]]&amp;ScoreData[[#Headers],[Penalty]],ScoreSearch[Home?]&amp;ScoreSearch[Item],1),3),"")</f>
        <v>$Z</v>
      </c>
      <c r="R55" s="1222" t="str">
        <f t="array" ref="R55">IFERROR(INDEX(ScoreSearch[],MATCH(ScoreData[[#This Row],[Home?]]&amp;ScoreData[[#Headers],[Point]],ScoreSearch[Home?]&amp;ScoreSearch[Item],1),3),"")</f>
        <v>$AJ</v>
      </c>
      <c r="S55" s="1222" t="str">
        <f t="array" ref="S55">IFERROR(INDEX(ScoreSearch[],MATCH(ScoreData[[#This Row],[Home?]]&amp;ScoreData[[#Headers],[Pass]],ScoreSearch[Home?]&amp;ScoreSearch[Item],1),3),"")</f>
        <v>$AL</v>
      </c>
      <c r="T55" s="1219">
        <v>19</v>
      </c>
    </row>
    <row r="56" spans="1:20" x14ac:dyDescent="0.25">
      <c r="A56" s="1218">
        <f>[1]IBRF!$B$5</f>
        <v>41734</v>
      </c>
      <c r="B56" s="1221">
        <f t="shared" si="0"/>
        <v>0.83333333333333337</v>
      </c>
      <c r="C56" s="1219">
        <v>1</v>
      </c>
      <c r="D56" s="1219">
        <f ca="1">IF(ScoreData[[#This Row],[Passed?]],D55,INDIRECT($X$24&amp;ScoreData[[#This Row],[Jam]]&amp;ScoreData[[#This Row],[RefRow]]))</f>
        <v>16</v>
      </c>
      <c r="E56" s="1219" t="str">
        <f t="shared" si="2"/>
        <v>Harlots</v>
      </c>
      <c r="F56" s="1219" t="str">
        <f ca="1">IF(INDIRECT($X$24&amp;ScoreData[[#This Row],[Jammer]]&amp;ScoreData[[#This Row],[RefRow]])=0,"",INDIRECT($X$24&amp;ScoreData[[#This Row],[Jammer]]&amp;ScoreData[[#This Row],[RefRow]]))</f>
        <v>451</v>
      </c>
      <c r="G56" s="1219" t="str">
        <f ca="1">IF(INDIRECT($X$24&amp;ScoreData[[#This Row],[Lead]]&amp;ScoreData[[#This Row],[RefRow]])="X","YES","NO")</f>
        <v>YES</v>
      </c>
      <c r="H56" s="1219" t="str">
        <f ca="1">IF(INDIRECT($X$24&amp;ScoreData[[#This Row],[Call]]&amp;ScoreData[[#This Row],[RefRow]])="X","YES","NO")</f>
        <v>YES</v>
      </c>
      <c r="I56" s="1219">
        <f ca="1">INDIRECT($X$24&amp;ScoreData[[#This Row],[Pass]]&amp;ScoreData[[#This Row],[RefRow]])</f>
        <v>1</v>
      </c>
      <c r="J56" s="1219">
        <f ca="1">IF(INDIRECT($X$24&amp;ScoreData[[#This Row],[Point]]&amp;ScoreData[[#This Row],[RefRow]])=0,"",INDIRECT($X$24&amp;ScoreData[[#This Row],[Point]]&amp;ScoreData[[#This Row],[RefRow]]))</f>
        <v>4</v>
      </c>
      <c r="K56" s="1219" t="b">
        <f ca="1">IF(OR(INDIRECT($X$24&amp;ScoreData[[#This Row],[Jam]]&amp;ScoreData[[#This Row],[RefRow]])="SP",INDIRECT($X$24&amp;ScoreData[[#This Row],[Jam]]&amp;ScoreData[[#This Row],[RefRow]])="SP*"),TRUE,FALSE)</f>
        <v>0</v>
      </c>
      <c r="L56" s="1219" t="b">
        <v>0</v>
      </c>
      <c r="M56" s="1219" t="str">
        <f t="array" ref="M56">IFERROR(INDEX(ScoreSearch[],MATCH(ScoreData[[#This Row],[Home?]]&amp;ScoreData[[#Headers],[Jam]],ScoreSearch[Home?]&amp;ScoreSearch[Item],1),3),"")</f>
        <v>$T</v>
      </c>
      <c r="N56" s="1219" t="str">
        <f t="array" ref="N56">IFERROR(INDEX(ScoreSearch[],MATCH(ScoreData[[#This Row],[Home?]]&amp;ScoreData[[#Headers],[Jammer]],ScoreSearch[Home?]&amp;ScoreSearch[Item],1),3),"")</f>
        <v>$U</v>
      </c>
      <c r="O56" s="1219" t="str">
        <f t="array" ref="O56">IFERROR(INDEX(ScoreSearch[],MATCH(ScoreData[[#This Row],[Home?]]&amp;ScoreData[[#Headers],[Lead]],ScoreSearch[Home?]&amp;ScoreSearch[Item],1),3),"")</f>
        <v>$W</v>
      </c>
      <c r="P56" s="1219" t="str">
        <f t="array" ref="P56">IFERROR(INDEX(ScoreSearch[],MATCH(ScoreData[[#This Row],[Home?]]&amp;ScoreData[[#Headers],[Call]],ScoreSearch[Home?]&amp;ScoreSearch[Item],1),3),"")</f>
        <v>$X</v>
      </c>
      <c r="Q56" s="1219" t="str">
        <f t="array" ref="Q56">IFERROR(INDEX(ScoreSearch[],MATCH(ScoreData[[#This Row],[Home?]]&amp;ScoreData[[#Headers],[Penalty]],ScoreSearch[Home?]&amp;ScoreSearch[Item],1),3),"")</f>
        <v>$Z</v>
      </c>
      <c r="R56" s="1222" t="str">
        <f t="array" ref="R56">IFERROR(INDEX(ScoreSearch[],MATCH(ScoreData[[#This Row],[Home?]]&amp;ScoreData[[#Headers],[Point]],ScoreSearch[Home?]&amp;ScoreSearch[Item],1),3),"")</f>
        <v>$AJ</v>
      </c>
      <c r="S56" s="1222" t="str">
        <f t="array" ref="S56">IFERROR(INDEX(ScoreSearch[],MATCH(ScoreData[[#This Row],[Home?]]&amp;ScoreData[[#Headers],[Pass]],ScoreSearch[Home?]&amp;ScoreSearch[Item],1),3),"")</f>
        <v>$AL</v>
      </c>
      <c r="T56" s="1219">
        <v>20</v>
      </c>
    </row>
    <row r="57" spans="1:20" x14ac:dyDescent="0.25">
      <c r="A57" s="1218">
        <f>[1]IBRF!$B$5</f>
        <v>41734</v>
      </c>
      <c r="B57" s="1221">
        <f t="shared" si="0"/>
        <v>0.83333333333333337</v>
      </c>
      <c r="C57" s="1219">
        <v>1</v>
      </c>
      <c r="D57" s="1219">
        <f ca="1">IF(ScoreData[[#This Row],[Passed?]],D56,INDIRECT($X$24&amp;ScoreData[[#This Row],[Jam]]&amp;ScoreData[[#This Row],[RefRow]]))</f>
        <v>17</v>
      </c>
      <c r="E57" s="1219" t="str">
        <f t="shared" si="2"/>
        <v>Harlots</v>
      </c>
      <c r="F57" s="1219" t="str">
        <f ca="1">IF(INDIRECT($X$24&amp;ScoreData[[#This Row],[Jammer]]&amp;ScoreData[[#This Row],[RefRow]])=0,"",INDIRECT($X$24&amp;ScoreData[[#This Row],[Jammer]]&amp;ScoreData[[#This Row],[RefRow]]))</f>
        <v>11G6</v>
      </c>
      <c r="G57" s="1219" t="str">
        <f ca="1">IF(INDIRECT($X$24&amp;ScoreData[[#This Row],[Lead]]&amp;ScoreData[[#This Row],[RefRow]])="X","YES","NO")</f>
        <v>YES</v>
      </c>
      <c r="H57" s="1219" t="str">
        <f ca="1">IF(INDIRECT($X$24&amp;ScoreData[[#This Row],[Call]]&amp;ScoreData[[#This Row],[RefRow]])="X","YES","NO")</f>
        <v>YES</v>
      </c>
      <c r="I57" s="1219">
        <f ca="1">INDIRECT($X$24&amp;ScoreData[[#This Row],[Pass]]&amp;ScoreData[[#This Row],[RefRow]])</f>
        <v>1</v>
      </c>
      <c r="J57" s="1219">
        <f ca="1">IF(INDIRECT($X$24&amp;ScoreData[[#This Row],[Point]]&amp;ScoreData[[#This Row],[RefRow]])=0,"",INDIRECT($X$24&amp;ScoreData[[#This Row],[Point]]&amp;ScoreData[[#This Row],[RefRow]]))</f>
        <v>3</v>
      </c>
      <c r="K57" s="1219" t="b">
        <f ca="1">IF(OR(INDIRECT($X$24&amp;ScoreData[[#This Row],[Jam]]&amp;ScoreData[[#This Row],[RefRow]])="SP",INDIRECT($X$24&amp;ScoreData[[#This Row],[Jam]]&amp;ScoreData[[#This Row],[RefRow]])="SP*"),TRUE,FALSE)</f>
        <v>0</v>
      </c>
      <c r="L57" s="1219" t="b">
        <v>0</v>
      </c>
      <c r="M57" s="1219" t="str">
        <f t="array" ref="M57">IFERROR(INDEX(ScoreSearch[],MATCH(ScoreData[[#This Row],[Home?]]&amp;ScoreData[[#Headers],[Jam]],ScoreSearch[Home?]&amp;ScoreSearch[Item],1),3),"")</f>
        <v>$T</v>
      </c>
      <c r="N57" s="1219" t="str">
        <f t="array" ref="N57">IFERROR(INDEX(ScoreSearch[],MATCH(ScoreData[[#This Row],[Home?]]&amp;ScoreData[[#Headers],[Jammer]],ScoreSearch[Home?]&amp;ScoreSearch[Item],1),3),"")</f>
        <v>$U</v>
      </c>
      <c r="O57" s="1219" t="str">
        <f t="array" ref="O57">IFERROR(INDEX(ScoreSearch[],MATCH(ScoreData[[#This Row],[Home?]]&amp;ScoreData[[#Headers],[Lead]],ScoreSearch[Home?]&amp;ScoreSearch[Item],1),3),"")</f>
        <v>$W</v>
      </c>
      <c r="P57" s="1219" t="str">
        <f t="array" ref="P57">IFERROR(INDEX(ScoreSearch[],MATCH(ScoreData[[#This Row],[Home?]]&amp;ScoreData[[#Headers],[Call]],ScoreSearch[Home?]&amp;ScoreSearch[Item],1),3),"")</f>
        <v>$X</v>
      </c>
      <c r="Q57" s="1219" t="str">
        <f t="array" ref="Q57">IFERROR(INDEX(ScoreSearch[],MATCH(ScoreData[[#This Row],[Home?]]&amp;ScoreData[[#Headers],[Penalty]],ScoreSearch[Home?]&amp;ScoreSearch[Item],1),3),"")</f>
        <v>$Z</v>
      </c>
      <c r="R57" s="1222" t="str">
        <f t="array" ref="R57">IFERROR(INDEX(ScoreSearch[],MATCH(ScoreData[[#This Row],[Home?]]&amp;ScoreData[[#Headers],[Point]],ScoreSearch[Home?]&amp;ScoreSearch[Item],1),3),"")</f>
        <v>$AJ</v>
      </c>
      <c r="S57" s="1222" t="str">
        <f t="array" ref="S57">IFERROR(INDEX(ScoreSearch[],MATCH(ScoreData[[#This Row],[Home?]]&amp;ScoreData[[#Headers],[Pass]],ScoreSearch[Home?]&amp;ScoreSearch[Item],1),3),"")</f>
        <v>$AL</v>
      </c>
      <c r="T57" s="1219">
        <v>21</v>
      </c>
    </row>
    <row r="58" spans="1:20" x14ac:dyDescent="0.25">
      <c r="A58" s="1218">
        <f>[1]IBRF!$B$5</f>
        <v>41734</v>
      </c>
      <c r="B58" s="1221">
        <f t="shared" si="0"/>
        <v>0.83333333333333337</v>
      </c>
      <c r="C58" s="1219">
        <v>1</v>
      </c>
      <c r="D58" s="1219">
        <f ca="1">IF(ScoreData[[#This Row],[Passed?]],D57,INDIRECT($X$24&amp;ScoreData[[#This Row],[Jam]]&amp;ScoreData[[#This Row],[RefRow]]))</f>
        <v>18</v>
      </c>
      <c r="E58" s="1219" t="str">
        <f t="shared" si="2"/>
        <v>Harlots</v>
      </c>
      <c r="F58" s="1219" t="str">
        <f ca="1">IF(INDIRECT($X$24&amp;ScoreData[[#This Row],[Jammer]]&amp;ScoreData[[#This Row],[RefRow]])=0,"",INDIRECT($X$24&amp;ScoreData[[#This Row],[Jammer]]&amp;ScoreData[[#This Row],[RefRow]]))</f>
        <v>58</v>
      </c>
      <c r="G58" s="1219" t="str">
        <f ca="1">IF(INDIRECT($X$24&amp;ScoreData[[#This Row],[Lead]]&amp;ScoreData[[#This Row],[RefRow]])="X","YES","NO")</f>
        <v>NO</v>
      </c>
      <c r="H58" s="1219" t="str">
        <f ca="1">IF(INDIRECT($X$24&amp;ScoreData[[#This Row],[Call]]&amp;ScoreData[[#This Row],[RefRow]])="X","YES","NO")</f>
        <v>NO</v>
      </c>
      <c r="I58" s="1219">
        <f ca="1">INDIRECT($X$24&amp;ScoreData[[#This Row],[Pass]]&amp;ScoreData[[#This Row],[RefRow]])</f>
        <v>0</v>
      </c>
      <c r="J58" s="1219" t="str">
        <f ca="1">IF(INDIRECT($X$24&amp;ScoreData[[#This Row],[Point]]&amp;ScoreData[[#This Row],[RefRow]])=0,"",INDIRECT($X$24&amp;ScoreData[[#This Row],[Point]]&amp;ScoreData[[#This Row],[RefRow]]))</f>
        <v/>
      </c>
      <c r="K58" s="1219" t="b">
        <f ca="1">IF(OR(INDIRECT($X$24&amp;ScoreData[[#This Row],[Jam]]&amp;ScoreData[[#This Row],[RefRow]])="SP",INDIRECT($X$24&amp;ScoreData[[#This Row],[Jam]]&amp;ScoreData[[#This Row],[RefRow]])="SP*"),TRUE,FALSE)</f>
        <v>0</v>
      </c>
      <c r="L58" s="1219" t="b">
        <v>0</v>
      </c>
      <c r="M58" s="1219" t="str">
        <f t="array" ref="M58">IFERROR(INDEX(ScoreSearch[],MATCH(ScoreData[[#This Row],[Home?]]&amp;ScoreData[[#Headers],[Jam]],ScoreSearch[Home?]&amp;ScoreSearch[Item],1),3),"")</f>
        <v>$T</v>
      </c>
      <c r="N58" s="1219" t="str">
        <f t="array" ref="N58">IFERROR(INDEX(ScoreSearch[],MATCH(ScoreData[[#This Row],[Home?]]&amp;ScoreData[[#Headers],[Jammer]],ScoreSearch[Home?]&amp;ScoreSearch[Item],1),3),"")</f>
        <v>$U</v>
      </c>
      <c r="O58" s="1219" t="str">
        <f t="array" ref="O58">IFERROR(INDEX(ScoreSearch[],MATCH(ScoreData[[#This Row],[Home?]]&amp;ScoreData[[#Headers],[Lead]],ScoreSearch[Home?]&amp;ScoreSearch[Item],1),3),"")</f>
        <v>$W</v>
      </c>
      <c r="P58" s="1219" t="str">
        <f t="array" ref="P58">IFERROR(INDEX(ScoreSearch[],MATCH(ScoreData[[#This Row],[Home?]]&amp;ScoreData[[#Headers],[Call]],ScoreSearch[Home?]&amp;ScoreSearch[Item],1),3),"")</f>
        <v>$X</v>
      </c>
      <c r="Q58" s="1219" t="str">
        <f t="array" ref="Q58">IFERROR(INDEX(ScoreSearch[],MATCH(ScoreData[[#This Row],[Home?]]&amp;ScoreData[[#Headers],[Penalty]],ScoreSearch[Home?]&amp;ScoreSearch[Item],1),3),"")</f>
        <v>$Z</v>
      </c>
      <c r="R58" s="1222" t="str">
        <f t="array" ref="R58">IFERROR(INDEX(ScoreSearch[],MATCH(ScoreData[[#This Row],[Home?]]&amp;ScoreData[[#Headers],[Point]],ScoreSearch[Home?]&amp;ScoreSearch[Item],1),3),"")</f>
        <v>$AJ</v>
      </c>
      <c r="S58" s="1222" t="str">
        <f t="array" ref="S58">IFERROR(INDEX(ScoreSearch[],MATCH(ScoreData[[#This Row],[Home?]]&amp;ScoreData[[#Headers],[Pass]],ScoreSearch[Home?]&amp;ScoreSearch[Item],1),3),"")</f>
        <v>$AL</v>
      </c>
      <c r="T58" s="1219">
        <v>22</v>
      </c>
    </row>
    <row r="59" spans="1:20" x14ac:dyDescent="0.25">
      <c r="A59" s="1218">
        <f>[1]IBRF!$B$5</f>
        <v>41734</v>
      </c>
      <c r="B59" s="1221">
        <f t="shared" si="0"/>
        <v>0.83333333333333337</v>
      </c>
      <c r="C59" s="1219">
        <v>1</v>
      </c>
      <c r="D59" s="1219">
        <f ca="1">IF(ScoreData[[#This Row],[Passed?]],D58,INDIRECT($X$24&amp;ScoreData[[#This Row],[Jam]]&amp;ScoreData[[#This Row],[RefRow]]))</f>
        <v>18</v>
      </c>
      <c r="E59" s="1219" t="str">
        <f t="shared" si="2"/>
        <v>Harlots</v>
      </c>
      <c r="F59" s="1219" t="str">
        <f ca="1">IF(INDIRECT($X$24&amp;ScoreData[[#This Row],[Jammer]]&amp;ScoreData[[#This Row],[RefRow]])=0,"",INDIRECT($X$24&amp;ScoreData[[#This Row],[Jammer]]&amp;ScoreData[[#This Row],[RefRow]]))</f>
        <v>26</v>
      </c>
      <c r="G59" s="1219" t="str">
        <f ca="1">IF(INDIRECT($X$24&amp;ScoreData[[#This Row],[Lead]]&amp;ScoreData[[#This Row],[RefRow]])="X","YES","NO")</f>
        <v>NO</v>
      </c>
      <c r="H59" s="1219" t="str">
        <f ca="1">IF(INDIRECT($X$24&amp;ScoreData[[#This Row],[Call]]&amp;ScoreData[[#This Row],[RefRow]])="X","YES","NO")</f>
        <v>NO</v>
      </c>
      <c r="I59" s="1219">
        <f ca="1">INDIRECT($X$24&amp;ScoreData[[#This Row],[Pass]]&amp;ScoreData[[#This Row],[RefRow]])</f>
        <v>1</v>
      </c>
      <c r="J59" s="1219" t="str">
        <f ca="1">IF(INDIRECT($X$24&amp;ScoreData[[#This Row],[Point]]&amp;ScoreData[[#This Row],[RefRow]])=0,"",INDIRECT($X$24&amp;ScoreData[[#This Row],[Point]]&amp;ScoreData[[#This Row],[RefRow]]))</f>
        <v/>
      </c>
      <c r="K59" s="1219" t="b">
        <f ca="1">IF(OR(INDIRECT($X$24&amp;ScoreData[[#This Row],[Jam]]&amp;ScoreData[[#This Row],[RefRow]])="SP",INDIRECT($X$24&amp;ScoreData[[#This Row],[Jam]]&amp;ScoreData[[#This Row],[RefRow]])="SP*"),TRUE,FALSE)</f>
        <v>1</v>
      </c>
      <c r="L59" s="1219" t="b">
        <v>0</v>
      </c>
      <c r="M59" s="1219" t="str">
        <f t="array" ref="M59">IFERROR(INDEX(ScoreSearch[],MATCH(ScoreData[[#This Row],[Home?]]&amp;ScoreData[[#Headers],[Jam]],ScoreSearch[Home?]&amp;ScoreSearch[Item],1),3),"")</f>
        <v>$T</v>
      </c>
      <c r="N59" s="1219" t="str">
        <f t="array" ref="N59">IFERROR(INDEX(ScoreSearch[],MATCH(ScoreData[[#This Row],[Home?]]&amp;ScoreData[[#Headers],[Jammer]],ScoreSearch[Home?]&amp;ScoreSearch[Item],1),3),"")</f>
        <v>$U</v>
      </c>
      <c r="O59" s="1219" t="str">
        <f t="array" ref="O59">IFERROR(INDEX(ScoreSearch[],MATCH(ScoreData[[#This Row],[Home?]]&amp;ScoreData[[#Headers],[Lead]],ScoreSearch[Home?]&amp;ScoreSearch[Item],1),3),"")</f>
        <v>$W</v>
      </c>
      <c r="P59" s="1219" t="str">
        <f t="array" ref="P59">IFERROR(INDEX(ScoreSearch[],MATCH(ScoreData[[#This Row],[Home?]]&amp;ScoreData[[#Headers],[Call]],ScoreSearch[Home?]&amp;ScoreSearch[Item],1),3),"")</f>
        <v>$X</v>
      </c>
      <c r="Q59" s="1219" t="str">
        <f t="array" ref="Q59">IFERROR(INDEX(ScoreSearch[],MATCH(ScoreData[[#This Row],[Home?]]&amp;ScoreData[[#Headers],[Penalty]],ScoreSearch[Home?]&amp;ScoreSearch[Item],1),3),"")</f>
        <v>$Z</v>
      </c>
      <c r="R59" s="1222" t="str">
        <f t="array" ref="R59">IFERROR(INDEX(ScoreSearch[],MATCH(ScoreData[[#This Row],[Home?]]&amp;ScoreData[[#Headers],[Point]],ScoreSearch[Home?]&amp;ScoreSearch[Item],1),3),"")</f>
        <v>$AJ</v>
      </c>
      <c r="S59" s="1222" t="str">
        <f t="array" ref="S59">IFERROR(INDEX(ScoreSearch[],MATCH(ScoreData[[#This Row],[Home?]]&amp;ScoreData[[#Headers],[Pass]],ScoreSearch[Home?]&amp;ScoreSearch[Item],1),3),"")</f>
        <v>$AL</v>
      </c>
      <c r="T59" s="1219">
        <v>23</v>
      </c>
    </row>
    <row r="60" spans="1:20" x14ac:dyDescent="0.25">
      <c r="A60" s="1218">
        <f>[1]IBRF!$B$5</f>
        <v>41734</v>
      </c>
      <c r="B60" s="1221">
        <f t="shared" si="0"/>
        <v>0.83333333333333337</v>
      </c>
      <c r="C60" s="1219">
        <v>1</v>
      </c>
      <c r="D60" s="1219">
        <f ca="1">IF(ScoreData[[#This Row],[Passed?]],D59,INDIRECT($X$24&amp;ScoreData[[#This Row],[Jam]]&amp;ScoreData[[#This Row],[RefRow]]))</f>
        <v>19</v>
      </c>
      <c r="E60" s="1219" t="str">
        <f t="shared" si="2"/>
        <v>Harlots</v>
      </c>
      <c r="F60" s="1219" t="str">
        <f ca="1">IF(INDIRECT($X$24&amp;ScoreData[[#This Row],[Jammer]]&amp;ScoreData[[#This Row],[RefRow]])=0,"",INDIRECT($X$24&amp;ScoreData[[#This Row],[Jammer]]&amp;ScoreData[[#This Row],[RefRow]]))</f>
        <v>K9</v>
      </c>
      <c r="G60" s="1219" t="str">
        <f ca="1">IF(INDIRECT($X$24&amp;ScoreData[[#This Row],[Lead]]&amp;ScoreData[[#This Row],[RefRow]])="X","YES","NO")</f>
        <v>NO</v>
      </c>
      <c r="H60" s="1219" t="str">
        <f ca="1">IF(INDIRECT($X$24&amp;ScoreData[[#This Row],[Call]]&amp;ScoreData[[#This Row],[RefRow]])="X","YES","NO")</f>
        <v>NO</v>
      </c>
      <c r="I60" s="1219">
        <f ca="1">INDIRECT($X$24&amp;ScoreData[[#This Row],[Pass]]&amp;ScoreData[[#This Row],[RefRow]])</f>
        <v>2</v>
      </c>
      <c r="J60" s="1219">
        <f ca="1">IF(INDIRECT($X$24&amp;ScoreData[[#This Row],[Point]]&amp;ScoreData[[#This Row],[RefRow]])=0,"",INDIRECT($X$24&amp;ScoreData[[#This Row],[Point]]&amp;ScoreData[[#This Row],[RefRow]]))</f>
        <v>4</v>
      </c>
      <c r="K60" s="1219" t="b">
        <f ca="1">IF(OR(INDIRECT($X$24&amp;ScoreData[[#This Row],[Jam]]&amp;ScoreData[[#This Row],[RefRow]])="SP",INDIRECT($X$24&amp;ScoreData[[#This Row],[Jam]]&amp;ScoreData[[#This Row],[RefRow]])="SP*"),TRUE,FALSE)</f>
        <v>0</v>
      </c>
      <c r="L60" s="1219" t="b">
        <v>0</v>
      </c>
      <c r="M60" s="1219" t="str">
        <f t="array" ref="M60">IFERROR(INDEX(ScoreSearch[],MATCH(ScoreData[[#This Row],[Home?]]&amp;ScoreData[[#Headers],[Jam]],ScoreSearch[Home?]&amp;ScoreSearch[Item],1),3),"")</f>
        <v>$T</v>
      </c>
      <c r="N60" s="1219" t="str">
        <f t="array" ref="N60">IFERROR(INDEX(ScoreSearch[],MATCH(ScoreData[[#This Row],[Home?]]&amp;ScoreData[[#Headers],[Jammer]],ScoreSearch[Home?]&amp;ScoreSearch[Item],1),3),"")</f>
        <v>$U</v>
      </c>
      <c r="O60" s="1219" t="str">
        <f t="array" ref="O60">IFERROR(INDEX(ScoreSearch[],MATCH(ScoreData[[#This Row],[Home?]]&amp;ScoreData[[#Headers],[Lead]],ScoreSearch[Home?]&amp;ScoreSearch[Item],1),3),"")</f>
        <v>$W</v>
      </c>
      <c r="P60" s="1219" t="str">
        <f t="array" ref="P60">IFERROR(INDEX(ScoreSearch[],MATCH(ScoreData[[#This Row],[Home?]]&amp;ScoreData[[#Headers],[Call]],ScoreSearch[Home?]&amp;ScoreSearch[Item],1),3),"")</f>
        <v>$X</v>
      </c>
      <c r="Q60" s="1219" t="str">
        <f t="array" ref="Q60">IFERROR(INDEX(ScoreSearch[],MATCH(ScoreData[[#This Row],[Home?]]&amp;ScoreData[[#Headers],[Penalty]],ScoreSearch[Home?]&amp;ScoreSearch[Item],1),3),"")</f>
        <v>$Z</v>
      </c>
      <c r="R60" s="1222" t="str">
        <f t="array" ref="R60">IFERROR(INDEX(ScoreSearch[],MATCH(ScoreData[[#This Row],[Home?]]&amp;ScoreData[[#Headers],[Point]],ScoreSearch[Home?]&amp;ScoreSearch[Item],1),3),"")</f>
        <v>$AJ</v>
      </c>
      <c r="S60" s="1222" t="str">
        <f t="array" ref="S60">IFERROR(INDEX(ScoreSearch[],MATCH(ScoreData[[#This Row],[Home?]]&amp;ScoreData[[#Headers],[Pass]],ScoreSearch[Home?]&amp;ScoreSearch[Item],1),3),"")</f>
        <v>$AL</v>
      </c>
      <c r="T60" s="1219">
        <v>24</v>
      </c>
    </row>
    <row r="61" spans="1:20" x14ac:dyDescent="0.25">
      <c r="A61" s="1218">
        <f>[1]IBRF!$B$5</f>
        <v>41734</v>
      </c>
      <c r="B61" s="1221">
        <f t="shared" si="0"/>
        <v>0.83333333333333337</v>
      </c>
      <c r="C61" s="1219">
        <v>1</v>
      </c>
      <c r="D61" s="1219">
        <f ca="1">IF(ScoreData[[#This Row],[Passed?]],D60,INDIRECT($X$24&amp;ScoreData[[#This Row],[Jam]]&amp;ScoreData[[#This Row],[RefRow]]))</f>
        <v>0</v>
      </c>
      <c r="E61" s="1219" t="str">
        <f t="shared" si="2"/>
        <v>Harlots</v>
      </c>
      <c r="F61" s="1219" t="str">
        <f ca="1">IF(INDIRECT($X$24&amp;ScoreData[[#This Row],[Jammer]]&amp;ScoreData[[#This Row],[RefRow]])=0,"",INDIRECT($X$24&amp;ScoreData[[#This Row],[Jammer]]&amp;ScoreData[[#This Row],[RefRow]]))</f>
        <v/>
      </c>
      <c r="G61" s="1219" t="str">
        <f ca="1">IF(INDIRECT($X$24&amp;ScoreData[[#This Row],[Lead]]&amp;ScoreData[[#This Row],[RefRow]])="X","YES","NO")</f>
        <v>NO</v>
      </c>
      <c r="H61" s="1219" t="str">
        <f ca="1">IF(INDIRECT($X$24&amp;ScoreData[[#This Row],[Call]]&amp;ScoreData[[#This Row],[RefRow]])="X","YES","NO")</f>
        <v>NO</v>
      </c>
      <c r="I61" s="1219">
        <f ca="1">INDIRECT($X$24&amp;ScoreData[[#This Row],[Pass]]&amp;ScoreData[[#This Row],[RefRow]])</f>
        <v>0</v>
      </c>
      <c r="J61" s="1219" t="str">
        <f ca="1">IF(INDIRECT($X$24&amp;ScoreData[[#This Row],[Point]]&amp;ScoreData[[#This Row],[RefRow]])=0,"",INDIRECT($X$24&amp;ScoreData[[#This Row],[Point]]&amp;ScoreData[[#This Row],[RefRow]]))</f>
        <v/>
      </c>
      <c r="K61" s="1219" t="b">
        <f ca="1">IF(OR(INDIRECT($X$24&amp;ScoreData[[#This Row],[Jam]]&amp;ScoreData[[#This Row],[RefRow]])="SP",INDIRECT($X$24&amp;ScoreData[[#This Row],[Jam]]&amp;ScoreData[[#This Row],[RefRow]])="SP*"),TRUE,FALSE)</f>
        <v>0</v>
      </c>
      <c r="L61" s="1219" t="b">
        <v>0</v>
      </c>
      <c r="M61" s="1219" t="str">
        <f t="array" ref="M61">IFERROR(INDEX(ScoreSearch[],MATCH(ScoreData[[#This Row],[Home?]]&amp;ScoreData[[#Headers],[Jam]],ScoreSearch[Home?]&amp;ScoreSearch[Item],1),3),"")</f>
        <v>$T</v>
      </c>
      <c r="N61" s="1219" t="str">
        <f t="array" ref="N61">IFERROR(INDEX(ScoreSearch[],MATCH(ScoreData[[#This Row],[Home?]]&amp;ScoreData[[#Headers],[Jammer]],ScoreSearch[Home?]&amp;ScoreSearch[Item],1),3),"")</f>
        <v>$U</v>
      </c>
      <c r="O61" s="1219" t="str">
        <f t="array" ref="O61">IFERROR(INDEX(ScoreSearch[],MATCH(ScoreData[[#This Row],[Home?]]&amp;ScoreData[[#Headers],[Lead]],ScoreSearch[Home?]&amp;ScoreSearch[Item],1),3),"")</f>
        <v>$W</v>
      </c>
      <c r="P61" s="1219" t="str">
        <f t="array" ref="P61">IFERROR(INDEX(ScoreSearch[],MATCH(ScoreData[[#This Row],[Home?]]&amp;ScoreData[[#Headers],[Call]],ScoreSearch[Home?]&amp;ScoreSearch[Item],1),3),"")</f>
        <v>$X</v>
      </c>
      <c r="Q61" s="1219" t="str">
        <f t="array" ref="Q61">IFERROR(INDEX(ScoreSearch[],MATCH(ScoreData[[#This Row],[Home?]]&amp;ScoreData[[#Headers],[Penalty]],ScoreSearch[Home?]&amp;ScoreSearch[Item],1),3),"")</f>
        <v>$Z</v>
      </c>
      <c r="R61" s="1222" t="str">
        <f t="array" ref="R61">IFERROR(INDEX(ScoreSearch[],MATCH(ScoreData[[#This Row],[Home?]]&amp;ScoreData[[#Headers],[Point]],ScoreSearch[Home?]&amp;ScoreSearch[Item],1),3),"")</f>
        <v>$AJ</v>
      </c>
      <c r="S61" s="1222" t="str">
        <f t="array" ref="S61">IFERROR(INDEX(ScoreSearch[],MATCH(ScoreData[[#This Row],[Home?]]&amp;ScoreData[[#Headers],[Pass]],ScoreSearch[Home?]&amp;ScoreSearch[Item],1),3),"")</f>
        <v>$AL</v>
      </c>
      <c r="T61" s="1219">
        <v>25</v>
      </c>
    </row>
    <row r="62" spans="1:20" x14ac:dyDescent="0.25">
      <c r="A62" s="1218">
        <f>[1]IBRF!$B$5</f>
        <v>41734</v>
      </c>
      <c r="B62" s="1221">
        <f t="shared" si="0"/>
        <v>0.83333333333333337</v>
      </c>
      <c r="C62" s="1219">
        <v>1</v>
      </c>
      <c r="D62" s="1219">
        <f ca="1">IF(ScoreData[[#This Row],[Passed?]],D61,INDIRECT($X$24&amp;ScoreData[[#This Row],[Jam]]&amp;ScoreData[[#This Row],[RefRow]]))</f>
        <v>0</v>
      </c>
      <c r="E62" s="1219" t="str">
        <f t="shared" si="2"/>
        <v>Harlots</v>
      </c>
      <c r="F62" s="1219" t="str">
        <f ca="1">IF(INDIRECT($X$24&amp;ScoreData[[#This Row],[Jammer]]&amp;ScoreData[[#This Row],[RefRow]])=0,"",INDIRECT($X$24&amp;ScoreData[[#This Row],[Jammer]]&amp;ScoreData[[#This Row],[RefRow]]))</f>
        <v/>
      </c>
      <c r="G62" s="1219" t="str">
        <f ca="1">IF(INDIRECT($X$24&amp;ScoreData[[#This Row],[Lead]]&amp;ScoreData[[#This Row],[RefRow]])="X","YES","NO")</f>
        <v>NO</v>
      </c>
      <c r="H62" s="1219" t="str">
        <f ca="1">IF(INDIRECT($X$24&amp;ScoreData[[#This Row],[Call]]&amp;ScoreData[[#This Row],[RefRow]])="X","YES","NO")</f>
        <v>NO</v>
      </c>
      <c r="I62" s="1219">
        <f ca="1">INDIRECT($X$24&amp;ScoreData[[#This Row],[Pass]]&amp;ScoreData[[#This Row],[RefRow]])</f>
        <v>0</v>
      </c>
      <c r="J62" s="1219" t="str">
        <f ca="1">IF(INDIRECT($X$24&amp;ScoreData[[#This Row],[Point]]&amp;ScoreData[[#This Row],[RefRow]])=0,"",INDIRECT($X$24&amp;ScoreData[[#This Row],[Point]]&amp;ScoreData[[#This Row],[RefRow]]))</f>
        <v/>
      </c>
      <c r="K62" s="1219" t="b">
        <f ca="1">IF(OR(INDIRECT($X$24&amp;ScoreData[[#This Row],[Jam]]&amp;ScoreData[[#This Row],[RefRow]])="SP",INDIRECT($X$24&amp;ScoreData[[#This Row],[Jam]]&amp;ScoreData[[#This Row],[RefRow]])="SP*"),TRUE,FALSE)</f>
        <v>0</v>
      </c>
      <c r="L62" s="1219" t="b">
        <v>0</v>
      </c>
      <c r="M62" s="1219" t="str">
        <f t="array" ref="M62">IFERROR(INDEX(ScoreSearch[],MATCH(ScoreData[[#This Row],[Home?]]&amp;ScoreData[[#Headers],[Jam]],ScoreSearch[Home?]&amp;ScoreSearch[Item],1),3),"")</f>
        <v>$T</v>
      </c>
      <c r="N62" s="1219" t="str">
        <f t="array" ref="N62">IFERROR(INDEX(ScoreSearch[],MATCH(ScoreData[[#This Row],[Home?]]&amp;ScoreData[[#Headers],[Jammer]],ScoreSearch[Home?]&amp;ScoreSearch[Item],1),3),"")</f>
        <v>$U</v>
      </c>
      <c r="O62" s="1219" t="str">
        <f t="array" ref="O62">IFERROR(INDEX(ScoreSearch[],MATCH(ScoreData[[#This Row],[Home?]]&amp;ScoreData[[#Headers],[Lead]],ScoreSearch[Home?]&amp;ScoreSearch[Item],1),3),"")</f>
        <v>$W</v>
      </c>
      <c r="P62" s="1219" t="str">
        <f t="array" ref="P62">IFERROR(INDEX(ScoreSearch[],MATCH(ScoreData[[#This Row],[Home?]]&amp;ScoreData[[#Headers],[Call]],ScoreSearch[Home?]&amp;ScoreSearch[Item],1),3),"")</f>
        <v>$X</v>
      </c>
      <c r="Q62" s="1219" t="str">
        <f t="array" ref="Q62">IFERROR(INDEX(ScoreSearch[],MATCH(ScoreData[[#This Row],[Home?]]&amp;ScoreData[[#Headers],[Penalty]],ScoreSearch[Home?]&amp;ScoreSearch[Item],1),3),"")</f>
        <v>$Z</v>
      </c>
      <c r="R62" s="1222" t="str">
        <f t="array" ref="R62">IFERROR(INDEX(ScoreSearch[],MATCH(ScoreData[[#This Row],[Home?]]&amp;ScoreData[[#Headers],[Point]],ScoreSearch[Home?]&amp;ScoreSearch[Item],1),3),"")</f>
        <v>$AJ</v>
      </c>
      <c r="S62" s="1222" t="str">
        <f t="array" ref="S62">IFERROR(INDEX(ScoreSearch[],MATCH(ScoreData[[#This Row],[Home?]]&amp;ScoreData[[#Headers],[Pass]],ScoreSearch[Home?]&amp;ScoreSearch[Item],1),3),"")</f>
        <v>$AL</v>
      </c>
      <c r="T62" s="1219">
        <v>26</v>
      </c>
    </row>
    <row r="63" spans="1:20" x14ac:dyDescent="0.25">
      <c r="A63" s="1218">
        <f>[1]IBRF!$B$5</f>
        <v>41734</v>
      </c>
      <c r="B63" s="1221">
        <f t="shared" si="0"/>
        <v>0.83333333333333337</v>
      </c>
      <c r="C63" s="1219">
        <v>1</v>
      </c>
      <c r="D63" s="1219">
        <f ca="1">IF(ScoreData[[#This Row],[Passed?]],D62,INDIRECT($X$24&amp;ScoreData[[#This Row],[Jam]]&amp;ScoreData[[#This Row],[RefRow]]))</f>
        <v>0</v>
      </c>
      <c r="E63" s="1219" t="str">
        <f t="shared" si="2"/>
        <v>Harlots</v>
      </c>
      <c r="F63" s="1219" t="str">
        <f ca="1">IF(INDIRECT($X$24&amp;ScoreData[[#This Row],[Jammer]]&amp;ScoreData[[#This Row],[RefRow]])=0,"",INDIRECT($X$24&amp;ScoreData[[#This Row],[Jammer]]&amp;ScoreData[[#This Row],[RefRow]]))</f>
        <v/>
      </c>
      <c r="G63" s="1219" t="str">
        <f ca="1">IF(INDIRECT($X$24&amp;ScoreData[[#This Row],[Lead]]&amp;ScoreData[[#This Row],[RefRow]])="X","YES","NO")</f>
        <v>NO</v>
      </c>
      <c r="H63" s="1219" t="str">
        <f ca="1">IF(INDIRECT($X$24&amp;ScoreData[[#This Row],[Call]]&amp;ScoreData[[#This Row],[RefRow]])="X","YES","NO")</f>
        <v>NO</v>
      </c>
      <c r="I63" s="1219">
        <f ca="1">INDIRECT($X$24&amp;ScoreData[[#This Row],[Pass]]&amp;ScoreData[[#This Row],[RefRow]])</f>
        <v>0</v>
      </c>
      <c r="J63" s="1219" t="str">
        <f ca="1">IF(INDIRECT($X$24&amp;ScoreData[[#This Row],[Point]]&amp;ScoreData[[#This Row],[RefRow]])=0,"",INDIRECT($X$24&amp;ScoreData[[#This Row],[Point]]&amp;ScoreData[[#This Row],[RefRow]]))</f>
        <v/>
      </c>
      <c r="K63" s="1219" t="b">
        <f ca="1">IF(OR(INDIRECT($X$24&amp;ScoreData[[#This Row],[Jam]]&amp;ScoreData[[#This Row],[RefRow]])="SP",INDIRECT($X$24&amp;ScoreData[[#This Row],[Jam]]&amp;ScoreData[[#This Row],[RefRow]])="SP*"),TRUE,FALSE)</f>
        <v>0</v>
      </c>
      <c r="L63" s="1219" t="b">
        <v>0</v>
      </c>
      <c r="M63" s="1219" t="str">
        <f t="array" ref="M63">IFERROR(INDEX(ScoreSearch[],MATCH(ScoreData[[#This Row],[Home?]]&amp;ScoreData[[#Headers],[Jam]],ScoreSearch[Home?]&amp;ScoreSearch[Item],1),3),"")</f>
        <v>$T</v>
      </c>
      <c r="N63" s="1219" t="str">
        <f t="array" ref="N63">IFERROR(INDEX(ScoreSearch[],MATCH(ScoreData[[#This Row],[Home?]]&amp;ScoreData[[#Headers],[Jammer]],ScoreSearch[Home?]&amp;ScoreSearch[Item],1),3),"")</f>
        <v>$U</v>
      </c>
      <c r="O63" s="1219" t="str">
        <f t="array" ref="O63">IFERROR(INDEX(ScoreSearch[],MATCH(ScoreData[[#This Row],[Home?]]&amp;ScoreData[[#Headers],[Lead]],ScoreSearch[Home?]&amp;ScoreSearch[Item],1),3),"")</f>
        <v>$W</v>
      </c>
      <c r="P63" s="1219" t="str">
        <f t="array" ref="P63">IFERROR(INDEX(ScoreSearch[],MATCH(ScoreData[[#This Row],[Home?]]&amp;ScoreData[[#Headers],[Call]],ScoreSearch[Home?]&amp;ScoreSearch[Item],1),3),"")</f>
        <v>$X</v>
      </c>
      <c r="Q63" s="1219" t="str">
        <f t="array" ref="Q63">IFERROR(INDEX(ScoreSearch[],MATCH(ScoreData[[#This Row],[Home?]]&amp;ScoreData[[#Headers],[Penalty]],ScoreSearch[Home?]&amp;ScoreSearch[Item],1),3),"")</f>
        <v>$Z</v>
      </c>
      <c r="R63" s="1222" t="str">
        <f t="array" ref="R63">IFERROR(INDEX(ScoreSearch[],MATCH(ScoreData[[#This Row],[Home?]]&amp;ScoreData[[#Headers],[Point]],ScoreSearch[Home?]&amp;ScoreSearch[Item],1),3),"")</f>
        <v>$AJ</v>
      </c>
      <c r="S63" s="1222" t="str">
        <f t="array" ref="S63">IFERROR(INDEX(ScoreSearch[],MATCH(ScoreData[[#This Row],[Home?]]&amp;ScoreData[[#Headers],[Pass]],ScoreSearch[Home?]&amp;ScoreSearch[Item],1),3),"")</f>
        <v>$AL</v>
      </c>
      <c r="T63" s="1219">
        <v>27</v>
      </c>
    </row>
    <row r="64" spans="1:20" x14ac:dyDescent="0.25">
      <c r="A64" s="1218">
        <f>[1]IBRF!$B$5</f>
        <v>41734</v>
      </c>
      <c r="B64" s="1221">
        <f t="shared" si="0"/>
        <v>0.83333333333333337</v>
      </c>
      <c r="C64" s="1219">
        <v>1</v>
      </c>
      <c r="D64" s="1219">
        <f ca="1">IF(ScoreData[[#This Row],[Passed?]],D63,INDIRECT($X$24&amp;ScoreData[[#This Row],[Jam]]&amp;ScoreData[[#This Row],[RefRow]]))</f>
        <v>0</v>
      </c>
      <c r="E64" s="1219" t="str">
        <f t="shared" si="2"/>
        <v>Harlots</v>
      </c>
      <c r="F64" s="1219" t="str">
        <f ca="1">IF(INDIRECT($X$24&amp;ScoreData[[#This Row],[Jammer]]&amp;ScoreData[[#This Row],[RefRow]])=0,"",INDIRECT($X$24&amp;ScoreData[[#This Row],[Jammer]]&amp;ScoreData[[#This Row],[RefRow]]))</f>
        <v/>
      </c>
      <c r="G64" s="1219" t="str">
        <f ca="1">IF(INDIRECT($X$24&amp;ScoreData[[#This Row],[Lead]]&amp;ScoreData[[#This Row],[RefRow]])="X","YES","NO")</f>
        <v>NO</v>
      </c>
      <c r="H64" s="1219" t="str">
        <f ca="1">IF(INDIRECT($X$24&amp;ScoreData[[#This Row],[Call]]&amp;ScoreData[[#This Row],[RefRow]])="X","YES","NO")</f>
        <v>NO</v>
      </c>
      <c r="I64" s="1219">
        <f ca="1">INDIRECT($X$24&amp;ScoreData[[#This Row],[Pass]]&amp;ScoreData[[#This Row],[RefRow]])</f>
        <v>0</v>
      </c>
      <c r="J64" s="1219" t="str">
        <f ca="1">IF(INDIRECT($X$24&amp;ScoreData[[#This Row],[Point]]&amp;ScoreData[[#This Row],[RefRow]])=0,"",INDIRECT($X$24&amp;ScoreData[[#This Row],[Point]]&amp;ScoreData[[#This Row],[RefRow]]))</f>
        <v/>
      </c>
      <c r="K64" s="1219" t="b">
        <f ca="1">IF(OR(INDIRECT($X$24&amp;ScoreData[[#This Row],[Jam]]&amp;ScoreData[[#This Row],[RefRow]])="SP",INDIRECT($X$24&amp;ScoreData[[#This Row],[Jam]]&amp;ScoreData[[#This Row],[RefRow]])="SP*"),TRUE,FALSE)</f>
        <v>0</v>
      </c>
      <c r="L64" s="1219" t="b">
        <v>0</v>
      </c>
      <c r="M64" s="1219" t="str">
        <f t="array" ref="M64">IFERROR(INDEX(ScoreSearch[],MATCH(ScoreData[[#This Row],[Home?]]&amp;ScoreData[[#Headers],[Jam]],ScoreSearch[Home?]&amp;ScoreSearch[Item],1),3),"")</f>
        <v>$T</v>
      </c>
      <c r="N64" s="1219" t="str">
        <f t="array" ref="N64">IFERROR(INDEX(ScoreSearch[],MATCH(ScoreData[[#This Row],[Home?]]&amp;ScoreData[[#Headers],[Jammer]],ScoreSearch[Home?]&amp;ScoreSearch[Item],1),3),"")</f>
        <v>$U</v>
      </c>
      <c r="O64" s="1219" t="str">
        <f t="array" ref="O64">IFERROR(INDEX(ScoreSearch[],MATCH(ScoreData[[#This Row],[Home?]]&amp;ScoreData[[#Headers],[Lead]],ScoreSearch[Home?]&amp;ScoreSearch[Item],1),3),"")</f>
        <v>$W</v>
      </c>
      <c r="P64" s="1219" t="str">
        <f t="array" ref="P64">IFERROR(INDEX(ScoreSearch[],MATCH(ScoreData[[#This Row],[Home?]]&amp;ScoreData[[#Headers],[Call]],ScoreSearch[Home?]&amp;ScoreSearch[Item],1),3),"")</f>
        <v>$X</v>
      </c>
      <c r="Q64" s="1219" t="str">
        <f t="array" ref="Q64">IFERROR(INDEX(ScoreSearch[],MATCH(ScoreData[[#This Row],[Home?]]&amp;ScoreData[[#Headers],[Penalty]],ScoreSearch[Home?]&amp;ScoreSearch[Item],1),3),"")</f>
        <v>$Z</v>
      </c>
      <c r="R64" s="1222" t="str">
        <f t="array" ref="R64">IFERROR(INDEX(ScoreSearch[],MATCH(ScoreData[[#This Row],[Home?]]&amp;ScoreData[[#Headers],[Point]],ScoreSearch[Home?]&amp;ScoreSearch[Item],1),3),"")</f>
        <v>$AJ</v>
      </c>
      <c r="S64" s="1222" t="str">
        <f t="array" ref="S64">IFERROR(INDEX(ScoreSearch[],MATCH(ScoreData[[#This Row],[Home?]]&amp;ScoreData[[#Headers],[Pass]],ScoreSearch[Home?]&amp;ScoreSearch[Item],1),3),"")</f>
        <v>$AL</v>
      </c>
      <c r="T64" s="1219">
        <v>28</v>
      </c>
    </row>
    <row r="65" spans="1:20" x14ac:dyDescent="0.25">
      <c r="A65" s="1218">
        <f>[1]IBRF!$B$5</f>
        <v>41734</v>
      </c>
      <c r="B65" s="1221">
        <f t="shared" si="0"/>
        <v>0.83333333333333337</v>
      </c>
      <c r="C65" s="1219">
        <v>1</v>
      </c>
      <c r="D65" s="1219">
        <f ca="1">IF(ScoreData[[#This Row],[Passed?]],D64,INDIRECT($X$24&amp;ScoreData[[#This Row],[Jam]]&amp;ScoreData[[#This Row],[RefRow]]))</f>
        <v>0</v>
      </c>
      <c r="E65" s="1219" t="str">
        <f t="shared" si="2"/>
        <v>Harlots</v>
      </c>
      <c r="F65" s="1219" t="str">
        <f ca="1">IF(INDIRECT($X$24&amp;ScoreData[[#This Row],[Jammer]]&amp;ScoreData[[#This Row],[RefRow]])=0,"",INDIRECT($X$24&amp;ScoreData[[#This Row],[Jammer]]&amp;ScoreData[[#This Row],[RefRow]]))</f>
        <v/>
      </c>
      <c r="G65" s="1219" t="str">
        <f ca="1">IF(INDIRECT($X$24&amp;ScoreData[[#This Row],[Lead]]&amp;ScoreData[[#This Row],[RefRow]])="X","YES","NO")</f>
        <v>NO</v>
      </c>
      <c r="H65" s="1219" t="str">
        <f ca="1">IF(INDIRECT($X$24&amp;ScoreData[[#This Row],[Call]]&amp;ScoreData[[#This Row],[RefRow]])="X","YES","NO")</f>
        <v>NO</v>
      </c>
      <c r="I65" s="1219">
        <f ca="1">INDIRECT($X$24&amp;ScoreData[[#This Row],[Pass]]&amp;ScoreData[[#This Row],[RefRow]])</f>
        <v>0</v>
      </c>
      <c r="J65" s="1219" t="str">
        <f ca="1">IF(INDIRECT($X$24&amp;ScoreData[[#This Row],[Point]]&amp;ScoreData[[#This Row],[RefRow]])=0,"",INDIRECT($X$24&amp;ScoreData[[#This Row],[Point]]&amp;ScoreData[[#This Row],[RefRow]]))</f>
        <v/>
      </c>
      <c r="K65" s="1219" t="b">
        <f ca="1">IF(OR(INDIRECT($X$24&amp;ScoreData[[#This Row],[Jam]]&amp;ScoreData[[#This Row],[RefRow]])="SP",INDIRECT($X$24&amp;ScoreData[[#This Row],[Jam]]&amp;ScoreData[[#This Row],[RefRow]])="SP*"),TRUE,FALSE)</f>
        <v>0</v>
      </c>
      <c r="L65" s="1219" t="b">
        <v>0</v>
      </c>
      <c r="M65" s="1219" t="str">
        <f t="array" ref="M65">IFERROR(INDEX(ScoreSearch[],MATCH(ScoreData[[#This Row],[Home?]]&amp;ScoreData[[#Headers],[Jam]],ScoreSearch[Home?]&amp;ScoreSearch[Item],1),3),"")</f>
        <v>$T</v>
      </c>
      <c r="N65" s="1219" t="str">
        <f t="array" ref="N65">IFERROR(INDEX(ScoreSearch[],MATCH(ScoreData[[#This Row],[Home?]]&amp;ScoreData[[#Headers],[Jammer]],ScoreSearch[Home?]&amp;ScoreSearch[Item],1),3),"")</f>
        <v>$U</v>
      </c>
      <c r="O65" s="1219" t="str">
        <f t="array" ref="O65">IFERROR(INDEX(ScoreSearch[],MATCH(ScoreData[[#This Row],[Home?]]&amp;ScoreData[[#Headers],[Lead]],ScoreSearch[Home?]&amp;ScoreSearch[Item],1),3),"")</f>
        <v>$W</v>
      </c>
      <c r="P65" s="1219" t="str">
        <f t="array" ref="P65">IFERROR(INDEX(ScoreSearch[],MATCH(ScoreData[[#This Row],[Home?]]&amp;ScoreData[[#Headers],[Call]],ScoreSearch[Home?]&amp;ScoreSearch[Item],1),3),"")</f>
        <v>$X</v>
      </c>
      <c r="Q65" s="1219" t="str">
        <f t="array" ref="Q65">IFERROR(INDEX(ScoreSearch[],MATCH(ScoreData[[#This Row],[Home?]]&amp;ScoreData[[#Headers],[Penalty]],ScoreSearch[Home?]&amp;ScoreSearch[Item],1),3),"")</f>
        <v>$Z</v>
      </c>
      <c r="R65" s="1222" t="str">
        <f t="array" ref="R65">IFERROR(INDEX(ScoreSearch[],MATCH(ScoreData[[#This Row],[Home?]]&amp;ScoreData[[#Headers],[Point]],ScoreSearch[Home?]&amp;ScoreSearch[Item],1),3),"")</f>
        <v>$AJ</v>
      </c>
      <c r="S65" s="1222" t="str">
        <f t="array" ref="S65">IFERROR(INDEX(ScoreSearch[],MATCH(ScoreData[[#This Row],[Home?]]&amp;ScoreData[[#Headers],[Pass]],ScoreSearch[Home?]&amp;ScoreSearch[Item],1),3),"")</f>
        <v>$AL</v>
      </c>
      <c r="T65" s="1219">
        <v>29</v>
      </c>
    </row>
    <row r="66" spans="1:20" x14ac:dyDescent="0.25">
      <c r="A66" s="1218">
        <f>[1]IBRF!$B$5</f>
        <v>41734</v>
      </c>
      <c r="B66" s="1221">
        <f t="shared" ref="B66:B129" si="3">$X$1</f>
        <v>0.83333333333333337</v>
      </c>
      <c r="C66" s="1219">
        <v>1</v>
      </c>
      <c r="D66" s="1219">
        <f ca="1">IF(ScoreData[[#This Row],[Passed?]],D65,INDIRECT($X$24&amp;ScoreData[[#This Row],[Jam]]&amp;ScoreData[[#This Row],[RefRow]]))</f>
        <v>0</v>
      </c>
      <c r="E66" s="1219" t="str">
        <f t="shared" si="2"/>
        <v>Harlots</v>
      </c>
      <c r="F66" s="1219" t="str">
        <f ca="1">IF(INDIRECT($X$24&amp;ScoreData[[#This Row],[Jammer]]&amp;ScoreData[[#This Row],[RefRow]])=0,"",INDIRECT($X$24&amp;ScoreData[[#This Row],[Jammer]]&amp;ScoreData[[#This Row],[RefRow]]))</f>
        <v/>
      </c>
      <c r="G66" s="1219" t="str">
        <f ca="1">IF(INDIRECT($X$24&amp;ScoreData[[#This Row],[Lead]]&amp;ScoreData[[#This Row],[RefRow]])="X","YES","NO")</f>
        <v>NO</v>
      </c>
      <c r="H66" s="1219" t="str">
        <f ca="1">IF(INDIRECT($X$24&amp;ScoreData[[#This Row],[Call]]&amp;ScoreData[[#This Row],[RefRow]])="X","YES","NO")</f>
        <v>NO</v>
      </c>
      <c r="I66" s="1219">
        <f ca="1">INDIRECT($X$24&amp;ScoreData[[#This Row],[Pass]]&amp;ScoreData[[#This Row],[RefRow]])</f>
        <v>0</v>
      </c>
      <c r="J66" s="1219" t="str">
        <f ca="1">IF(INDIRECT($X$24&amp;ScoreData[[#This Row],[Point]]&amp;ScoreData[[#This Row],[RefRow]])=0,"",INDIRECT($X$24&amp;ScoreData[[#This Row],[Point]]&amp;ScoreData[[#This Row],[RefRow]]))</f>
        <v/>
      </c>
      <c r="K66" s="1219" t="b">
        <f ca="1">IF(OR(INDIRECT($X$24&amp;ScoreData[[#This Row],[Jam]]&amp;ScoreData[[#This Row],[RefRow]])="SP",INDIRECT($X$24&amp;ScoreData[[#This Row],[Jam]]&amp;ScoreData[[#This Row],[RefRow]])="SP*"),TRUE,FALSE)</f>
        <v>0</v>
      </c>
      <c r="L66" s="1219" t="b">
        <v>0</v>
      </c>
      <c r="M66" s="1219" t="str">
        <f t="array" ref="M66">IFERROR(INDEX(ScoreSearch[],MATCH(ScoreData[[#This Row],[Home?]]&amp;ScoreData[[#Headers],[Jam]],ScoreSearch[Home?]&amp;ScoreSearch[Item],1),3),"")</f>
        <v>$T</v>
      </c>
      <c r="N66" s="1219" t="str">
        <f t="array" ref="N66">IFERROR(INDEX(ScoreSearch[],MATCH(ScoreData[[#This Row],[Home?]]&amp;ScoreData[[#Headers],[Jammer]],ScoreSearch[Home?]&amp;ScoreSearch[Item],1),3),"")</f>
        <v>$U</v>
      </c>
      <c r="O66" s="1219" t="str">
        <f t="array" ref="O66">IFERROR(INDEX(ScoreSearch[],MATCH(ScoreData[[#This Row],[Home?]]&amp;ScoreData[[#Headers],[Lead]],ScoreSearch[Home?]&amp;ScoreSearch[Item],1),3),"")</f>
        <v>$W</v>
      </c>
      <c r="P66" s="1219" t="str">
        <f t="array" ref="P66">IFERROR(INDEX(ScoreSearch[],MATCH(ScoreData[[#This Row],[Home?]]&amp;ScoreData[[#Headers],[Call]],ScoreSearch[Home?]&amp;ScoreSearch[Item],1),3),"")</f>
        <v>$X</v>
      </c>
      <c r="Q66" s="1219" t="str">
        <f t="array" ref="Q66">IFERROR(INDEX(ScoreSearch[],MATCH(ScoreData[[#This Row],[Home?]]&amp;ScoreData[[#Headers],[Penalty]],ScoreSearch[Home?]&amp;ScoreSearch[Item],1),3),"")</f>
        <v>$Z</v>
      </c>
      <c r="R66" s="1222" t="str">
        <f t="array" ref="R66">IFERROR(INDEX(ScoreSearch[],MATCH(ScoreData[[#This Row],[Home?]]&amp;ScoreData[[#Headers],[Point]],ScoreSearch[Home?]&amp;ScoreSearch[Item],1),3),"")</f>
        <v>$AJ</v>
      </c>
      <c r="S66" s="1222" t="str">
        <f t="array" ref="S66">IFERROR(INDEX(ScoreSearch[],MATCH(ScoreData[[#This Row],[Home?]]&amp;ScoreData[[#Headers],[Pass]],ScoreSearch[Home?]&amp;ScoreSearch[Item],1),3),"")</f>
        <v>$AL</v>
      </c>
      <c r="T66" s="1219">
        <v>30</v>
      </c>
    </row>
    <row r="67" spans="1:20" x14ac:dyDescent="0.25">
      <c r="A67" s="1218">
        <f>[1]IBRF!$B$5</f>
        <v>41734</v>
      </c>
      <c r="B67" s="1221">
        <f t="shared" si="3"/>
        <v>0.83333333333333337</v>
      </c>
      <c r="C67" s="1219">
        <v>1</v>
      </c>
      <c r="D67" s="1219">
        <f ca="1">IF(ScoreData[[#This Row],[Passed?]],D66,INDIRECT($X$24&amp;ScoreData[[#This Row],[Jam]]&amp;ScoreData[[#This Row],[RefRow]]))</f>
        <v>0</v>
      </c>
      <c r="E67" s="1219" t="str">
        <f t="shared" si="2"/>
        <v>Harlots</v>
      </c>
      <c r="F67" s="1219" t="str">
        <f ca="1">IF(INDIRECT($X$24&amp;ScoreData[[#This Row],[Jammer]]&amp;ScoreData[[#This Row],[RefRow]])=0,"",INDIRECT($X$24&amp;ScoreData[[#This Row],[Jammer]]&amp;ScoreData[[#This Row],[RefRow]]))</f>
        <v/>
      </c>
      <c r="G67" s="1219" t="str">
        <f ca="1">IF(INDIRECT($X$24&amp;ScoreData[[#This Row],[Lead]]&amp;ScoreData[[#This Row],[RefRow]])="X","YES","NO")</f>
        <v>NO</v>
      </c>
      <c r="H67" s="1219" t="str">
        <f ca="1">IF(INDIRECT($X$24&amp;ScoreData[[#This Row],[Call]]&amp;ScoreData[[#This Row],[RefRow]])="X","YES","NO")</f>
        <v>NO</v>
      </c>
      <c r="I67" s="1219">
        <f ca="1">INDIRECT($X$24&amp;ScoreData[[#This Row],[Pass]]&amp;ScoreData[[#This Row],[RefRow]])</f>
        <v>0</v>
      </c>
      <c r="J67" s="1219" t="str">
        <f ca="1">IF(INDIRECT($X$24&amp;ScoreData[[#This Row],[Point]]&amp;ScoreData[[#This Row],[RefRow]])=0,"",INDIRECT($X$24&amp;ScoreData[[#This Row],[Point]]&amp;ScoreData[[#This Row],[RefRow]]))</f>
        <v/>
      </c>
      <c r="K67" s="1219" t="b">
        <f ca="1">IF(OR(INDIRECT($X$24&amp;ScoreData[[#This Row],[Jam]]&amp;ScoreData[[#This Row],[RefRow]])="SP",INDIRECT($X$24&amp;ScoreData[[#This Row],[Jam]]&amp;ScoreData[[#This Row],[RefRow]])="SP*"),TRUE,FALSE)</f>
        <v>0</v>
      </c>
      <c r="L67" s="1219" t="b">
        <v>0</v>
      </c>
      <c r="M67" s="1219" t="str">
        <f t="array" ref="M67">IFERROR(INDEX(ScoreSearch[],MATCH(ScoreData[[#This Row],[Home?]]&amp;ScoreData[[#Headers],[Jam]],ScoreSearch[Home?]&amp;ScoreSearch[Item],1),3),"")</f>
        <v>$T</v>
      </c>
      <c r="N67" s="1219" t="str">
        <f t="array" ref="N67">IFERROR(INDEX(ScoreSearch[],MATCH(ScoreData[[#This Row],[Home?]]&amp;ScoreData[[#Headers],[Jammer]],ScoreSearch[Home?]&amp;ScoreSearch[Item],1),3),"")</f>
        <v>$U</v>
      </c>
      <c r="O67" s="1219" t="str">
        <f t="array" ref="O67">IFERROR(INDEX(ScoreSearch[],MATCH(ScoreData[[#This Row],[Home?]]&amp;ScoreData[[#Headers],[Lead]],ScoreSearch[Home?]&amp;ScoreSearch[Item],1),3),"")</f>
        <v>$W</v>
      </c>
      <c r="P67" s="1219" t="str">
        <f t="array" ref="P67">IFERROR(INDEX(ScoreSearch[],MATCH(ScoreData[[#This Row],[Home?]]&amp;ScoreData[[#Headers],[Call]],ScoreSearch[Home?]&amp;ScoreSearch[Item],1),3),"")</f>
        <v>$X</v>
      </c>
      <c r="Q67" s="1219" t="str">
        <f t="array" ref="Q67">IFERROR(INDEX(ScoreSearch[],MATCH(ScoreData[[#This Row],[Home?]]&amp;ScoreData[[#Headers],[Penalty]],ScoreSearch[Home?]&amp;ScoreSearch[Item],1),3),"")</f>
        <v>$Z</v>
      </c>
      <c r="R67" s="1222" t="str">
        <f t="array" ref="R67">IFERROR(INDEX(ScoreSearch[],MATCH(ScoreData[[#This Row],[Home?]]&amp;ScoreData[[#Headers],[Point]],ScoreSearch[Home?]&amp;ScoreSearch[Item],1),3),"")</f>
        <v>$AJ</v>
      </c>
      <c r="S67" s="1222" t="str">
        <f t="array" ref="S67">IFERROR(INDEX(ScoreSearch[],MATCH(ScoreData[[#This Row],[Home?]]&amp;ScoreData[[#Headers],[Pass]],ScoreSearch[Home?]&amp;ScoreSearch[Item],1),3),"")</f>
        <v>$AL</v>
      </c>
      <c r="T67" s="1219">
        <v>31</v>
      </c>
    </row>
    <row r="68" spans="1:20" x14ac:dyDescent="0.25">
      <c r="A68" s="1218">
        <f>[1]IBRF!$B$5</f>
        <v>41734</v>
      </c>
      <c r="B68" s="1221">
        <f t="shared" si="3"/>
        <v>0.83333333333333337</v>
      </c>
      <c r="C68" s="1219">
        <v>1</v>
      </c>
      <c r="D68" s="1219">
        <f ca="1">IF(ScoreData[[#This Row],[Passed?]],D67,INDIRECT($X$24&amp;ScoreData[[#This Row],[Jam]]&amp;ScoreData[[#This Row],[RefRow]]))</f>
        <v>0</v>
      </c>
      <c r="E68" s="1219" t="str">
        <f t="shared" si="2"/>
        <v>Harlots</v>
      </c>
      <c r="F68" s="1219" t="str">
        <f ca="1">IF(INDIRECT($X$24&amp;ScoreData[[#This Row],[Jammer]]&amp;ScoreData[[#This Row],[RefRow]])=0,"",INDIRECT($X$24&amp;ScoreData[[#This Row],[Jammer]]&amp;ScoreData[[#This Row],[RefRow]]))</f>
        <v/>
      </c>
      <c r="G68" s="1219" t="str">
        <f ca="1">IF(INDIRECT($X$24&amp;ScoreData[[#This Row],[Lead]]&amp;ScoreData[[#This Row],[RefRow]])="X","YES","NO")</f>
        <v>NO</v>
      </c>
      <c r="H68" s="1219" t="str">
        <f ca="1">IF(INDIRECT($X$24&amp;ScoreData[[#This Row],[Call]]&amp;ScoreData[[#This Row],[RefRow]])="X","YES","NO")</f>
        <v>NO</v>
      </c>
      <c r="I68" s="1219">
        <f ca="1">INDIRECT($X$24&amp;ScoreData[[#This Row],[Pass]]&amp;ScoreData[[#This Row],[RefRow]])</f>
        <v>0</v>
      </c>
      <c r="J68" s="1219" t="str">
        <f ca="1">IF(INDIRECT($X$24&amp;ScoreData[[#This Row],[Point]]&amp;ScoreData[[#This Row],[RefRow]])=0,"",INDIRECT($X$24&amp;ScoreData[[#This Row],[Point]]&amp;ScoreData[[#This Row],[RefRow]]))</f>
        <v/>
      </c>
      <c r="K68" s="1219" t="b">
        <f ca="1">IF(OR(INDIRECT($X$24&amp;ScoreData[[#This Row],[Jam]]&amp;ScoreData[[#This Row],[RefRow]])="SP",INDIRECT($X$24&amp;ScoreData[[#This Row],[Jam]]&amp;ScoreData[[#This Row],[RefRow]])="SP*"),TRUE,FALSE)</f>
        <v>0</v>
      </c>
      <c r="L68" s="1219" t="b">
        <v>0</v>
      </c>
      <c r="M68" s="1219" t="str">
        <f t="array" ref="M68">IFERROR(INDEX(ScoreSearch[],MATCH(ScoreData[[#This Row],[Home?]]&amp;ScoreData[[#Headers],[Jam]],ScoreSearch[Home?]&amp;ScoreSearch[Item],1),3),"")</f>
        <v>$T</v>
      </c>
      <c r="N68" s="1219" t="str">
        <f t="array" ref="N68">IFERROR(INDEX(ScoreSearch[],MATCH(ScoreData[[#This Row],[Home?]]&amp;ScoreData[[#Headers],[Jammer]],ScoreSearch[Home?]&amp;ScoreSearch[Item],1),3),"")</f>
        <v>$U</v>
      </c>
      <c r="O68" s="1219" t="str">
        <f t="array" ref="O68">IFERROR(INDEX(ScoreSearch[],MATCH(ScoreData[[#This Row],[Home?]]&amp;ScoreData[[#Headers],[Lead]],ScoreSearch[Home?]&amp;ScoreSearch[Item],1),3),"")</f>
        <v>$W</v>
      </c>
      <c r="P68" s="1219" t="str">
        <f t="array" ref="P68">IFERROR(INDEX(ScoreSearch[],MATCH(ScoreData[[#This Row],[Home?]]&amp;ScoreData[[#Headers],[Call]],ScoreSearch[Home?]&amp;ScoreSearch[Item],1),3),"")</f>
        <v>$X</v>
      </c>
      <c r="Q68" s="1219" t="str">
        <f t="array" ref="Q68">IFERROR(INDEX(ScoreSearch[],MATCH(ScoreData[[#This Row],[Home?]]&amp;ScoreData[[#Headers],[Penalty]],ScoreSearch[Home?]&amp;ScoreSearch[Item],1),3),"")</f>
        <v>$Z</v>
      </c>
      <c r="R68" s="1222" t="str">
        <f t="array" ref="R68">IFERROR(INDEX(ScoreSearch[],MATCH(ScoreData[[#This Row],[Home?]]&amp;ScoreData[[#Headers],[Point]],ScoreSearch[Home?]&amp;ScoreSearch[Item],1),3),"")</f>
        <v>$AJ</v>
      </c>
      <c r="S68" s="1222" t="str">
        <f t="array" ref="S68">IFERROR(INDEX(ScoreSearch[],MATCH(ScoreData[[#This Row],[Home?]]&amp;ScoreData[[#Headers],[Pass]],ScoreSearch[Home?]&amp;ScoreSearch[Item],1),3),"")</f>
        <v>$AL</v>
      </c>
      <c r="T68" s="1219">
        <v>32</v>
      </c>
    </row>
    <row r="69" spans="1:20" x14ac:dyDescent="0.25">
      <c r="A69" s="1218">
        <f>[1]IBRF!$B$5</f>
        <v>41734</v>
      </c>
      <c r="B69" s="1221">
        <f t="shared" si="3"/>
        <v>0.83333333333333337</v>
      </c>
      <c r="C69" s="1219">
        <v>1</v>
      </c>
      <c r="D69" s="1219">
        <f ca="1">IF(ScoreData[[#This Row],[Passed?]],D68,INDIRECT($X$24&amp;ScoreData[[#This Row],[Jam]]&amp;ScoreData[[#This Row],[RefRow]]))</f>
        <v>0</v>
      </c>
      <c r="E69" s="1219" t="str">
        <f t="shared" si="2"/>
        <v>Harlots</v>
      </c>
      <c r="F69" s="1219" t="str">
        <f ca="1">IF(INDIRECT($X$24&amp;ScoreData[[#This Row],[Jammer]]&amp;ScoreData[[#This Row],[RefRow]])=0,"",INDIRECT($X$24&amp;ScoreData[[#This Row],[Jammer]]&amp;ScoreData[[#This Row],[RefRow]]))</f>
        <v/>
      </c>
      <c r="G69" s="1219" t="str">
        <f ca="1">IF(INDIRECT($X$24&amp;ScoreData[[#This Row],[Lead]]&amp;ScoreData[[#This Row],[RefRow]])="X","YES","NO")</f>
        <v>NO</v>
      </c>
      <c r="H69" s="1219" t="str">
        <f ca="1">IF(INDIRECT($X$24&amp;ScoreData[[#This Row],[Call]]&amp;ScoreData[[#This Row],[RefRow]])="X","YES","NO")</f>
        <v>NO</v>
      </c>
      <c r="I69" s="1219">
        <f ca="1">INDIRECT($X$24&amp;ScoreData[[#This Row],[Pass]]&amp;ScoreData[[#This Row],[RefRow]])</f>
        <v>0</v>
      </c>
      <c r="J69" s="1219" t="str">
        <f ca="1">IF(INDIRECT($X$24&amp;ScoreData[[#This Row],[Point]]&amp;ScoreData[[#This Row],[RefRow]])=0,"",INDIRECT($X$24&amp;ScoreData[[#This Row],[Point]]&amp;ScoreData[[#This Row],[RefRow]]))</f>
        <v/>
      </c>
      <c r="K69" s="1219" t="b">
        <f ca="1">IF(OR(INDIRECT($X$24&amp;ScoreData[[#This Row],[Jam]]&amp;ScoreData[[#This Row],[RefRow]])="SP",INDIRECT($X$24&amp;ScoreData[[#This Row],[Jam]]&amp;ScoreData[[#This Row],[RefRow]])="SP*"),TRUE,FALSE)</f>
        <v>0</v>
      </c>
      <c r="L69" s="1219" t="b">
        <v>0</v>
      </c>
      <c r="M69" s="1219" t="str">
        <f t="array" ref="M69">IFERROR(INDEX(ScoreSearch[],MATCH(ScoreData[[#This Row],[Home?]]&amp;ScoreData[[#Headers],[Jam]],ScoreSearch[Home?]&amp;ScoreSearch[Item],1),3),"")</f>
        <v>$T</v>
      </c>
      <c r="N69" s="1219" t="str">
        <f t="array" ref="N69">IFERROR(INDEX(ScoreSearch[],MATCH(ScoreData[[#This Row],[Home?]]&amp;ScoreData[[#Headers],[Jammer]],ScoreSearch[Home?]&amp;ScoreSearch[Item],1),3),"")</f>
        <v>$U</v>
      </c>
      <c r="O69" s="1219" t="str">
        <f t="array" ref="O69">IFERROR(INDEX(ScoreSearch[],MATCH(ScoreData[[#This Row],[Home?]]&amp;ScoreData[[#Headers],[Lead]],ScoreSearch[Home?]&amp;ScoreSearch[Item],1),3),"")</f>
        <v>$W</v>
      </c>
      <c r="P69" s="1219" t="str">
        <f t="array" ref="P69">IFERROR(INDEX(ScoreSearch[],MATCH(ScoreData[[#This Row],[Home?]]&amp;ScoreData[[#Headers],[Call]],ScoreSearch[Home?]&amp;ScoreSearch[Item],1),3),"")</f>
        <v>$X</v>
      </c>
      <c r="Q69" s="1219" t="str">
        <f t="array" ref="Q69">IFERROR(INDEX(ScoreSearch[],MATCH(ScoreData[[#This Row],[Home?]]&amp;ScoreData[[#Headers],[Penalty]],ScoreSearch[Home?]&amp;ScoreSearch[Item],1),3),"")</f>
        <v>$Z</v>
      </c>
      <c r="R69" s="1222" t="str">
        <f t="array" ref="R69">IFERROR(INDEX(ScoreSearch[],MATCH(ScoreData[[#This Row],[Home?]]&amp;ScoreData[[#Headers],[Point]],ScoreSearch[Home?]&amp;ScoreSearch[Item],1),3),"")</f>
        <v>$AJ</v>
      </c>
      <c r="S69" s="1222" t="str">
        <f t="array" ref="S69">IFERROR(INDEX(ScoreSearch[],MATCH(ScoreData[[#This Row],[Home?]]&amp;ScoreData[[#Headers],[Pass]],ScoreSearch[Home?]&amp;ScoreSearch[Item],1),3),"")</f>
        <v>$AL</v>
      </c>
      <c r="T69" s="1219">
        <v>33</v>
      </c>
    </row>
    <row r="70" spans="1:20" x14ac:dyDescent="0.25">
      <c r="A70" s="1218">
        <f>[1]IBRF!$B$5</f>
        <v>41734</v>
      </c>
      <c r="B70" s="1221">
        <f t="shared" si="3"/>
        <v>0.83333333333333337</v>
      </c>
      <c r="C70" s="1219">
        <v>1</v>
      </c>
      <c r="D70" s="1219">
        <f ca="1">IF(ScoreData[[#This Row],[Passed?]],D69,INDIRECT($X$24&amp;ScoreData[[#This Row],[Jam]]&amp;ScoreData[[#This Row],[RefRow]]))</f>
        <v>0</v>
      </c>
      <c r="E70" s="1219" t="str">
        <f t="shared" si="2"/>
        <v>Harlots</v>
      </c>
      <c r="F70" s="1219" t="str">
        <f ca="1">IF(INDIRECT($X$24&amp;ScoreData[[#This Row],[Jammer]]&amp;ScoreData[[#This Row],[RefRow]])=0,"",INDIRECT($X$24&amp;ScoreData[[#This Row],[Jammer]]&amp;ScoreData[[#This Row],[RefRow]]))</f>
        <v/>
      </c>
      <c r="G70" s="1219" t="str">
        <f ca="1">IF(INDIRECT($X$24&amp;ScoreData[[#This Row],[Lead]]&amp;ScoreData[[#This Row],[RefRow]])="X","YES","NO")</f>
        <v>NO</v>
      </c>
      <c r="H70" s="1219" t="str">
        <f ca="1">IF(INDIRECT($X$24&amp;ScoreData[[#This Row],[Call]]&amp;ScoreData[[#This Row],[RefRow]])="X","YES","NO")</f>
        <v>NO</v>
      </c>
      <c r="I70" s="1219">
        <f ca="1">INDIRECT($X$24&amp;ScoreData[[#This Row],[Pass]]&amp;ScoreData[[#This Row],[RefRow]])</f>
        <v>0</v>
      </c>
      <c r="J70" s="1219" t="str">
        <f ca="1">IF(INDIRECT($X$24&amp;ScoreData[[#This Row],[Point]]&amp;ScoreData[[#This Row],[RefRow]])=0,"",INDIRECT($X$24&amp;ScoreData[[#This Row],[Point]]&amp;ScoreData[[#This Row],[RefRow]]))</f>
        <v/>
      </c>
      <c r="K70" s="1219" t="b">
        <f ca="1">IF(OR(INDIRECT($X$24&amp;ScoreData[[#This Row],[Jam]]&amp;ScoreData[[#This Row],[RefRow]])="SP",INDIRECT($X$24&amp;ScoreData[[#This Row],[Jam]]&amp;ScoreData[[#This Row],[RefRow]])="SP*"),TRUE,FALSE)</f>
        <v>0</v>
      </c>
      <c r="L70" s="1219" t="b">
        <v>0</v>
      </c>
      <c r="M70" s="1219" t="str">
        <f t="array" ref="M70">IFERROR(INDEX(ScoreSearch[],MATCH(ScoreData[[#This Row],[Home?]]&amp;ScoreData[[#Headers],[Jam]],ScoreSearch[Home?]&amp;ScoreSearch[Item],1),3),"")</f>
        <v>$T</v>
      </c>
      <c r="N70" s="1219" t="str">
        <f t="array" ref="N70">IFERROR(INDEX(ScoreSearch[],MATCH(ScoreData[[#This Row],[Home?]]&amp;ScoreData[[#Headers],[Jammer]],ScoreSearch[Home?]&amp;ScoreSearch[Item],1),3),"")</f>
        <v>$U</v>
      </c>
      <c r="O70" s="1219" t="str">
        <f t="array" ref="O70">IFERROR(INDEX(ScoreSearch[],MATCH(ScoreData[[#This Row],[Home?]]&amp;ScoreData[[#Headers],[Lead]],ScoreSearch[Home?]&amp;ScoreSearch[Item],1),3),"")</f>
        <v>$W</v>
      </c>
      <c r="P70" s="1219" t="str">
        <f t="array" ref="P70">IFERROR(INDEX(ScoreSearch[],MATCH(ScoreData[[#This Row],[Home?]]&amp;ScoreData[[#Headers],[Call]],ScoreSearch[Home?]&amp;ScoreSearch[Item],1),3),"")</f>
        <v>$X</v>
      </c>
      <c r="Q70" s="1219" t="str">
        <f t="array" ref="Q70">IFERROR(INDEX(ScoreSearch[],MATCH(ScoreData[[#This Row],[Home?]]&amp;ScoreData[[#Headers],[Penalty]],ScoreSearch[Home?]&amp;ScoreSearch[Item],1),3),"")</f>
        <v>$Z</v>
      </c>
      <c r="R70" s="1222" t="str">
        <f t="array" ref="R70">IFERROR(INDEX(ScoreSearch[],MATCH(ScoreData[[#This Row],[Home?]]&amp;ScoreData[[#Headers],[Point]],ScoreSearch[Home?]&amp;ScoreSearch[Item],1),3),"")</f>
        <v>$AJ</v>
      </c>
      <c r="S70" s="1222" t="str">
        <f t="array" ref="S70">IFERROR(INDEX(ScoreSearch[],MATCH(ScoreData[[#This Row],[Home?]]&amp;ScoreData[[#Headers],[Pass]],ScoreSearch[Home?]&amp;ScoreSearch[Item],1),3),"")</f>
        <v>$AL</v>
      </c>
      <c r="T70" s="1219">
        <v>34</v>
      </c>
    </row>
    <row r="71" spans="1:20" x14ac:dyDescent="0.25">
      <c r="A71" s="1218">
        <f>[1]IBRF!$B$5</f>
        <v>41734</v>
      </c>
      <c r="B71" s="1221">
        <f t="shared" si="3"/>
        <v>0.83333333333333337</v>
      </c>
      <c r="C71" s="1219">
        <v>1</v>
      </c>
      <c r="D71" s="1219">
        <f ca="1">IF(ScoreData[[#This Row],[Passed?]],D70,INDIRECT($X$24&amp;ScoreData[[#This Row],[Jam]]&amp;ScoreData[[#This Row],[RefRow]]))</f>
        <v>0</v>
      </c>
      <c r="E71" s="1219" t="str">
        <f t="shared" si="2"/>
        <v>Harlots</v>
      </c>
      <c r="F71" s="1219" t="str">
        <f ca="1">IF(INDIRECT($X$24&amp;ScoreData[[#This Row],[Jammer]]&amp;ScoreData[[#This Row],[RefRow]])=0,"",INDIRECT($X$24&amp;ScoreData[[#This Row],[Jammer]]&amp;ScoreData[[#This Row],[RefRow]]))</f>
        <v/>
      </c>
      <c r="G71" s="1219" t="str">
        <f ca="1">IF(INDIRECT($X$24&amp;ScoreData[[#This Row],[Lead]]&amp;ScoreData[[#This Row],[RefRow]])="X","YES","NO")</f>
        <v>NO</v>
      </c>
      <c r="H71" s="1219" t="str">
        <f ca="1">IF(INDIRECT($X$24&amp;ScoreData[[#This Row],[Call]]&amp;ScoreData[[#This Row],[RefRow]])="X","YES","NO")</f>
        <v>NO</v>
      </c>
      <c r="I71" s="1219">
        <f ca="1">INDIRECT($X$24&amp;ScoreData[[#This Row],[Pass]]&amp;ScoreData[[#This Row],[RefRow]])</f>
        <v>0</v>
      </c>
      <c r="J71" s="1219" t="str">
        <f ca="1">IF(INDIRECT($X$24&amp;ScoreData[[#This Row],[Point]]&amp;ScoreData[[#This Row],[RefRow]])=0,"",INDIRECT($X$24&amp;ScoreData[[#This Row],[Point]]&amp;ScoreData[[#This Row],[RefRow]]))</f>
        <v/>
      </c>
      <c r="K71" s="1219" t="b">
        <f ca="1">IF(OR(INDIRECT($X$24&amp;ScoreData[[#This Row],[Jam]]&amp;ScoreData[[#This Row],[RefRow]])="SP",INDIRECT($X$24&amp;ScoreData[[#This Row],[Jam]]&amp;ScoreData[[#This Row],[RefRow]])="SP*"),TRUE,FALSE)</f>
        <v>0</v>
      </c>
      <c r="L71" s="1219" t="b">
        <v>0</v>
      </c>
      <c r="M71" s="1219" t="str">
        <f t="array" ref="M71">IFERROR(INDEX(ScoreSearch[],MATCH(ScoreData[[#This Row],[Home?]]&amp;ScoreData[[#Headers],[Jam]],ScoreSearch[Home?]&amp;ScoreSearch[Item],1),3),"")</f>
        <v>$T</v>
      </c>
      <c r="N71" s="1219" t="str">
        <f t="array" ref="N71">IFERROR(INDEX(ScoreSearch[],MATCH(ScoreData[[#This Row],[Home?]]&amp;ScoreData[[#Headers],[Jammer]],ScoreSearch[Home?]&amp;ScoreSearch[Item],1),3),"")</f>
        <v>$U</v>
      </c>
      <c r="O71" s="1219" t="str">
        <f t="array" ref="O71">IFERROR(INDEX(ScoreSearch[],MATCH(ScoreData[[#This Row],[Home?]]&amp;ScoreData[[#Headers],[Lead]],ScoreSearch[Home?]&amp;ScoreSearch[Item],1),3),"")</f>
        <v>$W</v>
      </c>
      <c r="P71" s="1219" t="str">
        <f t="array" ref="P71">IFERROR(INDEX(ScoreSearch[],MATCH(ScoreData[[#This Row],[Home?]]&amp;ScoreData[[#Headers],[Call]],ScoreSearch[Home?]&amp;ScoreSearch[Item],1),3),"")</f>
        <v>$X</v>
      </c>
      <c r="Q71" s="1219" t="str">
        <f t="array" ref="Q71">IFERROR(INDEX(ScoreSearch[],MATCH(ScoreData[[#This Row],[Home?]]&amp;ScoreData[[#Headers],[Penalty]],ScoreSearch[Home?]&amp;ScoreSearch[Item],1),3),"")</f>
        <v>$Z</v>
      </c>
      <c r="R71" s="1222" t="str">
        <f t="array" ref="R71">IFERROR(INDEX(ScoreSearch[],MATCH(ScoreData[[#This Row],[Home?]]&amp;ScoreData[[#Headers],[Point]],ScoreSearch[Home?]&amp;ScoreSearch[Item],1),3),"")</f>
        <v>$AJ</v>
      </c>
      <c r="S71" s="1222" t="str">
        <f t="array" ref="S71">IFERROR(INDEX(ScoreSearch[],MATCH(ScoreData[[#This Row],[Home?]]&amp;ScoreData[[#Headers],[Pass]],ScoreSearch[Home?]&amp;ScoreSearch[Item],1),3),"")</f>
        <v>$AL</v>
      </c>
      <c r="T71" s="1219">
        <v>35</v>
      </c>
    </row>
    <row r="72" spans="1:20" x14ac:dyDescent="0.25">
      <c r="A72" s="1218">
        <f>[1]IBRF!$B$5</f>
        <v>41734</v>
      </c>
      <c r="B72" s="1221">
        <f t="shared" si="3"/>
        <v>0.83333333333333337</v>
      </c>
      <c r="C72" s="1219">
        <v>1</v>
      </c>
      <c r="D72" s="1219">
        <f ca="1">IF(ScoreData[[#This Row],[Passed?]],D71,INDIRECT($X$24&amp;ScoreData[[#This Row],[Jam]]&amp;ScoreData[[#This Row],[RefRow]]))</f>
        <v>0</v>
      </c>
      <c r="E72" s="1219" t="str">
        <f t="shared" si="2"/>
        <v>Harlots</v>
      </c>
      <c r="F72" s="1219" t="str">
        <f ca="1">IF(INDIRECT($X$24&amp;ScoreData[[#This Row],[Jammer]]&amp;ScoreData[[#This Row],[RefRow]])=0,"",INDIRECT($X$24&amp;ScoreData[[#This Row],[Jammer]]&amp;ScoreData[[#This Row],[RefRow]]))</f>
        <v/>
      </c>
      <c r="G72" s="1219" t="str">
        <f ca="1">IF(INDIRECT($X$24&amp;ScoreData[[#This Row],[Lead]]&amp;ScoreData[[#This Row],[RefRow]])="X","YES","NO")</f>
        <v>NO</v>
      </c>
      <c r="H72" s="1219" t="str">
        <f ca="1">IF(INDIRECT($X$24&amp;ScoreData[[#This Row],[Call]]&amp;ScoreData[[#This Row],[RefRow]])="X","YES","NO")</f>
        <v>NO</v>
      </c>
      <c r="I72" s="1219">
        <f ca="1">INDIRECT($X$24&amp;ScoreData[[#This Row],[Pass]]&amp;ScoreData[[#This Row],[RefRow]])</f>
        <v>0</v>
      </c>
      <c r="J72" s="1219" t="str">
        <f ca="1">IF(INDIRECT($X$24&amp;ScoreData[[#This Row],[Point]]&amp;ScoreData[[#This Row],[RefRow]])=0,"",INDIRECT($X$24&amp;ScoreData[[#This Row],[Point]]&amp;ScoreData[[#This Row],[RefRow]]))</f>
        <v/>
      </c>
      <c r="K72" s="1219" t="b">
        <f ca="1">IF(OR(INDIRECT($X$24&amp;ScoreData[[#This Row],[Jam]]&amp;ScoreData[[#This Row],[RefRow]])="SP",INDIRECT($X$24&amp;ScoreData[[#This Row],[Jam]]&amp;ScoreData[[#This Row],[RefRow]])="SP*"),TRUE,FALSE)</f>
        <v>0</v>
      </c>
      <c r="L72" s="1219" t="b">
        <v>0</v>
      </c>
      <c r="M72" s="1219" t="str">
        <f t="array" ref="M72">IFERROR(INDEX(ScoreSearch[],MATCH(ScoreData[[#This Row],[Home?]]&amp;ScoreData[[#Headers],[Jam]],ScoreSearch[Home?]&amp;ScoreSearch[Item],1),3),"")</f>
        <v>$T</v>
      </c>
      <c r="N72" s="1219" t="str">
        <f t="array" ref="N72">IFERROR(INDEX(ScoreSearch[],MATCH(ScoreData[[#This Row],[Home?]]&amp;ScoreData[[#Headers],[Jammer]],ScoreSearch[Home?]&amp;ScoreSearch[Item],1),3),"")</f>
        <v>$U</v>
      </c>
      <c r="O72" s="1219" t="str">
        <f t="array" ref="O72">IFERROR(INDEX(ScoreSearch[],MATCH(ScoreData[[#This Row],[Home?]]&amp;ScoreData[[#Headers],[Lead]],ScoreSearch[Home?]&amp;ScoreSearch[Item],1),3),"")</f>
        <v>$W</v>
      </c>
      <c r="P72" s="1219" t="str">
        <f t="array" ref="P72">IFERROR(INDEX(ScoreSearch[],MATCH(ScoreData[[#This Row],[Home?]]&amp;ScoreData[[#Headers],[Call]],ScoreSearch[Home?]&amp;ScoreSearch[Item],1),3),"")</f>
        <v>$X</v>
      </c>
      <c r="Q72" s="1219" t="str">
        <f t="array" ref="Q72">IFERROR(INDEX(ScoreSearch[],MATCH(ScoreData[[#This Row],[Home?]]&amp;ScoreData[[#Headers],[Penalty]],ScoreSearch[Home?]&amp;ScoreSearch[Item],1),3),"")</f>
        <v>$Z</v>
      </c>
      <c r="R72" s="1222" t="str">
        <f t="array" ref="R72">IFERROR(INDEX(ScoreSearch[],MATCH(ScoreData[[#This Row],[Home?]]&amp;ScoreData[[#Headers],[Point]],ScoreSearch[Home?]&amp;ScoreSearch[Item],1),3),"")</f>
        <v>$AJ</v>
      </c>
      <c r="S72" s="1222" t="str">
        <f t="array" ref="S72">IFERROR(INDEX(ScoreSearch[],MATCH(ScoreData[[#This Row],[Home?]]&amp;ScoreData[[#Headers],[Pass]],ScoreSearch[Home?]&amp;ScoreSearch[Item],1),3),"")</f>
        <v>$AL</v>
      </c>
      <c r="T72" s="1219">
        <v>36</v>
      </c>
    </row>
    <row r="73" spans="1:20" x14ac:dyDescent="0.25">
      <c r="A73" s="1218">
        <f>[1]IBRF!$B$5</f>
        <v>41734</v>
      </c>
      <c r="B73" s="1221">
        <f t="shared" si="3"/>
        <v>0.83333333333333337</v>
      </c>
      <c r="C73" s="1219">
        <v>1</v>
      </c>
      <c r="D73" s="1219">
        <f ca="1">IF(ScoreData[[#This Row],[Passed?]],D72,INDIRECT($X$24&amp;ScoreData[[#This Row],[Jam]]&amp;ScoreData[[#This Row],[RefRow]]))</f>
        <v>0</v>
      </c>
      <c r="E73" s="1219" t="str">
        <f t="shared" si="2"/>
        <v>Harlots</v>
      </c>
      <c r="F73" s="1219" t="str">
        <f ca="1">IF(INDIRECT($X$24&amp;ScoreData[[#This Row],[Jammer]]&amp;ScoreData[[#This Row],[RefRow]])=0,"",INDIRECT($X$24&amp;ScoreData[[#This Row],[Jammer]]&amp;ScoreData[[#This Row],[RefRow]]))</f>
        <v/>
      </c>
      <c r="G73" s="1219" t="str">
        <f ca="1">IF(INDIRECT($X$24&amp;ScoreData[[#This Row],[Lead]]&amp;ScoreData[[#This Row],[RefRow]])="X","YES","NO")</f>
        <v>NO</v>
      </c>
      <c r="H73" s="1219" t="str">
        <f ca="1">IF(INDIRECT($X$24&amp;ScoreData[[#This Row],[Call]]&amp;ScoreData[[#This Row],[RefRow]])="X","YES","NO")</f>
        <v>NO</v>
      </c>
      <c r="I73" s="1219">
        <f ca="1">INDIRECT($X$24&amp;ScoreData[[#This Row],[Pass]]&amp;ScoreData[[#This Row],[RefRow]])</f>
        <v>0</v>
      </c>
      <c r="J73" s="1219" t="str">
        <f ca="1">IF(INDIRECT($X$24&amp;ScoreData[[#This Row],[Point]]&amp;ScoreData[[#This Row],[RefRow]])=0,"",INDIRECT($X$24&amp;ScoreData[[#This Row],[Point]]&amp;ScoreData[[#This Row],[RefRow]]))</f>
        <v/>
      </c>
      <c r="K73" s="1219" t="b">
        <f ca="1">IF(OR(INDIRECT($X$24&amp;ScoreData[[#This Row],[Jam]]&amp;ScoreData[[#This Row],[RefRow]])="SP",INDIRECT($X$24&amp;ScoreData[[#This Row],[Jam]]&amp;ScoreData[[#This Row],[RefRow]])="SP*"),TRUE,FALSE)</f>
        <v>0</v>
      </c>
      <c r="L73" s="1219" t="b">
        <v>0</v>
      </c>
      <c r="M73" s="1219" t="str">
        <f t="array" ref="M73">IFERROR(INDEX(ScoreSearch[],MATCH(ScoreData[[#This Row],[Home?]]&amp;ScoreData[[#Headers],[Jam]],ScoreSearch[Home?]&amp;ScoreSearch[Item],1),3),"")</f>
        <v>$T</v>
      </c>
      <c r="N73" s="1219" t="str">
        <f t="array" ref="N73">IFERROR(INDEX(ScoreSearch[],MATCH(ScoreData[[#This Row],[Home?]]&amp;ScoreData[[#Headers],[Jammer]],ScoreSearch[Home?]&amp;ScoreSearch[Item],1),3),"")</f>
        <v>$U</v>
      </c>
      <c r="O73" s="1219" t="str">
        <f t="array" ref="O73">IFERROR(INDEX(ScoreSearch[],MATCH(ScoreData[[#This Row],[Home?]]&amp;ScoreData[[#Headers],[Lead]],ScoreSearch[Home?]&amp;ScoreSearch[Item],1),3),"")</f>
        <v>$W</v>
      </c>
      <c r="P73" s="1219" t="str">
        <f t="array" ref="P73">IFERROR(INDEX(ScoreSearch[],MATCH(ScoreData[[#This Row],[Home?]]&amp;ScoreData[[#Headers],[Call]],ScoreSearch[Home?]&amp;ScoreSearch[Item],1),3),"")</f>
        <v>$X</v>
      </c>
      <c r="Q73" s="1219" t="str">
        <f t="array" ref="Q73">IFERROR(INDEX(ScoreSearch[],MATCH(ScoreData[[#This Row],[Home?]]&amp;ScoreData[[#Headers],[Penalty]],ScoreSearch[Home?]&amp;ScoreSearch[Item],1),3),"")</f>
        <v>$Z</v>
      </c>
      <c r="R73" s="1222" t="str">
        <f t="array" ref="R73">IFERROR(INDEX(ScoreSearch[],MATCH(ScoreData[[#This Row],[Home?]]&amp;ScoreData[[#Headers],[Point]],ScoreSearch[Home?]&amp;ScoreSearch[Item],1),3),"")</f>
        <v>$AJ</v>
      </c>
      <c r="S73" s="1222" t="str">
        <f t="array" ref="S73">IFERROR(INDEX(ScoreSearch[],MATCH(ScoreData[[#This Row],[Home?]]&amp;ScoreData[[#Headers],[Pass]],ScoreSearch[Home?]&amp;ScoreSearch[Item],1),3),"")</f>
        <v>$AL</v>
      </c>
      <c r="T73" s="1219">
        <v>37</v>
      </c>
    </row>
    <row r="74" spans="1:20" x14ac:dyDescent="0.25">
      <c r="A74" s="1218">
        <f>[1]IBRF!$B$5</f>
        <v>41734</v>
      </c>
      <c r="B74" s="1221">
        <f t="shared" si="3"/>
        <v>0.83333333333333337</v>
      </c>
      <c r="C74" s="1219">
        <v>1</v>
      </c>
      <c r="D74" s="1219">
        <f ca="1">IF(ScoreData[[#This Row],[Passed?]],D73,INDIRECT($X$24&amp;ScoreData[[#This Row],[Jam]]&amp;ScoreData[[#This Row],[RefRow]]))</f>
        <v>0</v>
      </c>
      <c r="E74" s="1219" t="str">
        <f t="shared" si="2"/>
        <v>Harlots</v>
      </c>
      <c r="F74" s="1219" t="str">
        <f ca="1">IF(INDIRECT($X$24&amp;ScoreData[[#This Row],[Jammer]]&amp;ScoreData[[#This Row],[RefRow]])=0,"",INDIRECT($X$24&amp;ScoreData[[#This Row],[Jammer]]&amp;ScoreData[[#This Row],[RefRow]]))</f>
        <v/>
      </c>
      <c r="G74" s="1219" t="str">
        <f ca="1">IF(INDIRECT($X$24&amp;ScoreData[[#This Row],[Lead]]&amp;ScoreData[[#This Row],[RefRow]])="X","YES","NO")</f>
        <v>NO</v>
      </c>
      <c r="H74" s="1219" t="str">
        <f ca="1">IF(INDIRECT($X$24&amp;ScoreData[[#This Row],[Call]]&amp;ScoreData[[#This Row],[RefRow]])="X","YES","NO")</f>
        <v>NO</v>
      </c>
      <c r="I74" s="1219">
        <f ca="1">INDIRECT($X$24&amp;ScoreData[[#This Row],[Pass]]&amp;ScoreData[[#This Row],[RefRow]])</f>
        <v>0</v>
      </c>
      <c r="J74" s="1219" t="str">
        <f ca="1">IF(INDIRECT($X$24&amp;ScoreData[[#This Row],[Point]]&amp;ScoreData[[#This Row],[RefRow]])=0,"",INDIRECT($X$24&amp;ScoreData[[#This Row],[Point]]&amp;ScoreData[[#This Row],[RefRow]]))</f>
        <v/>
      </c>
      <c r="K74" s="1219" t="b">
        <f ca="1">IF(OR(INDIRECT($X$24&amp;ScoreData[[#This Row],[Jam]]&amp;ScoreData[[#This Row],[RefRow]])="SP",INDIRECT($X$24&amp;ScoreData[[#This Row],[Jam]]&amp;ScoreData[[#This Row],[RefRow]])="SP*"),TRUE,FALSE)</f>
        <v>0</v>
      </c>
      <c r="L74" s="1219" t="b">
        <v>0</v>
      </c>
      <c r="M74" s="1219" t="str">
        <f t="array" ref="M74">IFERROR(INDEX(ScoreSearch[],MATCH(ScoreData[[#This Row],[Home?]]&amp;ScoreData[[#Headers],[Jam]],ScoreSearch[Home?]&amp;ScoreSearch[Item],1),3),"")</f>
        <v>$T</v>
      </c>
      <c r="N74" s="1219" t="str">
        <f t="array" ref="N74">IFERROR(INDEX(ScoreSearch[],MATCH(ScoreData[[#This Row],[Home?]]&amp;ScoreData[[#Headers],[Jammer]],ScoreSearch[Home?]&amp;ScoreSearch[Item],1),3),"")</f>
        <v>$U</v>
      </c>
      <c r="O74" s="1219" t="str">
        <f t="array" ref="O74">IFERROR(INDEX(ScoreSearch[],MATCH(ScoreData[[#This Row],[Home?]]&amp;ScoreData[[#Headers],[Lead]],ScoreSearch[Home?]&amp;ScoreSearch[Item],1),3),"")</f>
        <v>$W</v>
      </c>
      <c r="P74" s="1219" t="str">
        <f t="array" ref="P74">IFERROR(INDEX(ScoreSearch[],MATCH(ScoreData[[#This Row],[Home?]]&amp;ScoreData[[#Headers],[Call]],ScoreSearch[Home?]&amp;ScoreSearch[Item],1),3),"")</f>
        <v>$X</v>
      </c>
      <c r="Q74" s="1219" t="str">
        <f t="array" ref="Q74">IFERROR(INDEX(ScoreSearch[],MATCH(ScoreData[[#This Row],[Home?]]&amp;ScoreData[[#Headers],[Penalty]],ScoreSearch[Home?]&amp;ScoreSearch[Item],1),3),"")</f>
        <v>$Z</v>
      </c>
      <c r="R74" s="1222" t="str">
        <f t="array" ref="R74">IFERROR(INDEX(ScoreSearch[],MATCH(ScoreData[[#This Row],[Home?]]&amp;ScoreData[[#Headers],[Point]],ScoreSearch[Home?]&amp;ScoreSearch[Item],1),3),"")</f>
        <v>$AJ</v>
      </c>
      <c r="S74" s="1222" t="str">
        <f t="array" ref="S74">IFERROR(INDEX(ScoreSearch[],MATCH(ScoreData[[#This Row],[Home?]]&amp;ScoreData[[#Headers],[Pass]],ScoreSearch[Home?]&amp;ScoreSearch[Item],1),3),"")</f>
        <v>$AL</v>
      </c>
      <c r="T74" s="1219">
        <v>38</v>
      </c>
    </row>
    <row r="75" spans="1:20" x14ac:dyDescent="0.25">
      <c r="A75" s="1218">
        <f>[1]IBRF!$B$5</f>
        <v>41734</v>
      </c>
      <c r="B75" s="1221">
        <f t="shared" si="3"/>
        <v>0.83333333333333337</v>
      </c>
      <c r="C75" s="1219">
        <v>1</v>
      </c>
      <c r="D75" s="1219">
        <f ca="1">IF(ScoreData[[#This Row],[Passed?]],D74,INDIRECT($X$24&amp;ScoreData[[#This Row],[Jam]]&amp;ScoreData[[#This Row],[RefRow]]))</f>
        <v>0</v>
      </c>
      <c r="E75" s="1219" t="str">
        <f t="shared" si="2"/>
        <v>Harlots</v>
      </c>
      <c r="F75" s="1219" t="str">
        <f ca="1">IF(INDIRECT($X$24&amp;ScoreData[[#This Row],[Jammer]]&amp;ScoreData[[#This Row],[RefRow]])=0,"",INDIRECT($X$24&amp;ScoreData[[#This Row],[Jammer]]&amp;ScoreData[[#This Row],[RefRow]]))</f>
        <v/>
      </c>
      <c r="G75" s="1219" t="str">
        <f ca="1">IF(INDIRECT($X$24&amp;ScoreData[[#This Row],[Lead]]&amp;ScoreData[[#This Row],[RefRow]])="X","YES","NO")</f>
        <v>NO</v>
      </c>
      <c r="H75" s="1219" t="str">
        <f ca="1">IF(INDIRECT($X$24&amp;ScoreData[[#This Row],[Call]]&amp;ScoreData[[#This Row],[RefRow]])="X","YES","NO")</f>
        <v>NO</v>
      </c>
      <c r="I75" s="1219">
        <f ca="1">INDIRECT($X$24&amp;ScoreData[[#This Row],[Pass]]&amp;ScoreData[[#This Row],[RefRow]])</f>
        <v>0</v>
      </c>
      <c r="J75" s="1219" t="str">
        <f ca="1">IF(INDIRECT($X$24&amp;ScoreData[[#This Row],[Point]]&amp;ScoreData[[#This Row],[RefRow]])=0,"",INDIRECT($X$24&amp;ScoreData[[#This Row],[Point]]&amp;ScoreData[[#This Row],[RefRow]]))</f>
        <v/>
      </c>
      <c r="K75" s="1219" t="b">
        <f ca="1">IF(OR(INDIRECT($X$24&amp;ScoreData[[#This Row],[Jam]]&amp;ScoreData[[#This Row],[RefRow]])="SP",INDIRECT($X$24&amp;ScoreData[[#This Row],[Jam]]&amp;ScoreData[[#This Row],[RefRow]])="SP*"),TRUE,FALSE)</f>
        <v>0</v>
      </c>
      <c r="L75" s="1219" t="b">
        <v>0</v>
      </c>
      <c r="M75" s="1219" t="str">
        <f t="array" ref="M75">IFERROR(INDEX(ScoreSearch[],MATCH(ScoreData[[#This Row],[Home?]]&amp;ScoreData[[#Headers],[Jam]],ScoreSearch[Home?]&amp;ScoreSearch[Item],1),3),"")</f>
        <v>$T</v>
      </c>
      <c r="N75" s="1219" t="str">
        <f t="array" ref="N75">IFERROR(INDEX(ScoreSearch[],MATCH(ScoreData[[#This Row],[Home?]]&amp;ScoreData[[#Headers],[Jammer]],ScoreSearch[Home?]&amp;ScoreSearch[Item],1),3),"")</f>
        <v>$U</v>
      </c>
      <c r="O75" s="1219" t="str">
        <f t="array" ref="O75">IFERROR(INDEX(ScoreSearch[],MATCH(ScoreData[[#This Row],[Home?]]&amp;ScoreData[[#Headers],[Lead]],ScoreSearch[Home?]&amp;ScoreSearch[Item],1),3),"")</f>
        <v>$W</v>
      </c>
      <c r="P75" s="1219" t="str">
        <f t="array" ref="P75">IFERROR(INDEX(ScoreSearch[],MATCH(ScoreData[[#This Row],[Home?]]&amp;ScoreData[[#Headers],[Call]],ScoreSearch[Home?]&amp;ScoreSearch[Item],1),3),"")</f>
        <v>$X</v>
      </c>
      <c r="Q75" s="1219" t="str">
        <f t="array" ref="Q75">IFERROR(INDEX(ScoreSearch[],MATCH(ScoreData[[#This Row],[Home?]]&amp;ScoreData[[#Headers],[Penalty]],ScoreSearch[Home?]&amp;ScoreSearch[Item],1),3),"")</f>
        <v>$Z</v>
      </c>
      <c r="R75" s="1222" t="str">
        <f t="array" ref="R75">IFERROR(INDEX(ScoreSearch[],MATCH(ScoreData[[#This Row],[Home?]]&amp;ScoreData[[#Headers],[Point]],ScoreSearch[Home?]&amp;ScoreSearch[Item],1),3),"")</f>
        <v>$AJ</v>
      </c>
      <c r="S75" s="1222" t="str">
        <f t="array" ref="S75">IFERROR(INDEX(ScoreSearch[],MATCH(ScoreData[[#This Row],[Home?]]&amp;ScoreData[[#Headers],[Pass]],ScoreSearch[Home?]&amp;ScoreSearch[Item],1),3),"")</f>
        <v>$AL</v>
      </c>
      <c r="T75" s="1219">
        <v>39</v>
      </c>
    </row>
    <row r="76" spans="1:20" x14ac:dyDescent="0.25">
      <c r="A76" s="1218">
        <f>[1]IBRF!$B$5</f>
        <v>41734</v>
      </c>
      <c r="B76" s="1221">
        <f t="shared" si="3"/>
        <v>0.83333333333333337</v>
      </c>
      <c r="C76" s="1219">
        <v>1</v>
      </c>
      <c r="D76" s="1219">
        <f ca="1">IF(ScoreData[[#This Row],[Passed?]],D75,INDIRECT($X$24&amp;ScoreData[[#This Row],[Jam]]&amp;ScoreData[[#This Row],[RefRow]]))</f>
        <v>0</v>
      </c>
      <c r="E76" s="1219" t="str">
        <f t="shared" si="2"/>
        <v>Harlots</v>
      </c>
      <c r="F76" s="1219" t="str">
        <f ca="1">IF(INDIRECT($X$24&amp;ScoreData[[#This Row],[Jammer]]&amp;ScoreData[[#This Row],[RefRow]])=0,"",INDIRECT($X$24&amp;ScoreData[[#This Row],[Jammer]]&amp;ScoreData[[#This Row],[RefRow]]))</f>
        <v/>
      </c>
      <c r="G76" s="1219" t="str">
        <f ca="1">IF(INDIRECT($X$24&amp;ScoreData[[#This Row],[Lead]]&amp;ScoreData[[#This Row],[RefRow]])="X","YES","NO")</f>
        <v>NO</v>
      </c>
      <c r="H76" s="1219" t="str">
        <f ca="1">IF(INDIRECT($X$24&amp;ScoreData[[#This Row],[Call]]&amp;ScoreData[[#This Row],[RefRow]])="X","YES","NO")</f>
        <v>NO</v>
      </c>
      <c r="I76" s="1219">
        <f ca="1">INDIRECT($X$24&amp;ScoreData[[#This Row],[Pass]]&amp;ScoreData[[#This Row],[RefRow]])</f>
        <v>0</v>
      </c>
      <c r="J76" s="1219" t="str">
        <f ca="1">IF(INDIRECT($X$24&amp;ScoreData[[#This Row],[Point]]&amp;ScoreData[[#This Row],[RefRow]])=0,"",INDIRECT($X$24&amp;ScoreData[[#This Row],[Point]]&amp;ScoreData[[#This Row],[RefRow]]))</f>
        <v/>
      </c>
      <c r="K76" s="1219" t="b">
        <f ca="1">IF(OR(INDIRECT($X$24&amp;ScoreData[[#This Row],[Jam]]&amp;ScoreData[[#This Row],[RefRow]])="SP",INDIRECT($X$24&amp;ScoreData[[#This Row],[Jam]]&amp;ScoreData[[#This Row],[RefRow]])="SP*"),TRUE,FALSE)</f>
        <v>0</v>
      </c>
      <c r="L76" s="1219" t="b">
        <v>0</v>
      </c>
      <c r="M76" s="1219" t="str">
        <f t="array" ref="M76">IFERROR(INDEX(ScoreSearch[],MATCH(ScoreData[[#This Row],[Home?]]&amp;ScoreData[[#Headers],[Jam]],ScoreSearch[Home?]&amp;ScoreSearch[Item],1),3),"")</f>
        <v>$T</v>
      </c>
      <c r="N76" s="1219" t="str">
        <f t="array" ref="N76">IFERROR(INDEX(ScoreSearch[],MATCH(ScoreData[[#This Row],[Home?]]&amp;ScoreData[[#Headers],[Jammer]],ScoreSearch[Home?]&amp;ScoreSearch[Item],1),3),"")</f>
        <v>$U</v>
      </c>
      <c r="O76" s="1219" t="str">
        <f t="array" ref="O76">IFERROR(INDEX(ScoreSearch[],MATCH(ScoreData[[#This Row],[Home?]]&amp;ScoreData[[#Headers],[Lead]],ScoreSearch[Home?]&amp;ScoreSearch[Item],1),3),"")</f>
        <v>$W</v>
      </c>
      <c r="P76" s="1219" t="str">
        <f t="array" ref="P76">IFERROR(INDEX(ScoreSearch[],MATCH(ScoreData[[#This Row],[Home?]]&amp;ScoreData[[#Headers],[Call]],ScoreSearch[Home?]&amp;ScoreSearch[Item],1),3),"")</f>
        <v>$X</v>
      </c>
      <c r="Q76" s="1219" t="str">
        <f t="array" ref="Q76">IFERROR(INDEX(ScoreSearch[],MATCH(ScoreData[[#This Row],[Home?]]&amp;ScoreData[[#Headers],[Penalty]],ScoreSearch[Home?]&amp;ScoreSearch[Item],1),3),"")</f>
        <v>$Z</v>
      </c>
      <c r="R76" s="1222" t="str">
        <f t="array" ref="R76">IFERROR(INDEX(ScoreSearch[],MATCH(ScoreData[[#This Row],[Home?]]&amp;ScoreData[[#Headers],[Point]],ScoreSearch[Home?]&amp;ScoreSearch[Item],1),3),"")</f>
        <v>$AJ</v>
      </c>
      <c r="S76" s="1222" t="str">
        <f t="array" ref="S76">IFERROR(INDEX(ScoreSearch[],MATCH(ScoreData[[#This Row],[Home?]]&amp;ScoreData[[#Headers],[Pass]],ScoreSearch[Home?]&amp;ScoreSearch[Item],1),3),"")</f>
        <v>$AL</v>
      </c>
      <c r="T76" s="1219">
        <v>40</v>
      </c>
    </row>
    <row r="77" spans="1:20" x14ac:dyDescent="0.25">
      <c r="A77" s="1218">
        <f>[1]IBRF!$B$5</f>
        <v>41734</v>
      </c>
      <c r="B77" s="1221">
        <f t="shared" si="3"/>
        <v>0.83333333333333337</v>
      </c>
      <c r="C77" s="1219">
        <v>1</v>
      </c>
      <c r="D77" s="1219">
        <f ca="1">IF(ScoreData[[#This Row],[Passed?]],D76,INDIRECT($X$24&amp;ScoreData[[#This Row],[Jam]]&amp;ScoreData[[#This Row],[RefRow]]))</f>
        <v>0</v>
      </c>
      <c r="E77" s="1219" t="str">
        <f t="shared" si="2"/>
        <v>Harlots</v>
      </c>
      <c r="F77" s="1219" t="str">
        <f ca="1">IF(INDIRECT($X$24&amp;ScoreData[[#This Row],[Jammer]]&amp;ScoreData[[#This Row],[RefRow]])=0,"",INDIRECT($X$24&amp;ScoreData[[#This Row],[Jammer]]&amp;ScoreData[[#This Row],[RefRow]]))</f>
        <v/>
      </c>
      <c r="G77" s="1219" t="str">
        <f ca="1">IF(INDIRECT($X$24&amp;ScoreData[[#This Row],[Lead]]&amp;ScoreData[[#This Row],[RefRow]])="X","YES","NO")</f>
        <v>NO</v>
      </c>
      <c r="H77" s="1219" t="str">
        <f ca="1">IF(INDIRECT($X$24&amp;ScoreData[[#This Row],[Call]]&amp;ScoreData[[#This Row],[RefRow]])="X","YES","NO")</f>
        <v>NO</v>
      </c>
      <c r="I77" s="1219">
        <f ca="1">INDIRECT($X$24&amp;ScoreData[[#This Row],[Pass]]&amp;ScoreData[[#This Row],[RefRow]])</f>
        <v>0</v>
      </c>
      <c r="J77" s="1219" t="str">
        <f ca="1">IF(INDIRECT($X$24&amp;ScoreData[[#This Row],[Point]]&amp;ScoreData[[#This Row],[RefRow]])=0,"",INDIRECT($X$24&amp;ScoreData[[#This Row],[Point]]&amp;ScoreData[[#This Row],[RefRow]]))</f>
        <v/>
      </c>
      <c r="K77" s="1219" t="b">
        <f ca="1">IF(OR(INDIRECT($X$24&amp;ScoreData[[#This Row],[Jam]]&amp;ScoreData[[#This Row],[RefRow]])="SP",INDIRECT($X$24&amp;ScoreData[[#This Row],[Jam]]&amp;ScoreData[[#This Row],[RefRow]])="SP*"),TRUE,FALSE)</f>
        <v>0</v>
      </c>
      <c r="L77" s="1219" t="b">
        <v>0</v>
      </c>
      <c r="M77" s="1219" t="str">
        <f t="array" ref="M77">IFERROR(INDEX(ScoreSearch[],MATCH(ScoreData[[#This Row],[Home?]]&amp;ScoreData[[#Headers],[Jam]],ScoreSearch[Home?]&amp;ScoreSearch[Item],1),3),"")</f>
        <v>$T</v>
      </c>
      <c r="N77" s="1219" t="str">
        <f t="array" ref="N77">IFERROR(INDEX(ScoreSearch[],MATCH(ScoreData[[#This Row],[Home?]]&amp;ScoreData[[#Headers],[Jammer]],ScoreSearch[Home?]&amp;ScoreSearch[Item],1),3),"")</f>
        <v>$U</v>
      </c>
      <c r="O77" s="1219" t="str">
        <f t="array" ref="O77">IFERROR(INDEX(ScoreSearch[],MATCH(ScoreData[[#This Row],[Home?]]&amp;ScoreData[[#Headers],[Lead]],ScoreSearch[Home?]&amp;ScoreSearch[Item],1),3),"")</f>
        <v>$W</v>
      </c>
      <c r="P77" s="1219" t="str">
        <f t="array" ref="P77">IFERROR(INDEX(ScoreSearch[],MATCH(ScoreData[[#This Row],[Home?]]&amp;ScoreData[[#Headers],[Call]],ScoreSearch[Home?]&amp;ScoreSearch[Item],1),3),"")</f>
        <v>$X</v>
      </c>
      <c r="Q77" s="1219" t="str">
        <f t="array" ref="Q77">IFERROR(INDEX(ScoreSearch[],MATCH(ScoreData[[#This Row],[Home?]]&amp;ScoreData[[#Headers],[Penalty]],ScoreSearch[Home?]&amp;ScoreSearch[Item],1),3),"")</f>
        <v>$Z</v>
      </c>
      <c r="R77" s="1222" t="str">
        <f t="array" ref="R77">IFERROR(INDEX(ScoreSearch[],MATCH(ScoreData[[#This Row],[Home?]]&amp;ScoreData[[#Headers],[Point]],ScoreSearch[Home?]&amp;ScoreSearch[Item],1),3),"")</f>
        <v>$AJ</v>
      </c>
      <c r="S77" s="1222" t="str">
        <f t="array" ref="S77">IFERROR(INDEX(ScoreSearch[],MATCH(ScoreData[[#This Row],[Home?]]&amp;ScoreData[[#Headers],[Pass]],ScoreSearch[Home?]&amp;ScoreSearch[Item],1),3),"")</f>
        <v>$AL</v>
      </c>
      <c r="T77" s="1219">
        <v>41</v>
      </c>
    </row>
    <row r="78" spans="1:20" x14ac:dyDescent="0.25">
      <c r="A78" s="1218">
        <f>[1]IBRF!$B$5</f>
        <v>41734</v>
      </c>
      <c r="B78" s="1221">
        <f t="shared" si="3"/>
        <v>0.83333333333333337</v>
      </c>
      <c r="C78" s="1219">
        <v>2</v>
      </c>
      <c r="D78" s="1219">
        <f ca="1">IF(ScoreData[[#This Row],[Passed?]],D77,INDIRECT($X$24&amp;ScoreData[[#This Row],[Jam]]&amp;ScoreData[[#This Row],[RefRow]]))</f>
        <v>1</v>
      </c>
      <c r="E78" s="1219" t="str">
        <f>$X$2</f>
        <v>Plan B</v>
      </c>
      <c r="F78" s="1219" t="str">
        <f ca="1">IF(INDIRECT($X$24&amp;ScoreData[[#This Row],[Jammer]]&amp;ScoreData[[#This Row],[RefRow]])=0,"",INDIRECT($X$24&amp;ScoreData[[#This Row],[Jammer]]&amp;ScoreData[[#This Row],[RefRow]]))</f>
        <v>4</v>
      </c>
      <c r="G78" s="1219" t="str">
        <f ca="1">IF(INDIRECT($X$24&amp;ScoreData[[#This Row],[Lead]]&amp;ScoreData[[#This Row],[RefRow]])="X","YES","NO")</f>
        <v>YES</v>
      </c>
      <c r="H78" s="1219" t="str">
        <f ca="1">IF(INDIRECT($X$24&amp;ScoreData[[#This Row],[Call]]&amp;ScoreData[[#This Row],[RefRow]])="X","YES","NO")</f>
        <v>YES</v>
      </c>
      <c r="I78" s="1219">
        <f ca="1">INDIRECT($X$24&amp;ScoreData[[#This Row],[Pass]]&amp;ScoreData[[#This Row],[RefRow]])</f>
        <v>3</v>
      </c>
      <c r="J78" s="1219">
        <f ca="1">IF(INDIRECT($X$24&amp;ScoreData[[#This Row],[Point]]&amp;ScoreData[[#This Row],[RefRow]])=0,"",INDIRECT($X$24&amp;ScoreData[[#This Row],[Point]]&amp;ScoreData[[#This Row],[RefRow]]))</f>
        <v>15</v>
      </c>
      <c r="K78" s="1219" t="b">
        <f ca="1">IF(OR(INDIRECT($X$24&amp;ScoreData[[#This Row],[Jam]]&amp;ScoreData[[#This Row],[RefRow]])="SP",INDIRECT($X$24&amp;ScoreData[[#This Row],[Jam]]&amp;ScoreData[[#This Row],[RefRow]])="SP*"),TRUE,FALSE)</f>
        <v>0</v>
      </c>
      <c r="L78" s="1219" t="b">
        <v>1</v>
      </c>
      <c r="M78" s="1219" t="str">
        <f t="array" ref="M78">IFERROR(INDEX(ScoreSearch[],MATCH(ScoreData[[#This Row],[Home?]]&amp;ScoreData[[#Headers],[Jam]],ScoreSearch[Home?]&amp;ScoreSearch[Item],1),3),"")</f>
        <v>$A</v>
      </c>
      <c r="N78" s="1219" t="str">
        <f t="array" ref="N78">IFERROR(INDEX(ScoreSearch[],MATCH(ScoreData[[#This Row],[Home?]]&amp;ScoreData[[#Headers],[Jammer]],ScoreSearch[Home?]&amp;ScoreSearch[Item],1),3),"")</f>
        <v>$B</v>
      </c>
      <c r="O78" s="1219" t="str">
        <f t="array" ref="O78">IFERROR(INDEX(ScoreSearch[],MATCH(ScoreData[[#This Row],[Home?]]&amp;ScoreData[[#Headers],[Lead]],ScoreSearch[Home?]&amp;ScoreSearch[Item],1),3),"")</f>
        <v>$D</v>
      </c>
      <c r="P78" s="1219" t="str">
        <f t="array" ref="P78">IFERROR(INDEX(ScoreSearch[],MATCH(ScoreData[[#This Row],[Home?]]&amp;ScoreData[[#Headers],[Call]],ScoreSearch[Home?]&amp;ScoreSearch[Item],1),3),"")</f>
        <v>$E</v>
      </c>
      <c r="Q78" s="1219" t="str">
        <f t="array" ref="Q78">IFERROR(INDEX(ScoreSearch[],MATCH(ScoreData[[#This Row],[Home?]]&amp;ScoreData[[#Headers],[Penalty]],ScoreSearch[Home?]&amp;ScoreSearch[Item],1),3),"")</f>
        <v>$G</v>
      </c>
      <c r="R78" s="1222" t="str">
        <f t="array" ref="R78">IFERROR(INDEX(ScoreSearch[],MATCH(ScoreData[[#This Row],[Home?]]&amp;ScoreData[[#Headers],[Point]],ScoreSearch[Home?]&amp;ScoreSearch[Item],1),3),"")</f>
        <v>$Q</v>
      </c>
      <c r="S78" s="1222" t="str">
        <f t="array" ref="S78">IFERROR(INDEX(ScoreSearch[],MATCH(ScoreData[[#This Row],[Home?]]&amp;ScoreData[[#Headers],[Pass]],ScoreSearch[Home?]&amp;ScoreSearch[Item],1),3),"")</f>
        <v>$S</v>
      </c>
      <c r="T78" s="1219">
        <v>46</v>
      </c>
    </row>
    <row r="79" spans="1:20" x14ac:dyDescent="0.25">
      <c r="A79" s="1218">
        <f>[1]IBRF!$B$5</f>
        <v>41734</v>
      </c>
      <c r="B79" s="1221">
        <f t="shared" si="3"/>
        <v>0.83333333333333337</v>
      </c>
      <c r="C79" s="1219">
        <v>2</v>
      </c>
      <c r="D79" s="1219">
        <f ca="1">IF(ScoreData[[#This Row],[Passed?]],D78,INDIRECT($X$24&amp;ScoreData[[#This Row],[Jam]]&amp;ScoreData[[#This Row],[RefRow]]))</f>
        <v>2</v>
      </c>
      <c r="E79" s="1219" t="str">
        <f t="shared" ref="E79:E115" si="4">$X$2</f>
        <v>Plan B</v>
      </c>
      <c r="F79" s="1219" t="str">
        <f ca="1">IF(INDIRECT($X$24&amp;ScoreData[[#This Row],[Jammer]]&amp;ScoreData[[#This Row],[RefRow]])=0,"",INDIRECT($X$24&amp;ScoreData[[#This Row],[Jammer]]&amp;ScoreData[[#This Row],[RefRow]]))</f>
        <v>19</v>
      </c>
      <c r="G79" s="1223" t="str">
        <f ca="1">IF(INDIRECT($X$24&amp;ScoreData[[#This Row],[Lead]]&amp;ScoreData[[#This Row],[RefRow]])="X","YES","NO")</f>
        <v>YES</v>
      </c>
      <c r="H79" s="1223" t="str">
        <f ca="1">IF(INDIRECT($X$24&amp;ScoreData[[#This Row],[Call]]&amp;ScoreData[[#This Row],[RefRow]])="X","YES","NO")</f>
        <v>YES</v>
      </c>
      <c r="I79" s="1223">
        <f ca="1">INDIRECT($X$24&amp;ScoreData[[#This Row],[Pass]]&amp;ScoreData[[#This Row],[RefRow]])</f>
        <v>2</v>
      </c>
      <c r="J79" s="1223">
        <f ca="1">IF(INDIRECT($X$24&amp;ScoreData[[#This Row],[Point]]&amp;ScoreData[[#This Row],[RefRow]])=0,"",INDIRECT($X$24&amp;ScoreData[[#This Row],[Point]]&amp;ScoreData[[#This Row],[RefRow]]))</f>
        <v>7</v>
      </c>
      <c r="K79" s="1219" t="b">
        <f ca="1">IF(OR(INDIRECT($X$24&amp;ScoreData[[#This Row],[Jam]]&amp;ScoreData[[#This Row],[RefRow]])="SP",INDIRECT($X$24&amp;ScoreData[[#This Row],[Jam]]&amp;ScoreData[[#This Row],[RefRow]])="SP*"),TRUE,FALSE)</f>
        <v>0</v>
      </c>
      <c r="L79" s="1219" t="b">
        <v>1</v>
      </c>
      <c r="M79" s="1219" t="str">
        <f t="array" ref="M79">IFERROR(INDEX(ScoreSearch[],MATCH(ScoreData[[#This Row],[Home?]]&amp;ScoreData[[#Headers],[Jam]],ScoreSearch[Home?]&amp;ScoreSearch[Item],1),3),"")</f>
        <v>$A</v>
      </c>
      <c r="N79" s="1219" t="str">
        <f t="array" ref="N79">IFERROR(INDEX(ScoreSearch[],MATCH(ScoreData[[#This Row],[Home?]]&amp;ScoreData[[#Headers],[Jammer]],ScoreSearch[Home?]&amp;ScoreSearch[Item],1),3),"")</f>
        <v>$B</v>
      </c>
      <c r="O79" s="1219" t="str">
        <f t="array" ref="O79">IFERROR(INDEX(ScoreSearch[],MATCH(ScoreData[[#This Row],[Home?]]&amp;ScoreData[[#Headers],[Lead]],ScoreSearch[Home?]&amp;ScoreSearch[Item],1),3),"")</f>
        <v>$D</v>
      </c>
      <c r="P79" s="1219" t="str">
        <f t="array" ref="P79">IFERROR(INDEX(ScoreSearch[],MATCH(ScoreData[[#This Row],[Home?]]&amp;ScoreData[[#Headers],[Call]],ScoreSearch[Home?]&amp;ScoreSearch[Item],1),3),"")</f>
        <v>$E</v>
      </c>
      <c r="Q79" s="1219" t="str">
        <f t="array" ref="Q79">IFERROR(INDEX(ScoreSearch[],MATCH(ScoreData[[#This Row],[Home?]]&amp;ScoreData[[#Headers],[Penalty]],ScoreSearch[Home?]&amp;ScoreSearch[Item],1),3),"")</f>
        <v>$G</v>
      </c>
      <c r="R79" s="1222" t="str">
        <f t="array" ref="R79">IFERROR(INDEX(ScoreSearch[],MATCH(ScoreData[[#This Row],[Home?]]&amp;ScoreData[[#Headers],[Point]],ScoreSearch[Home?]&amp;ScoreSearch[Item],1),3),"")</f>
        <v>$Q</v>
      </c>
      <c r="S79" s="1222" t="str">
        <f t="array" ref="S79">IFERROR(INDEX(ScoreSearch[],MATCH(ScoreData[[#This Row],[Home?]]&amp;ScoreData[[#Headers],[Pass]],ScoreSearch[Home?]&amp;ScoreSearch[Item],1),3),"")</f>
        <v>$S</v>
      </c>
      <c r="T79" s="1219">
        <v>47</v>
      </c>
    </row>
    <row r="80" spans="1:20" x14ac:dyDescent="0.25">
      <c r="A80" s="1218">
        <f>[1]IBRF!$B$5</f>
        <v>41734</v>
      </c>
      <c r="B80" s="1221">
        <f t="shared" si="3"/>
        <v>0.83333333333333337</v>
      </c>
      <c r="C80" s="1219">
        <v>2</v>
      </c>
      <c r="D80" s="1219">
        <f ca="1">IF(ScoreData[[#This Row],[Passed?]],D79,INDIRECT($X$24&amp;ScoreData[[#This Row],[Jam]]&amp;ScoreData[[#This Row],[RefRow]]))</f>
        <v>3</v>
      </c>
      <c r="E80" s="1219" t="str">
        <f t="shared" si="4"/>
        <v>Plan B</v>
      </c>
      <c r="F80" s="1219" t="str">
        <f ca="1">IF(INDIRECT($X$24&amp;ScoreData[[#This Row],[Jammer]]&amp;ScoreData[[#This Row],[RefRow]])=0,"",INDIRECT($X$24&amp;ScoreData[[#This Row],[Jammer]]&amp;ScoreData[[#This Row],[RefRow]]))</f>
        <v>84</v>
      </c>
      <c r="G80" s="1219" t="str">
        <f ca="1">IF(INDIRECT($X$24&amp;ScoreData[[#This Row],[Lead]]&amp;ScoreData[[#This Row],[RefRow]])="X","YES","NO")</f>
        <v>NO</v>
      </c>
      <c r="H80" s="1219" t="str">
        <f ca="1">IF(INDIRECT($X$24&amp;ScoreData[[#This Row],[Call]]&amp;ScoreData[[#This Row],[RefRow]])="X","YES","NO")</f>
        <v>NO</v>
      </c>
      <c r="I80" s="1219">
        <f ca="1">INDIRECT($X$24&amp;ScoreData[[#This Row],[Pass]]&amp;ScoreData[[#This Row],[RefRow]])</f>
        <v>1</v>
      </c>
      <c r="J80" s="1219" t="str">
        <f ca="1">IF(INDIRECT($X$24&amp;ScoreData[[#This Row],[Point]]&amp;ScoreData[[#This Row],[RefRow]])=0,"",INDIRECT($X$24&amp;ScoreData[[#This Row],[Point]]&amp;ScoreData[[#This Row],[RefRow]]))</f>
        <v/>
      </c>
      <c r="K80" s="1219" t="b">
        <f ca="1">IF(OR(INDIRECT($X$24&amp;ScoreData[[#This Row],[Jam]]&amp;ScoreData[[#This Row],[RefRow]])="SP",INDIRECT($X$24&amp;ScoreData[[#This Row],[Jam]]&amp;ScoreData[[#This Row],[RefRow]])="SP*"),TRUE,FALSE)</f>
        <v>0</v>
      </c>
      <c r="L80" s="1219" t="b">
        <v>1</v>
      </c>
      <c r="M80" s="1219" t="str">
        <f t="array" ref="M80">IFERROR(INDEX(ScoreSearch[],MATCH(ScoreData[[#This Row],[Home?]]&amp;ScoreData[[#Headers],[Jam]],ScoreSearch[Home?]&amp;ScoreSearch[Item],1),3),"")</f>
        <v>$A</v>
      </c>
      <c r="N80" s="1219" t="str">
        <f t="array" ref="N80">IFERROR(INDEX(ScoreSearch[],MATCH(ScoreData[[#This Row],[Home?]]&amp;ScoreData[[#Headers],[Jammer]],ScoreSearch[Home?]&amp;ScoreSearch[Item],1),3),"")</f>
        <v>$B</v>
      </c>
      <c r="O80" s="1219" t="str">
        <f t="array" ref="O80">IFERROR(INDEX(ScoreSearch[],MATCH(ScoreData[[#This Row],[Home?]]&amp;ScoreData[[#Headers],[Lead]],ScoreSearch[Home?]&amp;ScoreSearch[Item],1),3),"")</f>
        <v>$D</v>
      </c>
      <c r="P80" s="1219" t="str">
        <f t="array" ref="P80">IFERROR(INDEX(ScoreSearch[],MATCH(ScoreData[[#This Row],[Home?]]&amp;ScoreData[[#Headers],[Call]],ScoreSearch[Home?]&amp;ScoreSearch[Item],1),3),"")</f>
        <v>$E</v>
      </c>
      <c r="Q80" s="1219" t="str">
        <f t="array" ref="Q80">IFERROR(INDEX(ScoreSearch[],MATCH(ScoreData[[#This Row],[Home?]]&amp;ScoreData[[#Headers],[Penalty]],ScoreSearch[Home?]&amp;ScoreSearch[Item],1),3),"")</f>
        <v>$G</v>
      </c>
      <c r="R80" s="1222" t="str">
        <f t="array" ref="R80">IFERROR(INDEX(ScoreSearch[],MATCH(ScoreData[[#This Row],[Home?]]&amp;ScoreData[[#Headers],[Point]],ScoreSearch[Home?]&amp;ScoreSearch[Item],1),3),"")</f>
        <v>$Q</v>
      </c>
      <c r="S80" s="1222" t="str">
        <f t="array" ref="S80">IFERROR(INDEX(ScoreSearch[],MATCH(ScoreData[[#This Row],[Home?]]&amp;ScoreData[[#Headers],[Pass]],ScoreSearch[Home?]&amp;ScoreSearch[Item],1),3),"")</f>
        <v>$S</v>
      </c>
      <c r="T80" s="1219">
        <v>48</v>
      </c>
    </row>
    <row r="81" spans="1:20" x14ac:dyDescent="0.25">
      <c r="A81" s="1218">
        <f>[1]IBRF!$B$5</f>
        <v>41734</v>
      </c>
      <c r="B81" s="1221">
        <f t="shared" si="3"/>
        <v>0.83333333333333337</v>
      </c>
      <c r="C81" s="1219">
        <v>2</v>
      </c>
      <c r="D81" s="1219">
        <f ca="1">IF(ScoreData[[#This Row],[Passed?]],D80,INDIRECT($X$24&amp;ScoreData[[#This Row],[Jam]]&amp;ScoreData[[#This Row],[RefRow]]))</f>
        <v>4</v>
      </c>
      <c r="E81" s="1219" t="str">
        <f t="shared" si="4"/>
        <v>Plan B</v>
      </c>
      <c r="F81" s="1219" t="str">
        <f ca="1">IF(INDIRECT($X$24&amp;ScoreData[[#This Row],[Jammer]]&amp;ScoreData[[#This Row],[RefRow]])=0,"",INDIRECT($X$24&amp;ScoreData[[#This Row],[Jammer]]&amp;ScoreData[[#This Row],[RefRow]]))</f>
        <v>4</v>
      </c>
      <c r="G81" s="1219" t="str">
        <f ca="1">IF(INDIRECT($X$24&amp;ScoreData[[#This Row],[Lead]]&amp;ScoreData[[#This Row],[RefRow]])="X","YES","NO")</f>
        <v>YES</v>
      </c>
      <c r="H81" s="1219" t="str">
        <f ca="1">IF(INDIRECT($X$24&amp;ScoreData[[#This Row],[Call]]&amp;ScoreData[[#This Row],[RefRow]])="X","YES","NO")</f>
        <v>YES</v>
      </c>
      <c r="I81" s="1219">
        <f ca="1">INDIRECT($X$24&amp;ScoreData[[#This Row],[Pass]]&amp;ScoreData[[#This Row],[RefRow]])</f>
        <v>2</v>
      </c>
      <c r="J81" s="1219">
        <f ca="1">IF(INDIRECT($X$24&amp;ScoreData[[#This Row],[Point]]&amp;ScoreData[[#This Row],[RefRow]])=0,"",INDIRECT($X$24&amp;ScoreData[[#This Row],[Point]]&amp;ScoreData[[#This Row],[RefRow]]))</f>
        <v>4</v>
      </c>
      <c r="K81" s="1219" t="b">
        <f ca="1">IF(OR(INDIRECT($X$24&amp;ScoreData[[#This Row],[Jam]]&amp;ScoreData[[#This Row],[RefRow]])="SP",INDIRECT($X$24&amp;ScoreData[[#This Row],[Jam]]&amp;ScoreData[[#This Row],[RefRow]])="SP*"),TRUE,FALSE)</f>
        <v>0</v>
      </c>
      <c r="L81" s="1219" t="b">
        <v>1</v>
      </c>
      <c r="M81" s="1219" t="str">
        <f t="array" ref="M81">IFERROR(INDEX(ScoreSearch[],MATCH(ScoreData[[#This Row],[Home?]]&amp;ScoreData[[#Headers],[Jam]],ScoreSearch[Home?]&amp;ScoreSearch[Item],1),3),"")</f>
        <v>$A</v>
      </c>
      <c r="N81" s="1219" t="str">
        <f t="array" ref="N81">IFERROR(INDEX(ScoreSearch[],MATCH(ScoreData[[#This Row],[Home?]]&amp;ScoreData[[#Headers],[Jammer]],ScoreSearch[Home?]&amp;ScoreSearch[Item],1),3),"")</f>
        <v>$B</v>
      </c>
      <c r="O81" s="1219" t="str">
        <f t="array" ref="O81">IFERROR(INDEX(ScoreSearch[],MATCH(ScoreData[[#This Row],[Home?]]&amp;ScoreData[[#Headers],[Lead]],ScoreSearch[Home?]&amp;ScoreSearch[Item],1),3),"")</f>
        <v>$D</v>
      </c>
      <c r="P81" s="1219" t="str">
        <f t="array" ref="P81">IFERROR(INDEX(ScoreSearch[],MATCH(ScoreData[[#This Row],[Home?]]&amp;ScoreData[[#Headers],[Call]],ScoreSearch[Home?]&amp;ScoreSearch[Item],1),3),"")</f>
        <v>$E</v>
      </c>
      <c r="Q81" s="1219" t="str">
        <f t="array" ref="Q81">IFERROR(INDEX(ScoreSearch[],MATCH(ScoreData[[#This Row],[Home?]]&amp;ScoreData[[#Headers],[Penalty]],ScoreSearch[Home?]&amp;ScoreSearch[Item],1),3),"")</f>
        <v>$G</v>
      </c>
      <c r="R81" s="1222" t="str">
        <f t="array" ref="R81">IFERROR(INDEX(ScoreSearch[],MATCH(ScoreData[[#This Row],[Home?]]&amp;ScoreData[[#Headers],[Point]],ScoreSearch[Home?]&amp;ScoreSearch[Item],1),3),"")</f>
        <v>$Q</v>
      </c>
      <c r="S81" s="1222" t="str">
        <f t="array" ref="S81">IFERROR(INDEX(ScoreSearch[],MATCH(ScoreData[[#This Row],[Home?]]&amp;ScoreData[[#Headers],[Pass]],ScoreSearch[Home?]&amp;ScoreSearch[Item],1),3),"")</f>
        <v>$S</v>
      </c>
      <c r="T81" s="1219">
        <v>49</v>
      </c>
    </row>
    <row r="82" spans="1:20" x14ac:dyDescent="0.25">
      <c r="A82" s="1218">
        <f>[1]IBRF!$B$5</f>
        <v>41734</v>
      </c>
      <c r="B82" s="1221">
        <f t="shared" si="3"/>
        <v>0.83333333333333337</v>
      </c>
      <c r="C82" s="1219">
        <v>2</v>
      </c>
      <c r="D82" s="1219">
        <f ca="1">IF(ScoreData[[#This Row],[Passed?]],D81,INDIRECT($X$24&amp;ScoreData[[#This Row],[Jam]]&amp;ScoreData[[#This Row],[RefRow]]))</f>
        <v>5</v>
      </c>
      <c r="E82" s="1219" t="str">
        <f t="shared" si="4"/>
        <v>Plan B</v>
      </c>
      <c r="F82" s="1219" t="str">
        <f ca="1">IF(INDIRECT($X$24&amp;ScoreData[[#This Row],[Jammer]]&amp;ScoreData[[#This Row],[RefRow]])=0,"",INDIRECT($X$24&amp;ScoreData[[#This Row],[Jammer]]&amp;ScoreData[[#This Row],[RefRow]]))</f>
        <v>19</v>
      </c>
      <c r="G82" s="1219" t="str">
        <f ca="1">IF(INDIRECT($X$24&amp;ScoreData[[#This Row],[Lead]]&amp;ScoreData[[#This Row],[RefRow]])="X","YES","NO")</f>
        <v>YES</v>
      </c>
      <c r="H82" s="1219" t="str">
        <f ca="1">IF(INDIRECT($X$24&amp;ScoreData[[#This Row],[Call]]&amp;ScoreData[[#This Row],[RefRow]])="X","YES","NO")</f>
        <v>YES</v>
      </c>
      <c r="I82" s="1219">
        <f ca="1">INDIRECT($X$24&amp;ScoreData[[#This Row],[Pass]]&amp;ScoreData[[#This Row],[RefRow]])</f>
        <v>3</v>
      </c>
      <c r="J82" s="1219">
        <f ca="1">IF(INDIRECT($X$24&amp;ScoreData[[#This Row],[Point]]&amp;ScoreData[[#This Row],[RefRow]])=0,"",INDIRECT($X$24&amp;ScoreData[[#This Row],[Point]]&amp;ScoreData[[#This Row],[RefRow]]))</f>
        <v>9</v>
      </c>
      <c r="K82" s="1219" t="b">
        <f ca="1">IF(OR(INDIRECT($X$24&amp;ScoreData[[#This Row],[Jam]]&amp;ScoreData[[#This Row],[RefRow]])="SP",INDIRECT($X$24&amp;ScoreData[[#This Row],[Jam]]&amp;ScoreData[[#This Row],[RefRow]])="SP*"),TRUE,FALSE)</f>
        <v>0</v>
      </c>
      <c r="L82" s="1219" t="b">
        <v>1</v>
      </c>
      <c r="M82" s="1219" t="str">
        <f t="array" ref="M82">IFERROR(INDEX(ScoreSearch[],MATCH(ScoreData[[#This Row],[Home?]]&amp;ScoreData[[#Headers],[Jam]],ScoreSearch[Home?]&amp;ScoreSearch[Item],1),3),"")</f>
        <v>$A</v>
      </c>
      <c r="N82" s="1219" t="str">
        <f t="array" ref="N82">IFERROR(INDEX(ScoreSearch[],MATCH(ScoreData[[#This Row],[Home?]]&amp;ScoreData[[#Headers],[Jammer]],ScoreSearch[Home?]&amp;ScoreSearch[Item],1),3),"")</f>
        <v>$B</v>
      </c>
      <c r="O82" s="1219" t="str">
        <f t="array" ref="O82">IFERROR(INDEX(ScoreSearch[],MATCH(ScoreData[[#This Row],[Home?]]&amp;ScoreData[[#Headers],[Lead]],ScoreSearch[Home?]&amp;ScoreSearch[Item],1),3),"")</f>
        <v>$D</v>
      </c>
      <c r="P82" s="1219" t="str">
        <f t="array" ref="P82">IFERROR(INDEX(ScoreSearch[],MATCH(ScoreData[[#This Row],[Home?]]&amp;ScoreData[[#Headers],[Call]],ScoreSearch[Home?]&amp;ScoreSearch[Item],1),3),"")</f>
        <v>$E</v>
      </c>
      <c r="Q82" s="1219" t="str">
        <f t="array" ref="Q82">IFERROR(INDEX(ScoreSearch[],MATCH(ScoreData[[#This Row],[Home?]]&amp;ScoreData[[#Headers],[Penalty]],ScoreSearch[Home?]&amp;ScoreSearch[Item],1),3),"")</f>
        <v>$G</v>
      </c>
      <c r="R82" s="1222" t="str">
        <f t="array" ref="R82">IFERROR(INDEX(ScoreSearch[],MATCH(ScoreData[[#This Row],[Home?]]&amp;ScoreData[[#Headers],[Point]],ScoreSearch[Home?]&amp;ScoreSearch[Item],1),3),"")</f>
        <v>$Q</v>
      </c>
      <c r="S82" s="1222" t="str">
        <f t="array" ref="S82">IFERROR(INDEX(ScoreSearch[],MATCH(ScoreData[[#This Row],[Home?]]&amp;ScoreData[[#Headers],[Pass]],ScoreSearch[Home?]&amp;ScoreSearch[Item],1),3),"")</f>
        <v>$S</v>
      </c>
      <c r="T82" s="1219">
        <v>50</v>
      </c>
    </row>
    <row r="83" spans="1:20" x14ac:dyDescent="0.25">
      <c r="A83" s="1218">
        <f>[1]IBRF!$B$5</f>
        <v>41734</v>
      </c>
      <c r="B83" s="1221">
        <f t="shared" si="3"/>
        <v>0.83333333333333337</v>
      </c>
      <c r="C83" s="1219">
        <v>2</v>
      </c>
      <c r="D83" s="1219">
        <f ca="1">IF(ScoreData[[#This Row],[Passed?]],D82,INDIRECT($X$24&amp;ScoreData[[#This Row],[Jam]]&amp;ScoreData[[#This Row],[RefRow]]))</f>
        <v>5</v>
      </c>
      <c r="E83" s="1219" t="str">
        <f t="shared" si="4"/>
        <v>Plan B</v>
      </c>
      <c r="F83" s="1219" t="str">
        <f ca="1">IF(INDIRECT($X$24&amp;ScoreData[[#This Row],[Jammer]]&amp;ScoreData[[#This Row],[RefRow]])=0,"",INDIRECT($X$24&amp;ScoreData[[#This Row],[Jammer]]&amp;ScoreData[[#This Row],[RefRow]]))</f>
        <v/>
      </c>
      <c r="G83" s="1219" t="str">
        <f ca="1">IF(INDIRECT($X$24&amp;ScoreData[[#This Row],[Lead]]&amp;ScoreData[[#This Row],[RefRow]])="X","YES","NO")</f>
        <v>NO</v>
      </c>
      <c r="H83" s="1219" t="str">
        <f ca="1">IF(INDIRECT($X$24&amp;ScoreData[[#This Row],[Call]]&amp;ScoreData[[#This Row],[RefRow]])="X","YES","NO")</f>
        <v>NO</v>
      </c>
      <c r="I83" s="1219">
        <f ca="1">INDIRECT($X$24&amp;ScoreData[[#This Row],[Pass]]&amp;ScoreData[[#This Row],[RefRow]])</f>
        <v>0</v>
      </c>
      <c r="J83" s="1219" t="str">
        <f ca="1">IF(INDIRECT($X$24&amp;ScoreData[[#This Row],[Point]]&amp;ScoreData[[#This Row],[RefRow]])=0,"",INDIRECT($X$24&amp;ScoreData[[#This Row],[Point]]&amp;ScoreData[[#This Row],[RefRow]]))</f>
        <v/>
      </c>
      <c r="K83" s="1219" t="b">
        <f ca="1">IF(OR(INDIRECT($X$24&amp;ScoreData[[#This Row],[Jam]]&amp;ScoreData[[#This Row],[RefRow]])="SP",INDIRECT($X$24&amp;ScoreData[[#This Row],[Jam]]&amp;ScoreData[[#This Row],[RefRow]])="SP*"),TRUE,FALSE)</f>
        <v>1</v>
      </c>
      <c r="L83" s="1219" t="b">
        <v>1</v>
      </c>
      <c r="M83" s="1219" t="str">
        <f t="array" ref="M83">IFERROR(INDEX(ScoreSearch[],MATCH(ScoreData[[#This Row],[Home?]]&amp;ScoreData[[#Headers],[Jam]],ScoreSearch[Home?]&amp;ScoreSearch[Item],1),3),"")</f>
        <v>$A</v>
      </c>
      <c r="N83" s="1219" t="str">
        <f t="array" ref="N83">IFERROR(INDEX(ScoreSearch[],MATCH(ScoreData[[#This Row],[Home?]]&amp;ScoreData[[#Headers],[Jammer]],ScoreSearch[Home?]&amp;ScoreSearch[Item],1),3),"")</f>
        <v>$B</v>
      </c>
      <c r="O83" s="1219" t="str">
        <f t="array" ref="O83">IFERROR(INDEX(ScoreSearch[],MATCH(ScoreData[[#This Row],[Home?]]&amp;ScoreData[[#Headers],[Lead]],ScoreSearch[Home?]&amp;ScoreSearch[Item],1),3),"")</f>
        <v>$D</v>
      </c>
      <c r="P83" s="1219" t="str">
        <f t="array" ref="P83">IFERROR(INDEX(ScoreSearch[],MATCH(ScoreData[[#This Row],[Home?]]&amp;ScoreData[[#Headers],[Call]],ScoreSearch[Home?]&amp;ScoreSearch[Item],1),3),"")</f>
        <v>$E</v>
      </c>
      <c r="Q83" s="1219" t="str">
        <f t="array" ref="Q83">IFERROR(INDEX(ScoreSearch[],MATCH(ScoreData[[#This Row],[Home?]]&amp;ScoreData[[#Headers],[Penalty]],ScoreSearch[Home?]&amp;ScoreSearch[Item],1),3),"")</f>
        <v>$G</v>
      </c>
      <c r="R83" s="1222" t="str">
        <f t="array" ref="R83">IFERROR(INDEX(ScoreSearch[],MATCH(ScoreData[[#This Row],[Home?]]&amp;ScoreData[[#Headers],[Point]],ScoreSearch[Home?]&amp;ScoreSearch[Item],1),3),"")</f>
        <v>$Q</v>
      </c>
      <c r="S83" s="1222" t="str">
        <f t="array" ref="S83">IFERROR(INDEX(ScoreSearch[],MATCH(ScoreData[[#This Row],[Home?]]&amp;ScoreData[[#Headers],[Pass]],ScoreSearch[Home?]&amp;ScoreSearch[Item],1),3),"")</f>
        <v>$S</v>
      </c>
      <c r="T83" s="1219">
        <v>51</v>
      </c>
    </row>
    <row r="84" spans="1:20" x14ac:dyDescent="0.25">
      <c r="A84" s="1218">
        <f>[1]IBRF!$B$5</f>
        <v>41734</v>
      </c>
      <c r="B84" s="1221">
        <f t="shared" si="3"/>
        <v>0.83333333333333337</v>
      </c>
      <c r="C84" s="1219">
        <v>2</v>
      </c>
      <c r="D84" s="1219">
        <f ca="1">IF(ScoreData[[#This Row],[Passed?]],D83,INDIRECT($X$24&amp;ScoreData[[#This Row],[Jam]]&amp;ScoreData[[#This Row],[RefRow]]))</f>
        <v>6</v>
      </c>
      <c r="E84" s="1219" t="str">
        <f t="shared" si="4"/>
        <v>Plan B</v>
      </c>
      <c r="F84" s="1219" t="str">
        <f ca="1">IF(INDIRECT($X$24&amp;ScoreData[[#This Row],[Jammer]]&amp;ScoreData[[#This Row],[RefRow]])=0,"",INDIRECT($X$24&amp;ScoreData[[#This Row],[Jammer]]&amp;ScoreData[[#This Row],[RefRow]]))</f>
        <v>20</v>
      </c>
      <c r="G84" s="1219" t="str">
        <f ca="1">IF(INDIRECT($X$24&amp;ScoreData[[#This Row],[Lead]]&amp;ScoreData[[#This Row],[RefRow]])="X","YES","NO")</f>
        <v>YES</v>
      </c>
      <c r="H84" s="1219" t="str">
        <f ca="1">IF(INDIRECT($X$24&amp;ScoreData[[#This Row],[Call]]&amp;ScoreData[[#This Row],[RefRow]])="X","YES","NO")</f>
        <v>YES</v>
      </c>
      <c r="I84" s="1219">
        <f ca="1">INDIRECT($X$24&amp;ScoreData[[#This Row],[Pass]]&amp;ScoreData[[#This Row],[RefRow]])</f>
        <v>7</v>
      </c>
      <c r="J84" s="1219">
        <f ca="1">IF(INDIRECT($X$24&amp;ScoreData[[#This Row],[Point]]&amp;ScoreData[[#This Row],[RefRow]])=0,"",INDIRECT($X$24&amp;ScoreData[[#This Row],[Point]]&amp;ScoreData[[#This Row],[RefRow]]))</f>
        <v>30</v>
      </c>
      <c r="K84" s="1219" t="b">
        <f ca="1">IF(OR(INDIRECT($X$24&amp;ScoreData[[#This Row],[Jam]]&amp;ScoreData[[#This Row],[RefRow]])="SP",INDIRECT($X$24&amp;ScoreData[[#This Row],[Jam]]&amp;ScoreData[[#This Row],[RefRow]])="SP*"),TRUE,FALSE)</f>
        <v>0</v>
      </c>
      <c r="L84" s="1219" t="b">
        <v>1</v>
      </c>
      <c r="M84" s="1219" t="str">
        <f t="array" ref="M84">IFERROR(INDEX(ScoreSearch[],MATCH(ScoreData[[#This Row],[Home?]]&amp;ScoreData[[#Headers],[Jam]],ScoreSearch[Home?]&amp;ScoreSearch[Item],1),3),"")</f>
        <v>$A</v>
      </c>
      <c r="N84" s="1219" t="str">
        <f t="array" ref="N84">IFERROR(INDEX(ScoreSearch[],MATCH(ScoreData[[#This Row],[Home?]]&amp;ScoreData[[#Headers],[Jammer]],ScoreSearch[Home?]&amp;ScoreSearch[Item],1),3),"")</f>
        <v>$B</v>
      </c>
      <c r="O84" s="1219" t="str">
        <f t="array" ref="O84">IFERROR(INDEX(ScoreSearch[],MATCH(ScoreData[[#This Row],[Home?]]&amp;ScoreData[[#Headers],[Lead]],ScoreSearch[Home?]&amp;ScoreSearch[Item],1),3),"")</f>
        <v>$D</v>
      </c>
      <c r="P84" s="1219" t="str">
        <f t="array" ref="P84">IFERROR(INDEX(ScoreSearch[],MATCH(ScoreData[[#This Row],[Home?]]&amp;ScoreData[[#Headers],[Call]],ScoreSearch[Home?]&amp;ScoreSearch[Item],1),3),"")</f>
        <v>$E</v>
      </c>
      <c r="Q84" s="1219" t="str">
        <f t="array" ref="Q84">IFERROR(INDEX(ScoreSearch[],MATCH(ScoreData[[#This Row],[Home?]]&amp;ScoreData[[#Headers],[Penalty]],ScoreSearch[Home?]&amp;ScoreSearch[Item],1),3),"")</f>
        <v>$G</v>
      </c>
      <c r="R84" s="1222" t="str">
        <f t="array" ref="R84">IFERROR(INDEX(ScoreSearch[],MATCH(ScoreData[[#This Row],[Home?]]&amp;ScoreData[[#Headers],[Point]],ScoreSearch[Home?]&amp;ScoreSearch[Item],1),3),"")</f>
        <v>$Q</v>
      </c>
      <c r="S84" s="1222" t="str">
        <f t="array" ref="S84">IFERROR(INDEX(ScoreSearch[],MATCH(ScoreData[[#This Row],[Home?]]&amp;ScoreData[[#Headers],[Pass]],ScoreSearch[Home?]&amp;ScoreSearch[Item],1),3),"")</f>
        <v>$S</v>
      </c>
      <c r="T84" s="1219">
        <v>52</v>
      </c>
    </row>
    <row r="85" spans="1:20" x14ac:dyDescent="0.25">
      <c r="A85" s="1218">
        <f>[1]IBRF!$B$5</f>
        <v>41734</v>
      </c>
      <c r="B85" s="1221">
        <f t="shared" si="3"/>
        <v>0.83333333333333337</v>
      </c>
      <c r="C85" s="1219">
        <v>2</v>
      </c>
      <c r="D85" s="1219">
        <f ca="1">IF(ScoreData[[#This Row],[Passed?]],D84,INDIRECT($X$24&amp;ScoreData[[#This Row],[Jam]]&amp;ScoreData[[#This Row],[RefRow]]))</f>
        <v>6</v>
      </c>
      <c r="E85" s="1219" t="str">
        <f t="shared" si="4"/>
        <v>Plan B</v>
      </c>
      <c r="F85" s="1219" t="str">
        <f ca="1">IF(INDIRECT($X$24&amp;ScoreData[[#This Row],[Jammer]]&amp;ScoreData[[#This Row],[RefRow]])=0,"",INDIRECT($X$24&amp;ScoreData[[#This Row],[Jammer]]&amp;ScoreData[[#This Row],[RefRow]]))</f>
        <v/>
      </c>
      <c r="G85" s="1219" t="str">
        <f ca="1">IF(INDIRECT($X$24&amp;ScoreData[[#This Row],[Lead]]&amp;ScoreData[[#This Row],[RefRow]])="X","YES","NO")</f>
        <v>NO</v>
      </c>
      <c r="H85" s="1219" t="str">
        <f ca="1">IF(INDIRECT($X$24&amp;ScoreData[[#This Row],[Call]]&amp;ScoreData[[#This Row],[RefRow]])="X","YES","NO")</f>
        <v>NO</v>
      </c>
      <c r="I85" s="1219">
        <f ca="1">INDIRECT($X$24&amp;ScoreData[[#This Row],[Pass]]&amp;ScoreData[[#This Row],[RefRow]])</f>
        <v>0</v>
      </c>
      <c r="J85" s="1219" t="str">
        <f ca="1">IF(INDIRECT($X$24&amp;ScoreData[[#This Row],[Point]]&amp;ScoreData[[#This Row],[RefRow]])=0,"",INDIRECT($X$24&amp;ScoreData[[#This Row],[Point]]&amp;ScoreData[[#This Row],[RefRow]]))</f>
        <v/>
      </c>
      <c r="K85" s="1219" t="b">
        <f ca="1">IF(OR(INDIRECT($X$24&amp;ScoreData[[#This Row],[Jam]]&amp;ScoreData[[#This Row],[RefRow]])="SP",INDIRECT($X$24&amp;ScoreData[[#This Row],[Jam]]&amp;ScoreData[[#This Row],[RefRow]])="SP*"),TRUE,FALSE)</f>
        <v>1</v>
      </c>
      <c r="L85" s="1219" t="b">
        <v>1</v>
      </c>
      <c r="M85" s="1219" t="str">
        <f t="array" ref="M85">IFERROR(INDEX(ScoreSearch[],MATCH(ScoreData[[#This Row],[Home?]]&amp;ScoreData[[#Headers],[Jam]],ScoreSearch[Home?]&amp;ScoreSearch[Item],1),3),"")</f>
        <v>$A</v>
      </c>
      <c r="N85" s="1219" t="str">
        <f t="array" ref="N85">IFERROR(INDEX(ScoreSearch[],MATCH(ScoreData[[#This Row],[Home?]]&amp;ScoreData[[#Headers],[Jammer]],ScoreSearch[Home?]&amp;ScoreSearch[Item],1),3),"")</f>
        <v>$B</v>
      </c>
      <c r="O85" s="1219" t="str">
        <f t="array" ref="O85">IFERROR(INDEX(ScoreSearch[],MATCH(ScoreData[[#This Row],[Home?]]&amp;ScoreData[[#Headers],[Lead]],ScoreSearch[Home?]&amp;ScoreSearch[Item],1),3),"")</f>
        <v>$D</v>
      </c>
      <c r="P85" s="1219" t="str">
        <f t="array" ref="P85">IFERROR(INDEX(ScoreSearch[],MATCH(ScoreData[[#This Row],[Home?]]&amp;ScoreData[[#Headers],[Call]],ScoreSearch[Home?]&amp;ScoreSearch[Item],1),3),"")</f>
        <v>$E</v>
      </c>
      <c r="Q85" s="1219" t="str">
        <f t="array" ref="Q85">IFERROR(INDEX(ScoreSearch[],MATCH(ScoreData[[#This Row],[Home?]]&amp;ScoreData[[#Headers],[Penalty]],ScoreSearch[Home?]&amp;ScoreSearch[Item],1),3),"")</f>
        <v>$G</v>
      </c>
      <c r="R85" s="1222" t="str">
        <f t="array" ref="R85">IFERROR(INDEX(ScoreSearch[],MATCH(ScoreData[[#This Row],[Home?]]&amp;ScoreData[[#Headers],[Point]],ScoreSearch[Home?]&amp;ScoreSearch[Item],1),3),"")</f>
        <v>$Q</v>
      </c>
      <c r="S85" s="1222" t="str">
        <f t="array" ref="S85">IFERROR(INDEX(ScoreSearch[],MATCH(ScoreData[[#This Row],[Home?]]&amp;ScoreData[[#Headers],[Pass]],ScoreSearch[Home?]&amp;ScoreSearch[Item],1),3),"")</f>
        <v>$S</v>
      </c>
      <c r="T85" s="1219">
        <v>53</v>
      </c>
    </row>
    <row r="86" spans="1:20" x14ac:dyDescent="0.25">
      <c r="A86" s="1218">
        <f>[1]IBRF!$B$5</f>
        <v>41734</v>
      </c>
      <c r="B86" s="1221">
        <f t="shared" si="3"/>
        <v>0.83333333333333337</v>
      </c>
      <c r="C86" s="1219">
        <v>2</v>
      </c>
      <c r="D86" s="1219">
        <f ca="1">IF(ScoreData[[#This Row],[Passed?]],D85,INDIRECT($X$24&amp;ScoreData[[#This Row],[Jam]]&amp;ScoreData[[#This Row],[RefRow]]))</f>
        <v>7</v>
      </c>
      <c r="E86" s="1219" t="str">
        <f t="shared" si="4"/>
        <v>Plan B</v>
      </c>
      <c r="F86" s="1219" t="str">
        <f ca="1">IF(INDIRECT($X$24&amp;ScoreData[[#This Row],[Jammer]]&amp;ScoreData[[#This Row],[RefRow]])=0,"",INDIRECT($X$24&amp;ScoreData[[#This Row],[Jammer]]&amp;ScoreData[[#This Row],[RefRow]]))</f>
        <v>84</v>
      </c>
      <c r="G86" s="1219" t="str">
        <f ca="1">IF(INDIRECT($X$24&amp;ScoreData[[#This Row],[Lead]]&amp;ScoreData[[#This Row],[RefRow]])="X","YES","NO")</f>
        <v>YES</v>
      </c>
      <c r="H86" s="1219" t="str">
        <f ca="1">IF(INDIRECT($X$24&amp;ScoreData[[#This Row],[Call]]&amp;ScoreData[[#This Row],[RefRow]])="X","YES","NO")</f>
        <v>YES</v>
      </c>
      <c r="I86" s="1219">
        <f ca="1">INDIRECT($X$24&amp;ScoreData[[#This Row],[Pass]]&amp;ScoreData[[#This Row],[RefRow]])</f>
        <v>2</v>
      </c>
      <c r="J86" s="1219">
        <f ca="1">IF(INDIRECT($X$24&amp;ScoreData[[#This Row],[Point]]&amp;ScoreData[[#This Row],[RefRow]])=0,"",INDIRECT($X$24&amp;ScoreData[[#This Row],[Point]]&amp;ScoreData[[#This Row],[RefRow]]))</f>
        <v>4</v>
      </c>
      <c r="K86" s="1219" t="b">
        <f ca="1">IF(OR(INDIRECT($X$24&amp;ScoreData[[#This Row],[Jam]]&amp;ScoreData[[#This Row],[RefRow]])="SP",INDIRECT($X$24&amp;ScoreData[[#This Row],[Jam]]&amp;ScoreData[[#This Row],[RefRow]])="SP*"),TRUE,FALSE)</f>
        <v>0</v>
      </c>
      <c r="L86" s="1219" t="b">
        <v>1</v>
      </c>
      <c r="M86" s="1219" t="str">
        <f t="array" ref="M86">IFERROR(INDEX(ScoreSearch[],MATCH(ScoreData[[#This Row],[Home?]]&amp;ScoreData[[#Headers],[Jam]],ScoreSearch[Home?]&amp;ScoreSearch[Item],1),3),"")</f>
        <v>$A</v>
      </c>
      <c r="N86" s="1219" t="str">
        <f t="array" ref="N86">IFERROR(INDEX(ScoreSearch[],MATCH(ScoreData[[#This Row],[Home?]]&amp;ScoreData[[#Headers],[Jammer]],ScoreSearch[Home?]&amp;ScoreSearch[Item],1),3),"")</f>
        <v>$B</v>
      </c>
      <c r="O86" s="1219" t="str">
        <f t="array" ref="O86">IFERROR(INDEX(ScoreSearch[],MATCH(ScoreData[[#This Row],[Home?]]&amp;ScoreData[[#Headers],[Lead]],ScoreSearch[Home?]&amp;ScoreSearch[Item],1),3),"")</f>
        <v>$D</v>
      </c>
      <c r="P86" s="1219" t="str">
        <f t="array" ref="P86">IFERROR(INDEX(ScoreSearch[],MATCH(ScoreData[[#This Row],[Home?]]&amp;ScoreData[[#Headers],[Call]],ScoreSearch[Home?]&amp;ScoreSearch[Item],1),3),"")</f>
        <v>$E</v>
      </c>
      <c r="Q86" s="1219" t="str">
        <f t="array" ref="Q86">IFERROR(INDEX(ScoreSearch[],MATCH(ScoreData[[#This Row],[Home?]]&amp;ScoreData[[#Headers],[Penalty]],ScoreSearch[Home?]&amp;ScoreSearch[Item],1),3),"")</f>
        <v>$G</v>
      </c>
      <c r="R86" s="1222" t="str">
        <f t="array" ref="R86">IFERROR(INDEX(ScoreSearch[],MATCH(ScoreData[[#This Row],[Home?]]&amp;ScoreData[[#Headers],[Point]],ScoreSearch[Home?]&amp;ScoreSearch[Item],1),3),"")</f>
        <v>$Q</v>
      </c>
      <c r="S86" s="1222" t="str">
        <f t="array" ref="S86">IFERROR(INDEX(ScoreSearch[],MATCH(ScoreData[[#This Row],[Home?]]&amp;ScoreData[[#Headers],[Pass]],ScoreSearch[Home?]&amp;ScoreSearch[Item],1),3),"")</f>
        <v>$S</v>
      </c>
      <c r="T86" s="1219">
        <v>54</v>
      </c>
    </row>
    <row r="87" spans="1:20" x14ac:dyDescent="0.25">
      <c r="A87" s="1218">
        <f>[1]IBRF!$B$5</f>
        <v>41734</v>
      </c>
      <c r="B87" s="1221">
        <f t="shared" si="3"/>
        <v>0.83333333333333337</v>
      </c>
      <c r="C87" s="1219">
        <v>2</v>
      </c>
      <c r="D87" s="1219">
        <f ca="1">IF(ScoreData[[#This Row],[Passed?]],D86,INDIRECT($X$24&amp;ScoreData[[#This Row],[Jam]]&amp;ScoreData[[#This Row],[RefRow]]))</f>
        <v>7</v>
      </c>
      <c r="E87" s="1219" t="str">
        <f t="shared" si="4"/>
        <v>Plan B</v>
      </c>
      <c r="F87" s="1219" t="str">
        <f ca="1">IF(INDIRECT($X$24&amp;ScoreData[[#This Row],[Jammer]]&amp;ScoreData[[#This Row],[RefRow]])=0,"",INDIRECT($X$24&amp;ScoreData[[#This Row],[Jammer]]&amp;ScoreData[[#This Row],[RefRow]]))</f>
        <v/>
      </c>
      <c r="G87" s="1219" t="str">
        <f ca="1">IF(INDIRECT($X$24&amp;ScoreData[[#This Row],[Lead]]&amp;ScoreData[[#This Row],[RefRow]])="X","YES","NO")</f>
        <v>NO</v>
      </c>
      <c r="H87" s="1219" t="str">
        <f ca="1">IF(INDIRECT($X$24&amp;ScoreData[[#This Row],[Call]]&amp;ScoreData[[#This Row],[RefRow]])="X","YES","NO")</f>
        <v>NO</v>
      </c>
      <c r="I87" s="1219">
        <f ca="1">INDIRECT($X$24&amp;ScoreData[[#This Row],[Pass]]&amp;ScoreData[[#This Row],[RefRow]])</f>
        <v>0</v>
      </c>
      <c r="J87" s="1219" t="str">
        <f ca="1">IF(INDIRECT($X$24&amp;ScoreData[[#This Row],[Point]]&amp;ScoreData[[#This Row],[RefRow]])=0,"",INDIRECT($X$24&amp;ScoreData[[#This Row],[Point]]&amp;ScoreData[[#This Row],[RefRow]]))</f>
        <v/>
      </c>
      <c r="K87" s="1219" t="b">
        <f ca="1">IF(OR(INDIRECT($X$24&amp;ScoreData[[#This Row],[Jam]]&amp;ScoreData[[#This Row],[RefRow]])="SP",INDIRECT($X$24&amp;ScoreData[[#This Row],[Jam]]&amp;ScoreData[[#This Row],[RefRow]])="SP*"),TRUE,FALSE)</f>
        <v>1</v>
      </c>
      <c r="L87" s="1219" t="b">
        <v>1</v>
      </c>
      <c r="M87" s="1219" t="str">
        <f t="array" ref="M87">IFERROR(INDEX(ScoreSearch[],MATCH(ScoreData[[#This Row],[Home?]]&amp;ScoreData[[#Headers],[Jam]],ScoreSearch[Home?]&amp;ScoreSearch[Item],1),3),"")</f>
        <v>$A</v>
      </c>
      <c r="N87" s="1219" t="str">
        <f t="array" ref="N87">IFERROR(INDEX(ScoreSearch[],MATCH(ScoreData[[#This Row],[Home?]]&amp;ScoreData[[#Headers],[Jammer]],ScoreSearch[Home?]&amp;ScoreSearch[Item],1),3),"")</f>
        <v>$B</v>
      </c>
      <c r="O87" s="1219" t="str">
        <f t="array" ref="O87">IFERROR(INDEX(ScoreSearch[],MATCH(ScoreData[[#This Row],[Home?]]&amp;ScoreData[[#Headers],[Lead]],ScoreSearch[Home?]&amp;ScoreSearch[Item],1),3),"")</f>
        <v>$D</v>
      </c>
      <c r="P87" s="1219" t="str">
        <f t="array" ref="P87">IFERROR(INDEX(ScoreSearch[],MATCH(ScoreData[[#This Row],[Home?]]&amp;ScoreData[[#Headers],[Call]],ScoreSearch[Home?]&amp;ScoreSearch[Item],1),3),"")</f>
        <v>$E</v>
      </c>
      <c r="Q87" s="1219" t="str">
        <f t="array" ref="Q87">IFERROR(INDEX(ScoreSearch[],MATCH(ScoreData[[#This Row],[Home?]]&amp;ScoreData[[#Headers],[Penalty]],ScoreSearch[Home?]&amp;ScoreSearch[Item],1),3),"")</f>
        <v>$G</v>
      </c>
      <c r="R87" s="1222" t="str">
        <f t="array" ref="R87">IFERROR(INDEX(ScoreSearch[],MATCH(ScoreData[[#This Row],[Home?]]&amp;ScoreData[[#Headers],[Point]],ScoreSearch[Home?]&amp;ScoreSearch[Item],1),3),"")</f>
        <v>$Q</v>
      </c>
      <c r="S87" s="1222" t="str">
        <f t="array" ref="S87">IFERROR(INDEX(ScoreSearch[],MATCH(ScoreData[[#This Row],[Home?]]&amp;ScoreData[[#Headers],[Pass]],ScoreSearch[Home?]&amp;ScoreSearch[Item],1),3),"")</f>
        <v>$S</v>
      </c>
      <c r="T87" s="1219">
        <v>55</v>
      </c>
    </row>
    <row r="88" spans="1:20" x14ac:dyDescent="0.25">
      <c r="A88" s="1218">
        <f>[1]IBRF!$B$5</f>
        <v>41734</v>
      </c>
      <c r="B88" s="1221">
        <f t="shared" si="3"/>
        <v>0.83333333333333337</v>
      </c>
      <c r="C88" s="1219">
        <v>2</v>
      </c>
      <c r="D88" s="1219">
        <f ca="1">IF(ScoreData[[#This Row],[Passed?]],D87,INDIRECT($X$24&amp;ScoreData[[#This Row],[Jam]]&amp;ScoreData[[#This Row],[RefRow]]))</f>
        <v>8</v>
      </c>
      <c r="E88" s="1219" t="str">
        <f t="shared" si="4"/>
        <v>Plan B</v>
      </c>
      <c r="F88" s="1219" t="str">
        <f ca="1">IF(INDIRECT($X$24&amp;ScoreData[[#This Row],[Jammer]]&amp;ScoreData[[#This Row],[RefRow]])=0,"",INDIRECT($X$24&amp;ScoreData[[#This Row],[Jammer]]&amp;ScoreData[[#This Row],[RefRow]]))</f>
        <v>4</v>
      </c>
      <c r="G88" s="1219" t="str">
        <f ca="1">IF(INDIRECT($X$24&amp;ScoreData[[#This Row],[Lead]]&amp;ScoreData[[#This Row],[RefRow]])="X","YES","NO")</f>
        <v>NO</v>
      </c>
      <c r="H88" s="1219" t="str">
        <f ca="1">IF(INDIRECT($X$24&amp;ScoreData[[#This Row],[Call]]&amp;ScoreData[[#This Row],[RefRow]])="X","YES","NO")</f>
        <v>NO</v>
      </c>
      <c r="I88" s="1219">
        <f ca="1">INDIRECT($X$24&amp;ScoreData[[#This Row],[Pass]]&amp;ScoreData[[#This Row],[RefRow]])</f>
        <v>2</v>
      </c>
      <c r="J88" s="1219">
        <f ca="1">IF(INDIRECT($X$24&amp;ScoreData[[#This Row],[Point]]&amp;ScoreData[[#This Row],[RefRow]])=0,"",INDIRECT($X$24&amp;ScoreData[[#This Row],[Point]]&amp;ScoreData[[#This Row],[RefRow]]))</f>
        <v>4</v>
      </c>
      <c r="K88" s="1219" t="b">
        <f ca="1">IF(OR(INDIRECT($X$24&amp;ScoreData[[#This Row],[Jam]]&amp;ScoreData[[#This Row],[RefRow]])="SP",INDIRECT($X$24&amp;ScoreData[[#This Row],[Jam]]&amp;ScoreData[[#This Row],[RefRow]])="SP*"),TRUE,FALSE)</f>
        <v>0</v>
      </c>
      <c r="L88" s="1219" t="b">
        <v>1</v>
      </c>
      <c r="M88" s="1219" t="str">
        <f t="array" ref="M88">IFERROR(INDEX(ScoreSearch[],MATCH(ScoreData[[#This Row],[Home?]]&amp;ScoreData[[#Headers],[Jam]],ScoreSearch[Home?]&amp;ScoreSearch[Item],1),3),"")</f>
        <v>$A</v>
      </c>
      <c r="N88" s="1219" t="str">
        <f t="array" ref="N88">IFERROR(INDEX(ScoreSearch[],MATCH(ScoreData[[#This Row],[Home?]]&amp;ScoreData[[#Headers],[Jammer]],ScoreSearch[Home?]&amp;ScoreSearch[Item],1),3),"")</f>
        <v>$B</v>
      </c>
      <c r="O88" s="1219" t="str">
        <f t="array" ref="O88">IFERROR(INDEX(ScoreSearch[],MATCH(ScoreData[[#This Row],[Home?]]&amp;ScoreData[[#Headers],[Lead]],ScoreSearch[Home?]&amp;ScoreSearch[Item],1),3),"")</f>
        <v>$D</v>
      </c>
      <c r="P88" s="1219" t="str">
        <f t="array" ref="P88">IFERROR(INDEX(ScoreSearch[],MATCH(ScoreData[[#This Row],[Home?]]&amp;ScoreData[[#Headers],[Call]],ScoreSearch[Home?]&amp;ScoreSearch[Item],1),3),"")</f>
        <v>$E</v>
      </c>
      <c r="Q88" s="1219" t="str">
        <f t="array" ref="Q88">IFERROR(INDEX(ScoreSearch[],MATCH(ScoreData[[#This Row],[Home?]]&amp;ScoreData[[#Headers],[Penalty]],ScoreSearch[Home?]&amp;ScoreSearch[Item],1),3),"")</f>
        <v>$G</v>
      </c>
      <c r="R88" s="1222" t="str">
        <f t="array" ref="R88">IFERROR(INDEX(ScoreSearch[],MATCH(ScoreData[[#This Row],[Home?]]&amp;ScoreData[[#Headers],[Point]],ScoreSearch[Home?]&amp;ScoreSearch[Item],1),3),"")</f>
        <v>$Q</v>
      </c>
      <c r="S88" s="1222" t="str">
        <f t="array" ref="S88">IFERROR(INDEX(ScoreSearch[],MATCH(ScoreData[[#This Row],[Home?]]&amp;ScoreData[[#Headers],[Pass]],ScoreSearch[Home?]&amp;ScoreSearch[Item],1),3),"")</f>
        <v>$S</v>
      </c>
      <c r="T88" s="1219">
        <v>56</v>
      </c>
    </row>
    <row r="89" spans="1:20" x14ac:dyDescent="0.25">
      <c r="A89" s="1218">
        <f>[1]IBRF!$B$5</f>
        <v>41734</v>
      </c>
      <c r="B89" s="1221">
        <f t="shared" si="3"/>
        <v>0.83333333333333337</v>
      </c>
      <c r="C89" s="1219">
        <v>2</v>
      </c>
      <c r="D89" s="1219">
        <f ca="1">IF(ScoreData[[#This Row],[Passed?]],D88,INDIRECT($X$24&amp;ScoreData[[#This Row],[Jam]]&amp;ScoreData[[#This Row],[RefRow]]))</f>
        <v>9</v>
      </c>
      <c r="E89" s="1219" t="str">
        <f t="shared" si="4"/>
        <v>Plan B</v>
      </c>
      <c r="F89" s="1219" t="str">
        <f ca="1">IF(INDIRECT($X$24&amp;ScoreData[[#This Row],[Jammer]]&amp;ScoreData[[#This Row],[RefRow]])=0,"",INDIRECT($X$24&amp;ScoreData[[#This Row],[Jammer]]&amp;ScoreData[[#This Row],[RefRow]]))</f>
        <v>19</v>
      </c>
      <c r="G89" s="1219" t="str">
        <f ca="1">IF(INDIRECT($X$24&amp;ScoreData[[#This Row],[Lead]]&amp;ScoreData[[#This Row],[RefRow]])="X","YES","NO")</f>
        <v>NO</v>
      </c>
      <c r="H89" s="1219" t="str">
        <f ca="1">IF(INDIRECT($X$24&amp;ScoreData[[#This Row],[Call]]&amp;ScoreData[[#This Row],[RefRow]])="X","YES","NO")</f>
        <v>NO</v>
      </c>
      <c r="I89" s="1219">
        <f ca="1">INDIRECT($X$24&amp;ScoreData[[#This Row],[Pass]]&amp;ScoreData[[#This Row],[RefRow]])</f>
        <v>2</v>
      </c>
      <c r="J89" s="1219">
        <f ca="1">IF(INDIRECT($X$24&amp;ScoreData[[#This Row],[Point]]&amp;ScoreData[[#This Row],[RefRow]])=0,"",INDIRECT($X$24&amp;ScoreData[[#This Row],[Point]]&amp;ScoreData[[#This Row],[RefRow]]))</f>
        <v>4</v>
      </c>
      <c r="K89" s="1219" t="b">
        <f ca="1">IF(OR(INDIRECT($X$24&amp;ScoreData[[#This Row],[Jam]]&amp;ScoreData[[#This Row],[RefRow]])="SP",INDIRECT($X$24&amp;ScoreData[[#This Row],[Jam]]&amp;ScoreData[[#This Row],[RefRow]])="SP*"),TRUE,FALSE)</f>
        <v>0</v>
      </c>
      <c r="L89" s="1219" t="b">
        <v>1</v>
      </c>
      <c r="M89" s="1219" t="str">
        <f t="array" ref="M89">IFERROR(INDEX(ScoreSearch[],MATCH(ScoreData[[#This Row],[Home?]]&amp;ScoreData[[#Headers],[Jam]],ScoreSearch[Home?]&amp;ScoreSearch[Item],1),3),"")</f>
        <v>$A</v>
      </c>
      <c r="N89" s="1219" t="str">
        <f t="array" ref="N89">IFERROR(INDEX(ScoreSearch[],MATCH(ScoreData[[#This Row],[Home?]]&amp;ScoreData[[#Headers],[Jammer]],ScoreSearch[Home?]&amp;ScoreSearch[Item],1),3),"")</f>
        <v>$B</v>
      </c>
      <c r="O89" s="1219" t="str">
        <f t="array" ref="O89">IFERROR(INDEX(ScoreSearch[],MATCH(ScoreData[[#This Row],[Home?]]&amp;ScoreData[[#Headers],[Lead]],ScoreSearch[Home?]&amp;ScoreSearch[Item],1),3),"")</f>
        <v>$D</v>
      </c>
      <c r="P89" s="1219" t="str">
        <f t="array" ref="P89">IFERROR(INDEX(ScoreSearch[],MATCH(ScoreData[[#This Row],[Home?]]&amp;ScoreData[[#Headers],[Call]],ScoreSearch[Home?]&amp;ScoreSearch[Item],1),3),"")</f>
        <v>$E</v>
      </c>
      <c r="Q89" s="1219" t="str">
        <f t="array" ref="Q89">IFERROR(INDEX(ScoreSearch[],MATCH(ScoreData[[#This Row],[Home?]]&amp;ScoreData[[#Headers],[Penalty]],ScoreSearch[Home?]&amp;ScoreSearch[Item],1),3),"")</f>
        <v>$G</v>
      </c>
      <c r="R89" s="1222" t="str">
        <f t="array" ref="R89">IFERROR(INDEX(ScoreSearch[],MATCH(ScoreData[[#This Row],[Home?]]&amp;ScoreData[[#Headers],[Point]],ScoreSearch[Home?]&amp;ScoreSearch[Item],1),3),"")</f>
        <v>$Q</v>
      </c>
      <c r="S89" s="1222" t="str">
        <f t="array" ref="S89">IFERROR(INDEX(ScoreSearch[],MATCH(ScoreData[[#This Row],[Home?]]&amp;ScoreData[[#Headers],[Pass]],ScoreSearch[Home?]&amp;ScoreSearch[Item],1),3),"")</f>
        <v>$S</v>
      </c>
      <c r="T89" s="1219">
        <v>57</v>
      </c>
    </row>
    <row r="90" spans="1:20" x14ac:dyDescent="0.25">
      <c r="A90" s="1218">
        <f>[1]IBRF!$B$5</f>
        <v>41734</v>
      </c>
      <c r="B90" s="1221">
        <f t="shared" si="3"/>
        <v>0.83333333333333337</v>
      </c>
      <c r="C90" s="1219">
        <v>2</v>
      </c>
      <c r="D90" s="1219">
        <f ca="1">IF(ScoreData[[#This Row],[Passed?]],D89,INDIRECT($X$24&amp;ScoreData[[#This Row],[Jam]]&amp;ScoreData[[#This Row],[RefRow]]))</f>
        <v>10</v>
      </c>
      <c r="E90" s="1219" t="str">
        <f t="shared" si="4"/>
        <v>Plan B</v>
      </c>
      <c r="F90" s="1219" t="str">
        <f ca="1">IF(INDIRECT($X$24&amp;ScoreData[[#This Row],[Jammer]]&amp;ScoreData[[#This Row],[RefRow]])=0,"",INDIRECT($X$24&amp;ScoreData[[#This Row],[Jammer]]&amp;ScoreData[[#This Row],[RefRow]]))</f>
        <v>20</v>
      </c>
      <c r="G90" s="1219" t="str">
        <f ca="1">IF(INDIRECT($X$24&amp;ScoreData[[#This Row],[Lead]]&amp;ScoreData[[#This Row],[RefRow]])="X","YES","NO")</f>
        <v>NO</v>
      </c>
      <c r="H90" s="1219" t="str">
        <f ca="1">IF(INDIRECT($X$24&amp;ScoreData[[#This Row],[Call]]&amp;ScoreData[[#This Row],[RefRow]])="X","YES","NO")</f>
        <v>NO</v>
      </c>
      <c r="I90" s="1219">
        <f ca="1">INDIRECT($X$24&amp;ScoreData[[#This Row],[Pass]]&amp;ScoreData[[#This Row],[RefRow]])</f>
        <v>1</v>
      </c>
      <c r="J90" s="1219" t="str">
        <f ca="1">IF(INDIRECT($X$24&amp;ScoreData[[#This Row],[Point]]&amp;ScoreData[[#This Row],[RefRow]])=0,"",INDIRECT($X$24&amp;ScoreData[[#This Row],[Point]]&amp;ScoreData[[#This Row],[RefRow]]))</f>
        <v/>
      </c>
      <c r="K90" s="1219" t="b">
        <f ca="1">IF(OR(INDIRECT($X$24&amp;ScoreData[[#This Row],[Jam]]&amp;ScoreData[[#This Row],[RefRow]])="SP",INDIRECT($X$24&amp;ScoreData[[#This Row],[Jam]]&amp;ScoreData[[#This Row],[RefRow]])="SP*"),TRUE,FALSE)</f>
        <v>0</v>
      </c>
      <c r="L90" s="1219" t="b">
        <v>1</v>
      </c>
      <c r="M90" s="1219" t="str">
        <f t="array" ref="M90">IFERROR(INDEX(ScoreSearch[],MATCH(ScoreData[[#This Row],[Home?]]&amp;ScoreData[[#Headers],[Jam]],ScoreSearch[Home?]&amp;ScoreSearch[Item],1),3),"")</f>
        <v>$A</v>
      </c>
      <c r="N90" s="1219" t="str">
        <f t="array" ref="N90">IFERROR(INDEX(ScoreSearch[],MATCH(ScoreData[[#This Row],[Home?]]&amp;ScoreData[[#Headers],[Jammer]],ScoreSearch[Home?]&amp;ScoreSearch[Item],1),3),"")</f>
        <v>$B</v>
      </c>
      <c r="O90" s="1219" t="str">
        <f t="array" ref="O90">IFERROR(INDEX(ScoreSearch[],MATCH(ScoreData[[#This Row],[Home?]]&amp;ScoreData[[#Headers],[Lead]],ScoreSearch[Home?]&amp;ScoreSearch[Item],1),3),"")</f>
        <v>$D</v>
      </c>
      <c r="P90" s="1219" t="str">
        <f t="array" ref="P90">IFERROR(INDEX(ScoreSearch[],MATCH(ScoreData[[#This Row],[Home?]]&amp;ScoreData[[#Headers],[Call]],ScoreSearch[Home?]&amp;ScoreSearch[Item],1),3),"")</f>
        <v>$E</v>
      </c>
      <c r="Q90" s="1219" t="str">
        <f t="array" ref="Q90">IFERROR(INDEX(ScoreSearch[],MATCH(ScoreData[[#This Row],[Home?]]&amp;ScoreData[[#Headers],[Penalty]],ScoreSearch[Home?]&amp;ScoreSearch[Item],1),3),"")</f>
        <v>$G</v>
      </c>
      <c r="R90" s="1222" t="str">
        <f t="array" ref="R90">IFERROR(INDEX(ScoreSearch[],MATCH(ScoreData[[#This Row],[Home?]]&amp;ScoreData[[#Headers],[Point]],ScoreSearch[Home?]&amp;ScoreSearch[Item],1),3),"")</f>
        <v>$Q</v>
      </c>
      <c r="S90" s="1222" t="str">
        <f t="array" ref="S90">IFERROR(INDEX(ScoreSearch[],MATCH(ScoreData[[#This Row],[Home?]]&amp;ScoreData[[#Headers],[Pass]],ScoreSearch[Home?]&amp;ScoreSearch[Item],1),3),"")</f>
        <v>$S</v>
      </c>
      <c r="T90" s="1219">
        <v>58</v>
      </c>
    </row>
    <row r="91" spans="1:20" x14ac:dyDescent="0.25">
      <c r="A91" s="1218">
        <f>[1]IBRF!$B$5</f>
        <v>41734</v>
      </c>
      <c r="B91" s="1221">
        <f t="shared" si="3"/>
        <v>0.83333333333333337</v>
      </c>
      <c r="C91" s="1219">
        <v>2</v>
      </c>
      <c r="D91" s="1219">
        <f ca="1">IF(ScoreData[[#This Row],[Passed?]],D90,INDIRECT($X$24&amp;ScoreData[[#This Row],[Jam]]&amp;ScoreData[[#This Row],[RefRow]]))</f>
        <v>11</v>
      </c>
      <c r="E91" s="1219" t="str">
        <f t="shared" si="4"/>
        <v>Plan B</v>
      </c>
      <c r="F91" s="1219" t="str">
        <f ca="1">IF(INDIRECT($X$24&amp;ScoreData[[#This Row],[Jammer]]&amp;ScoreData[[#This Row],[RefRow]])=0,"",INDIRECT($X$24&amp;ScoreData[[#This Row],[Jammer]]&amp;ScoreData[[#This Row],[RefRow]]))</f>
        <v>4</v>
      </c>
      <c r="G91" s="1219" t="str">
        <f ca="1">IF(INDIRECT($X$24&amp;ScoreData[[#This Row],[Lead]]&amp;ScoreData[[#This Row],[RefRow]])="X","YES","NO")</f>
        <v>NO</v>
      </c>
      <c r="H91" s="1219" t="str">
        <f ca="1">IF(INDIRECT($X$24&amp;ScoreData[[#This Row],[Call]]&amp;ScoreData[[#This Row],[RefRow]])="X","YES","NO")</f>
        <v>NO</v>
      </c>
      <c r="I91" s="1219">
        <f ca="1">INDIRECT($X$24&amp;ScoreData[[#This Row],[Pass]]&amp;ScoreData[[#This Row],[RefRow]])</f>
        <v>2</v>
      </c>
      <c r="J91" s="1219">
        <f ca="1">IF(INDIRECT($X$24&amp;ScoreData[[#This Row],[Point]]&amp;ScoreData[[#This Row],[RefRow]])=0,"",INDIRECT($X$24&amp;ScoreData[[#This Row],[Point]]&amp;ScoreData[[#This Row],[RefRow]]))</f>
        <v>4</v>
      </c>
      <c r="K91" s="1219" t="b">
        <f ca="1">IF(OR(INDIRECT($X$24&amp;ScoreData[[#This Row],[Jam]]&amp;ScoreData[[#This Row],[RefRow]])="SP",INDIRECT($X$24&amp;ScoreData[[#This Row],[Jam]]&amp;ScoreData[[#This Row],[RefRow]])="SP*"),TRUE,FALSE)</f>
        <v>0</v>
      </c>
      <c r="L91" s="1219" t="b">
        <v>1</v>
      </c>
      <c r="M91" s="1219" t="str">
        <f t="array" ref="M91">IFERROR(INDEX(ScoreSearch[],MATCH(ScoreData[[#This Row],[Home?]]&amp;ScoreData[[#Headers],[Jam]],ScoreSearch[Home?]&amp;ScoreSearch[Item],1),3),"")</f>
        <v>$A</v>
      </c>
      <c r="N91" s="1219" t="str">
        <f t="array" ref="N91">IFERROR(INDEX(ScoreSearch[],MATCH(ScoreData[[#This Row],[Home?]]&amp;ScoreData[[#Headers],[Jammer]],ScoreSearch[Home?]&amp;ScoreSearch[Item],1),3),"")</f>
        <v>$B</v>
      </c>
      <c r="O91" s="1219" t="str">
        <f t="array" ref="O91">IFERROR(INDEX(ScoreSearch[],MATCH(ScoreData[[#This Row],[Home?]]&amp;ScoreData[[#Headers],[Lead]],ScoreSearch[Home?]&amp;ScoreSearch[Item],1),3),"")</f>
        <v>$D</v>
      </c>
      <c r="P91" s="1219" t="str">
        <f t="array" ref="P91">IFERROR(INDEX(ScoreSearch[],MATCH(ScoreData[[#This Row],[Home?]]&amp;ScoreData[[#Headers],[Call]],ScoreSearch[Home?]&amp;ScoreSearch[Item],1),3),"")</f>
        <v>$E</v>
      </c>
      <c r="Q91" s="1219" t="str">
        <f t="array" ref="Q91">IFERROR(INDEX(ScoreSearch[],MATCH(ScoreData[[#This Row],[Home?]]&amp;ScoreData[[#Headers],[Penalty]],ScoreSearch[Home?]&amp;ScoreSearch[Item],1),3),"")</f>
        <v>$G</v>
      </c>
      <c r="R91" s="1222" t="str">
        <f t="array" ref="R91">IFERROR(INDEX(ScoreSearch[],MATCH(ScoreData[[#This Row],[Home?]]&amp;ScoreData[[#Headers],[Point]],ScoreSearch[Home?]&amp;ScoreSearch[Item],1),3),"")</f>
        <v>$Q</v>
      </c>
      <c r="S91" s="1222" t="str">
        <f t="array" ref="S91">IFERROR(INDEX(ScoreSearch[],MATCH(ScoreData[[#This Row],[Home?]]&amp;ScoreData[[#Headers],[Pass]],ScoreSearch[Home?]&amp;ScoreSearch[Item],1),3),"")</f>
        <v>$S</v>
      </c>
      <c r="T91" s="1219">
        <v>59</v>
      </c>
    </row>
    <row r="92" spans="1:20" x14ac:dyDescent="0.25">
      <c r="A92" s="1218">
        <f>[1]IBRF!$B$5</f>
        <v>41734</v>
      </c>
      <c r="B92" s="1221">
        <f t="shared" si="3"/>
        <v>0.83333333333333337</v>
      </c>
      <c r="C92" s="1219">
        <v>2</v>
      </c>
      <c r="D92" s="1219">
        <f ca="1">IF(ScoreData[[#This Row],[Passed?]],D91,INDIRECT($X$24&amp;ScoreData[[#This Row],[Jam]]&amp;ScoreData[[#This Row],[RefRow]]))</f>
        <v>11</v>
      </c>
      <c r="E92" s="1219" t="str">
        <f t="shared" si="4"/>
        <v>Plan B</v>
      </c>
      <c r="F92" s="1219" t="str">
        <f ca="1">IF(INDIRECT($X$24&amp;ScoreData[[#This Row],[Jammer]]&amp;ScoreData[[#This Row],[RefRow]])=0,"",INDIRECT($X$24&amp;ScoreData[[#This Row],[Jammer]]&amp;ScoreData[[#This Row],[RefRow]]))</f>
        <v/>
      </c>
      <c r="G92" s="1219" t="str">
        <f ca="1">IF(INDIRECT($X$24&amp;ScoreData[[#This Row],[Lead]]&amp;ScoreData[[#This Row],[RefRow]])="X","YES","NO")</f>
        <v>NO</v>
      </c>
      <c r="H92" s="1219" t="str">
        <f ca="1">IF(INDIRECT($X$24&amp;ScoreData[[#This Row],[Call]]&amp;ScoreData[[#This Row],[RefRow]])="X","YES","NO")</f>
        <v>NO</v>
      </c>
      <c r="I92" s="1219">
        <f ca="1">INDIRECT($X$24&amp;ScoreData[[#This Row],[Pass]]&amp;ScoreData[[#This Row],[RefRow]])</f>
        <v>0</v>
      </c>
      <c r="J92" s="1219" t="str">
        <f ca="1">IF(INDIRECT($X$24&amp;ScoreData[[#This Row],[Point]]&amp;ScoreData[[#This Row],[RefRow]])=0,"",INDIRECT($X$24&amp;ScoreData[[#This Row],[Point]]&amp;ScoreData[[#This Row],[RefRow]]))</f>
        <v/>
      </c>
      <c r="K92" s="1219" t="b">
        <f ca="1">IF(OR(INDIRECT($X$24&amp;ScoreData[[#This Row],[Jam]]&amp;ScoreData[[#This Row],[RefRow]])="SP",INDIRECT($X$24&amp;ScoreData[[#This Row],[Jam]]&amp;ScoreData[[#This Row],[RefRow]])="SP*"),TRUE,FALSE)</f>
        <v>1</v>
      </c>
      <c r="L92" s="1219" t="b">
        <v>1</v>
      </c>
      <c r="M92" s="1219" t="str">
        <f t="array" ref="M92">IFERROR(INDEX(ScoreSearch[],MATCH(ScoreData[[#This Row],[Home?]]&amp;ScoreData[[#Headers],[Jam]],ScoreSearch[Home?]&amp;ScoreSearch[Item],1),3),"")</f>
        <v>$A</v>
      </c>
      <c r="N92" s="1219" t="str">
        <f t="array" ref="N92">IFERROR(INDEX(ScoreSearch[],MATCH(ScoreData[[#This Row],[Home?]]&amp;ScoreData[[#Headers],[Jammer]],ScoreSearch[Home?]&amp;ScoreSearch[Item],1),3),"")</f>
        <v>$B</v>
      </c>
      <c r="O92" s="1219" t="str">
        <f t="array" ref="O92">IFERROR(INDEX(ScoreSearch[],MATCH(ScoreData[[#This Row],[Home?]]&amp;ScoreData[[#Headers],[Lead]],ScoreSearch[Home?]&amp;ScoreSearch[Item],1),3),"")</f>
        <v>$D</v>
      </c>
      <c r="P92" s="1219" t="str">
        <f t="array" ref="P92">IFERROR(INDEX(ScoreSearch[],MATCH(ScoreData[[#This Row],[Home?]]&amp;ScoreData[[#Headers],[Call]],ScoreSearch[Home?]&amp;ScoreSearch[Item],1),3),"")</f>
        <v>$E</v>
      </c>
      <c r="Q92" s="1219" t="str">
        <f t="array" ref="Q92">IFERROR(INDEX(ScoreSearch[],MATCH(ScoreData[[#This Row],[Home?]]&amp;ScoreData[[#Headers],[Penalty]],ScoreSearch[Home?]&amp;ScoreSearch[Item],1),3),"")</f>
        <v>$G</v>
      </c>
      <c r="R92" s="1222" t="str">
        <f t="array" ref="R92">IFERROR(INDEX(ScoreSearch[],MATCH(ScoreData[[#This Row],[Home?]]&amp;ScoreData[[#Headers],[Point]],ScoreSearch[Home?]&amp;ScoreSearch[Item],1),3),"")</f>
        <v>$Q</v>
      </c>
      <c r="S92" s="1222" t="str">
        <f t="array" ref="S92">IFERROR(INDEX(ScoreSearch[],MATCH(ScoreData[[#This Row],[Home?]]&amp;ScoreData[[#Headers],[Pass]],ScoreSearch[Home?]&amp;ScoreSearch[Item],1),3),"")</f>
        <v>$S</v>
      </c>
      <c r="T92" s="1219">
        <v>60</v>
      </c>
    </row>
    <row r="93" spans="1:20" x14ac:dyDescent="0.25">
      <c r="A93" s="1218">
        <f>[1]IBRF!$B$5</f>
        <v>41734</v>
      </c>
      <c r="B93" s="1221">
        <f t="shared" si="3"/>
        <v>0.83333333333333337</v>
      </c>
      <c r="C93" s="1219">
        <v>2</v>
      </c>
      <c r="D93" s="1219">
        <f ca="1">IF(ScoreData[[#This Row],[Passed?]],D92,INDIRECT($X$24&amp;ScoreData[[#This Row],[Jam]]&amp;ScoreData[[#This Row],[RefRow]]))</f>
        <v>12</v>
      </c>
      <c r="E93" s="1219" t="str">
        <f t="shared" si="4"/>
        <v>Plan B</v>
      </c>
      <c r="F93" s="1219" t="str">
        <f ca="1">IF(INDIRECT($X$24&amp;ScoreData[[#This Row],[Jammer]]&amp;ScoreData[[#This Row],[RefRow]])=0,"",INDIRECT($X$24&amp;ScoreData[[#This Row],[Jammer]]&amp;ScoreData[[#This Row],[RefRow]]))</f>
        <v>4</v>
      </c>
      <c r="G93" s="1219" t="str">
        <f ca="1">IF(INDIRECT($X$24&amp;ScoreData[[#This Row],[Lead]]&amp;ScoreData[[#This Row],[RefRow]])="X","YES","NO")</f>
        <v>NO</v>
      </c>
      <c r="H93" s="1219" t="str">
        <f ca="1">IF(INDIRECT($X$24&amp;ScoreData[[#This Row],[Call]]&amp;ScoreData[[#This Row],[RefRow]])="X","YES","NO")</f>
        <v>NO</v>
      </c>
      <c r="I93" s="1219">
        <f ca="1">INDIRECT($X$24&amp;ScoreData[[#This Row],[Pass]]&amp;ScoreData[[#This Row],[RefRow]])</f>
        <v>1</v>
      </c>
      <c r="J93" s="1219" t="str">
        <f ca="1">IF(INDIRECT($X$24&amp;ScoreData[[#This Row],[Point]]&amp;ScoreData[[#This Row],[RefRow]])=0,"",INDIRECT($X$24&amp;ScoreData[[#This Row],[Point]]&amp;ScoreData[[#This Row],[RefRow]]))</f>
        <v/>
      </c>
      <c r="K93" s="1219" t="b">
        <f ca="1">IF(OR(INDIRECT($X$24&amp;ScoreData[[#This Row],[Jam]]&amp;ScoreData[[#This Row],[RefRow]])="SP",INDIRECT($X$24&amp;ScoreData[[#This Row],[Jam]]&amp;ScoreData[[#This Row],[RefRow]])="SP*"),TRUE,FALSE)</f>
        <v>0</v>
      </c>
      <c r="L93" s="1219" t="b">
        <v>1</v>
      </c>
      <c r="M93" s="1219" t="str">
        <f t="array" ref="M93">IFERROR(INDEX(ScoreSearch[],MATCH(ScoreData[[#This Row],[Home?]]&amp;ScoreData[[#Headers],[Jam]],ScoreSearch[Home?]&amp;ScoreSearch[Item],1),3),"")</f>
        <v>$A</v>
      </c>
      <c r="N93" s="1219" t="str">
        <f t="array" ref="N93">IFERROR(INDEX(ScoreSearch[],MATCH(ScoreData[[#This Row],[Home?]]&amp;ScoreData[[#Headers],[Jammer]],ScoreSearch[Home?]&amp;ScoreSearch[Item],1),3),"")</f>
        <v>$B</v>
      </c>
      <c r="O93" s="1219" t="str">
        <f t="array" ref="O93">IFERROR(INDEX(ScoreSearch[],MATCH(ScoreData[[#This Row],[Home?]]&amp;ScoreData[[#Headers],[Lead]],ScoreSearch[Home?]&amp;ScoreSearch[Item],1),3),"")</f>
        <v>$D</v>
      </c>
      <c r="P93" s="1219" t="str">
        <f t="array" ref="P93">IFERROR(INDEX(ScoreSearch[],MATCH(ScoreData[[#This Row],[Home?]]&amp;ScoreData[[#Headers],[Call]],ScoreSearch[Home?]&amp;ScoreSearch[Item],1),3),"")</f>
        <v>$E</v>
      </c>
      <c r="Q93" s="1219" t="str">
        <f t="array" ref="Q93">IFERROR(INDEX(ScoreSearch[],MATCH(ScoreData[[#This Row],[Home?]]&amp;ScoreData[[#Headers],[Penalty]],ScoreSearch[Home?]&amp;ScoreSearch[Item],1),3),"")</f>
        <v>$G</v>
      </c>
      <c r="R93" s="1222" t="str">
        <f t="array" ref="R93">IFERROR(INDEX(ScoreSearch[],MATCH(ScoreData[[#This Row],[Home?]]&amp;ScoreData[[#Headers],[Point]],ScoreSearch[Home?]&amp;ScoreSearch[Item],1),3),"")</f>
        <v>$Q</v>
      </c>
      <c r="S93" s="1222" t="str">
        <f t="array" ref="S93">IFERROR(INDEX(ScoreSearch[],MATCH(ScoreData[[#This Row],[Home?]]&amp;ScoreData[[#Headers],[Pass]],ScoreSearch[Home?]&amp;ScoreSearch[Item],1),3),"")</f>
        <v>$S</v>
      </c>
      <c r="T93" s="1219">
        <v>61</v>
      </c>
    </row>
    <row r="94" spans="1:20" x14ac:dyDescent="0.25">
      <c r="A94" s="1218">
        <f>[1]IBRF!$B$5</f>
        <v>41734</v>
      </c>
      <c r="B94" s="1221">
        <f t="shared" si="3"/>
        <v>0.83333333333333337</v>
      </c>
      <c r="C94" s="1219">
        <v>2</v>
      </c>
      <c r="D94" s="1219">
        <f ca="1">IF(ScoreData[[#This Row],[Passed?]],D93,INDIRECT($X$24&amp;ScoreData[[#This Row],[Jam]]&amp;ScoreData[[#This Row],[RefRow]]))</f>
        <v>13</v>
      </c>
      <c r="E94" s="1219" t="str">
        <f t="shared" si="4"/>
        <v>Plan B</v>
      </c>
      <c r="F94" s="1219" t="str">
        <f ca="1">IF(INDIRECT($X$24&amp;ScoreData[[#This Row],[Jammer]]&amp;ScoreData[[#This Row],[RefRow]])=0,"",INDIRECT($X$24&amp;ScoreData[[#This Row],[Jammer]]&amp;ScoreData[[#This Row],[RefRow]]))</f>
        <v>19</v>
      </c>
      <c r="G94" s="1219" t="str">
        <f ca="1">IF(INDIRECT($X$24&amp;ScoreData[[#This Row],[Lead]]&amp;ScoreData[[#This Row],[RefRow]])="X","YES","NO")</f>
        <v>YES</v>
      </c>
      <c r="H94" s="1219" t="str">
        <f ca="1">IF(INDIRECT($X$24&amp;ScoreData[[#This Row],[Call]]&amp;ScoreData[[#This Row],[RefRow]])="X","YES","NO")</f>
        <v>NO</v>
      </c>
      <c r="I94" s="1219">
        <f ca="1">INDIRECT($X$24&amp;ScoreData[[#This Row],[Pass]]&amp;ScoreData[[#This Row],[RefRow]])</f>
        <v>3</v>
      </c>
      <c r="J94" s="1219">
        <f ca="1">IF(INDIRECT($X$24&amp;ScoreData[[#This Row],[Point]]&amp;ScoreData[[#This Row],[RefRow]])=0,"",INDIRECT($X$24&amp;ScoreData[[#This Row],[Point]]&amp;ScoreData[[#This Row],[RefRow]]))</f>
        <v>12</v>
      </c>
      <c r="K94" s="1219" t="b">
        <f ca="1">IF(OR(INDIRECT($X$24&amp;ScoreData[[#This Row],[Jam]]&amp;ScoreData[[#This Row],[RefRow]])="SP",INDIRECT($X$24&amp;ScoreData[[#This Row],[Jam]]&amp;ScoreData[[#This Row],[RefRow]])="SP*"),TRUE,FALSE)</f>
        <v>0</v>
      </c>
      <c r="L94" s="1219" t="b">
        <v>1</v>
      </c>
      <c r="M94" s="1219" t="str">
        <f t="array" ref="M94">IFERROR(INDEX(ScoreSearch[],MATCH(ScoreData[[#This Row],[Home?]]&amp;ScoreData[[#Headers],[Jam]],ScoreSearch[Home?]&amp;ScoreSearch[Item],1),3),"")</f>
        <v>$A</v>
      </c>
      <c r="N94" s="1219" t="str">
        <f t="array" ref="N94">IFERROR(INDEX(ScoreSearch[],MATCH(ScoreData[[#This Row],[Home?]]&amp;ScoreData[[#Headers],[Jammer]],ScoreSearch[Home?]&amp;ScoreSearch[Item],1),3),"")</f>
        <v>$B</v>
      </c>
      <c r="O94" s="1219" t="str">
        <f t="array" ref="O94">IFERROR(INDEX(ScoreSearch[],MATCH(ScoreData[[#This Row],[Home?]]&amp;ScoreData[[#Headers],[Lead]],ScoreSearch[Home?]&amp;ScoreSearch[Item],1),3),"")</f>
        <v>$D</v>
      </c>
      <c r="P94" s="1219" t="str">
        <f t="array" ref="P94">IFERROR(INDEX(ScoreSearch[],MATCH(ScoreData[[#This Row],[Home?]]&amp;ScoreData[[#Headers],[Call]],ScoreSearch[Home?]&amp;ScoreSearch[Item],1),3),"")</f>
        <v>$E</v>
      </c>
      <c r="Q94" s="1219" t="str">
        <f t="array" ref="Q94">IFERROR(INDEX(ScoreSearch[],MATCH(ScoreData[[#This Row],[Home?]]&amp;ScoreData[[#Headers],[Penalty]],ScoreSearch[Home?]&amp;ScoreSearch[Item],1),3),"")</f>
        <v>$G</v>
      </c>
      <c r="R94" s="1222" t="str">
        <f t="array" ref="R94">IFERROR(INDEX(ScoreSearch[],MATCH(ScoreData[[#This Row],[Home?]]&amp;ScoreData[[#Headers],[Point]],ScoreSearch[Home?]&amp;ScoreSearch[Item],1),3),"")</f>
        <v>$Q</v>
      </c>
      <c r="S94" s="1222" t="str">
        <f t="array" ref="S94">IFERROR(INDEX(ScoreSearch[],MATCH(ScoreData[[#This Row],[Home?]]&amp;ScoreData[[#Headers],[Pass]],ScoreSearch[Home?]&amp;ScoreSearch[Item],1),3),"")</f>
        <v>$S</v>
      </c>
      <c r="T94" s="1219">
        <v>62</v>
      </c>
    </row>
    <row r="95" spans="1:20" x14ac:dyDescent="0.25">
      <c r="A95" s="1218">
        <f>[1]IBRF!$B$5</f>
        <v>41734</v>
      </c>
      <c r="B95" s="1221">
        <f t="shared" si="3"/>
        <v>0.83333333333333337</v>
      </c>
      <c r="C95" s="1219">
        <v>2</v>
      </c>
      <c r="D95" s="1219">
        <f ca="1">IF(ScoreData[[#This Row],[Passed?]],D94,INDIRECT($X$24&amp;ScoreData[[#This Row],[Jam]]&amp;ScoreData[[#This Row],[RefRow]]))</f>
        <v>13</v>
      </c>
      <c r="E95" s="1219" t="str">
        <f t="shared" si="4"/>
        <v>Plan B</v>
      </c>
      <c r="F95" s="1219" t="str">
        <f ca="1">IF(INDIRECT($X$24&amp;ScoreData[[#This Row],[Jammer]]&amp;ScoreData[[#This Row],[RefRow]])=0,"",INDIRECT($X$24&amp;ScoreData[[#This Row],[Jammer]]&amp;ScoreData[[#This Row],[RefRow]]))</f>
        <v/>
      </c>
      <c r="G95" s="1219" t="str">
        <f ca="1">IF(INDIRECT($X$24&amp;ScoreData[[#This Row],[Lead]]&amp;ScoreData[[#This Row],[RefRow]])="X","YES","NO")</f>
        <v>NO</v>
      </c>
      <c r="H95" s="1219" t="str">
        <f ca="1">IF(INDIRECT($X$24&amp;ScoreData[[#This Row],[Call]]&amp;ScoreData[[#This Row],[RefRow]])="X","YES","NO")</f>
        <v>NO</v>
      </c>
      <c r="I95" s="1219">
        <f ca="1">INDIRECT($X$24&amp;ScoreData[[#This Row],[Pass]]&amp;ScoreData[[#This Row],[RefRow]])</f>
        <v>0</v>
      </c>
      <c r="J95" s="1219" t="str">
        <f ca="1">IF(INDIRECT($X$24&amp;ScoreData[[#This Row],[Point]]&amp;ScoreData[[#This Row],[RefRow]])=0,"",INDIRECT($X$24&amp;ScoreData[[#This Row],[Point]]&amp;ScoreData[[#This Row],[RefRow]]))</f>
        <v/>
      </c>
      <c r="K95" s="1219" t="b">
        <f ca="1">IF(OR(INDIRECT($X$24&amp;ScoreData[[#This Row],[Jam]]&amp;ScoreData[[#This Row],[RefRow]])="SP",INDIRECT($X$24&amp;ScoreData[[#This Row],[Jam]]&amp;ScoreData[[#This Row],[RefRow]])="SP*"),TRUE,FALSE)</f>
        <v>1</v>
      </c>
      <c r="L95" s="1219" t="b">
        <v>1</v>
      </c>
      <c r="M95" s="1219" t="str">
        <f t="array" ref="M95">IFERROR(INDEX(ScoreSearch[],MATCH(ScoreData[[#This Row],[Home?]]&amp;ScoreData[[#Headers],[Jam]],ScoreSearch[Home?]&amp;ScoreSearch[Item],1),3),"")</f>
        <v>$A</v>
      </c>
      <c r="N95" s="1219" t="str">
        <f t="array" ref="N95">IFERROR(INDEX(ScoreSearch[],MATCH(ScoreData[[#This Row],[Home?]]&amp;ScoreData[[#Headers],[Jammer]],ScoreSearch[Home?]&amp;ScoreSearch[Item],1),3),"")</f>
        <v>$B</v>
      </c>
      <c r="O95" s="1219" t="str">
        <f t="array" ref="O95">IFERROR(INDEX(ScoreSearch[],MATCH(ScoreData[[#This Row],[Home?]]&amp;ScoreData[[#Headers],[Lead]],ScoreSearch[Home?]&amp;ScoreSearch[Item],1),3),"")</f>
        <v>$D</v>
      </c>
      <c r="P95" s="1219" t="str">
        <f t="array" ref="P95">IFERROR(INDEX(ScoreSearch[],MATCH(ScoreData[[#This Row],[Home?]]&amp;ScoreData[[#Headers],[Call]],ScoreSearch[Home?]&amp;ScoreSearch[Item],1),3),"")</f>
        <v>$E</v>
      </c>
      <c r="Q95" s="1219" t="str">
        <f t="array" ref="Q95">IFERROR(INDEX(ScoreSearch[],MATCH(ScoreData[[#This Row],[Home?]]&amp;ScoreData[[#Headers],[Penalty]],ScoreSearch[Home?]&amp;ScoreSearch[Item],1),3),"")</f>
        <v>$G</v>
      </c>
      <c r="R95" s="1222" t="str">
        <f t="array" ref="R95">IFERROR(INDEX(ScoreSearch[],MATCH(ScoreData[[#This Row],[Home?]]&amp;ScoreData[[#Headers],[Point]],ScoreSearch[Home?]&amp;ScoreSearch[Item],1),3),"")</f>
        <v>$Q</v>
      </c>
      <c r="S95" s="1222" t="str">
        <f t="array" ref="S95">IFERROR(INDEX(ScoreSearch[],MATCH(ScoreData[[#This Row],[Home?]]&amp;ScoreData[[#Headers],[Pass]],ScoreSearch[Home?]&amp;ScoreSearch[Item],1),3),"")</f>
        <v>$S</v>
      </c>
      <c r="T95" s="1219">
        <v>63</v>
      </c>
    </row>
    <row r="96" spans="1:20" x14ac:dyDescent="0.25">
      <c r="A96" s="1218">
        <f>[1]IBRF!$B$5</f>
        <v>41734</v>
      </c>
      <c r="B96" s="1221">
        <f t="shared" si="3"/>
        <v>0.83333333333333337</v>
      </c>
      <c r="C96" s="1219">
        <v>2</v>
      </c>
      <c r="D96" s="1219">
        <f ca="1">IF(ScoreData[[#This Row],[Passed?]],D95,INDIRECT($X$24&amp;ScoreData[[#This Row],[Jam]]&amp;ScoreData[[#This Row],[RefRow]]))</f>
        <v>14</v>
      </c>
      <c r="E96" s="1219" t="str">
        <f t="shared" si="4"/>
        <v>Plan B</v>
      </c>
      <c r="F96" s="1219" t="str">
        <f ca="1">IF(INDIRECT($X$24&amp;ScoreData[[#This Row],[Jammer]]&amp;ScoreData[[#This Row],[RefRow]])=0,"",INDIRECT($X$24&amp;ScoreData[[#This Row],[Jammer]]&amp;ScoreData[[#This Row],[RefRow]]))</f>
        <v>84</v>
      </c>
      <c r="G96" s="1219" t="str">
        <f ca="1">IF(INDIRECT($X$24&amp;ScoreData[[#This Row],[Lead]]&amp;ScoreData[[#This Row],[RefRow]])="X","YES","NO")</f>
        <v>NO</v>
      </c>
      <c r="H96" s="1219" t="str">
        <f ca="1">IF(INDIRECT($X$24&amp;ScoreData[[#This Row],[Call]]&amp;ScoreData[[#This Row],[RefRow]])="X","YES","NO")</f>
        <v>NO</v>
      </c>
      <c r="I96" s="1219">
        <f ca="1">INDIRECT($X$24&amp;ScoreData[[#This Row],[Pass]]&amp;ScoreData[[#This Row],[RefRow]])</f>
        <v>1</v>
      </c>
      <c r="J96" s="1219" t="str">
        <f ca="1">IF(INDIRECT($X$24&amp;ScoreData[[#This Row],[Point]]&amp;ScoreData[[#This Row],[RefRow]])=0,"",INDIRECT($X$24&amp;ScoreData[[#This Row],[Point]]&amp;ScoreData[[#This Row],[RefRow]]))</f>
        <v/>
      </c>
      <c r="K96" s="1219" t="b">
        <f ca="1">IF(OR(INDIRECT($X$24&amp;ScoreData[[#This Row],[Jam]]&amp;ScoreData[[#This Row],[RefRow]])="SP",INDIRECT($X$24&amp;ScoreData[[#This Row],[Jam]]&amp;ScoreData[[#This Row],[RefRow]])="SP*"),TRUE,FALSE)</f>
        <v>0</v>
      </c>
      <c r="L96" s="1219" t="b">
        <v>1</v>
      </c>
      <c r="M96" s="1219" t="str">
        <f t="array" ref="M96">IFERROR(INDEX(ScoreSearch[],MATCH(ScoreData[[#This Row],[Home?]]&amp;ScoreData[[#Headers],[Jam]],ScoreSearch[Home?]&amp;ScoreSearch[Item],1),3),"")</f>
        <v>$A</v>
      </c>
      <c r="N96" s="1219" t="str">
        <f t="array" ref="N96">IFERROR(INDEX(ScoreSearch[],MATCH(ScoreData[[#This Row],[Home?]]&amp;ScoreData[[#Headers],[Jammer]],ScoreSearch[Home?]&amp;ScoreSearch[Item],1),3),"")</f>
        <v>$B</v>
      </c>
      <c r="O96" s="1219" t="str">
        <f t="array" ref="O96">IFERROR(INDEX(ScoreSearch[],MATCH(ScoreData[[#This Row],[Home?]]&amp;ScoreData[[#Headers],[Lead]],ScoreSearch[Home?]&amp;ScoreSearch[Item],1),3),"")</f>
        <v>$D</v>
      </c>
      <c r="P96" s="1219" t="str">
        <f t="array" ref="P96">IFERROR(INDEX(ScoreSearch[],MATCH(ScoreData[[#This Row],[Home?]]&amp;ScoreData[[#Headers],[Call]],ScoreSearch[Home?]&amp;ScoreSearch[Item],1),3),"")</f>
        <v>$E</v>
      </c>
      <c r="Q96" s="1219" t="str">
        <f t="array" ref="Q96">IFERROR(INDEX(ScoreSearch[],MATCH(ScoreData[[#This Row],[Home?]]&amp;ScoreData[[#Headers],[Penalty]],ScoreSearch[Home?]&amp;ScoreSearch[Item],1),3),"")</f>
        <v>$G</v>
      </c>
      <c r="R96" s="1222" t="str">
        <f t="array" ref="R96">IFERROR(INDEX(ScoreSearch[],MATCH(ScoreData[[#This Row],[Home?]]&amp;ScoreData[[#Headers],[Point]],ScoreSearch[Home?]&amp;ScoreSearch[Item],1),3),"")</f>
        <v>$Q</v>
      </c>
      <c r="S96" s="1222" t="str">
        <f t="array" ref="S96">IFERROR(INDEX(ScoreSearch[],MATCH(ScoreData[[#This Row],[Home?]]&amp;ScoreData[[#Headers],[Pass]],ScoreSearch[Home?]&amp;ScoreSearch[Item],1),3),"")</f>
        <v>$S</v>
      </c>
      <c r="T96" s="1219">
        <v>64</v>
      </c>
    </row>
    <row r="97" spans="1:20" x14ac:dyDescent="0.25">
      <c r="A97" s="1218">
        <f>[1]IBRF!$B$5</f>
        <v>41734</v>
      </c>
      <c r="B97" s="1221">
        <f t="shared" si="3"/>
        <v>0.83333333333333337</v>
      </c>
      <c r="C97" s="1219">
        <v>2</v>
      </c>
      <c r="D97" s="1219">
        <f ca="1">IF(ScoreData[[#This Row],[Passed?]],D96,INDIRECT($X$24&amp;ScoreData[[#This Row],[Jam]]&amp;ScoreData[[#This Row],[RefRow]]))</f>
        <v>15</v>
      </c>
      <c r="E97" s="1219" t="str">
        <f t="shared" si="4"/>
        <v>Plan B</v>
      </c>
      <c r="F97" s="1219" t="str">
        <f ca="1">IF(INDIRECT($X$24&amp;ScoreData[[#This Row],[Jammer]]&amp;ScoreData[[#This Row],[RefRow]])=0,"",INDIRECT($X$24&amp;ScoreData[[#This Row],[Jammer]]&amp;ScoreData[[#This Row],[RefRow]]))</f>
        <v>33</v>
      </c>
      <c r="G97" s="1219" t="str">
        <f ca="1">IF(INDIRECT($X$24&amp;ScoreData[[#This Row],[Lead]]&amp;ScoreData[[#This Row],[RefRow]])="X","YES","NO")</f>
        <v>YES</v>
      </c>
      <c r="H97" s="1219" t="str">
        <f ca="1">IF(INDIRECT($X$24&amp;ScoreData[[#This Row],[Call]]&amp;ScoreData[[#This Row],[RefRow]])="X","YES","NO")</f>
        <v>NO</v>
      </c>
      <c r="I97" s="1219">
        <f ca="1">INDIRECT($X$24&amp;ScoreData[[#This Row],[Pass]]&amp;ScoreData[[#This Row],[RefRow]])</f>
        <v>4</v>
      </c>
      <c r="J97" s="1219">
        <f ca="1">IF(INDIRECT($X$24&amp;ScoreData[[#This Row],[Point]]&amp;ScoreData[[#This Row],[RefRow]])=0,"",INDIRECT($X$24&amp;ScoreData[[#This Row],[Point]]&amp;ScoreData[[#This Row],[RefRow]]))</f>
        <v>20</v>
      </c>
      <c r="K97" s="1219" t="b">
        <f ca="1">IF(OR(INDIRECT($X$24&amp;ScoreData[[#This Row],[Jam]]&amp;ScoreData[[#This Row],[RefRow]])="SP",INDIRECT($X$24&amp;ScoreData[[#This Row],[Jam]]&amp;ScoreData[[#This Row],[RefRow]])="SP*"),TRUE,FALSE)</f>
        <v>0</v>
      </c>
      <c r="L97" s="1219" t="b">
        <v>1</v>
      </c>
      <c r="M97" s="1219" t="str">
        <f t="array" ref="M97">IFERROR(INDEX(ScoreSearch[],MATCH(ScoreData[[#This Row],[Home?]]&amp;ScoreData[[#Headers],[Jam]],ScoreSearch[Home?]&amp;ScoreSearch[Item],1),3),"")</f>
        <v>$A</v>
      </c>
      <c r="N97" s="1219" t="str">
        <f t="array" ref="N97">IFERROR(INDEX(ScoreSearch[],MATCH(ScoreData[[#This Row],[Home?]]&amp;ScoreData[[#Headers],[Jammer]],ScoreSearch[Home?]&amp;ScoreSearch[Item],1),3),"")</f>
        <v>$B</v>
      </c>
      <c r="O97" s="1219" t="str">
        <f t="array" ref="O97">IFERROR(INDEX(ScoreSearch[],MATCH(ScoreData[[#This Row],[Home?]]&amp;ScoreData[[#Headers],[Lead]],ScoreSearch[Home?]&amp;ScoreSearch[Item],1),3),"")</f>
        <v>$D</v>
      </c>
      <c r="P97" s="1219" t="str">
        <f t="array" ref="P97">IFERROR(INDEX(ScoreSearch[],MATCH(ScoreData[[#This Row],[Home?]]&amp;ScoreData[[#Headers],[Call]],ScoreSearch[Home?]&amp;ScoreSearch[Item],1),3),"")</f>
        <v>$E</v>
      </c>
      <c r="Q97" s="1219" t="str">
        <f t="array" ref="Q97">IFERROR(INDEX(ScoreSearch[],MATCH(ScoreData[[#This Row],[Home?]]&amp;ScoreData[[#Headers],[Penalty]],ScoreSearch[Home?]&amp;ScoreSearch[Item],1),3),"")</f>
        <v>$G</v>
      </c>
      <c r="R97" s="1222" t="str">
        <f t="array" ref="R97">IFERROR(INDEX(ScoreSearch[],MATCH(ScoreData[[#This Row],[Home?]]&amp;ScoreData[[#Headers],[Point]],ScoreSearch[Home?]&amp;ScoreSearch[Item],1),3),"")</f>
        <v>$Q</v>
      </c>
      <c r="S97" s="1222" t="str">
        <f t="array" ref="S97">IFERROR(INDEX(ScoreSearch[],MATCH(ScoreData[[#This Row],[Home?]]&amp;ScoreData[[#Headers],[Pass]],ScoreSearch[Home?]&amp;ScoreSearch[Item],1),3),"")</f>
        <v>$S</v>
      </c>
      <c r="T97" s="1219">
        <v>65</v>
      </c>
    </row>
    <row r="98" spans="1:20" x14ac:dyDescent="0.25">
      <c r="A98" s="1218">
        <f>[1]IBRF!$B$5</f>
        <v>41734</v>
      </c>
      <c r="B98" s="1221">
        <f t="shared" si="3"/>
        <v>0.83333333333333337</v>
      </c>
      <c r="C98" s="1219">
        <v>2</v>
      </c>
      <c r="D98" s="1219">
        <f ca="1">IF(ScoreData[[#This Row],[Passed?]],D97,INDIRECT($X$24&amp;ScoreData[[#This Row],[Jam]]&amp;ScoreData[[#This Row],[RefRow]]))</f>
        <v>15</v>
      </c>
      <c r="E98" s="1219" t="str">
        <f t="shared" si="4"/>
        <v>Plan B</v>
      </c>
      <c r="F98" s="1219" t="str">
        <f ca="1">IF(INDIRECT($X$24&amp;ScoreData[[#This Row],[Jammer]]&amp;ScoreData[[#This Row],[RefRow]])=0,"",INDIRECT($X$24&amp;ScoreData[[#This Row],[Jammer]]&amp;ScoreData[[#This Row],[RefRow]]))</f>
        <v/>
      </c>
      <c r="G98" s="1219" t="str">
        <f ca="1">IF(INDIRECT($X$24&amp;ScoreData[[#This Row],[Lead]]&amp;ScoreData[[#This Row],[RefRow]])="X","YES","NO")</f>
        <v>NO</v>
      </c>
      <c r="H98" s="1219" t="str">
        <f ca="1">IF(INDIRECT($X$24&amp;ScoreData[[#This Row],[Call]]&amp;ScoreData[[#This Row],[RefRow]])="X","YES","NO")</f>
        <v>NO</v>
      </c>
      <c r="I98" s="1219">
        <f ca="1">INDIRECT($X$24&amp;ScoreData[[#This Row],[Pass]]&amp;ScoreData[[#This Row],[RefRow]])</f>
        <v>0</v>
      </c>
      <c r="J98" s="1219" t="str">
        <f ca="1">IF(INDIRECT($X$24&amp;ScoreData[[#This Row],[Point]]&amp;ScoreData[[#This Row],[RefRow]])=0,"",INDIRECT($X$24&amp;ScoreData[[#This Row],[Point]]&amp;ScoreData[[#This Row],[RefRow]]))</f>
        <v/>
      </c>
      <c r="K98" s="1219" t="b">
        <f ca="1">IF(OR(INDIRECT($X$24&amp;ScoreData[[#This Row],[Jam]]&amp;ScoreData[[#This Row],[RefRow]])="SP",INDIRECT($X$24&amp;ScoreData[[#This Row],[Jam]]&amp;ScoreData[[#This Row],[RefRow]])="SP*"),TRUE,FALSE)</f>
        <v>1</v>
      </c>
      <c r="L98" s="1219" t="b">
        <v>1</v>
      </c>
      <c r="M98" s="1219" t="str">
        <f t="array" ref="M98">IFERROR(INDEX(ScoreSearch[],MATCH(ScoreData[[#This Row],[Home?]]&amp;ScoreData[[#Headers],[Jam]],ScoreSearch[Home?]&amp;ScoreSearch[Item],1),3),"")</f>
        <v>$A</v>
      </c>
      <c r="N98" s="1219" t="str">
        <f t="array" ref="N98">IFERROR(INDEX(ScoreSearch[],MATCH(ScoreData[[#This Row],[Home?]]&amp;ScoreData[[#Headers],[Jammer]],ScoreSearch[Home?]&amp;ScoreSearch[Item],1),3),"")</f>
        <v>$B</v>
      </c>
      <c r="O98" s="1219" t="str">
        <f t="array" ref="O98">IFERROR(INDEX(ScoreSearch[],MATCH(ScoreData[[#This Row],[Home?]]&amp;ScoreData[[#Headers],[Lead]],ScoreSearch[Home?]&amp;ScoreSearch[Item],1),3),"")</f>
        <v>$D</v>
      </c>
      <c r="P98" s="1219" t="str">
        <f t="array" ref="P98">IFERROR(INDEX(ScoreSearch[],MATCH(ScoreData[[#This Row],[Home?]]&amp;ScoreData[[#Headers],[Call]],ScoreSearch[Home?]&amp;ScoreSearch[Item],1),3),"")</f>
        <v>$E</v>
      </c>
      <c r="Q98" s="1219" t="str">
        <f t="array" ref="Q98">IFERROR(INDEX(ScoreSearch[],MATCH(ScoreData[[#This Row],[Home?]]&amp;ScoreData[[#Headers],[Penalty]],ScoreSearch[Home?]&amp;ScoreSearch[Item],1),3),"")</f>
        <v>$G</v>
      </c>
      <c r="R98" s="1222" t="str">
        <f t="array" ref="R98">IFERROR(INDEX(ScoreSearch[],MATCH(ScoreData[[#This Row],[Home?]]&amp;ScoreData[[#Headers],[Point]],ScoreSearch[Home?]&amp;ScoreSearch[Item],1),3),"")</f>
        <v>$Q</v>
      </c>
      <c r="S98" s="1222" t="str">
        <f t="array" ref="S98">IFERROR(INDEX(ScoreSearch[],MATCH(ScoreData[[#This Row],[Home?]]&amp;ScoreData[[#Headers],[Pass]],ScoreSearch[Home?]&amp;ScoreSearch[Item],1),3),"")</f>
        <v>$S</v>
      </c>
      <c r="T98" s="1219">
        <v>66</v>
      </c>
    </row>
    <row r="99" spans="1:20" x14ac:dyDescent="0.25">
      <c r="A99" s="1218">
        <f>[1]IBRF!$B$5</f>
        <v>41734</v>
      </c>
      <c r="B99" s="1221">
        <f t="shared" si="3"/>
        <v>0.83333333333333337</v>
      </c>
      <c r="C99" s="1219">
        <v>2</v>
      </c>
      <c r="D99" s="1219">
        <f ca="1">IF(ScoreData[[#This Row],[Passed?]],D98,INDIRECT($X$24&amp;ScoreData[[#This Row],[Jam]]&amp;ScoreData[[#This Row],[RefRow]]))</f>
        <v>16</v>
      </c>
      <c r="E99" s="1219" t="str">
        <f t="shared" si="4"/>
        <v>Plan B</v>
      </c>
      <c r="F99" s="1219" t="str">
        <f ca="1">IF(INDIRECT($X$24&amp;ScoreData[[#This Row],[Jammer]]&amp;ScoreData[[#This Row],[RefRow]])=0,"",INDIRECT($X$24&amp;ScoreData[[#This Row],[Jammer]]&amp;ScoreData[[#This Row],[RefRow]]))</f>
        <v>20</v>
      </c>
      <c r="G99" s="1219" t="str">
        <f ca="1">IF(INDIRECT($X$24&amp;ScoreData[[#This Row],[Lead]]&amp;ScoreData[[#This Row],[RefRow]])="X","YES","NO")</f>
        <v>YES</v>
      </c>
      <c r="H99" s="1219" t="str">
        <f ca="1">IF(INDIRECT($X$24&amp;ScoreData[[#This Row],[Call]]&amp;ScoreData[[#This Row],[RefRow]])="X","YES","NO")</f>
        <v>YES</v>
      </c>
      <c r="I99" s="1219">
        <f ca="1">INDIRECT($X$24&amp;ScoreData[[#This Row],[Pass]]&amp;ScoreData[[#This Row],[RefRow]])</f>
        <v>2</v>
      </c>
      <c r="J99" s="1219">
        <f ca="1">IF(INDIRECT($X$24&amp;ScoreData[[#This Row],[Point]]&amp;ScoreData[[#This Row],[RefRow]])=0,"",INDIRECT($X$24&amp;ScoreData[[#This Row],[Point]]&amp;ScoreData[[#This Row],[RefRow]]))</f>
        <v>4</v>
      </c>
      <c r="K99" s="1219" t="b">
        <f ca="1">IF(OR(INDIRECT($X$24&amp;ScoreData[[#This Row],[Jam]]&amp;ScoreData[[#This Row],[RefRow]])="SP",INDIRECT($X$24&amp;ScoreData[[#This Row],[Jam]]&amp;ScoreData[[#This Row],[RefRow]])="SP*"),TRUE,FALSE)</f>
        <v>0</v>
      </c>
      <c r="L99" s="1219" t="b">
        <v>1</v>
      </c>
      <c r="M99" s="1219" t="str">
        <f t="array" ref="M99">IFERROR(INDEX(ScoreSearch[],MATCH(ScoreData[[#This Row],[Home?]]&amp;ScoreData[[#Headers],[Jam]],ScoreSearch[Home?]&amp;ScoreSearch[Item],1),3),"")</f>
        <v>$A</v>
      </c>
      <c r="N99" s="1219" t="str">
        <f t="array" ref="N99">IFERROR(INDEX(ScoreSearch[],MATCH(ScoreData[[#This Row],[Home?]]&amp;ScoreData[[#Headers],[Jammer]],ScoreSearch[Home?]&amp;ScoreSearch[Item],1),3),"")</f>
        <v>$B</v>
      </c>
      <c r="O99" s="1219" t="str">
        <f t="array" ref="O99">IFERROR(INDEX(ScoreSearch[],MATCH(ScoreData[[#This Row],[Home?]]&amp;ScoreData[[#Headers],[Lead]],ScoreSearch[Home?]&amp;ScoreSearch[Item],1),3),"")</f>
        <v>$D</v>
      </c>
      <c r="P99" s="1219" t="str">
        <f t="array" ref="P99">IFERROR(INDEX(ScoreSearch[],MATCH(ScoreData[[#This Row],[Home?]]&amp;ScoreData[[#Headers],[Call]],ScoreSearch[Home?]&amp;ScoreSearch[Item],1),3),"")</f>
        <v>$E</v>
      </c>
      <c r="Q99" s="1219" t="str">
        <f t="array" ref="Q99">IFERROR(INDEX(ScoreSearch[],MATCH(ScoreData[[#This Row],[Home?]]&amp;ScoreData[[#Headers],[Penalty]],ScoreSearch[Home?]&amp;ScoreSearch[Item],1),3),"")</f>
        <v>$G</v>
      </c>
      <c r="R99" s="1222" t="str">
        <f t="array" ref="R99">IFERROR(INDEX(ScoreSearch[],MATCH(ScoreData[[#This Row],[Home?]]&amp;ScoreData[[#Headers],[Point]],ScoreSearch[Home?]&amp;ScoreSearch[Item],1),3),"")</f>
        <v>$Q</v>
      </c>
      <c r="S99" s="1222" t="str">
        <f t="array" ref="S99">IFERROR(INDEX(ScoreSearch[],MATCH(ScoreData[[#This Row],[Home?]]&amp;ScoreData[[#Headers],[Pass]],ScoreSearch[Home?]&amp;ScoreSearch[Item],1),3),"")</f>
        <v>$S</v>
      </c>
      <c r="T99" s="1219">
        <v>67</v>
      </c>
    </row>
    <row r="100" spans="1:20" x14ac:dyDescent="0.25">
      <c r="A100" s="1218">
        <f>[1]IBRF!$B$5</f>
        <v>41734</v>
      </c>
      <c r="B100" s="1221">
        <f t="shared" si="3"/>
        <v>0.83333333333333337</v>
      </c>
      <c r="C100" s="1219">
        <v>2</v>
      </c>
      <c r="D100" s="1219">
        <f ca="1">IF(ScoreData[[#This Row],[Passed?]],D99,INDIRECT($X$24&amp;ScoreData[[#This Row],[Jam]]&amp;ScoreData[[#This Row],[RefRow]]))</f>
        <v>16</v>
      </c>
      <c r="E100" s="1219" t="str">
        <f t="shared" si="4"/>
        <v>Plan B</v>
      </c>
      <c r="F100" s="1219" t="str">
        <f ca="1">IF(INDIRECT($X$24&amp;ScoreData[[#This Row],[Jammer]]&amp;ScoreData[[#This Row],[RefRow]])=0,"",INDIRECT($X$24&amp;ScoreData[[#This Row],[Jammer]]&amp;ScoreData[[#This Row],[RefRow]]))</f>
        <v/>
      </c>
      <c r="G100" s="1219" t="str">
        <f ca="1">IF(INDIRECT($X$24&amp;ScoreData[[#This Row],[Lead]]&amp;ScoreData[[#This Row],[RefRow]])="X","YES","NO")</f>
        <v>NO</v>
      </c>
      <c r="H100" s="1219" t="str">
        <f ca="1">IF(INDIRECT($X$24&amp;ScoreData[[#This Row],[Call]]&amp;ScoreData[[#This Row],[RefRow]])="X","YES","NO")</f>
        <v>NO</v>
      </c>
      <c r="I100" s="1219">
        <f ca="1">INDIRECT($X$24&amp;ScoreData[[#This Row],[Pass]]&amp;ScoreData[[#This Row],[RefRow]])</f>
        <v>0</v>
      </c>
      <c r="J100" s="1219" t="str">
        <f ca="1">IF(INDIRECT($X$24&amp;ScoreData[[#This Row],[Point]]&amp;ScoreData[[#This Row],[RefRow]])=0,"",INDIRECT($X$24&amp;ScoreData[[#This Row],[Point]]&amp;ScoreData[[#This Row],[RefRow]]))</f>
        <v/>
      </c>
      <c r="K100" s="1219" t="b">
        <f ca="1">IF(OR(INDIRECT($X$24&amp;ScoreData[[#This Row],[Jam]]&amp;ScoreData[[#This Row],[RefRow]])="SP",INDIRECT($X$24&amp;ScoreData[[#This Row],[Jam]]&amp;ScoreData[[#This Row],[RefRow]])="SP*"),TRUE,FALSE)</f>
        <v>1</v>
      </c>
      <c r="L100" s="1219" t="b">
        <v>1</v>
      </c>
      <c r="M100" s="1219" t="str">
        <f t="array" ref="M100">IFERROR(INDEX(ScoreSearch[],MATCH(ScoreData[[#This Row],[Home?]]&amp;ScoreData[[#Headers],[Jam]],ScoreSearch[Home?]&amp;ScoreSearch[Item],1),3),"")</f>
        <v>$A</v>
      </c>
      <c r="N100" s="1219" t="str">
        <f t="array" ref="N100">IFERROR(INDEX(ScoreSearch[],MATCH(ScoreData[[#This Row],[Home?]]&amp;ScoreData[[#Headers],[Jammer]],ScoreSearch[Home?]&amp;ScoreSearch[Item],1),3),"")</f>
        <v>$B</v>
      </c>
      <c r="O100" s="1219" t="str">
        <f t="array" ref="O100">IFERROR(INDEX(ScoreSearch[],MATCH(ScoreData[[#This Row],[Home?]]&amp;ScoreData[[#Headers],[Lead]],ScoreSearch[Home?]&amp;ScoreSearch[Item],1),3),"")</f>
        <v>$D</v>
      </c>
      <c r="P100" s="1219" t="str">
        <f t="array" ref="P100">IFERROR(INDEX(ScoreSearch[],MATCH(ScoreData[[#This Row],[Home?]]&amp;ScoreData[[#Headers],[Call]],ScoreSearch[Home?]&amp;ScoreSearch[Item],1),3),"")</f>
        <v>$E</v>
      </c>
      <c r="Q100" s="1219" t="str">
        <f t="array" ref="Q100">IFERROR(INDEX(ScoreSearch[],MATCH(ScoreData[[#This Row],[Home?]]&amp;ScoreData[[#Headers],[Penalty]],ScoreSearch[Home?]&amp;ScoreSearch[Item],1),3),"")</f>
        <v>$G</v>
      </c>
      <c r="R100" s="1222" t="str">
        <f t="array" ref="R100">IFERROR(INDEX(ScoreSearch[],MATCH(ScoreData[[#This Row],[Home?]]&amp;ScoreData[[#Headers],[Point]],ScoreSearch[Home?]&amp;ScoreSearch[Item],1),3),"")</f>
        <v>$Q</v>
      </c>
      <c r="S100" s="1222" t="str">
        <f t="array" ref="S100">IFERROR(INDEX(ScoreSearch[],MATCH(ScoreData[[#This Row],[Home?]]&amp;ScoreData[[#Headers],[Pass]],ScoreSearch[Home?]&amp;ScoreSearch[Item],1),3),"")</f>
        <v>$S</v>
      </c>
      <c r="T100" s="1219">
        <v>68</v>
      </c>
    </row>
    <row r="101" spans="1:20" x14ac:dyDescent="0.25">
      <c r="A101" s="1218">
        <f>[1]IBRF!$B$5</f>
        <v>41734</v>
      </c>
      <c r="B101" s="1221">
        <f t="shared" si="3"/>
        <v>0.83333333333333337</v>
      </c>
      <c r="C101" s="1219">
        <v>2</v>
      </c>
      <c r="D101" s="1219">
        <f ca="1">IF(ScoreData[[#This Row],[Passed?]],D100,INDIRECT($X$24&amp;ScoreData[[#This Row],[Jam]]&amp;ScoreData[[#This Row],[RefRow]]))</f>
        <v>17</v>
      </c>
      <c r="E101" s="1219" t="str">
        <f t="shared" si="4"/>
        <v>Plan B</v>
      </c>
      <c r="F101" s="1219" t="str">
        <f ca="1">IF(INDIRECT($X$24&amp;ScoreData[[#This Row],[Jammer]]&amp;ScoreData[[#This Row],[RefRow]])=0,"",INDIRECT($X$24&amp;ScoreData[[#This Row],[Jammer]]&amp;ScoreData[[#This Row],[RefRow]]))</f>
        <v>4</v>
      </c>
      <c r="G101" s="1219" t="str">
        <f ca="1">IF(INDIRECT($X$24&amp;ScoreData[[#This Row],[Lead]]&amp;ScoreData[[#This Row],[RefRow]])="X","YES","NO")</f>
        <v>YES</v>
      </c>
      <c r="H101" s="1219" t="str">
        <f ca="1">IF(INDIRECT($X$24&amp;ScoreData[[#This Row],[Call]]&amp;ScoreData[[#This Row],[RefRow]])="X","YES","NO")</f>
        <v>YES</v>
      </c>
      <c r="I101" s="1219">
        <f ca="1">INDIRECT($X$24&amp;ScoreData[[#This Row],[Pass]]&amp;ScoreData[[#This Row],[RefRow]])</f>
        <v>2</v>
      </c>
      <c r="J101" s="1219">
        <f ca="1">IF(INDIRECT($X$24&amp;ScoreData[[#This Row],[Point]]&amp;ScoreData[[#This Row],[RefRow]])=0,"",INDIRECT($X$24&amp;ScoreData[[#This Row],[Point]]&amp;ScoreData[[#This Row],[RefRow]]))</f>
        <v>10</v>
      </c>
      <c r="K101" s="1219" t="b">
        <f ca="1">IF(OR(INDIRECT($X$24&amp;ScoreData[[#This Row],[Jam]]&amp;ScoreData[[#This Row],[RefRow]])="SP",INDIRECT($X$24&amp;ScoreData[[#This Row],[Jam]]&amp;ScoreData[[#This Row],[RefRow]])="SP*"),TRUE,FALSE)</f>
        <v>0</v>
      </c>
      <c r="L101" s="1219" t="b">
        <v>1</v>
      </c>
      <c r="M101" s="1219" t="str">
        <f t="array" ref="M101">IFERROR(INDEX(ScoreSearch[],MATCH(ScoreData[[#This Row],[Home?]]&amp;ScoreData[[#Headers],[Jam]],ScoreSearch[Home?]&amp;ScoreSearch[Item],1),3),"")</f>
        <v>$A</v>
      </c>
      <c r="N101" s="1219" t="str">
        <f t="array" ref="N101">IFERROR(INDEX(ScoreSearch[],MATCH(ScoreData[[#This Row],[Home?]]&amp;ScoreData[[#Headers],[Jammer]],ScoreSearch[Home?]&amp;ScoreSearch[Item],1),3),"")</f>
        <v>$B</v>
      </c>
      <c r="O101" s="1219" t="str">
        <f t="array" ref="O101">IFERROR(INDEX(ScoreSearch[],MATCH(ScoreData[[#This Row],[Home?]]&amp;ScoreData[[#Headers],[Lead]],ScoreSearch[Home?]&amp;ScoreSearch[Item],1),3),"")</f>
        <v>$D</v>
      </c>
      <c r="P101" s="1219" t="str">
        <f t="array" ref="P101">IFERROR(INDEX(ScoreSearch[],MATCH(ScoreData[[#This Row],[Home?]]&amp;ScoreData[[#Headers],[Call]],ScoreSearch[Home?]&amp;ScoreSearch[Item],1),3),"")</f>
        <v>$E</v>
      </c>
      <c r="Q101" s="1219" t="str">
        <f t="array" ref="Q101">IFERROR(INDEX(ScoreSearch[],MATCH(ScoreData[[#This Row],[Home?]]&amp;ScoreData[[#Headers],[Penalty]],ScoreSearch[Home?]&amp;ScoreSearch[Item],1),3),"")</f>
        <v>$G</v>
      </c>
      <c r="R101" s="1222" t="str">
        <f t="array" ref="R101">IFERROR(INDEX(ScoreSearch[],MATCH(ScoreData[[#This Row],[Home?]]&amp;ScoreData[[#Headers],[Point]],ScoreSearch[Home?]&amp;ScoreSearch[Item],1),3),"")</f>
        <v>$Q</v>
      </c>
      <c r="S101" s="1222" t="str">
        <f t="array" ref="S101">IFERROR(INDEX(ScoreSearch[],MATCH(ScoreData[[#This Row],[Home?]]&amp;ScoreData[[#Headers],[Pass]],ScoreSearch[Home?]&amp;ScoreSearch[Item],1),3),"")</f>
        <v>$S</v>
      </c>
      <c r="T101" s="1219">
        <v>69</v>
      </c>
    </row>
    <row r="102" spans="1:20" x14ac:dyDescent="0.25">
      <c r="A102" s="1218">
        <f>[1]IBRF!$B$5</f>
        <v>41734</v>
      </c>
      <c r="B102" s="1221">
        <f t="shared" si="3"/>
        <v>0.83333333333333337</v>
      </c>
      <c r="C102" s="1219">
        <v>2</v>
      </c>
      <c r="D102" s="1219">
        <f ca="1">IF(ScoreData[[#This Row],[Passed?]],D101,INDIRECT($X$24&amp;ScoreData[[#This Row],[Jam]]&amp;ScoreData[[#This Row],[RefRow]]))</f>
        <v>18</v>
      </c>
      <c r="E102" s="1219" t="str">
        <f t="shared" si="4"/>
        <v>Plan B</v>
      </c>
      <c r="F102" s="1219" t="str">
        <f ca="1">IF(INDIRECT($X$24&amp;ScoreData[[#This Row],[Jammer]]&amp;ScoreData[[#This Row],[RefRow]])=0,"",INDIRECT($X$24&amp;ScoreData[[#This Row],[Jammer]]&amp;ScoreData[[#This Row],[RefRow]]))</f>
        <v>19</v>
      </c>
      <c r="G102" s="1219" t="str">
        <f ca="1">IF(INDIRECT($X$24&amp;ScoreData[[#This Row],[Lead]]&amp;ScoreData[[#This Row],[RefRow]])="X","YES","NO")</f>
        <v>YES</v>
      </c>
      <c r="H102" s="1219" t="str">
        <f ca="1">IF(INDIRECT($X$24&amp;ScoreData[[#This Row],[Call]]&amp;ScoreData[[#This Row],[RefRow]])="X","YES","NO")</f>
        <v>YES</v>
      </c>
      <c r="I102" s="1219">
        <f ca="1">INDIRECT($X$24&amp;ScoreData[[#This Row],[Pass]]&amp;ScoreData[[#This Row],[RefRow]])</f>
        <v>3</v>
      </c>
      <c r="J102" s="1219">
        <f ca="1">IF(INDIRECT($X$24&amp;ScoreData[[#This Row],[Point]]&amp;ScoreData[[#This Row],[RefRow]])=0,"",INDIRECT($X$24&amp;ScoreData[[#This Row],[Point]]&amp;ScoreData[[#This Row],[RefRow]]))</f>
        <v>10</v>
      </c>
      <c r="K102" s="1219" t="b">
        <f ca="1">IF(OR(INDIRECT($X$24&amp;ScoreData[[#This Row],[Jam]]&amp;ScoreData[[#This Row],[RefRow]])="SP",INDIRECT($X$24&amp;ScoreData[[#This Row],[Jam]]&amp;ScoreData[[#This Row],[RefRow]])="SP*"),TRUE,FALSE)</f>
        <v>0</v>
      </c>
      <c r="L102" s="1219" t="b">
        <v>1</v>
      </c>
      <c r="M102" s="1219" t="str">
        <f t="array" ref="M102">IFERROR(INDEX(ScoreSearch[],MATCH(ScoreData[[#This Row],[Home?]]&amp;ScoreData[[#Headers],[Jam]],ScoreSearch[Home?]&amp;ScoreSearch[Item],1),3),"")</f>
        <v>$A</v>
      </c>
      <c r="N102" s="1219" t="str">
        <f t="array" ref="N102">IFERROR(INDEX(ScoreSearch[],MATCH(ScoreData[[#This Row],[Home?]]&amp;ScoreData[[#Headers],[Jammer]],ScoreSearch[Home?]&amp;ScoreSearch[Item],1),3),"")</f>
        <v>$B</v>
      </c>
      <c r="O102" s="1219" t="str">
        <f t="array" ref="O102">IFERROR(INDEX(ScoreSearch[],MATCH(ScoreData[[#This Row],[Home?]]&amp;ScoreData[[#Headers],[Lead]],ScoreSearch[Home?]&amp;ScoreSearch[Item],1),3),"")</f>
        <v>$D</v>
      </c>
      <c r="P102" s="1219" t="str">
        <f t="array" ref="P102">IFERROR(INDEX(ScoreSearch[],MATCH(ScoreData[[#This Row],[Home?]]&amp;ScoreData[[#Headers],[Call]],ScoreSearch[Home?]&amp;ScoreSearch[Item],1),3),"")</f>
        <v>$E</v>
      </c>
      <c r="Q102" s="1219" t="str">
        <f t="array" ref="Q102">IFERROR(INDEX(ScoreSearch[],MATCH(ScoreData[[#This Row],[Home?]]&amp;ScoreData[[#Headers],[Penalty]],ScoreSearch[Home?]&amp;ScoreSearch[Item],1),3),"")</f>
        <v>$G</v>
      </c>
      <c r="R102" s="1222" t="str">
        <f t="array" ref="R102">IFERROR(INDEX(ScoreSearch[],MATCH(ScoreData[[#This Row],[Home?]]&amp;ScoreData[[#Headers],[Point]],ScoreSearch[Home?]&amp;ScoreSearch[Item],1),3),"")</f>
        <v>$Q</v>
      </c>
      <c r="S102" s="1222" t="str">
        <f t="array" ref="S102">IFERROR(INDEX(ScoreSearch[],MATCH(ScoreData[[#This Row],[Home?]]&amp;ScoreData[[#Headers],[Pass]],ScoreSearch[Home?]&amp;ScoreSearch[Item],1),3),"")</f>
        <v>$S</v>
      </c>
      <c r="T102" s="1219">
        <v>70</v>
      </c>
    </row>
    <row r="103" spans="1:20" x14ac:dyDescent="0.25">
      <c r="A103" s="1218">
        <f>[1]IBRF!$B$5</f>
        <v>41734</v>
      </c>
      <c r="B103" s="1221">
        <f t="shared" si="3"/>
        <v>0.83333333333333337</v>
      </c>
      <c r="C103" s="1219">
        <v>2</v>
      </c>
      <c r="D103" s="1219">
        <f ca="1">IF(ScoreData[[#This Row],[Passed?]],D102,INDIRECT($X$24&amp;ScoreData[[#This Row],[Jam]]&amp;ScoreData[[#This Row],[RefRow]]))</f>
        <v>0</v>
      </c>
      <c r="E103" s="1219" t="str">
        <f t="shared" si="4"/>
        <v>Plan B</v>
      </c>
      <c r="F103" s="1219" t="str">
        <f ca="1">IF(INDIRECT($X$24&amp;ScoreData[[#This Row],[Jammer]]&amp;ScoreData[[#This Row],[RefRow]])=0,"",INDIRECT($X$24&amp;ScoreData[[#This Row],[Jammer]]&amp;ScoreData[[#This Row],[RefRow]]))</f>
        <v/>
      </c>
      <c r="G103" s="1219" t="str">
        <f ca="1">IF(INDIRECT($X$24&amp;ScoreData[[#This Row],[Lead]]&amp;ScoreData[[#This Row],[RefRow]])="X","YES","NO")</f>
        <v>NO</v>
      </c>
      <c r="H103" s="1219" t="str">
        <f ca="1">IF(INDIRECT($X$24&amp;ScoreData[[#This Row],[Call]]&amp;ScoreData[[#This Row],[RefRow]])="X","YES","NO")</f>
        <v>NO</v>
      </c>
      <c r="I103" s="1219">
        <f ca="1">INDIRECT($X$24&amp;ScoreData[[#This Row],[Pass]]&amp;ScoreData[[#This Row],[RefRow]])</f>
        <v>0</v>
      </c>
      <c r="J103" s="1219" t="str">
        <f ca="1">IF(INDIRECT($X$24&amp;ScoreData[[#This Row],[Point]]&amp;ScoreData[[#This Row],[RefRow]])=0,"",INDIRECT($X$24&amp;ScoreData[[#This Row],[Point]]&amp;ScoreData[[#This Row],[RefRow]]))</f>
        <v/>
      </c>
      <c r="K103" s="1219" t="b">
        <f ca="1">IF(OR(INDIRECT($X$24&amp;ScoreData[[#This Row],[Jam]]&amp;ScoreData[[#This Row],[RefRow]])="SP",INDIRECT($X$24&amp;ScoreData[[#This Row],[Jam]]&amp;ScoreData[[#This Row],[RefRow]])="SP*"),TRUE,FALSE)</f>
        <v>0</v>
      </c>
      <c r="L103" s="1219" t="b">
        <v>1</v>
      </c>
      <c r="M103" s="1219" t="str">
        <f t="array" ref="M103">IFERROR(INDEX(ScoreSearch[],MATCH(ScoreData[[#This Row],[Home?]]&amp;ScoreData[[#Headers],[Jam]],ScoreSearch[Home?]&amp;ScoreSearch[Item],1),3),"")</f>
        <v>$A</v>
      </c>
      <c r="N103" s="1219" t="str">
        <f t="array" ref="N103">IFERROR(INDEX(ScoreSearch[],MATCH(ScoreData[[#This Row],[Home?]]&amp;ScoreData[[#Headers],[Jammer]],ScoreSearch[Home?]&amp;ScoreSearch[Item],1),3),"")</f>
        <v>$B</v>
      </c>
      <c r="O103" s="1219" t="str">
        <f t="array" ref="O103">IFERROR(INDEX(ScoreSearch[],MATCH(ScoreData[[#This Row],[Home?]]&amp;ScoreData[[#Headers],[Lead]],ScoreSearch[Home?]&amp;ScoreSearch[Item],1),3),"")</f>
        <v>$D</v>
      </c>
      <c r="P103" s="1219" t="str">
        <f t="array" ref="P103">IFERROR(INDEX(ScoreSearch[],MATCH(ScoreData[[#This Row],[Home?]]&amp;ScoreData[[#Headers],[Call]],ScoreSearch[Home?]&amp;ScoreSearch[Item],1),3),"")</f>
        <v>$E</v>
      </c>
      <c r="Q103" s="1219" t="str">
        <f t="array" ref="Q103">IFERROR(INDEX(ScoreSearch[],MATCH(ScoreData[[#This Row],[Home?]]&amp;ScoreData[[#Headers],[Penalty]],ScoreSearch[Home?]&amp;ScoreSearch[Item],1),3),"")</f>
        <v>$G</v>
      </c>
      <c r="R103" s="1222" t="str">
        <f t="array" ref="R103">IFERROR(INDEX(ScoreSearch[],MATCH(ScoreData[[#This Row],[Home?]]&amp;ScoreData[[#Headers],[Point]],ScoreSearch[Home?]&amp;ScoreSearch[Item],1),3),"")</f>
        <v>$Q</v>
      </c>
      <c r="S103" s="1222" t="str">
        <f t="array" ref="S103">IFERROR(INDEX(ScoreSearch[],MATCH(ScoreData[[#This Row],[Home?]]&amp;ScoreData[[#Headers],[Pass]],ScoreSearch[Home?]&amp;ScoreSearch[Item],1),3),"")</f>
        <v>$S</v>
      </c>
      <c r="T103" s="1219">
        <v>71</v>
      </c>
    </row>
    <row r="104" spans="1:20" x14ac:dyDescent="0.25">
      <c r="A104" s="1218">
        <f>[1]IBRF!$B$5</f>
        <v>41734</v>
      </c>
      <c r="B104" s="1221">
        <f t="shared" si="3"/>
        <v>0.83333333333333337</v>
      </c>
      <c r="C104" s="1219">
        <v>2</v>
      </c>
      <c r="D104" s="1219">
        <f ca="1">IF(ScoreData[[#This Row],[Passed?]],D103,INDIRECT($X$24&amp;ScoreData[[#This Row],[Jam]]&amp;ScoreData[[#This Row],[RefRow]]))</f>
        <v>0</v>
      </c>
      <c r="E104" s="1219" t="str">
        <f t="shared" si="4"/>
        <v>Plan B</v>
      </c>
      <c r="F104" s="1219" t="str">
        <f ca="1">IF(INDIRECT($X$24&amp;ScoreData[[#This Row],[Jammer]]&amp;ScoreData[[#This Row],[RefRow]])=0,"",INDIRECT($X$24&amp;ScoreData[[#This Row],[Jammer]]&amp;ScoreData[[#This Row],[RefRow]]))</f>
        <v/>
      </c>
      <c r="G104" s="1219" t="str">
        <f ca="1">IF(INDIRECT($X$24&amp;ScoreData[[#This Row],[Lead]]&amp;ScoreData[[#This Row],[RefRow]])="X","YES","NO")</f>
        <v>NO</v>
      </c>
      <c r="H104" s="1219" t="str">
        <f ca="1">IF(INDIRECT($X$24&amp;ScoreData[[#This Row],[Call]]&amp;ScoreData[[#This Row],[RefRow]])="X","YES","NO")</f>
        <v>NO</v>
      </c>
      <c r="I104" s="1219">
        <f ca="1">INDIRECT($X$24&amp;ScoreData[[#This Row],[Pass]]&amp;ScoreData[[#This Row],[RefRow]])</f>
        <v>0</v>
      </c>
      <c r="J104" s="1219" t="str">
        <f ca="1">IF(INDIRECT($X$24&amp;ScoreData[[#This Row],[Point]]&amp;ScoreData[[#This Row],[RefRow]])=0,"",INDIRECT($X$24&amp;ScoreData[[#This Row],[Point]]&amp;ScoreData[[#This Row],[RefRow]]))</f>
        <v/>
      </c>
      <c r="K104" s="1219" t="b">
        <f ca="1">IF(OR(INDIRECT($X$24&amp;ScoreData[[#This Row],[Jam]]&amp;ScoreData[[#This Row],[RefRow]])="SP",INDIRECT($X$24&amp;ScoreData[[#This Row],[Jam]]&amp;ScoreData[[#This Row],[RefRow]])="SP*"),TRUE,FALSE)</f>
        <v>0</v>
      </c>
      <c r="L104" s="1219" t="b">
        <v>1</v>
      </c>
      <c r="M104" s="1219" t="str">
        <f t="array" ref="M104">IFERROR(INDEX(ScoreSearch[],MATCH(ScoreData[[#This Row],[Home?]]&amp;ScoreData[[#Headers],[Jam]],ScoreSearch[Home?]&amp;ScoreSearch[Item],1),3),"")</f>
        <v>$A</v>
      </c>
      <c r="N104" s="1219" t="str">
        <f t="array" ref="N104">IFERROR(INDEX(ScoreSearch[],MATCH(ScoreData[[#This Row],[Home?]]&amp;ScoreData[[#Headers],[Jammer]],ScoreSearch[Home?]&amp;ScoreSearch[Item],1),3),"")</f>
        <v>$B</v>
      </c>
      <c r="O104" s="1219" t="str">
        <f t="array" ref="O104">IFERROR(INDEX(ScoreSearch[],MATCH(ScoreData[[#This Row],[Home?]]&amp;ScoreData[[#Headers],[Lead]],ScoreSearch[Home?]&amp;ScoreSearch[Item],1),3),"")</f>
        <v>$D</v>
      </c>
      <c r="P104" s="1219" t="str">
        <f t="array" ref="P104">IFERROR(INDEX(ScoreSearch[],MATCH(ScoreData[[#This Row],[Home?]]&amp;ScoreData[[#Headers],[Call]],ScoreSearch[Home?]&amp;ScoreSearch[Item],1),3),"")</f>
        <v>$E</v>
      </c>
      <c r="Q104" s="1219" t="str">
        <f t="array" ref="Q104">IFERROR(INDEX(ScoreSearch[],MATCH(ScoreData[[#This Row],[Home?]]&amp;ScoreData[[#Headers],[Penalty]],ScoreSearch[Home?]&amp;ScoreSearch[Item],1),3),"")</f>
        <v>$G</v>
      </c>
      <c r="R104" s="1222" t="str">
        <f t="array" ref="R104">IFERROR(INDEX(ScoreSearch[],MATCH(ScoreData[[#This Row],[Home?]]&amp;ScoreData[[#Headers],[Point]],ScoreSearch[Home?]&amp;ScoreSearch[Item],1),3),"")</f>
        <v>$Q</v>
      </c>
      <c r="S104" s="1222" t="str">
        <f t="array" ref="S104">IFERROR(INDEX(ScoreSearch[],MATCH(ScoreData[[#This Row],[Home?]]&amp;ScoreData[[#Headers],[Pass]],ScoreSearch[Home?]&amp;ScoreSearch[Item],1),3),"")</f>
        <v>$S</v>
      </c>
      <c r="T104" s="1219">
        <v>72</v>
      </c>
    </row>
    <row r="105" spans="1:20" x14ac:dyDescent="0.25">
      <c r="A105" s="1218">
        <f>[1]IBRF!$B$5</f>
        <v>41734</v>
      </c>
      <c r="B105" s="1221">
        <f t="shared" si="3"/>
        <v>0.83333333333333337</v>
      </c>
      <c r="C105" s="1219">
        <v>2</v>
      </c>
      <c r="D105" s="1219">
        <f ca="1">IF(ScoreData[[#This Row],[Passed?]],D104,INDIRECT($X$24&amp;ScoreData[[#This Row],[Jam]]&amp;ScoreData[[#This Row],[RefRow]]))</f>
        <v>0</v>
      </c>
      <c r="E105" s="1219" t="str">
        <f t="shared" si="4"/>
        <v>Plan B</v>
      </c>
      <c r="F105" s="1219" t="str">
        <f ca="1">IF(INDIRECT($X$24&amp;ScoreData[[#This Row],[Jammer]]&amp;ScoreData[[#This Row],[RefRow]])=0,"",INDIRECT($X$24&amp;ScoreData[[#This Row],[Jammer]]&amp;ScoreData[[#This Row],[RefRow]]))</f>
        <v/>
      </c>
      <c r="G105" s="1219" t="str">
        <f ca="1">IF(INDIRECT($X$24&amp;ScoreData[[#This Row],[Lead]]&amp;ScoreData[[#This Row],[RefRow]])="X","YES","NO")</f>
        <v>NO</v>
      </c>
      <c r="H105" s="1219" t="str">
        <f ca="1">IF(INDIRECT($X$24&amp;ScoreData[[#This Row],[Call]]&amp;ScoreData[[#This Row],[RefRow]])="X","YES","NO")</f>
        <v>NO</v>
      </c>
      <c r="I105" s="1219">
        <f ca="1">INDIRECT($X$24&amp;ScoreData[[#This Row],[Pass]]&amp;ScoreData[[#This Row],[RefRow]])</f>
        <v>0</v>
      </c>
      <c r="J105" s="1219" t="str">
        <f ca="1">IF(INDIRECT($X$24&amp;ScoreData[[#This Row],[Point]]&amp;ScoreData[[#This Row],[RefRow]])=0,"",INDIRECT($X$24&amp;ScoreData[[#This Row],[Point]]&amp;ScoreData[[#This Row],[RefRow]]))</f>
        <v/>
      </c>
      <c r="K105" s="1219" t="b">
        <f ca="1">IF(OR(INDIRECT($X$24&amp;ScoreData[[#This Row],[Jam]]&amp;ScoreData[[#This Row],[RefRow]])="SP",INDIRECT($X$24&amp;ScoreData[[#This Row],[Jam]]&amp;ScoreData[[#This Row],[RefRow]])="SP*"),TRUE,FALSE)</f>
        <v>0</v>
      </c>
      <c r="L105" s="1219" t="b">
        <v>1</v>
      </c>
      <c r="M105" s="1219" t="str">
        <f t="array" ref="M105">IFERROR(INDEX(ScoreSearch[],MATCH(ScoreData[[#This Row],[Home?]]&amp;ScoreData[[#Headers],[Jam]],ScoreSearch[Home?]&amp;ScoreSearch[Item],1),3),"")</f>
        <v>$A</v>
      </c>
      <c r="N105" s="1219" t="str">
        <f t="array" ref="N105">IFERROR(INDEX(ScoreSearch[],MATCH(ScoreData[[#This Row],[Home?]]&amp;ScoreData[[#Headers],[Jammer]],ScoreSearch[Home?]&amp;ScoreSearch[Item],1),3),"")</f>
        <v>$B</v>
      </c>
      <c r="O105" s="1219" t="str">
        <f t="array" ref="O105">IFERROR(INDEX(ScoreSearch[],MATCH(ScoreData[[#This Row],[Home?]]&amp;ScoreData[[#Headers],[Lead]],ScoreSearch[Home?]&amp;ScoreSearch[Item],1),3),"")</f>
        <v>$D</v>
      </c>
      <c r="P105" s="1219" t="str">
        <f t="array" ref="P105">IFERROR(INDEX(ScoreSearch[],MATCH(ScoreData[[#This Row],[Home?]]&amp;ScoreData[[#Headers],[Call]],ScoreSearch[Home?]&amp;ScoreSearch[Item],1),3),"")</f>
        <v>$E</v>
      </c>
      <c r="Q105" s="1219" t="str">
        <f t="array" ref="Q105">IFERROR(INDEX(ScoreSearch[],MATCH(ScoreData[[#This Row],[Home?]]&amp;ScoreData[[#Headers],[Penalty]],ScoreSearch[Home?]&amp;ScoreSearch[Item],1),3),"")</f>
        <v>$G</v>
      </c>
      <c r="R105" s="1222" t="str">
        <f t="array" ref="R105">IFERROR(INDEX(ScoreSearch[],MATCH(ScoreData[[#This Row],[Home?]]&amp;ScoreData[[#Headers],[Point]],ScoreSearch[Home?]&amp;ScoreSearch[Item],1),3),"")</f>
        <v>$Q</v>
      </c>
      <c r="S105" s="1222" t="str">
        <f t="array" ref="S105">IFERROR(INDEX(ScoreSearch[],MATCH(ScoreData[[#This Row],[Home?]]&amp;ScoreData[[#Headers],[Pass]],ScoreSearch[Home?]&amp;ScoreSearch[Item],1),3),"")</f>
        <v>$S</v>
      </c>
      <c r="T105" s="1219">
        <v>73</v>
      </c>
    </row>
    <row r="106" spans="1:20" x14ac:dyDescent="0.25">
      <c r="A106" s="1218">
        <f>[1]IBRF!$B$5</f>
        <v>41734</v>
      </c>
      <c r="B106" s="1221">
        <f t="shared" si="3"/>
        <v>0.83333333333333337</v>
      </c>
      <c r="C106" s="1219">
        <v>2</v>
      </c>
      <c r="D106" s="1219">
        <f ca="1">IF(ScoreData[[#This Row],[Passed?]],D105,INDIRECT($X$24&amp;ScoreData[[#This Row],[Jam]]&amp;ScoreData[[#This Row],[RefRow]]))</f>
        <v>0</v>
      </c>
      <c r="E106" s="1219" t="str">
        <f t="shared" si="4"/>
        <v>Plan B</v>
      </c>
      <c r="F106" s="1219" t="str">
        <f ca="1">IF(INDIRECT($X$24&amp;ScoreData[[#This Row],[Jammer]]&amp;ScoreData[[#This Row],[RefRow]])=0,"",INDIRECT($X$24&amp;ScoreData[[#This Row],[Jammer]]&amp;ScoreData[[#This Row],[RefRow]]))</f>
        <v/>
      </c>
      <c r="G106" s="1219" t="str">
        <f ca="1">IF(INDIRECT($X$24&amp;ScoreData[[#This Row],[Lead]]&amp;ScoreData[[#This Row],[RefRow]])="X","YES","NO")</f>
        <v>NO</v>
      </c>
      <c r="H106" s="1219" t="str">
        <f ca="1">IF(INDIRECT($X$24&amp;ScoreData[[#This Row],[Call]]&amp;ScoreData[[#This Row],[RefRow]])="X","YES","NO")</f>
        <v>NO</v>
      </c>
      <c r="I106" s="1219">
        <f ca="1">INDIRECT($X$24&amp;ScoreData[[#This Row],[Pass]]&amp;ScoreData[[#This Row],[RefRow]])</f>
        <v>0</v>
      </c>
      <c r="J106" s="1219" t="str">
        <f ca="1">IF(INDIRECT($X$24&amp;ScoreData[[#This Row],[Point]]&amp;ScoreData[[#This Row],[RefRow]])=0,"",INDIRECT($X$24&amp;ScoreData[[#This Row],[Point]]&amp;ScoreData[[#This Row],[RefRow]]))</f>
        <v/>
      </c>
      <c r="K106" s="1219" t="b">
        <f ca="1">IF(OR(INDIRECT($X$24&amp;ScoreData[[#This Row],[Jam]]&amp;ScoreData[[#This Row],[RefRow]])="SP",INDIRECT($X$24&amp;ScoreData[[#This Row],[Jam]]&amp;ScoreData[[#This Row],[RefRow]])="SP*"),TRUE,FALSE)</f>
        <v>0</v>
      </c>
      <c r="L106" s="1219" t="b">
        <v>1</v>
      </c>
      <c r="M106" s="1219" t="str">
        <f t="array" ref="M106">IFERROR(INDEX(ScoreSearch[],MATCH(ScoreData[[#This Row],[Home?]]&amp;ScoreData[[#Headers],[Jam]],ScoreSearch[Home?]&amp;ScoreSearch[Item],1),3),"")</f>
        <v>$A</v>
      </c>
      <c r="N106" s="1219" t="str">
        <f t="array" ref="N106">IFERROR(INDEX(ScoreSearch[],MATCH(ScoreData[[#This Row],[Home?]]&amp;ScoreData[[#Headers],[Jammer]],ScoreSearch[Home?]&amp;ScoreSearch[Item],1),3),"")</f>
        <v>$B</v>
      </c>
      <c r="O106" s="1219" t="str">
        <f t="array" ref="O106">IFERROR(INDEX(ScoreSearch[],MATCH(ScoreData[[#This Row],[Home?]]&amp;ScoreData[[#Headers],[Lead]],ScoreSearch[Home?]&amp;ScoreSearch[Item],1),3),"")</f>
        <v>$D</v>
      </c>
      <c r="P106" s="1219" t="str">
        <f t="array" ref="P106">IFERROR(INDEX(ScoreSearch[],MATCH(ScoreData[[#This Row],[Home?]]&amp;ScoreData[[#Headers],[Call]],ScoreSearch[Home?]&amp;ScoreSearch[Item],1),3),"")</f>
        <v>$E</v>
      </c>
      <c r="Q106" s="1219" t="str">
        <f t="array" ref="Q106">IFERROR(INDEX(ScoreSearch[],MATCH(ScoreData[[#This Row],[Home?]]&amp;ScoreData[[#Headers],[Penalty]],ScoreSearch[Home?]&amp;ScoreSearch[Item],1),3),"")</f>
        <v>$G</v>
      </c>
      <c r="R106" s="1222" t="str">
        <f t="array" ref="R106">IFERROR(INDEX(ScoreSearch[],MATCH(ScoreData[[#This Row],[Home?]]&amp;ScoreData[[#Headers],[Point]],ScoreSearch[Home?]&amp;ScoreSearch[Item],1),3),"")</f>
        <v>$Q</v>
      </c>
      <c r="S106" s="1222" t="str">
        <f t="array" ref="S106">IFERROR(INDEX(ScoreSearch[],MATCH(ScoreData[[#This Row],[Home?]]&amp;ScoreData[[#Headers],[Pass]],ScoreSearch[Home?]&amp;ScoreSearch[Item],1),3),"")</f>
        <v>$S</v>
      </c>
      <c r="T106" s="1219">
        <v>74</v>
      </c>
    </row>
    <row r="107" spans="1:20" x14ac:dyDescent="0.25">
      <c r="A107" s="1218">
        <f>[1]IBRF!$B$5</f>
        <v>41734</v>
      </c>
      <c r="B107" s="1221">
        <f t="shared" si="3"/>
        <v>0.83333333333333337</v>
      </c>
      <c r="C107" s="1219">
        <v>2</v>
      </c>
      <c r="D107" s="1219">
        <f ca="1">IF(ScoreData[[#This Row],[Passed?]],D106,INDIRECT($X$24&amp;ScoreData[[#This Row],[Jam]]&amp;ScoreData[[#This Row],[RefRow]]))</f>
        <v>0</v>
      </c>
      <c r="E107" s="1219" t="str">
        <f t="shared" si="4"/>
        <v>Plan B</v>
      </c>
      <c r="F107" s="1219" t="str">
        <f ca="1">IF(INDIRECT($X$24&amp;ScoreData[[#This Row],[Jammer]]&amp;ScoreData[[#This Row],[RefRow]])=0,"",INDIRECT($X$24&amp;ScoreData[[#This Row],[Jammer]]&amp;ScoreData[[#This Row],[RefRow]]))</f>
        <v/>
      </c>
      <c r="G107" s="1219" t="str">
        <f ca="1">IF(INDIRECT($X$24&amp;ScoreData[[#This Row],[Lead]]&amp;ScoreData[[#This Row],[RefRow]])="X","YES","NO")</f>
        <v>NO</v>
      </c>
      <c r="H107" s="1219" t="str">
        <f ca="1">IF(INDIRECT($X$24&amp;ScoreData[[#This Row],[Call]]&amp;ScoreData[[#This Row],[RefRow]])="X","YES","NO")</f>
        <v>NO</v>
      </c>
      <c r="I107" s="1219">
        <f ca="1">INDIRECT($X$24&amp;ScoreData[[#This Row],[Pass]]&amp;ScoreData[[#This Row],[RefRow]])</f>
        <v>0</v>
      </c>
      <c r="J107" s="1219" t="str">
        <f ca="1">IF(INDIRECT($X$24&amp;ScoreData[[#This Row],[Point]]&amp;ScoreData[[#This Row],[RefRow]])=0,"",INDIRECT($X$24&amp;ScoreData[[#This Row],[Point]]&amp;ScoreData[[#This Row],[RefRow]]))</f>
        <v/>
      </c>
      <c r="K107" s="1219" t="b">
        <f ca="1">IF(OR(INDIRECT($X$24&amp;ScoreData[[#This Row],[Jam]]&amp;ScoreData[[#This Row],[RefRow]])="SP",INDIRECT($X$24&amp;ScoreData[[#This Row],[Jam]]&amp;ScoreData[[#This Row],[RefRow]])="SP*"),TRUE,FALSE)</f>
        <v>0</v>
      </c>
      <c r="L107" s="1219" t="b">
        <v>1</v>
      </c>
      <c r="M107" s="1219" t="str">
        <f t="array" ref="M107">IFERROR(INDEX(ScoreSearch[],MATCH(ScoreData[[#This Row],[Home?]]&amp;ScoreData[[#Headers],[Jam]],ScoreSearch[Home?]&amp;ScoreSearch[Item],1),3),"")</f>
        <v>$A</v>
      </c>
      <c r="N107" s="1219" t="str">
        <f t="array" ref="N107">IFERROR(INDEX(ScoreSearch[],MATCH(ScoreData[[#This Row],[Home?]]&amp;ScoreData[[#Headers],[Jammer]],ScoreSearch[Home?]&amp;ScoreSearch[Item],1),3),"")</f>
        <v>$B</v>
      </c>
      <c r="O107" s="1219" t="str">
        <f t="array" ref="O107">IFERROR(INDEX(ScoreSearch[],MATCH(ScoreData[[#This Row],[Home?]]&amp;ScoreData[[#Headers],[Lead]],ScoreSearch[Home?]&amp;ScoreSearch[Item],1),3),"")</f>
        <v>$D</v>
      </c>
      <c r="P107" s="1219" t="str">
        <f t="array" ref="P107">IFERROR(INDEX(ScoreSearch[],MATCH(ScoreData[[#This Row],[Home?]]&amp;ScoreData[[#Headers],[Call]],ScoreSearch[Home?]&amp;ScoreSearch[Item],1),3),"")</f>
        <v>$E</v>
      </c>
      <c r="Q107" s="1219" t="str">
        <f t="array" ref="Q107">IFERROR(INDEX(ScoreSearch[],MATCH(ScoreData[[#This Row],[Home?]]&amp;ScoreData[[#Headers],[Penalty]],ScoreSearch[Home?]&amp;ScoreSearch[Item],1),3),"")</f>
        <v>$G</v>
      </c>
      <c r="R107" s="1222" t="str">
        <f t="array" ref="R107">IFERROR(INDEX(ScoreSearch[],MATCH(ScoreData[[#This Row],[Home?]]&amp;ScoreData[[#Headers],[Point]],ScoreSearch[Home?]&amp;ScoreSearch[Item],1),3),"")</f>
        <v>$Q</v>
      </c>
      <c r="S107" s="1222" t="str">
        <f t="array" ref="S107">IFERROR(INDEX(ScoreSearch[],MATCH(ScoreData[[#This Row],[Home?]]&amp;ScoreData[[#Headers],[Pass]],ScoreSearch[Home?]&amp;ScoreSearch[Item],1),3),"")</f>
        <v>$S</v>
      </c>
      <c r="T107" s="1219">
        <v>75</v>
      </c>
    </row>
    <row r="108" spans="1:20" x14ac:dyDescent="0.25">
      <c r="A108" s="1218">
        <f>[1]IBRF!$B$5</f>
        <v>41734</v>
      </c>
      <c r="B108" s="1221">
        <f t="shared" si="3"/>
        <v>0.83333333333333337</v>
      </c>
      <c r="C108" s="1219">
        <v>2</v>
      </c>
      <c r="D108" s="1219">
        <f ca="1">IF(ScoreData[[#This Row],[Passed?]],D107,INDIRECT($X$24&amp;ScoreData[[#This Row],[Jam]]&amp;ScoreData[[#This Row],[RefRow]]))</f>
        <v>0</v>
      </c>
      <c r="E108" s="1219" t="str">
        <f t="shared" si="4"/>
        <v>Plan B</v>
      </c>
      <c r="F108" s="1219" t="str">
        <f ca="1">IF(INDIRECT($X$24&amp;ScoreData[[#This Row],[Jammer]]&amp;ScoreData[[#This Row],[RefRow]])=0,"",INDIRECT($X$24&amp;ScoreData[[#This Row],[Jammer]]&amp;ScoreData[[#This Row],[RefRow]]))</f>
        <v/>
      </c>
      <c r="G108" s="1219" t="str">
        <f ca="1">IF(INDIRECT($X$24&amp;ScoreData[[#This Row],[Lead]]&amp;ScoreData[[#This Row],[RefRow]])="X","YES","NO")</f>
        <v>NO</v>
      </c>
      <c r="H108" s="1219" t="str">
        <f ca="1">IF(INDIRECT($X$24&amp;ScoreData[[#This Row],[Call]]&amp;ScoreData[[#This Row],[RefRow]])="X","YES","NO")</f>
        <v>NO</v>
      </c>
      <c r="I108" s="1219">
        <f ca="1">INDIRECT($X$24&amp;ScoreData[[#This Row],[Pass]]&amp;ScoreData[[#This Row],[RefRow]])</f>
        <v>0</v>
      </c>
      <c r="J108" s="1219" t="str">
        <f ca="1">IF(INDIRECT($X$24&amp;ScoreData[[#This Row],[Point]]&amp;ScoreData[[#This Row],[RefRow]])=0,"",INDIRECT($X$24&amp;ScoreData[[#This Row],[Point]]&amp;ScoreData[[#This Row],[RefRow]]))</f>
        <v/>
      </c>
      <c r="K108" s="1219" t="b">
        <f ca="1">IF(OR(INDIRECT($X$24&amp;ScoreData[[#This Row],[Jam]]&amp;ScoreData[[#This Row],[RefRow]])="SP",INDIRECT($X$24&amp;ScoreData[[#This Row],[Jam]]&amp;ScoreData[[#This Row],[RefRow]])="SP*"),TRUE,FALSE)</f>
        <v>0</v>
      </c>
      <c r="L108" s="1219" t="b">
        <v>1</v>
      </c>
      <c r="M108" s="1219" t="str">
        <f t="array" ref="M108">IFERROR(INDEX(ScoreSearch[],MATCH(ScoreData[[#This Row],[Home?]]&amp;ScoreData[[#Headers],[Jam]],ScoreSearch[Home?]&amp;ScoreSearch[Item],1),3),"")</f>
        <v>$A</v>
      </c>
      <c r="N108" s="1219" t="str">
        <f t="array" ref="N108">IFERROR(INDEX(ScoreSearch[],MATCH(ScoreData[[#This Row],[Home?]]&amp;ScoreData[[#Headers],[Jammer]],ScoreSearch[Home?]&amp;ScoreSearch[Item],1),3),"")</f>
        <v>$B</v>
      </c>
      <c r="O108" s="1219" t="str">
        <f t="array" ref="O108">IFERROR(INDEX(ScoreSearch[],MATCH(ScoreData[[#This Row],[Home?]]&amp;ScoreData[[#Headers],[Lead]],ScoreSearch[Home?]&amp;ScoreSearch[Item],1),3),"")</f>
        <v>$D</v>
      </c>
      <c r="P108" s="1219" t="str">
        <f t="array" ref="P108">IFERROR(INDEX(ScoreSearch[],MATCH(ScoreData[[#This Row],[Home?]]&amp;ScoreData[[#Headers],[Call]],ScoreSearch[Home?]&amp;ScoreSearch[Item],1),3),"")</f>
        <v>$E</v>
      </c>
      <c r="Q108" s="1219" t="str">
        <f t="array" ref="Q108">IFERROR(INDEX(ScoreSearch[],MATCH(ScoreData[[#This Row],[Home?]]&amp;ScoreData[[#Headers],[Penalty]],ScoreSearch[Home?]&amp;ScoreSearch[Item],1),3),"")</f>
        <v>$G</v>
      </c>
      <c r="R108" s="1222" t="str">
        <f t="array" ref="R108">IFERROR(INDEX(ScoreSearch[],MATCH(ScoreData[[#This Row],[Home?]]&amp;ScoreData[[#Headers],[Point]],ScoreSearch[Home?]&amp;ScoreSearch[Item],1),3),"")</f>
        <v>$Q</v>
      </c>
      <c r="S108" s="1222" t="str">
        <f t="array" ref="S108">IFERROR(INDEX(ScoreSearch[],MATCH(ScoreData[[#This Row],[Home?]]&amp;ScoreData[[#Headers],[Pass]],ScoreSearch[Home?]&amp;ScoreSearch[Item],1),3),"")</f>
        <v>$S</v>
      </c>
      <c r="T108" s="1219">
        <v>76</v>
      </c>
    </row>
    <row r="109" spans="1:20" x14ac:dyDescent="0.25">
      <c r="A109" s="1218">
        <f>[1]IBRF!$B$5</f>
        <v>41734</v>
      </c>
      <c r="B109" s="1221">
        <f t="shared" si="3"/>
        <v>0.83333333333333337</v>
      </c>
      <c r="C109" s="1219">
        <v>2</v>
      </c>
      <c r="D109" s="1219">
        <f ca="1">IF(ScoreData[[#This Row],[Passed?]],D108,INDIRECT($X$24&amp;ScoreData[[#This Row],[Jam]]&amp;ScoreData[[#This Row],[RefRow]]))</f>
        <v>0</v>
      </c>
      <c r="E109" s="1219" t="str">
        <f t="shared" si="4"/>
        <v>Plan B</v>
      </c>
      <c r="F109" s="1219" t="str">
        <f ca="1">IF(INDIRECT($X$24&amp;ScoreData[[#This Row],[Jammer]]&amp;ScoreData[[#This Row],[RefRow]])=0,"",INDIRECT($X$24&amp;ScoreData[[#This Row],[Jammer]]&amp;ScoreData[[#This Row],[RefRow]]))</f>
        <v/>
      </c>
      <c r="G109" s="1219" t="str">
        <f ca="1">IF(INDIRECT($X$24&amp;ScoreData[[#This Row],[Lead]]&amp;ScoreData[[#This Row],[RefRow]])="X","YES","NO")</f>
        <v>NO</v>
      </c>
      <c r="H109" s="1219" t="str">
        <f ca="1">IF(INDIRECT($X$24&amp;ScoreData[[#This Row],[Call]]&amp;ScoreData[[#This Row],[RefRow]])="X","YES","NO")</f>
        <v>NO</v>
      </c>
      <c r="I109" s="1219">
        <f ca="1">INDIRECT($X$24&amp;ScoreData[[#This Row],[Pass]]&amp;ScoreData[[#This Row],[RefRow]])</f>
        <v>0</v>
      </c>
      <c r="J109" s="1219" t="str">
        <f ca="1">IF(INDIRECT($X$24&amp;ScoreData[[#This Row],[Point]]&amp;ScoreData[[#This Row],[RefRow]])=0,"",INDIRECT($X$24&amp;ScoreData[[#This Row],[Point]]&amp;ScoreData[[#This Row],[RefRow]]))</f>
        <v/>
      </c>
      <c r="K109" s="1219" t="b">
        <f ca="1">IF(OR(INDIRECT($X$24&amp;ScoreData[[#This Row],[Jam]]&amp;ScoreData[[#This Row],[RefRow]])="SP",INDIRECT($X$24&amp;ScoreData[[#This Row],[Jam]]&amp;ScoreData[[#This Row],[RefRow]])="SP*"),TRUE,FALSE)</f>
        <v>0</v>
      </c>
      <c r="L109" s="1219" t="b">
        <v>1</v>
      </c>
      <c r="M109" s="1219" t="str">
        <f t="array" ref="M109">IFERROR(INDEX(ScoreSearch[],MATCH(ScoreData[[#This Row],[Home?]]&amp;ScoreData[[#Headers],[Jam]],ScoreSearch[Home?]&amp;ScoreSearch[Item],1),3),"")</f>
        <v>$A</v>
      </c>
      <c r="N109" s="1219" t="str">
        <f t="array" ref="N109">IFERROR(INDEX(ScoreSearch[],MATCH(ScoreData[[#This Row],[Home?]]&amp;ScoreData[[#Headers],[Jammer]],ScoreSearch[Home?]&amp;ScoreSearch[Item],1),3),"")</f>
        <v>$B</v>
      </c>
      <c r="O109" s="1219" t="str">
        <f t="array" ref="O109">IFERROR(INDEX(ScoreSearch[],MATCH(ScoreData[[#This Row],[Home?]]&amp;ScoreData[[#Headers],[Lead]],ScoreSearch[Home?]&amp;ScoreSearch[Item],1),3),"")</f>
        <v>$D</v>
      </c>
      <c r="P109" s="1219" t="str">
        <f t="array" ref="P109">IFERROR(INDEX(ScoreSearch[],MATCH(ScoreData[[#This Row],[Home?]]&amp;ScoreData[[#Headers],[Call]],ScoreSearch[Home?]&amp;ScoreSearch[Item],1),3),"")</f>
        <v>$E</v>
      </c>
      <c r="Q109" s="1219" t="str">
        <f t="array" ref="Q109">IFERROR(INDEX(ScoreSearch[],MATCH(ScoreData[[#This Row],[Home?]]&amp;ScoreData[[#Headers],[Penalty]],ScoreSearch[Home?]&amp;ScoreSearch[Item],1),3),"")</f>
        <v>$G</v>
      </c>
      <c r="R109" s="1222" t="str">
        <f t="array" ref="R109">IFERROR(INDEX(ScoreSearch[],MATCH(ScoreData[[#This Row],[Home?]]&amp;ScoreData[[#Headers],[Point]],ScoreSearch[Home?]&amp;ScoreSearch[Item],1),3),"")</f>
        <v>$Q</v>
      </c>
      <c r="S109" s="1222" t="str">
        <f t="array" ref="S109">IFERROR(INDEX(ScoreSearch[],MATCH(ScoreData[[#This Row],[Home?]]&amp;ScoreData[[#Headers],[Pass]],ScoreSearch[Home?]&amp;ScoreSearch[Item],1),3),"")</f>
        <v>$S</v>
      </c>
      <c r="T109" s="1219">
        <v>77</v>
      </c>
    </row>
    <row r="110" spans="1:20" x14ac:dyDescent="0.25">
      <c r="A110" s="1218">
        <f>[1]IBRF!$B$5</f>
        <v>41734</v>
      </c>
      <c r="B110" s="1221">
        <f t="shared" si="3"/>
        <v>0.83333333333333337</v>
      </c>
      <c r="C110" s="1219">
        <v>2</v>
      </c>
      <c r="D110" s="1219">
        <f ca="1">IF(ScoreData[[#This Row],[Passed?]],D109,INDIRECT($X$24&amp;ScoreData[[#This Row],[Jam]]&amp;ScoreData[[#This Row],[RefRow]]))</f>
        <v>0</v>
      </c>
      <c r="E110" s="1219" t="str">
        <f t="shared" si="4"/>
        <v>Plan B</v>
      </c>
      <c r="F110" s="1219" t="str">
        <f ca="1">IF(INDIRECT($X$24&amp;ScoreData[[#This Row],[Jammer]]&amp;ScoreData[[#This Row],[RefRow]])=0,"",INDIRECT($X$24&amp;ScoreData[[#This Row],[Jammer]]&amp;ScoreData[[#This Row],[RefRow]]))</f>
        <v/>
      </c>
      <c r="G110" s="1219" t="str">
        <f ca="1">IF(INDIRECT($X$24&amp;ScoreData[[#This Row],[Lead]]&amp;ScoreData[[#This Row],[RefRow]])="X","YES","NO")</f>
        <v>NO</v>
      </c>
      <c r="H110" s="1219" t="str">
        <f ca="1">IF(INDIRECT($X$24&amp;ScoreData[[#This Row],[Call]]&amp;ScoreData[[#This Row],[RefRow]])="X","YES","NO")</f>
        <v>NO</v>
      </c>
      <c r="I110" s="1219">
        <f ca="1">INDIRECT($X$24&amp;ScoreData[[#This Row],[Pass]]&amp;ScoreData[[#This Row],[RefRow]])</f>
        <v>0</v>
      </c>
      <c r="J110" s="1219" t="str">
        <f ca="1">IF(INDIRECT($X$24&amp;ScoreData[[#This Row],[Point]]&amp;ScoreData[[#This Row],[RefRow]])=0,"",INDIRECT($X$24&amp;ScoreData[[#This Row],[Point]]&amp;ScoreData[[#This Row],[RefRow]]))</f>
        <v/>
      </c>
      <c r="K110" s="1219" t="b">
        <f ca="1">IF(OR(INDIRECT($X$24&amp;ScoreData[[#This Row],[Jam]]&amp;ScoreData[[#This Row],[RefRow]])="SP",INDIRECT($X$24&amp;ScoreData[[#This Row],[Jam]]&amp;ScoreData[[#This Row],[RefRow]])="SP*"),TRUE,FALSE)</f>
        <v>0</v>
      </c>
      <c r="L110" s="1219" t="b">
        <v>1</v>
      </c>
      <c r="M110" s="1219" t="str">
        <f t="array" ref="M110">IFERROR(INDEX(ScoreSearch[],MATCH(ScoreData[[#This Row],[Home?]]&amp;ScoreData[[#Headers],[Jam]],ScoreSearch[Home?]&amp;ScoreSearch[Item],1),3),"")</f>
        <v>$A</v>
      </c>
      <c r="N110" s="1219" t="str">
        <f t="array" ref="N110">IFERROR(INDEX(ScoreSearch[],MATCH(ScoreData[[#This Row],[Home?]]&amp;ScoreData[[#Headers],[Jammer]],ScoreSearch[Home?]&amp;ScoreSearch[Item],1),3),"")</f>
        <v>$B</v>
      </c>
      <c r="O110" s="1219" t="str">
        <f t="array" ref="O110">IFERROR(INDEX(ScoreSearch[],MATCH(ScoreData[[#This Row],[Home?]]&amp;ScoreData[[#Headers],[Lead]],ScoreSearch[Home?]&amp;ScoreSearch[Item],1),3),"")</f>
        <v>$D</v>
      </c>
      <c r="P110" s="1219" t="str">
        <f t="array" ref="P110">IFERROR(INDEX(ScoreSearch[],MATCH(ScoreData[[#This Row],[Home?]]&amp;ScoreData[[#Headers],[Call]],ScoreSearch[Home?]&amp;ScoreSearch[Item],1),3),"")</f>
        <v>$E</v>
      </c>
      <c r="Q110" s="1219" t="str">
        <f t="array" ref="Q110">IFERROR(INDEX(ScoreSearch[],MATCH(ScoreData[[#This Row],[Home?]]&amp;ScoreData[[#Headers],[Penalty]],ScoreSearch[Home?]&amp;ScoreSearch[Item],1),3),"")</f>
        <v>$G</v>
      </c>
      <c r="R110" s="1222" t="str">
        <f t="array" ref="R110">IFERROR(INDEX(ScoreSearch[],MATCH(ScoreData[[#This Row],[Home?]]&amp;ScoreData[[#Headers],[Point]],ScoreSearch[Home?]&amp;ScoreSearch[Item],1),3),"")</f>
        <v>$Q</v>
      </c>
      <c r="S110" s="1222" t="str">
        <f t="array" ref="S110">IFERROR(INDEX(ScoreSearch[],MATCH(ScoreData[[#This Row],[Home?]]&amp;ScoreData[[#Headers],[Pass]],ScoreSearch[Home?]&amp;ScoreSearch[Item],1),3),"")</f>
        <v>$S</v>
      </c>
      <c r="T110" s="1219">
        <v>78</v>
      </c>
    </row>
    <row r="111" spans="1:20" x14ac:dyDescent="0.25">
      <c r="A111" s="1218">
        <f>[1]IBRF!$B$5</f>
        <v>41734</v>
      </c>
      <c r="B111" s="1221">
        <f t="shared" si="3"/>
        <v>0.83333333333333337</v>
      </c>
      <c r="C111" s="1219">
        <v>2</v>
      </c>
      <c r="D111" s="1219">
        <f ca="1">IF(ScoreData[[#This Row],[Passed?]],D110,INDIRECT($X$24&amp;ScoreData[[#This Row],[Jam]]&amp;ScoreData[[#This Row],[RefRow]]))</f>
        <v>0</v>
      </c>
      <c r="E111" s="1219" t="str">
        <f t="shared" si="4"/>
        <v>Plan B</v>
      </c>
      <c r="F111" s="1219" t="str">
        <f ca="1">IF(INDIRECT($X$24&amp;ScoreData[[#This Row],[Jammer]]&amp;ScoreData[[#This Row],[RefRow]])=0,"",INDIRECT($X$24&amp;ScoreData[[#This Row],[Jammer]]&amp;ScoreData[[#This Row],[RefRow]]))</f>
        <v/>
      </c>
      <c r="G111" s="1219" t="str">
        <f ca="1">IF(INDIRECT($X$24&amp;ScoreData[[#This Row],[Lead]]&amp;ScoreData[[#This Row],[RefRow]])="X","YES","NO")</f>
        <v>NO</v>
      </c>
      <c r="H111" s="1219" t="str">
        <f ca="1">IF(INDIRECT($X$24&amp;ScoreData[[#This Row],[Call]]&amp;ScoreData[[#This Row],[RefRow]])="X","YES","NO")</f>
        <v>NO</v>
      </c>
      <c r="I111" s="1219">
        <f ca="1">INDIRECT($X$24&amp;ScoreData[[#This Row],[Pass]]&amp;ScoreData[[#This Row],[RefRow]])</f>
        <v>0</v>
      </c>
      <c r="J111" s="1219" t="str">
        <f ca="1">IF(INDIRECT($X$24&amp;ScoreData[[#This Row],[Point]]&amp;ScoreData[[#This Row],[RefRow]])=0,"",INDIRECT($X$24&amp;ScoreData[[#This Row],[Point]]&amp;ScoreData[[#This Row],[RefRow]]))</f>
        <v/>
      </c>
      <c r="K111" s="1219" t="b">
        <f ca="1">IF(OR(INDIRECT($X$24&amp;ScoreData[[#This Row],[Jam]]&amp;ScoreData[[#This Row],[RefRow]])="SP",INDIRECT($X$24&amp;ScoreData[[#This Row],[Jam]]&amp;ScoreData[[#This Row],[RefRow]])="SP*"),TRUE,FALSE)</f>
        <v>0</v>
      </c>
      <c r="L111" s="1219" t="b">
        <v>1</v>
      </c>
      <c r="M111" s="1219" t="str">
        <f t="array" ref="M111">IFERROR(INDEX(ScoreSearch[],MATCH(ScoreData[[#This Row],[Home?]]&amp;ScoreData[[#Headers],[Jam]],ScoreSearch[Home?]&amp;ScoreSearch[Item],1),3),"")</f>
        <v>$A</v>
      </c>
      <c r="N111" s="1219" t="str">
        <f t="array" ref="N111">IFERROR(INDEX(ScoreSearch[],MATCH(ScoreData[[#This Row],[Home?]]&amp;ScoreData[[#Headers],[Jammer]],ScoreSearch[Home?]&amp;ScoreSearch[Item],1),3),"")</f>
        <v>$B</v>
      </c>
      <c r="O111" s="1219" t="str">
        <f t="array" ref="O111">IFERROR(INDEX(ScoreSearch[],MATCH(ScoreData[[#This Row],[Home?]]&amp;ScoreData[[#Headers],[Lead]],ScoreSearch[Home?]&amp;ScoreSearch[Item],1),3),"")</f>
        <v>$D</v>
      </c>
      <c r="P111" s="1219" t="str">
        <f t="array" ref="P111">IFERROR(INDEX(ScoreSearch[],MATCH(ScoreData[[#This Row],[Home?]]&amp;ScoreData[[#Headers],[Call]],ScoreSearch[Home?]&amp;ScoreSearch[Item],1),3),"")</f>
        <v>$E</v>
      </c>
      <c r="Q111" s="1219" t="str">
        <f t="array" ref="Q111">IFERROR(INDEX(ScoreSearch[],MATCH(ScoreData[[#This Row],[Home?]]&amp;ScoreData[[#Headers],[Penalty]],ScoreSearch[Home?]&amp;ScoreSearch[Item],1),3),"")</f>
        <v>$G</v>
      </c>
      <c r="R111" s="1222" t="str">
        <f t="array" ref="R111">IFERROR(INDEX(ScoreSearch[],MATCH(ScoreData[[#This Row],[Home?]]&amp;ScoreData[[#Headers],[Point]],ScoreSearch[Home?]&amp;ScoreSearch[Item],1),3),"")</f>
        <v>$Q</v>
      </c>
      <c r="S111" s="1222" t="str">
        <f t="array" ref="S111">IFERROR(INDEX(ScoreSearch[],MATCH(ScoreData[[#This Row],[Home?]]&amp;ScoreData[[#Headers],[Pass]],ScoreSearch[Home?]&amp;ScoreSearch[Item],1),3),"")</f>
        <v>$S</v>
      </c>
      <c r="T111" s="1219">
        <v>79</v>
      </c>
    </row>
    <row r="112" spans="1:20" x14ac:dyDescent="0.25">
      <c r="A112" s="1218">
        <f>[1]IBRF!$B$5</f>
        <v>41734</v>
      </c>
      <c r="B112" s="1221">
        <f t="shared" si="3"/>
        <v>0.83333333333333337</v>
      </c>
      <c r="C112" s="1219">
        <v>2</v>
      </c>
      <c r="D112" s="1219">
        <f ca="1">IF(ScoreData[[#This Row],[Passed?]],D111,INDIRECT($X$24&amp;ScoreData[[#This Row],[Jam]]&amp;ScoreData[[#This Row],[RefRow]]))</f>
        <v>0</v>
      </c>
      <c r="E112" s="1219" t="str">
        <f t="shared" si="4"/>
        <v>Plan B</v>
      </c>
      <c r="F112" s="1219" t="str">
        <f ca="1">IF(INDIRECT($X$24&amp;ScoreData[[#This Row],[Jammer]]&amp;ScoreData[[#This Row],[RefRow]])=0,"",INDIRECT($X$24&amp;ScoreData[[#This Row],[Jammer]]&amp;ScoreData[[#This Row],[RefRow]]))</f>
        <v/>
      </c>
      <c r="G112" s="1219" t="str">
        <f ca="1">IF(INDIRECT($X$24&amp;ScoreData[[#This Row],[Lead]]&amp;ScoreData[[#This Row],[RefRow]])="X","YES","NO")</f>
        <v>NO</v>
      </c>
      <c r="H112" s="1219" t="str">
        <f ca="1">IF(INDIRECT($X$24&amp;ScoreData[[#This Row],[Call]]&amp;ScoreData[[#This Row],[RefRow]])="X","YES","NO")</f>
        <v>NO</v>
      </c>
      <c r="I112" s="1219">
        <f ca="1">INDIRECT($X$24&amp;ScoreData[[#This Row],[Pass]]&amp;ScoreData[[#This Row],[RefRow]])</f>
        <v>0</v>
      </c>
      <c r="J112" s="1219" t="str">
        <f ca="1">IF(INDIRECT($X$24&amp;ScoreData[[#This Row],[Point]]&amp;ScoreData[[#This Row],[RefRow]])=0,"",INDIRECT($X$24&amp;ScoreData[[#This Row],[Point]]&amp;ScoreData[[#This Row],[RefRow]]))</f>
        <v/>
      </c>
      <c r="K112" s="1219" t="b">
        <f ca="1">IF(OR(INDIRECT($X$24&amp;ScoreData[[#This Row],[Jam]]&amp;ScoreData[[#This Row],[RefRow]])="SP",INDIRECT($X$24&amp;ScoreData[[#This Row],[Jam]]&amp;ScoreData[[#This Row],[RefRow]])="SP*"),TRUE,FALSE)</f>
        <v>0</v>
      </c>
      <c r="L112" s="1219" t="b">
        <v>1</v>
      </c>
      <c r="M112" s="1219" t="str">
        <f t="array" ref="M112">IFERROR(INDEX(ScoreSearch[],MATCH(ScoreData[[#This Row],[Home?]]&amp;ScoreData[[#Headers],[Jam]],ScoreSearch[Home?]&amp;ScoreSearch[Item],1),3),"")</f>
        <v>$A</v>
      </c>
      <c r="N112" s="1219" t="str">
        <f t="array" ref="N112">IFERROR(INDEX(ScoreSearch[],MATCH(ScoreData[[#This Row],[Home?]]&amp;ScoreData[[#Headers],[Jammer]],ScoreSearch[Home?]&amp;ScoreSearch[Item],1),3),"")</f>
        <v>$B</v>
      </c>
      <c r="O112" s="1219" t="str">
        <f t="array" ref="O112">IFERROR(INDEX(ScoreSearch[],MATCH(ScoreData[[#This Row],[Home?]]&amp;ScoreData[[#Headers],[Lead]],ScoreSearch[Home?]&amp;ScoreSearch[Item],1),3),"")</f>
        <v>$D</v>
      </c>
      <c r="P112" s="1219" t="str">
        <f t="array" ref="P112">IFERROR(INDEX(ScoreSearch[],MATCH(ScoreData[[#This Row],[Home?]]&amp;ScoreData[[#Headers],[Call]],ScoreSearch[Home?]&amp;ScoreSearch[Item],1),3),"")</f>
        <v>$E</v>
      </c>
      <c r="Q112" s="1219" t="str">
        <f t="array" ref="Q112">IFERROR(INDEX(ScoreSearch[],MATCH(ScoreData[[#This Row],[Home?]]&amp;ScoreData[[#Headers],[Penalty]],ScoreSearch[Home?]&amp;ScoreSearch[Item],1),3),"")</f>
        <v>$G</v>
      </c>
      <c r="R112" s="1222" t="str">
        <f t="array" ref="R112">IFERROR(INDEX(ScoreSearch[],MATCH(ScoreData[[#This Row],[Home?]]&amp;ScoreData[[#Headers],[Point]],ScoreSearch[Home?]&amp;ScoreSearch[Item],1),3),"")</f>
        <v>$Q</v>
      </c>
      <c r="S112" s="1222" t="str">
        <f t="array" ref="S112">IFERROR(INDEX(ScoreSearch[],MATCH(ScoreData[[#This Row],[Home?]]&amp;ScoreData[[#Headers],[Pass]],ScoreSearch[Home?]&amp;ScoreSearch[Item],1),3),"")</f>
        <v>$S</v>
      </c>
      <c r="T112" s="1219">
        <v>80</v>
      </c>
    </row>
    <row r="113" spans="1:20" x14ac:dyDescent="0.25">
      <c r="A113" s="1218">
        <f>[1]IBRF!$B$5</f>
        <v>41734</v>
      </c>
      <c r="B113" s="1221">
        <f t="shared" si="3"/>
        <v>0.83333333333333337</v>
      </c>
      <c r="C113" s="1219">
        <v>2</v>
      </c>
      <c r="D113" s="1219">
        <f ca="1">IF(ScoreData[[#This Row],[Passed?]],D112,INDIRECT($X$24&amp;ScoreData[[#This Row],[Jam]]&amp;ScoreData[[#This Row],[RefRow]]))</f>
        <v>0</v>
      </c>
      <c r="E113" s="1219" t="str">
        <f t="shared" si="4"/>
        <v>Plan B</v>
      </c>
      <c r="F113" s="1219" t="str">
        <f ca="1">IF(INDIRECT($X$24&amp;ScoreData[[#This Row],[Jammer]]&amp;ScoreData[[#This Row],[RefRow]])=0,"",INDIRECT($X$24&amp;ScoreData[[#This Row],[Jammer]]&amp;ScoreData[[#This Row],[RefRow]]))</f>
        <v/>
      </c>
      <c r="G113" s="1219" t="str">
        <f ca="1">IF(INDIRECT($X$24&amp;ScoreData[[#This Row],[Lead]]&amp;ScoreData[[#This Row],[RefRow]])="X","YES","NO")</f>
        <v>NO</v>
      </c>
      <c r="H113" s="1219" t="str">
        <f ca="1">IF(INDIRECT($X$24&amp;ScoreData[[#This Row],[Call]]&amp;ScoreData[[#This Row],[RefRow]])="X","YES","NO")</f>
        <v>NO</v>
      </c>
      <c r="I113" s="1219">
        <f ca="1">INDIRECT($X$24&amp;ScoreData[[#This Row],[Pass]]&amp;ScoreData[[#This Row],[RefRow]])</f>
        <v>0</v>
      </c>
      <c r="J113" s="1219" t="str">
        <f ca="1">IF(INDIRECT($X$24&amp;ScoreData[[#This Row],[Point]]&amp;ScoreData[[#This Row],[RefRow]])=0,"",INDIRECT($X$24&amp;ScoreData[[#This Row],[Point]]&amp;ScoreData[[#This Row],[RefRow]]))</f>
        <v/>
      </c>
      <c r="K113" s="1219" t="b">
        <f ca="1">IF(OR(INDIRECT($X$24&amp;ScoreData[[#This Row],[Jam]]&amp;ScoreData[[#This Row],[RefRow]])="SP",INDIRECT($X$24&amp;ScoreData[[#This Row],[Jam]]&amp;ScoreData[[#This Row],[RefRow]])="SP*"),TRUE,FALSE)</f>
        <v>0</v>
      </c>
      <c r="L113" s="1219" t="b">
        <v>1</v>
      </c>
      <c r="M113" s="1219" t="str">
        <f t="array" ref="M113">IFERROR(INDEX(ScoreSearch[],MATCH(ScoreData[[#This Row],[Home?]]&amp;ScoreData[[#Headers],[Jam]],ScoreSearch[Home?]&amp;ScoreSearch[Item],1),3),"")</f>
        <v>$A</v>
      </c>
      <c r="N113" s="1219" t="str">
        <f t="array" ref="N113">IFERROR(INDEX(ScoreSearch[],MATCH(ScoreData[[#This Row],[Home?]]&amp;ScoreData[[#Headers],[Jammer]],ScoreSearch[Home?]&amp;ScoreSearch[Item],1),3),"")</f>
        <v>$B</v>
      </c>
      <c r="O113" s="1219" t="str">
        <f t="array" ref="O113">IFERROR(INDEX(ScoreSearch[],MATCH(ScoreData[[#This Row],[Home?]]&amp;ScoreData[[#Headers],[Lead]],ScoreSearch[Home?]&amp;ScoreSearch[Item],1),3),"")</f>
        <v>$D</v>
      </c>
      <c r="P113" s="1219" t="str">
        <f t="array" ref="P113">IFERROR(INDEX(ScoreSearch[],MATCH(ScoreData[[#This Row],[Home?]]&amp;ScoreData[[#Headers],[Call]],ScoreSearch[Home?]&amp;ScoreSearch[Item],1),3),"")</f>
        <v>$E</v>
      </c>
      <c r="Q113" s="1219" t="str">
        <f t="array" ref="Q113">IFERROR(INDEX(ScoreSearch[],MATCH(ScoreData[[#This Row],[Home?]]&amp;ScoreData[[#Headers],[Penalty]],ScoreSearch[Home?]&amp;ScoreSearch[Item],1),3),"")</f>
        <v>$G</v>
      </c>
      <c r="R113" s="1222" t="str">
        <f t="array" ref="R113">IFERROR(INDEX(ScoreSearch[],MATCH(ScoreData[[#This Row],[Home?]]&amp;ScoreData[[#Headers],[Point]],ScoreSearch[Home?]&amp;ScoreSearch[Item],1),3),"")</f>
        <v>$Q</v>
      </c>
      <c r="S113" s="1222" t="str">
        <f t="array" ref="S113">IFERROR(INDEX(ScoreSearch[],MATCH(ScoreData[[#This Row],[Home?]]&amp;ScoreData[[#Headers],[Pass]],ScoreSearch[Home?]&amp;ScoreSearch[Item],1),3),"")</f>
        <v>$S</v>
      </c>
      <c r="T113" s="1219">
        <v>81</v>
      </c>
    </row>
    <row r="114" spans="1:20" x14ac:dyDescent="0.25">
      <c r="A114" s="1218">
        <f>[1]IBRF!$B$5</f>
        <v>41734</v>
      </c>
      <c r="B114" s="1221">
        <f t="shared" si="3"/>
        <v>0.83333333333333337</v>
      </c>
      <c r="C114" s="1219">
        <v>2</v>
      </c>
      <c r="D114" s="1219">
        <f ca="1">IF(ScoreData[[#This Row],[Passed?]],D113,INDIRECT($X$24&amp;ScoreData[[#This Row],[Jam]]&amp;ScoreData[[#This Row],[RefRow]]))</f>
        <v>0</v>
      </c>
      <c r="E114" s="1219" t="str">
        <f t="shared" si="4"/>
        <v>Plan B</v>
      </c>
      <c r="F114" s="1219" t="str">
        <f ca="1">IF(INDIRECT($X$24&amp;ScoreData[[#This Row],[Jammer]]&amp;ScoreData[[#This Row],[RefRow]])=0,"",INDIRECT($X$24&amp;ScoreData[[#This Row],[Jammer]]&amp;ScoreData[[#This Row],[RefRow]]))</f>
        <v/>
      </c>
      <c r="G114" s="1219" t="str">
        <f ca="1">IF(INDIRECT($X$24&amp;ScoreData[[#This Row],[Lead]]&amp;ScoreData[[#This Row],[RefRow]])="X","YES","NO")</f>
        <v>NO</v>
      </c>
      <c r="H114" s="1219" t="str">
        <f ca="1">IF(INDIRECT($X$24&amp;ScoreData[[#This Row],[Call]]&amp;ScoreData[[#This Row],[RefRow]])="X","YES","NO")</f>
        <v>NO</v>
      </c>
      <c r="I114" s="1219">
        <f ca="1">INDIRECT($X$24&amp;ScoreData[[#This Row],[Pass]]&amp;ScoreData[[#This Row],[RefRow]])</f>
        <v>0</v>
      </c>
      <c r="J114" s="1219" t="str">
        <f ca="1">IF(INDIRECT($X$24&amp;ScoreData[[#This Row],[Point]]&amp;ScoreData[[#This Row],[RefRow]])=0,"",INDIRECT($X$24&amp;ScoreData[[#This Row],[Point]]&amp;ScoreData[[#This Row],[RefRow]]))</f>
        <v/>
      </c>
      <c r="K114" s="1219" t="b">
        <f ca="1">IF(OR(INDIRECT($X$24&amp;ScoreData[[#This Row],[Jam]]&amp;ScoreData[[#This Row],[RefRow]])="SP",INDIRECT($X$24&amp;ScoreData[[#This Row],[Jam]]&amp;ScoreData[[#This Row],[RefRow]])="SP*"),TRUE,FALSE)</f>
        <v>0</v>
      </c>
      <c r="L114" s="1219" t="b">
        <v>1</v>
      </c>
      <c r="M114" s="1219" t="str">
        <f t="array" ref="M114">IFERROR(INDEX(ScoreSearch[],MATCH(ScoreData[[#This Row],[Home?]]&amp;ScoreData[[#Headers],[Jam]],ScoreSearch[Home?]&amp;ScoreSearch[Item],1),3),"")</f>
        <v>$A</v>
      </c>
      <c r="N114" s="1219" t="str">
        <f t="array" ref="N114">IFERROR(INDEX(ScoreSearch[],MATCH(ScoreData[[#This Row],[Home?]]&amp;ScoreData[[#Headers],[Jammer]],ScoreSearch[Home?]&amp;ScoreSearch[Item],1),3),"")</f>
        <v>$B</v>
      </c>
      <c r="O114" s="1219" t="str">
        <f t="array" ref="O114">IFERROR(INDEX(ScoreSearch[],MATCH(ScoreData[[#This Row],[Home?]]&amp;ScoreData[[#Headers],[Lead]],ScoreSearch[Home?]&amp;ScoreSearch[Item],1),3),"")</f>
        <v>$D</v>
      </c>
      <c r="P114" s="1219" t="str">
        <f t="array" ref="P114">IFERROR(INDEX(ScoreSearch[],MATCH(ScoreData[[#This Row],[Home?]]&amp;ScoreData[[#Headers],[Call]],ScoreSearch[Home?]&amp;ScoreSearch[Item],1),3),"")</f>
        <v>$E</v>
      </c>
      <c r="Q114" s="1219" t="str">
        <f t="array" ref="Q114">IFERROR(INDEX(ScoreSearch[],MATCH(ScoreData[[#This Row],[Home?]]&amp;ScoreData[[#Headers],[Penalty]],ScoreSearch[Home?]&amp;ScoreSearch[Item],1),3),"")</f>
        <v>$G</v>
      </c>
      <c r="R114" s="1222" t="str">
        <f t="array" ref="R114">IFERROR(INDEX(ScoreSearch[],MATCH(ScoreData[[#This Row],[Home?]]&amp;ScoreData[[#Headers],[Point]],ScoreSearch[Home?]&amp;ScoreSearch[Item],1),3),"")</f>
        <v>$Q</v>
      </c>
      <c r="S114" s="1222" t="str">
        <f t="array" ref="S114">IFERROR(INDEX(ScoreSearch[],MATCH(ScoreData[[#This Row],[Home?]]&amp;ScoreData[[#Headers],[Pass]],ScoreSearch[Home?]&amp;ScoreSearch[Item],1),3),"")</f>
        <v>$S</v>
      </c>
      <c r="T114" s="1219">
        <v>82</v>
      </c>
    </row>
    <row r="115" spans="1:20" x14ac:dyDescent="0.25">
      <c r="A115" s="1218">
        <f>[1]IBRF!$B$5</f>
        <v>41734</v>
      </c>
      <c r="B115" s="1221">
        <f t="shared" si="3"/>
        <v>0.83333333333333337</v>
      </c>
      <c r="C115" s="1219">
        <v>2</v>
      </c>
      <c r="D115" s="1219">
        <f ca="1">IF(ScoreData[[#This Row],[Passed?]],D114,INDIRECT($X$24&amp;ScoreData[[#This Row],[Jam]]&amp;ScoreData[[#This Row],[RefRow]]))</f>
        <v>0</v>
      </c>
      <c r="E115" s="1219" t="str">
        <f t="shared" si="4"/>
        <v>Plan B</v>
      </c>
      <c r="F115" s="1219" t="str">
        <f ca="1">IF(INDIRECT($X$24&amp;ScoreData[[#This Row],[Jammer]]&amp;ScoreData[[#This Row],[RefRow]])=0,"",INDIRECT($X$24&amp;ScoreData[[#This Row],[Jammer]]&amp;ScoreData[[#This Row],[RefRow]]))</f>
        <v/>
      </c>
      <c r="G115" s="1219" t="str">
        <f ca="1">IF(INDIRECT($X$24&amp;ScoreData[[#This Row],[Lead]]&amp;ScoreData[[#This Row],[RefRow]])="X","YES","NO")</f>
        <v>NO</v>
      </c>
      <c r="H115" s="1219" t="str">
        <f ca="1">IF(INDIRECT($X$24&amp;ScoreData[[#This Row],[Call]]&amp;ScoreData[[#This Row],[RefRow]])="X","YES","NO")</f>
        <v>NO</v>
      </c>
      <c r="I115" s="1219">
        <f ca="1">INDIRECT($X$24&amp;ScoreData[[#This Row],[Pass]]&amp;ScoreData[[#This Row],[RefRow]])</f>
        <v>0</v>
      </c>
      <c r="J115" s="1219" t="str">
        <f ca="1">IF(INDIRECT($X$24&amp;ScoreData[[#This Row],[Point]]&amp;ScoreData[[#This Row],[RefRow]])=0,"",INDIRECT($X$24&amp;ScoreData[[#This Row],[Point]]&amp;ScoreData[[#This Row],[RefRow]]))</f>
        <v/>
      </c>
      <c r="K115" s="1219" t="b">
        <f ca="1">IF(OR(INDIRECT($X$24&amp;ScoreData[[#This Row],[Jam]]&amp;ScoreData[[#This Row],[RefRow]])="SP",INDIRECT($X$24&amp;ScoreData[[#This Row],[Jam]]&amp;ScoreData[[#This Row],[RefRow]])="SP*"),TRUE,FALSE)</f>
        <v>0</v>
      </c>
      <c r="L115" s="1219" t="b">
        <v>1</v>
      </c>
      <c r="M115" s="1219" t="str">
        <f t="array" ref="M115">IFERROR(INDEX(ScoreSearch[],MATCH(ScoreData[[#This Row],[Home?]]&amp;ScoreData[[#Headers],[Jam]],ScoreSearch[Home?]&amp;ScoreSearch[Item],1),3),"")</f>
        <v>$A</v>
      </c>
      <c r="N115" s="1219" t="str">
        <f t="array" ref="N115">IFERROR(INDEX(ScoreSearch[],MATCH(ScoreData[[#This Row],[Home?]]&amp;ScoreData[[#Headers],[Jammer]],ScoreSearch[Home?]&amp;ScoreSearch[Item],1),3),"")</f>
        <v>$B</v>
      </c>
      <c r="O115" s="1219" t="str">
        <f t="array" ref="O115">IFERROR(INDEX(ScoreSearch[],MATCH(ScoreData[[#This Row],[Home?]]&amp;ScoreData[[#Headers],[Lead]],ScoreSearch[Home?]&amp;ScoreSearch[Item],1),3),"")</f>
        <v>$D</v>
      </c>
      <c r="P115" s="1219" t="str">
        <f t="array" ref="P115">IFERROR(INDEX(ScoreSearch[],MATCH(ScoreData[[#This Row],[Home?]]&amp;ScoreData[[#Headers],[Call]],ScoreSearch[Home?]&amp;ScoreSearch[Item],1),3),"")</f>
        <v>$E</v>
      </c>
      <c r="Q115" s="1219" t="str">
        <f t="array" ref="Q115">IFERROR(INDEX(ScoreSearch[],MATCH(ScoreData[[#This Row],[Home?]]&amp;ScoreData[[#Headers],[Penalty]],ScoreSearch[Home?]&amp;ScoreSearch[Item],1),3),"")</f>
        <v>$G</v>
      </c>
      <c r="R115" s="1222" t="str">
        <f t="array" ref="R115">IFERROR(INDEX(ScoreSearch[],MATCH(ScoreData[[#This Row],[Home?]]&amp;ScoreData[[#Headers],[Point]],ScoreSearch[Home?]&amp;ScoreSearch[Item],1),3),"")</f>
        <v>$Q</v>
      </c>
      <c r="S115" s="1222" t="str">
        <f t="array" ref="S115">IFERROR(INDEX(ScoreSearch[],MATCH(ScoreData[[#This Row],[Home?]]&amp;ScoreData[[#Headers],[Pass]],ScoreSearch[Home?]&amp;ScoreSearch[Item],1),3),"")</f>
        <v>$S</v>
      </c>
      <c r="T115" s="1219">
        <v>83</v>
      </c>
    </row>
    <row r="116" spans="1:20" x14ac:dyDescent="0.25">
      <c r="A116" s="1218">
        <f>[1]IBRF!$B$5</f>
        <v>41734</v>
      </c>
      <c r="B116" s="1221">
        <f t="shared" si="3"/>
        <v>0.83333333333333337</v>
      </c>
      <c r="C116" s="1219">
        <v>2</v>
      </c>
      <c r="D116" s="1219">
        <f ca="1">IF(ScoreData[[#This Row],[Passed?]],D115,INDIRECT($X$24&amp;ScoreData[[#This Row],[Jam]]&amp;ScoreData[[#This Row],[RefRow]]))</f>
        <v>1</v>
      </c>
      <c r="E116" s="1219" t="str">
        <f>$X$3</f>
        <v>Harlots</v>
      </c>
      <c r="F116" s="1219" t="str">
        <f ca="1">IF(INDIRECT($X$24&amp;ScoreData[[#This Row],[Jammer]]&amp;ScoreData[[#This Row],[RefRow]])=0,"",INDIRECT($X$24&amp;ScoreData[[#This Row],[Jammer]]&amp;ScoreData[[#This Row],[RefRow]]))</f>
        <v>58</v>
      </c>
      <c r="G116" s="1219" t="str">
        <f ca="1">IF(INDIRECT($X$24&amp;ScoreData[[#This Row],[Lead]]&amp;ScoreData[[#This Row],[RefRow]])="X","YES","NO")</f>
        <v>NO</v>
      </c>
      <c r="H116" s="1219" t="str">
        <f ca="1">IF(INDIRECT($X$24&amp;ScoreData[[#This Row],[Call]]&amp;ScoreData[[#This Row],[RefRow]])="X","YES","NO")</f>
        <v>NO</v>
      </c>
      <c r="I116" s="1219">
        <f ca="1">INDIRECT($X$24&amp;ScoreData[[#This Row],[Pass]]&amp;ScoreData[[#This Row],[RefRow]])</f>
        <v>0</v>
      </c>
      <c r="J116" s="1219" t="str">
        <f ca="1">IF(INDIRECT($X$24&amp;ScoreData[[#This Row],[Point]]&amp;ScoreData[[#This Row],[RefRow]])=0,"",INDIRECT($X$24&amp;ScoreData[[#This Row],[Point]]&amp;ScoreData[[#This Row],[RefRow]]))</f>
        <v/>
      </c>
      <c r="K116" s="1219" t="b">
        <f ca="1">IF(OR(INDIRECT($X$24&amp;ScoreData[[#This Row],[Jam]]&amp;ScoreData[[#This Row],[RefRow]])="SP",INDIRECT($X$24&amp;ScoreData[[#This Row],[Jam]]&amp;ScoreData[[#This Row],[RefRow]])="SP*"),TRUE,FALSE)</f>
        <v>0</v>
      </c>
      <c r="L116" s="1219" t="b">
        <v>0</v>
      </c>
      <c r="M116" s="1219" t="str">
        <f t="array" ref="M116">IFERROR(INDEX(ScoreSearch[],MATCH(ScoreData[[#This Row],[Home?]]&amp;ScoreData[[#Headers],[Jam]],ScoreSearch[Home?]&amp;ScoreSearch[Item],1),3),"")</f>
        <v>$T</v>
      </c>
      <c r="N116" s="1219" t="str">
        <f t="array" ref="N116">IFERROR(INDEX(ScoreSearch[],MATCH(ScoreData[[#This Row],[Home?]]&amp;ScoreData[[#Headers],[Jammer]],ScoreSearch[Home?]&amp;ScoreSearch[Item],1),3),"")</f>
        <v>$U</v>
      </c>
      <c r="O116" s="1219" t="str">
        <f t="array" ref="O116">IFERROR(INDEX(ScoreSearch[],MATCH(ScoreData[[#This Row],[Home?]]&amp;ScoreData[[#Headers],[Lead]],ScoreSearch[Home?]&amp;ScoreSearch[Item],1),3),"")</f>
        <v>$W</v>
      </c>
      <c r="P116" s="1219" t="str">
        <f t="array" ref="P116">IFERROR(INDEX(ScoreSearch[],MATCH(ScoreData[[#This Row],[Home?]]&amp;ScoreData[[#Headers],[Call]],ScoreSearch[Home?]&amp;ScoreSearch[Item],1),3),"")</f>
        <v>$X</v>
      </c>
      <c r="Q116" s="1219" t="str">
        <f t="array" ref="Q116">IFERROR(INDEX(ScoreSearch[],MATCH(ScoreData[[#This Row],[Home?]]&amp;ScoreData[[#Headers],[Penalty]],ScoreSearch[Home?]&amp;ScoreSearch[Item],1),3),"")</f>
        <v>$Z</v>
      </c>
      <c r="R116" s="1222" t="str">
        <f t="array" ref="R116">IFERROR(INDEX(ScoreSearch[],MATCH(ScoreData[[#This Row],[Home?]]&amp;ScoreData[[#Headers],[Point]],ScoreSearch[Home?]&amp;ScoreSearch[Item],1),3),"")</f>
        <v>$AJ</v>
      </c>
      <c r="S116" s="1222" t="str">
        <f t="array" ref="S116">IFERROR(INDEX(ScoreSearch[],MATCH(ScoreData[[#This Row],[Home?]]&amp;ScoreData[[#Headers],[Pass]],ScoreSearch[Home?]&amp;ScoreSearch[Item],1),3),"")</f>
        <v>$AL</v>
      </c>
      <c r="T116" s="1219">
        <v>46</v>
      </c>
    </row>
    <row r="117" spans="1:20" x14ac:dyDescent="0.25">
      <c r="A117" s="1218">
        <f>[1]IBRF!$B$5</f>
        <v>41734</v>
      </c>
      <c r="B117" s="1221">
        <f t="shared" si="3"/>
        <v>0.83333333333333337</v>
      </c>
      <c r="C117" s="1219">
        <v>2</v>
      </c>
      <c r="D117" s="1219">
        <f ca="1">IF(ScoreData[[#This Row],[Passed?]],D116,INDIRECT($X$24&amp;ScoreData[[#This Row],[Jam]]&amp;ScoreData[[#This Row],[RefRow]]))</f>
        <v>2</v>
      </c>
      <c r="E117" s="1219" t="str">
        <f t="shared" ref="E117:E153" si="5">$X$3</f>
        <v>Harlots</v>
      </c>
      <c r="F117" s="1219" t="str">
        <f ca="1">IF(INDIRECT($X$24&amp;ScoreData[[#This Row],[Jammer]]&amp;ScoreData[[#This Row],[RefRow]])=0,"",INDIRECT($X$24&amp;ScoreData[[#This Row],[Jammer]]&amp;ScoreData[[#This Row],[RefRow]]))</f>
        <v>11G6</v>
      </c>
      <c r="G117" s="1223" t="str">
        <f ca="1">IF(INDIRECT($X$24&amp;ScoreData[[#This Row],[Lead]]&amp;ScoreData[[#This Row],[RefRow]])="X","YES","NO")</f>
        <v>NO</v>
      </c>
      <c r="H117" s="1223" t="str">
        <f ca="1">IF(INDIRECT($X$24&amp;ScoreData[[#This Row],[Call]]&amp;ScoreData[[#This Row],[RefRow]])="X","YES","NO")</f>
        <v>NO</v>
      </c>
      <c r="I117" s="1223">
        <f ca="1">INDIRECT($X$24&amp;ScoreData[[#This Row],[Pass]]&amp;ScoreData[[#This Row],[RefRow]])</f>
        <v>1</v>
      </c>
      <c r="J117" s="1223" t="str">
        <f ca="1">IF(INDIRECT($X$24&amp;ScoreData[[#This Row],[Point]]&amp;ScoreData[[#This Row],[RefRow]])=0,"",INDIRECT($X$24&amp;ScoreData[[#This Row],[Point]]&amp;ScoreData[[#This Row],[RefRow]]))</f>
        <v/>
      </c>
      <c r="K117" s="1219" t="b">
        <f ca="1">IF(OR(INDIRECT($X$24&amp;ScoreData[[#This Row],[Jam]]&amp;ScoreData[[#This Row],[RefRow]])="SP",INDIRECT($X$24&amp;ScoreData[[#This Row],[Jam]]&amp;ScoreData[[#This Row],[RefRow]])="SP*"),TRUE,FALSE)</f>
        <v>0</v>
      </c>
      <c r="L117" s="1219" t="b">
        <v>0</v>
      </c>
      <c r="M117" s="1219" t="str">
        <f t="array" ref="M117">IFERROR(INDEX(ScoreSearch[],MATCH(ScoreData[[#This Row],[Home?]]&amp;ScoreData[[#Headers],[Jam]],ScoreSearch[Home?]&amp;ScoreSearch[Item],1),3),"")</f>
        <v>$T</v>
      </c>
      <c r="N117" s="1219" t="str">
        <f t="array" ref="N117">IFERROR(INDEX(ScoreSearch[],MATCH(ScoreData[[#This Row],[Home?]]&amp;ScoreData[[#Headers],[Jammer]],ScoreSearch[Home?]&amp;ScoreSearch[Item],1),3),"")</f>
        <v>$U</v>
      </c>
      <c r="O117" s="1219" t="str">
        <f t="array" ref="O117">IFERROR(INDEX(ScoreSearch[],MATCH(ScoreData[[#This Row],[Home?]]&amp;ScoreData[[#Headers],[Lead]],ScoreSearch[Home?]&amp;ScoreSearch[Item],1),3),"")</f>
        <v>$W</v>
      </c>
      <c r="P117" s="1219" t="str">
        <f t="array" ref="P117">IFERROR(INDEX(ScoreSearch[],MATCH(ScoreData[[#This Row],[Home?]]&amp;ScoreData[[#Headers],[Call]],ScoreSearch[Home?]&amp;ScoreSearch[Item],1),3),"")</f>
        <v>$X</v>
      </c>
      <c r="Q117" s="1219" t="str">
        <f t="array" ref="Q117">IFERROR(INDEX(ScoreSearch[],MATCH(ScoreData[[#This Row],[Home?]]&amp;ScoreData[[#Headers],[Penalty]],ScoreSearch[Home?]&amp;ScoreSearch[Item],1),3),"")</f>
        <v>$Z</v>
      </c>
      <c r="R117" s="1222" t="str">
        <f t="array" ref="R117">IFERROR(INDEX(ScoreSearch[],MATCH(ScoreData[[#This Row],[Home?]]&amp;ScoreData[[#Headers],[Point]],ScoreSearch[Home?]&amp;ScoreSearch[Item],1),3),"")</f>
        <v>$AJ</v>
      </c>
      <c r="S117" s="1222" t="str">
        <f t="array" ref="S117">IFERROR(INDEX(ScoreSearch[],MATCH(ScoreData[[#This Row],[Home?]]&amp;ScoreData[[#Headers],[Pass]],ScoreSearch[Home?]&amp;ScoreSearch[Item],1),3),"")</f>
        <v>$AL</v>
      </c>
      <c r="T117" s="1219">
        <v>47</v>
      </c>
    </row>
    <row r="118" spans="1:20" x14ac:dyDescent="0.25">
      <c r="A118" s="1218">
        <f>[1]IBRF!$B$5</f>
        <v>41734</v>
      </c>
      <c r="B118" s="1221">
        <f t="shared" si="3"/>
        <v>0.83333333333333337</v>
      </c>
      <c r="C118" s="1219">
        <v>2</v>
      </c>
      <c r="D118" s="1219">
        <f ca="1">IF(ScoreData[[#This Row],[Passed?]],D117,INDIRECT($X$24&amp;ScoreData[[#This Row],[Jam]]&amp;ScoreData[[#This Row],[RefRow]]))</f>
        <v>3</v>
      </c>
      <c r="E118" s="1219" t="str">
        <f t="shared" si="5"/>
        <v>Harlots</v>
      </c>
      <c r="F118" s="1219" t="str">
        <f ca="1">IF(INDIRECT($X$24&amp;ScoreData[[#This Row],[Jammer]]&amp;ScoreData[[#This Row],[RefRow]])=0,"",INDIRECT($X$24&amp;ScoreData[[#This Row],[Jammer]]&amp;ScoreData[[#This Row],[RefRow]]))</f>
        <v>K9</v>
      </c>
      <c r="G118" s="1219" t="str">
        <f ca="1">IF(INDIRECT($X$24&amp;ScoreData[[#This Row],[Lead]]&amp;ScoreData[[#This Row],[RefRow]])="X","YES","NO")</f>
        <v>YES</v>
      </c>
      <c r="H118" s="1219" t="str">
        <f ca="1">IF(INDIRECT($X$24&amp;ScoreData[[#This Row],[Call]]&amp;ScoreData[[#This Row],[RefRow]])="X","YES","NO")</f>
        <v>YES</v>
      </c>
      <c r="I118" s="1219">
        <f ca="1">INDIRECT($X$24&amp;ScoreData[[#This Row],[Pass]]&amp;ScoreData[[#This Row],[RefRow]])</f>
        <v>3</v>
      </c>
      <c r="J118" s="1219">
        <f ca="1">IF(INDIRECT($X$24&amp;ScoreData[[#This Row],[Point]]&amp;ScoreData[[#This Row],[RefRow]])=0,"",INDIRECT($X$24&amp;ScoreData[[#This Row],[Point]]&amp;ScoreData[[#This Row],[RefRow]]))</f>
        <v>12</v>
      </c>
      <c r="K118" s="1219" t="b">
        <f ca="1">IF(OR(INDIRECT($X$24&amp;ScoreData[[#This Row],[Jam]]&amp;ScoreData[[#This Row],[RefRow]])="SP",INDIRECT($X$24&amp;ScoreData[[#This Row],[Jam]]&amp;ScoreData[[#This Row],[RefRow]])="SP*"),TRUE,FALSE)</f>
        <v>0</v>
      </c>
      <c r="L118" s="1219" t="b">
        <v>0</v>
      </c>
      <c r="M118" s="1219" t="str">
        <f t="array" ref="M118">IFERROR(INDEX(ScoreSearch[],MATCH(ScoreData[[#This Row],[Home?]]&amp;ScoreData[[#Headers],[Jam]],ScoreSearch[Home?]&amp;ScoreSearch[Item],1),3),"")</f>
        <v>$T</v>
      </c>
      <c r="N118" s="1219" t="str">
        <f t="array" ref="N118">IFERROR(INDEX(ScoreSearch[],MATCH(ScoreData[[#This Row],[Home?]]&amp;ScoreData[[#Headers],[Jammer]],ScoreSearch[Home?]&amp;ScoreSearch[Item],1),3),"")</f>
        <v>$U</v>
      </c>
      <c r="O118" s="1219" t="str">
        <f t="array" ref="O118">IFERROR(INDEX(ScoreSearch[],MATCH(ScoreData[[#This Row],[Home?]]&amp;ScoreData[[#Headers],[Lead]],ScoreSearch[Home?]&amp;ScoreSearch[Item],1),3),"")</f>
        <v>$W</v>
      </c>
      <c r="P118" s="1219" t="str">
        <f t="array" ref="P118">IFERROR(INDEX(ScoreSearch[],MATCH(ScoreData[[#This Row],[Home?]]&amp;ScoreData[[#Headers],[Call]],ScoreSearch[Home?]&amp;ScoreSearch[Item],1),3),"")</f>
        <v>$X</v>
      </c>
      <c r="Q118" s="1219" t="str">
        <f t="array" ref="Q118">IFERROR(INDEX(ScoreSearch[],MATCH(ScoreData[[#This Row],[Home?]]&amp;ScoreData[[#Headers],[Penalty]],ScoreSearch[Home?]&amp;ScoreSearch[Item],1),3),"")</f>
        <v>$Z</v>
      </c>
      <c r="R118" s="1222" t="str">
        <f t="array" ref="R118">IFERROR(INDEX(ScoreSearch[],MATCH(ScoreData[[#This Row],[Home?]]&amp;ScoreData[[#Headers],[Point]],ScoreSearch[Home?]&amp;ScoreSearch[Item],1),3),"")</f>
        <v>$AJ</v>
      </c>
      <c r="S118" s="1222" t="str">
        <f t="array" ref="S118">IFERROR(INDEX(ScoreSearch[],MATCH(ScoreData[[#This Row],[Home?]]&amp;ScoreData[[#Headers],[Pass]],ScoreSearch[Home?]&amp;ScoreSearch[Item],1),3),"")</f>
        <v>$AL</v>
      </c>
      <c r="T118" s="1219">
        <v>48</v>
      </c>
    </row>
    <row r="119" spans="1:20" x14ac:dyDescent="0.25">
      <c r="A119" s="1218">
        <f>[1]IBRF!$B$5</f>
        <v>41734</v>
      </c>
      <c r="B119" s="1221">
        <f t="shared" si="3"/>
        <v>0.83333333333333337</v>
      </c>
      <c r="C119" s="1219">
        <v>2</v>
      </c>
      <c r="D119" s="1219">
        <f ca="1">IF(ScoreData[[#This Row],[Passed?]],D118,INDIRECT($X$24&amp;ScoreData[[#This Row],[Jam]]&amp;ScoreData[[#This Row],[RefRow]]))</f>
        <v>4</v>
      </c>
      <c r="E119" s="1219" t="str">
        <f t="shared" si="5"/>
        <v>Harlots</v>
      </c>
      <c r="F119" s="1219" t="str">
        <f ca="1">IF(INDIRECT($X$24&amp;ScoreData[[#This Row],[Jammer]]&amp;ScoreData[[#This Row],[RefRow]])=0,"",INDIRECT($X$24&amp;ScoreData[[#This Row],[Jammer]]&amp;ScoreData[[#This Row],[RefRow]]))</f>
        <v>451</v>
      </c>
      <c r="G119" s="1219" t="str">
        <f ca="1">IF(INDIRECT($X$24&amp;ScoreData[[#This Row],[Lead]]&amp;ScoreData[[#This Row],[RefRow]])="X","YES","NO")</f>
        <v>NO</v>
      </c>
      <c r="H119" s="1219" t="str">
        <f ca="1">IF(INDIRECT($X$24&amp;ScoreData[[#This Row],[Call]]&amp;ScoreData[[#This Row],[RefRow]])="X","YES","NO")</f>
        <v>NO</v>
      </c>
      <c r="I119" s="1219">
        <f ca="1">INDIRECT($X$24&amp;ScoreData[[#This Row],[Pass]]&amp;ScoreData[[#This Row],[RefRow]])</f>
        <v>2</v>
      </c>
      <c r="J119" s="1219">
        <f ca="1">IF(INDIRECT($X$24&amp;ScoreData[[#This Row],[Point]]&amp;ScoreData[[#This Row],[RefRow]])=0,"",INDIRECT($X$24&amp;ScoreData[[#This Row],[Point]]&amp;ScoreData[[#This Row],[RefRow]]))</f>
        <v>4</v>
      </c>
      <c r="K119" s="1219" t="b">
        <f ca="1">IF(OR(INDIRECT($X$24&amp;ScoreData[[#This Row],[Jam]]&amp;ScoreData[[#This Row],[RefRow]])="SP",INDIRECT($X$24&amp;ScoreData[[#This Row],[Jam]]&amp;ScoreData[[#This Row],[RefRow]])="SP*"),TRUE,FALSE)</f>
        <v>0</v>
      </c>
      <c r="L119" s="1219" t="b">
        <v>0</v>
      </c>
      <c r="M119" s="1219" t="str">
        <f t="array" ref="M119">IFERROR(INDEX(ScoreSearch[],MATCH(ScoreData[[#This Row],[Home?]]&amp;ScoreData[[#Headers],[Jam]],ScoreSearch[Home?]&amp;ScoreSearch[Item],1),3),"")</f>
        <v>$T</v>
      </c>
      <c r="N119" s="1219" t="str">
        <f t="array" ref="N119">IFERROR(INDEX(ScoreSearch[],MATCH(ScoreData[[#This Row],[Home?]]&amp;ScoreData[[#Headers],[Jammer]],ScoreSearch[Home?]&amp;ScoreSearch[Item],1),3),"")</f>
        <v>$U</v>
      </c>
      <c r="O119" s="1219" t="str">
        <f t="array" ref="O119">IFERROR(INDEX(ScoreSearch[],MATCH(ScoreData[[#This Row],[Home?]]&amp;ScoreData[[#Headers],[Lead]],ScoreSearch[Home?]&amp;ScoreSearch[Item],1),3),"")</f>
        <v>$W</v>
      </c>
      <c r="P119" s="1219" t="str">
        <f t="array" ref="P119">IFERROR(INDEX(ScoreSearch[],MATCH(ScoreData[[#This Row],[Home?]]&amp;ScoreData[[#Headers],[Call]],ScoreSearch[Home?]&amp;ScoreSearch[Item],1),3),"")</f>
        <v>$X</v>
      </c>
      <c r="Q119" s="1219" t="str">
        <f t="array" ref="Q119">IFERROR(INDEX(ScoreSearch[],MATCH(ScoreData[[#This Row],[Home?]]&amp;ScoreData[[#Headers],[Penalty]],ScoreSearch[Home?]&amp;ScoreSearch[Item],1),3),"")</f>
        <v>$Z</v>
      </c>
      <c r="R119" s="1222" t="str">
        <f t="array" ref="R119">IFERROR(INDEX(ScoreSearch[],MATCH(ScoreData[[#This Row],[Home?]]&amp;ScoreData[[#Headers],[Point]],ScoreSearch[Home?]&amp;ScoreSearch[Item],1),3),"")</f>
        <v>$AJ</v>
      </c>
      <c r="S119" s="1222" t="str">
        <f t="array" ref="S119">IFERROR(INDEX(ScoreSearch[],MATCH(ScoreData[[#This Row],[Home?]]&amp;ScoreData[[#Headers],[Pass]],ScoreSearch[Home?]&amp;ScoreSearch[Item],1),3),"")</f>
        <v>$AL</v>
      </c>
      <c r="T119" s="1219">
        <v>49</v>
      </c>
    </row>
    <row r="120" spans="1:20" x14ac:dyDescent="0.25">
      <c r="A120" s="1218">
        <f>[1]IBRF!$B$5</f>
        <v>41734</v>
      </c>
      <c r="B120" s="1221">
        <f t="shared" si="3"/>
        <v>0.83333333333333337</v>
      </c>
      <c r="C120" s="1219">
        <v>2</v>
      </c>
      <c r="D120" s="1219">
        <f ca="1">IF(ScoreData[[#This Row],[Passed?]],D119,INDIRECT($X$24&amp;ScoreData[[#This Row],[Jam]]&amp;ScoreData[[#This Row],[RefRow]]))</f>
        <v>5</v>
      </c>
      <c r="E120" s="1219" t="str">
        <f t="shared" si="5"/>
        <v>Harlots</v>
      </c>
      <c r="F120" s="1219" t="str">
        <f ca="1">IF(INDIRECT($X$24&amp;ScoreData[[#This Row],[Jammer]]&amp;ScoreData[[#This Row],[RefRow]])=0,"",INDIRECT($X$24&amp;ScoreData[[#This Row],[Jammer]]&amp;ScoreData[[#This Row],[RefRow]]))</f>
        <v>11G6</v>
      </c>
      <c r="G120" s="1219" t="str">
        <f ca="1">IF(INDIRECT($X$24&amp;ScoreData[[#This Row],[Lead]]&amp;ScoreData[[#This Row],[RefRow]])="X","YES","NO")</f>
        <v>NO</v>
      </c>
      <c r="H120" s="1219" t="str">
        <f ca="1">IF(INDIRECT($X$24&amp;ScoreData[[#This Row],[Call]]&amp;ScoreData[[#This Row],[RefRow]])="X","YES","NO")</f>
        <v>NO</v>
      </c>
      <c r="I120" s="1219">
        <f ca="1">INDIRECT($X$24&amp;ScoreData[[#This Row],[Pass]]&amp;ScoreData[[#This Row],[RefRow]])</f>
        <v>0</v>
      </c>
      <c r="J120" s="1219" t="str">
        <f ca="1">IF(INDIRECT($X$24&amp;ScoreData[[#This Row],[Point]]&amp;ScoreData[[#This Row],[RefRow]])=0,"",INDIRECT($X$24&amp;ScoreData[[#This Row],[Point]]&amp;ScoreData[[#This Row],[RefRow]]))</f>
        <v/>
      </c>
      <c r="K120" s="1219" t="b">
        <f ca="1">IF(OR(INDIRECT($X$24&amp;ScoreData[[#This Row],[Jam]]&amp;ScoreData[[#This Row],[RefRow]])="SP",INDIRECT($X$24&amp;ScoreData[[#This Row],[Jam]]&amp;ScoreData[[#This Row],[RefRow]])="SP*"),TRUE,FALSE)</f>
        <v>0</v>
      </c>
      <c r="L120" s="1219" t="b">
        <v>0</v>
      </c>
      <c r="M120" s="1219" t="str">
        <f t="array" ref="M120">IFERROR(INDEX(ScoreSearch[],MATCH(ScoreData[[#This Row],[Home?]]&amp;ScoreData[[#Headers],[Jam]],ScoreSearch[Home?]&amp;ScoreSearch[Item],1),3),"")</f>
        <v>$T</v>
      </c>
      <c r="N120" s="1219" t="str">
        <f t="array" ref="N120">IFERROR(INDEX(ScoreSearch[],MATCH(ScoreData[[#This Row],[Home?]]&amp;ScoreData[[#Headers],[Jammer]],ScoreSearch[Home?]&amp;ScoreSearch[Item],1),3),"")</f>
        <v>$U</v>
      </c>
      <c r="O120" s="1219" t="str">
        <f t="array" ref="O120">IFERROR(INDEX(ScoreSearch[],MATCH(ScoreData[[#This Row],[Home?]]&amp;ScoreData[[#Headers],[Lead]],ScoreSearch[Home?]&amp;ScoreSearch[Item],1),3),"")</f>
        <v>$W</v>
      </c>
      <c r="P120" s="1219" t="str">
        <f t="array" ref="P120">IFERROR(INDEX(ScoreSearch[],MATCH(ScoreData[[#This Row],[Home?]]&amp;ScoreData[[#Headers],[Call]],ScoreSearch[Home?]&amp;ScoreSearch[Item],1),3),"")</f>
        <v>$X</v>
      </c>
      <c r="Q120" s="1219" t="str">
        <f t="array" ref="Q120">IFERROR(INDEX(ScoreSearch[],MATCH(ScoreData[[#This Row],[Home?]]&amp;ScoreData[[#Headers],[Penalty]],ScoreSearch[Home?]&amp;ScoreSearch[Item],1),3),"")</f>
        <v>$Z</v>
      </c>
      <c r="R120" s="1222" t="str">
        <f t="array" ref="R120">IFERROR(INDEX(ScoreSearch[],MATCH(ScoreData[[#This Row],[Home?]]&amp;ScoreData[[#Headers],[Point]],ScoreSearch[Home?]&amp;ScoreSearch[Item],1),3),"")</f>
        <v>$AJ</v>
      </c>
      <c r="S120" s="1222" t="str">
        <f t="array" ref="S120">IFERROR(INDEX(ScoreSearch[],MATCH(ScoreData[[#This Row],[Home?]]&amp;ScoreData[[#Headers],[Pass]],ScoreSearch[Home?]&amp;ScoreSearch[Item],1),3),"")</f>
        <v>$AL</v>
      </c>
      <c r="T120" s="1219">
        <v>50</v>
      </c>
    </row>
    <row r="121" spans="1:20" x14ac:dyDescent="0.25">
      <c r="A121" s="1218">
        <f>[1]IBRF!$B$5</f>
        <v>41734</v>
      </c>
      <c r="B121" s="1221">
        <f t="shared" si="3"/>
        <v>0.83333333333333337</v>
      </c>
      <c r="C121" s="1219">
        <v>2</v>
      </c>
      <c r="D121" s="1219">
        <f ca="1">IF(ScoreData[[#This Row],[Passed?]],D120,INDIRECT($X$24&amp;ScoreData[[#This Row],[Jam]]&amp;ScoreData[[#This Row],[RefRow]]))</f>
        <v>5</v>
      </c>
      <c r="E121" s="1219" t="str">
        <f t="shared" si="5"/>
        <v>Harlots</v>
      </c>
      <c r="F121" s="1219" t="str">
        <f ca="1">IF(INDIRECT($X$24&amp;ScoreData[[#This Row],[Jammer]]&amp;ScoreData[[#This Row],[RefRow]])=0,"",INDIRECT($X$24&amp;ScoreData[[#This Row],[Jammer]]&amp;ScoreData[[#This Row],[RefRow]]))</f>
        <v>519</v>
      </c>
      <c r="G121" s="1219" t="str">
        <f ca="1">IF(INDIRECT($X$24&amp;ScoreData[[#This Row],[Lead]]&amp;ScoreData[[#This Row],[RefRow]])="X","YES","NO")</f>
        <v>NO</v>
      </c>
      <c r="H121" s="1219" t="str">
        <f ca="1">IF(INDIRECT($X$24&amp;ScoreData[[#This Row],[Call]]&amp;ScoreData[[#This Row],[RefRow]])="X","YES","NO")</f>
        <v>NO</v>
      </c>
      <c r="I121" s="1219">
        <f ca="1">INDIRECT($X$24&amp;ScoreData[[#This Row],[Pass]]&amp;ScoreData[[#This Row],[RefRow]])</f>
        <v>3</v>
      </c>
      <c r="J121" s="1219">
        <f ca="1">IF(INDIRECT($X$24&amp;ScoreData[[#This Row],[Point]]&amp;ScoreData[[#This Row],[RefRow]])=0,"",INDIRECT($X$24&amp;ScoreData[[#This Row],[Point]]&amp;ScoreData[[#This Row],[RefRow]]))</f>
        <v>8</v>
      </c>
      <c r="K121" s="1219" t="b">
        <f ca="1">IF(OR(INDIRECT($X$24&amp;ScoreData[[#This Row],[Jam]]&amp;ScoreData[[#This Row],[RefRow]])="SP",INDIRECT($X$24&amp;ScoreData[[#This Row],[Jam]]&amp;ScoreData[[#This Row],[RefRow]])="SP*"),TRUE,FALSE)</f>
        <v>1</v>
      </c>
      <c r="L121" s="1219" t="b">
        <v>0</v>
      </c>
      <c r="M121" s="1219" t="str">
        <f t="array" ref="M121">IFERROR(INDEX(ScoreSearch[],MATCH(ScoreData[[#This Row],[Home?]]&amp;ScoreData[[#Headers],[Jam]],ScoreSearch[Home?]&amp;ScoreSearch[Item],1),3),"")</f>
        <v>$T</v>
      </c>
      <c r="N121" s="1219" t="str">
        <f t="array" ref="N121">IFERROR(INDEX(ScoreSearch[],MATCH(ScoreData[[#This Row],[Home?]]&amp;ScoreData[[#Headers],[Jammer]],ScoreSearch[Home?]&amp;ScoreSearch[Item],1),3),"")</f>
        <v>$U</v>
      </c>
      <c r="O121" s="1219" t="str">
        <f t="array" ref="O121">IFERROR(INDEX(ScoreSearch[],MATCH(ScoreData[[#This Row],[Home?]]&amp;ScoreData[[#Headers],[Lead]],ScoreSearch[Home?]&amp;ScoreSearch[Item],1),3),"")</f>
        <v>$W</v>
      </c>
      <c r="P121" s="1219" t="str">
        <f t="array" ref="P121">IFERROR(INDEX(ScoreSearch[],MATCH(ScoreData[[#This Row],[Home?]]&amp;ScoreData[[#Headers],[Call]],ScoreSearch[Home?]&amp;ScoreSearch[Item],1),3),"")</f>
        <v>$X</v>
      </c>
      <c r="Q121" s="1219" t="str">
        <f t="array" ref="Q121">IFERROR(INDEX(ScoreSearch[],MATCH(ScoreData[[#This Row],[Home?]]&amp;ScoreData[[#Headers],[Penalty]],ScoreSearch[Home?]&amp;ScoreSearch[Item],1),3),"")</f>
        <v>$Z</v>
      </c>
      <c r="R121" s="1222" t="str">
        <f t="array" ref="R121">IFERROR(INDEX(ScoreSearch[],MATCH(ScoreData[[#This Row],[Home?]]&amp;ScoreData[[#Headers],[Point]],ScoreSearch[Home?]&amp;ScoreSearch[Item],1),3),"")</f>
        <v>$AJ</v>
      </c>
      <c r="S121" s="1222" t="str">
        <f t="array" ref="S121">IFERROR(INDEX(ScoreSearch[],MATCH(ScoreData[[#This Row],[Home?]]&amp;ScoreData[[#Headers],[Pass]],ScoreSearch[Home?]&amp;ScoreSearch[Item],1),3),"")</f>
        <v>$AL</v>
      </c>
      <c r="T121" s="1219">
        <v>51</v>
      </c>
    </row>
    <row r="122" spans="1:20" x14ac:dyDescent="0.25">
      <c r="A122" s="1218">
        <f>[1]IBRF!$B$5</f>
        <v>41734</v>
      </c>
      <c r="B122" s="1221">
        <f t="shared" si="3"/>
        <v>0.83333333333333337</v>
      </c>
      <c r="C122" s="1219">
        <v>2</v>
      </c>
      <c r="D122" s="1219">
        <f ca="1">IF(ScoreData[[#This Row],[Passed?]],D121,INDIRECT($X$24&amp;ScoreData[[#This Row],[Jam]]&amp;ScoreData[[#This Row],[RefRow]]))</f>
        <v>6</v>
      </c>
      <c r="E122" s="1219" t="str">
        <f t="shared" si="5"/>
        <v>Harlots</v>
      </c>
      <c r="F122" s="1219" t="str">
        <f ca="1">IF(INDIRECT($X$24&amp;ScoreData[[#This Row],[Jammer]]&amp;ScoreData[[#This Row],[RefRow]])=0,"",INDIRECT($X$24&amp;ScoreData[[#This Row],[Jammer]]&amp;ScoreData[[#This Row],[RefRow]]))</f>
        <v>58</v>
      </c>
      <c r="G122" s="1219" t="str">
        <f ca="1">IF(INDIRECT($X$24&amp;ScoreData[[#This Row],[Lead]]&amp;ScoreData[[#This Row],[RefRow]])="X","YES","NO")</f>
        <v>NO</v>
      </c>
      <c r="H122" s="1219" t="str">
        <f ca="1">IF(INDIRECT($X$24&amp;ScoreData[[#This Row],[Call]]&amp;ScoreData[[#This Row],[RefRow]])="X","YES","NO")</f>
        <v>NO</v>
      </c>
      <c r="I122" s="1219">
        <f ca="1">INDIRECT($X$24&amp;ScoreData[[#This Row],[Pass]]&amp;ScoreData[[#This Row],[RefRow]])</f>
        <v>0</v>
      </c>
      <c r="J122" s="1219" t="str">
        <f ca="1">IF(INDIRECT($X$24&amp;ScoreData[[#This Row],[Point]]&amp;ScoreData[[#This Row],[RefRow]])=0,"",INDIRECT($X$24&amp;ScoreData[[#This Row],[Point]]&amp;ScoreData[[#This Row],[RefRow]]))</f>
        <v/>
      </c>
      <c r="K122" s="1219" t="b">
        <f ca="1">IF(OR(INDIRECT($X$24&amp;ScoreData[[#This Row],[Jam]]&amp;ScoreData[[#This Row],[RefRow]])="SP",INDIRECT($X$24&amp;ScoreData[[#This Row],[Jam]]&amp;ScoreData[[#This Row],[RefRow]])="SP*"),TRUE,FALSE)</f>
        <v>0</v>
      </c>
      <c r="L122" s="1219" t="b">
        <v>0</v>
      </c>
      <c r="M122" s="1219" t="str">
        <f t="array" ref="M122">IFERROR(INDEX(ScoreSearch[],MATCH(ScoreData[[#This Row],[Home?]]&amp;ScoreData[[#Headers],[Jam]],ScoreSearch[Home?]&amp;ScoreSearch[Item],1),3),"")</f>
        <v>$T</v>
      </c>
      <c r="N122" s="1219" t="str">
        <f t="array" ref="N122">IFERROR(INDEX(ScoreSearch[],MATCH(ScoreData[[#This Row],[Home?]]&amp;ScoreData[[#Headers],[Jammer]],ScoreSearch[Home?]&amp;ScoreSearch[Item],1),3),"")</f>
        <v>$U</v>
      </c>
      <c r="O122" s="1219" t="str">
        <f t="array" ref="O122">IFERROR(INDEX(ScoreSearch[],MATCH(ScoreData[[#This Row],[Home?]]&amp;ScoreData[[#Headers],[Lead]],ScoreSearch[Home?]&amp;ScoreSearch[Item],1),3),"")</f>
        <v>$W</v>
      </c>
      <c r="P122" s="1219" t="str">
        <f t="array" ref="P122">IFERROR(INDEX(ScoreSearch[],MATCH(ScoreData[[#This Row],[Home?]]&amp;ScoreData[[#Headers],[Call]],ScoreSearch[Home?]&amp;ScoreSearch[Item],1),3),"")</f>
        <v>$X</v>
      </c>
      <c r="Q122" s="1219" t="str">
        <f t="array" ref="Q122">IFERROR(INDEX(ScoreSearch[],MATCH(ScoreData[[#This Row],[Home?]]&amp;ScoreData[[#Headers],[Penalty]],ScoreSearch[Home?]&amp;ScoreSearch[Item],1),3),"")</f>
        <v>$Z</v>
      </c>
      <c r="R122" s="1222" t="str">
        <f t="array" ref="R122">IFERROR(INDEX(ScoreSearch[],MATCH(ScoreData[[#This Row],[Home?]]&amp;ScoreData[[#Headers],[Point]],ScoreSearch[Home?]&amp;ScoreSearch[Item],1),3),"")</f>
        <v>$AJ</v>
      </c>
      <c r="S122" s="1222" t="str">
        <f t="array" ref="S122">IFERROR(INDEX(ScoreSearch[],MATCH(ScoreData[[#This Row],[Home?]]&amp;ScoreData[[#Headers],[Pass]],ScoreSearch[Home?]&amp;ScoreSearch[Item],1),3),"")</f>
        <v>$AL</v>
      </c>
      <c r="T122" s="1219">
        <v>52</v>
      </c>
    </row>
    <row r="123" spans="1:20" x14ac:dyDescent="0.25">
      <c r="A123" s="1218">
        <f>[1]IBRF!$B$5</f>
        <v>41734</v>
      </c>
      <c r="B123" s="1221">
        <f t="shared" si="3"/>
        <v>0.83333333333333337</v>
      </c>
      <c r="C123" s="1219">
        <v>2</v>
      </c>
      <c r="D123" s="1219">
        <f ca="1">IF(ScoreData[[#This Row],[Passed?]],D122,INDIRECT($X$24&amp;ScoreData[[#This Row],[Jam]]&amp;ScoreData[[#This Row],[RefRow]]))</f>
        <v>6</v>
      </c>
      <c r="E123" s="1219" t="str">
        <f t="shared" si="5"/>
        <v>Harlots</v>
      </c>
      <c r="F123" s="1219" t="str">
        <f ca="1">IF(INDIRECT($X$24&amp;ScoreData[[#This Row],[Jammer]]&amp;ScoreData[[#This Row],[RefRow]])=0,"",INDIRECT($X$24&amp;ScoreData[[#This Row],[Jammer]]&amp;ScoreData[[#This Row],[RefRow]]))</f>
        <v>26</v>
      </c>
      <c r="G123" s="1219" t="str">
        <f ca="1">IF(INDIRECT($X$24&amp;ScoreData[[#This Row],[Lead]]&amp;ScoreData[[#This Row],[RefRow]])="X","YES","NO")</f>
        <v>NO</v>
      </c>
      <c r="H123" s="1219" t="str">
        <f ca="1">IF(INDIRECT($X$24&amp;ScoreData[[#This Row],[Call]]&amp;ScoreData[[#This Row],[RefRow]])="X","YES","NO")</f>
        <v>NO</v>
      </c>
      <c r="I123" s="1219">
        <f ca="1">INDIRECT($X$24&amp;ScoreData[[#This Row],[Pass]]&amp;ScoreData[[#This Row],[RefRow]])</f>
        <v>0</v>
      </c>
      <c r="J123" s="1219" t="str">
        <f ca="1">IF(INDIRECT($X$24&amp;ScoreData[[#This Row],[Point]]&amp;ScoreData[[#This Row],[RefRow]])=0,"",INDIRECT($X$24&amp;ScoreData[[#This Row],[Point]]&amp;ScoreData[[#This Row],[RefRow]]))</f>
        <v/>
      </c>
      <c r="K123" s="1219" t="b">
        <f ca="1">IF(OR(INDIRECT($X$24&amp;ScoreData[[#This Row],[Jam]]&amp;ScoreData[[#This Row],[RefRow]])="SP",INDIRECT($X$24&amp;ScoreData[[#This Row],[Jam]]&amp;ScoreData[[#This Row],[RefRow]])="SP*"),TRUE,FALSE)</f>
        <v>1</v>
      </c>
      <c r="L123" s="1219" t="b">
        <v>0</v>
      </c>
      <c r="M123" s="1219" t="str">
        <f t="array" ref="M123">IFERROR(INDEX(ScoreSearch[],MATCH(ScoreData[[#This Row],[Home?]]&amp;ScoreData[[#Headers],[Jam]],ScoreSearch[Home?]&amp;ScoreSearch[Item],1),3),"")</f>
        <v>$T</v>
      </c>
      <c r="N123" s="1219" t="str">
        <f t="array" ref="N123">IFERROR(INDEX(ScoreSearch[],MATCH(ScoreData[[#This Row],[Home?]]&amp;ScoreData[[#Headers],[Jammer]],ScoreSearch[Home?]&amp;ScoreSearch[Item],1),3),"")</f>
        <v>$U</v>
      </c>
      <c r="O123" s="1219" t="str">
        <f t="array" ref="O123">IFERROR(INDEX(ScoreSearch[],MATCH(ScoreData[[#This Row],[Home?]]&amp;ScoreData[[#Headers],[Lead]],ScoreSearch[Home?]&amp;ScoreSearch[Item],1),3),"")</f>
        <v>$W</v>
      </c>
      <c r="P123" s="1219" t="str">
        <f t="array" ref="P123">IFERROR(INDEX(ScoreSearch[],MATCH(ScoreData[[#This Row],[Home?]]&amp;ScoreData[[#Headers],[Call]],ScoreSearch[Home?]&amp;ScoreSearch[Item],1),3),"")</f>
        <v>$X</v>
      </c>
      <c r="Q123" s="1219" t="str">
        <f t="array" ref="Q123">IFERROR(INDEX(ScoreSearch[],MATCH(ScoreData[[#This Row],[Home?]]&amp;ScoreData[[#Headers],[Penalty]],ScoreSearch[Home?]&amp;ScoreSearch[Item],1),3),"")</f>
        <v>$Z</v>
      </c>
      <c r="R123" s="1222" t="str">
        <f t="array" ref="R123">IFERROR(INDEX(ScoreSearch[],MATCH(ScoreData[[#This Row],[Home?]]&amp;ScoreData[[#Headers],[Point]],ScoreSearch[Home?]&amp;ScoreSearch[Item],1),3),"")</f>
        <v>$AJ</v>
      </c>
      <c r="S123" s="1222" t="str">
        <f t="array" ref="S123">IFERROR(INDEX(ScoreSearch[],MATCH(ScoreData[[#This Row],[Home?]]&amp;ScoreData[[#Headers],[Pass]],ScoreSearch[Home?]&amp;ScoreSearch[Item],1),3),"")</f>
        <v>$AL</v>
      </c>
      <c r="T123" s="1219">
        <v>53</v>
      </c>
    </row>
    <row r="124" spans="1:20" x14ac:dyDescent="0.25">
      <c r="A124" s="1218">
        <f>[1]IBRF!$B$5</f>
        <v>41734</v>
      </c>
      <c r="B124" s="1221">
        <f t="shared" si="3"/>
        <v>0.83333333333333337</v>
      </c>
      <c r="C124" s="1219">
        <v>2</v>
      </c>
      <c r="D124" s="1219">
        <f ca="1">IF(ScoreData[[#This Row],[Passed?]],D123,INDIRECT($X$24&amp;ScoreData[[#This Row],[Jam]]&amp;ScoreData[[#This Row],[RefRow]]))</f>
        <v>7</v>
      </c>
      <c r="E124" s="1219" t="str">
        <f t="shared" si="5"/>
        <v>Harlots</v>
      </c>
      <c r="F124" s="1219" t="str">
        <f ca="1">IF(INDIRECT($X$24&amp;ScoreData[[#This Row],[Jammer]]&amp;ScoreData[[#This Row],[RefRow]])=0,"",INDIRECT($X$24&amp;ScoreData[[#This Row],[Jammer]]&amp;ScoreData[[#This Row],[RefRow]]))</f>
        <v>26</v>
      </c>
      <c r="G124" s="1219" t="str">
        <f ca="1">IF(INDIRECT($X$24&amp;ScoreData[[#This Row],[Lead]]&amp;ScoreData[[#This Row],[RefRow]])="X","YES","NO")</f>
        <v>NO</v>
      </c>
      <c r="H124" s="1219" t="str">
        <f ca="1">IF(INDIRECT($X$24&amp;ScoreData[[#This Row],[Call]]&amp;ScoreData[[#This Row],[RefRow]])="X","YES","NO")</f>
        <v>NO</v>
      </c>
      <c r="I124" s="1219">
        <f ca="1">INDIRECT($X$24&amp;ScoreData[[#This Row],[Pass]]&amp;ScoreData[[#This Row],[RefRow]])</f>
        <v>0</v>
      </c>
      <c r="J124" s="1219" t="str">
        <f ca="1">IF(INDIRECT($X$24&amp;ScoreData[[#This Row],[Point]]&amp;ScoreData[[#This Row],[RefRow]])=0,"",INDIRECT($X$24&amp;ScoreData[[#This Row],[Point]]&amp;ScoreData[[#This Row],[RefRow]]))</f>
        <v/>
      </c>
      <c r="K124" s="1219" t="b">
        <f ca="1">IF(OR(INDIRECT($X$24&amp;ScoreData[[#This Row],[Jam]]&amp;ScoreData[[#This Row],[RefRow]])="SP",INDIRECT($X$24&amp;ScoreData[[#This Row],[Jam]]&amp;ScoreData[[#This Row],[RefRow]])="SP*"),TRUE,FALSE)</f>
        <v>0</v>
      </c>
      <c r="L124" s="1219" t="b">
        <v>0</v>
      </c>
      <c r="M124" s="1219" t="str">
        <f t="array" ref="M124">IFERROR(INDEX(ScoreSearch[],MATCH(ScoreData[[#This Row],[Home?]]&amp;ScoreData[[#Headers],[Jam]],ScoreSearch[Home?]&amp;ScoreSearch[Item],1),3),"")</f>
        <v>$T</v>
      </c>
      <c r="N124" s="1219" t="str">
        <f t="array" ref="N124">IFERROR(INDEX(ScoreSearch[],MATCH(ScoreData[[#This Row],[Home?]]&amp;ScoreData[[#Headers],[Jammer]],ScoreSearch[Home?]&amp;ScoreSearch[Item],1),3),"")</f>
        <v>$U</v>
      </c>
      <c r="O124" s="1219" t="str">
        <f t="array" ref="O124">IFERROR(INDEX(ScoreSearch[],MATCH(ScoreData[[#This Row],[Home?]]&amp;ScoreData[[#Headers],[Lead]],ScoreSearch[Home?]&amp;ScoreSearch[Item],1),3),"")</f>
        <v>$W</v>
      </c>
      <c r="P124" s="1219" t="str">
        <f t="array" ref="P124">IFERROR(INDEX(ScoreSearch[],MATCH(ScoreData[[#This Row],[Home?]]&amp;ScoreData[[#Headers],[Call]],ScoreSearch[Home?]&amp;ScoreSearch[Item],1),3),"")</f>
        <v>$X</v>
      </c>
      <c r="Q124" s="1219" t="str">
        <f t="array" ref="Q124">IFERROR(INDEX(ScoreSearch[],MATCH(ScoreData[[#This Row],[Home?]]&amp;ScoreData[[#Headers],[Penalty]],ScoreSearch[Home?]&amp;ScoreSearch[Item],1),3),"")</f>
        <v>$Z</v>
      </c>
      <c r="R124" s="1222" t="str">
        <f t="array" ref="R124">IFERROR(INDEX(ScoreSearch[],MATCH(ScoreData[[#This Row],[Home?]]&amp;ScoreData[[#Headers],[Point]],ScoreSearch[Home?]&amp;ScoreSearch[Item],1),3),"")</f>
        <v>$AJ</v>
      </c>
      <c r="S124" s="1222" t="str">
        <f t="array" ref="S124">IFERROR(INDEX(ScoreSearch[],MATCH(ScoreData[[#This Row],[Home?]]&amp;ScoreData[[#Headers],[Pass]],ScoreSearch[Home?]&amp;ScoreSearch[Item],1),3),"")</f>
        <v>$AL</v>
      </c>
      <c r="T124" s="1219">
        <v>54</v>
      </c>
    </row>
    <row r="125" spans="1:20" x14ac:dyDescent="0.25">
      <c r="A125" s="1218">
        <f>[1]IBRF!$B$5</f>
        <v>41734</v>
      </c>
      <c r="B125" s="1221">
        <f t="shared" si="3"/>
        <v>0.83333333333333337</v>
      </c>
      <c r="C125" s="1219">
        <v>2</v>
      </c>
      <c r="D125" s="1219">
        <f ca="1">IF(ScoreData[[#This Row],[Passed?]],D124,INDIRECT($X$24&amp;ScoreData[[#This Row],[Jam]]&amp;ScoreData[[#This Row],[RefRow]]))</f>
        <v>7</v>
      </c>
      <c r="E125" s="1219" t="str">
        <f t="shared" si="5"/>
        <v>Harlots</v>
      </c>
      <c r="F125" s="1219" t="str">
        <f ca="1">IF(INDIRECT($X$24&amp;ScoreData[[#This Row],[Jammer]]&amp;ScoreData[[#This Row],[RefRow]])=0,"",INDIRECT($X$24&amp;ScoreData[[#This Row],[Jammer]]&amp;ScoreData[[#This Row],[RefRow]]))</f>
        <v>519</v>
      </c>
      <c r="G125" s="1219" t="str">
        <f ca="1">IF(INDIRECT($X$24&amp;ScoreData[[#This Row],[Lead]]&amp;ScoreData[[#This Row],[RefRow]])="X","YES","NO")</f>
        <v>NO</v>
      </c>
      <c r="H125" s="1219" t="str">
        <f ca="1">IF(INDIRECT($X$24&amp;ScoreData[[#This Row],[Call]]&amp;ScoreData[[#This Row],[RefRow]])="X","YES","NO")</f>
        <v>NO</v>
      </c>
      <c r="I125" s="1219">
        <f ca="1">INDIRECT($X$24&amp;ScoreData[[#This Row],[Pass]]&amp;ScoreData[[#This Row],[RefRow]])</f>
        <v>1</v>
      </c>
      <c r="J125" s="1219">
        <f ca="1">IF(INDIRECT($X$24&amp;ScoreData[[#This Row],[Point]]&amp;ScoreData[[#This Row],[RefRow]])=0,"",INDIRECT($X$24&amp;ScoreData[[#This Row],[Point]]&amp;ScoreData[[#This Row],[RefRow]]))</f>
        <v>1</v>
      </c>
      <c r="K125" s="1219" t="b">
        <f ca="1">IF(OR(INDIRECT($X$24&amp;ScoreData[[#This Row],[Jam]]&amp;ScoreData[[#This Row],[RefRow]])="SP",INDIRECT($X$24&amp;ScoreData[[#This Row],[Jam]]&amp;ScoreData[[#This Row],[RefRow]])="SP*"),TRUE,FALSE)</f>
        <v>1</v>
      </c>
      <c r="L125" s="1219" t="b">
        <v>0</v>
      </c>
      <c r="M125" s="1219" t="str">
        <f t="array" ref="M125">IFERROR(INDEX(ScoreSearch[],MATCH(ScoreData[[#This Row],[Home?]]&amp;ScoreData[[#Headers],[Jam]],ScoreSearch[Home?]&amp;ScoreSearch[Item],1),3),"")</f>
        <v>$T</v>
      </c>
      <c r="N125" s="1219" t="str">
        <f t="array" ref="N125">IFERROR(INDEX(ScoreSearch[],MATCH(ScoreData[[#This Row],[Home?]]&amp;ScoreData[[#Headers],[Jammer]],ScoreSearch[Home?]&amp;ScoreSearch[Item],1),3),"")</f>
        <v>$U</v>
      </c>
      <c r="O125" s="1219" t="str">
        <f t="array" ref="O125">IFERROR(INDEX(ScoreSearch[],MATCH(ScoreData[[#This Row],[Home?]]&amp;ScoreData[[#Headers],[Lead]],ScoreSearch[Home?]&amp;ScoreSearch[Item],1),3),"")</f>
        <v>$W</v>
      </c>
      <c r="P125" s="1219" t="str">
        <f t="array" ref="P125">IFERROR(INDEX(ScoreSearch[],MATCH(ScoreData[[#This Row],[Home?]]&amp;ScoreData[[#Headers],[Call]],ScoreSearch[Home?]&amp;ScoreSearch[Item],1),3),"")</f>
        <v>$X</v>
      </c>
      <c r="Q125" s="1219" t="str">
        <f t="array" ref="Q125">IFERROR(INDEX(ScoreSearch[],MATCH(ScoreData[[#This Row],[Home?]]&amp;ScoreData[[#Headers],[Penalty]],ScoreSearch[Home?]&amp;ScoreSearch[Item],1),3),"")</f>
        <v>$Z</v>
      </c>
      <c r="R125" s="1222" t="str">
        <f t="array" ref="R125">IFERROR(INDEX(ScoreSearch[],MATCH(ScoreData[[#This Row],[Home?]]&amp;ScoreData[[#Headers],[Point]],ScoreSearch[Home?]&amp;ScoreSearch[Item],1),3),"")</f>
        <v>$AJ</v>
      </c>
      <c r="S125" s="1222" t="str">
        <f t="array" ref="S125">IFERROR(INDEX(ScoreSearch[],MATCH(ScoreData[[#This Row],[Home?]]&amp;ScoreData[[#Headers],[Pass]],ScoreSearch[Home?]&amp;ScoreSearch[Item],1),3),"")</f>
        <v>$AL</v>
      </c>
      <c r="T125" s="1219">
        <v>55</v>
      </c>
    </row>
    <row r="126" spans="1:20" x14ac:dyDescent="0.25">
      <c r="A126" s="1218">
        <f>[1]IBRF!$B$5</f>
        <v>41734</v>
      </c>
      <c r="B126" s="1221">
        <f t="shared" si="3"/>
        <v>0.83333333333333337</v>
      </c>
      <c r="C126" s="1219">
        <v>2</v>
      </c>
      <c r="D126" s="1219">
        <f ca="1">IF(ScoreData[[#This Row],[Passed?]],D125,INDIRECT($X$24&amp;ScoreData[[#This Row],[Jam]]&amp;ScoreData[[#This Row],[RefRow]]))</f>
        <v>8</v>
      </c>
      <c r="E126" s="1219" t="str">
        <f t="shared" si="5"/>
        <v>Harlots</v>
      </c>
      <c r="F126" s="1219" t="str">
        <f ca="1">IF(INDIRECT($X$24&amp;ScoreData[[#This Row],[Jammer]]&amp;ScoreData[[#This Row],[RefRow]])=0,"",INDIRECT($X$24&amp;ScoreData[[#This Row],[Jammer]]&amp;ScoreData[[#This Row],[RefRow]]))</f>
        <v>K9</v>
      </c>
      <c r="G126" s="1219" t="str">
        <f ca="1">IF(INDIRECT($X$24&amp;ScoreData[[#This Row],[Lead]]&amp;ScoreData[[#This Row],[RefRow]])="X","YES","NO")</f>
        <v>YES</v>
      </c>
      <c r="H126" s="1219" t="str">
        <f ca="1">IF(INDIRECT($X$24&amp;ScoreData[[#This Row],[Call]]&amp;ScoreData[[#This Row],[RefRow]])="X","YES","NO")</f>
        <v>YES</v>
      </c>
      <c r="I126" s="1219">
        <f ca="1">INDIRECT($X$24&amp;ScoreData[[#This Row],[Pass]]&amp;ScoreData[[#This Row],[RefRow]])</f>
        <v>1</v>
      </c>
      <c r="J126" s="1219">
        <f ca="1">IF(INDIRECT($X$24&amp;ScoreData[[#This Row],[Point]]&amp;ScoreData[[#This Row],[RefRow]])=0,"",INDIRECT($X$24&amp;ScoreData[[#This Row],[Point]]&amp;ScoreData[[#This Row],[RefRow]]))</f>
        <v>4</v>
      </c>
      <c r="K126" s="1219" t="b">
        <f ca="1">IF(OR(INDIRECT($X$24&amp;ScoreData[[#This Row],[Jam]]&amp;ScoreData[[#This Row],[RefRow]])="SP",INDIRECT($X$24&amp;ScoreData[[#This Row],[Jam]]&amp;ScoreData[[#This Row],[RefRow]])="SP*"),TRUE,FALSE)</f>
        <v>0</v>
      </c>
      <c r="L126" s="1219" t="b">
        <v>0</v>
      </c>
      <c r="M126" s="1219" t="str">
        <f t="array" ref="M126">IFERROR(INDEX(ScoreSearch[],MATCH(ScoreData[[#This Row],[Home?]]&amp;ScoreData[[#Headers],[Jam]],ScoreSearch[Home?]&amp;ScoreSearch[Item],1),3),"")</f>
        <v>$T</v>
      </c>
      <c r="N126" s="1219" t="str">
        <f t="array" ref="N126">IFERROR(INDEX(ScoreSearch[],MATCH(ScoreData[[#This Row],[Home?]]&amp;ScoreData[[#Headers],[Jammer]],ScoreSearch[Home?]&amp;ScoreSearch[Item],1),3),"")</f>
        <v>$U</v>
      </c>
      <c r="O126" s="1219" t="str">
        <f t="array" ref="O126">IFERROR(INDEX(ScoreSearch[],MATCH(ScoreData[[#This Row],[Home?]]&amp;ScoreData[[#Headers],[Lead]],ScoreSearch[Home?]&amp;ScoreSearch[Item],1),3),"")</f>
        <v>$W</v>
      </c>
      <c r="P126" s="1219" t="str">
        <f t="array" ref="P126">IFERROR(INDEX(ScoreSearch[],MATCH(ScoreData[[#This Row],[Home?]]&amp;ScoreData[[#Headers],[Call]],ScoreSearch[Home?]&amp;ScoreSearch[Item],1),3),"")</f>
        <v>$X</v>
      </c>
      <c r="Q126" s="1219" t="str">
        <f t="array" ref="Q126">IFERROR(INDEX(ScoreSearch[],MATCH(ScoreData[[#This Row],[Home?]]&amp;ScoreData[[#Headers],[Penalty]],ScoreSearch[Home?]&amp;ScoreSearch[Item],1),3),"")</f>
        <v>$Z</v>
      </c>
      <c r="R126" s="1222" t="str">
        <f t="array" ref="R126">IFERROR(INDEX(ScoreSearch[],MATCH(ScoreData[[#This Row],[Home?]]&amp;ScoreData[[#Headers],[Point]],ScoreSearch[Home?]&amp;ScoreSearch[Item],1),3),"")</f>
        <v>$AJ</v>
      </c>
      <c r="S126" s="1222" t="str">
        <f t="array" ref="S126">IFERROR(INDEX(ScoreSearch[],MATCH(ScoreData[[#This Row],[Home?]]&amp;ScoreData[[#Headers],[Pass]],ScoreSearch[Home?]&amp;ScoreSearch[Item],1),3),"")</f>
        <v>$AL</v>
      </c>
      <c r="T126" s="1219">
        <v>56</v>
      </c>
    </row>
    <row r="127" spans="1:20" x14ac:dyDescent="0.25">
      <c r="A127" s="1218">
        <f>[1]IBRF!$B$5</f>
        <v>41734</v>
      </c>
      <c r="B127" s="1221">
        <f t="shared" si="3"/>
        <v>0.83333333333333337</v>
      </c>
      <c r="C127" s="1219">
        <v>2</v>
      </c>
      <c r="D127" s="1219">
        <f ca="1">IF(ScoreData[[#This Row],[Passed?]],D126,INDIRECT($X$24&amp;ScoreData[[#This Row],[Jam]]&amp;ScoreData[[#This Row],[RefRow]]))</f>
        <v>9</v>
      </c>
      <c r="E127" s="1219" t="str">
        <f t="shared" si="5"/>
        <v>Harlots</v>
      </c>
      <c r="F127" s="1219" t="str">
        <f ca="1">IF(INDIRECT($X$24&amp;ScoreData[[#This Row],[Jammer]]&amp;ScoreData[[#This Row],[RefRow]])=0,"",INDIRECT($X$24&amp;ScoreData[[#This Row],[Jammer]]&amp;ScoreData[[#This Row],[RefRow]]))</f>
        <v>451</v>
      </c>
      <c r="G127" s="1219" t="str">
        <f ca="1">IF(INDIRECT($X$24&amp;ScoreData[[#This Row],[Lead]]&amp;ScoreData[[#This Row],[RefRow]])="X","YES","NO")</f>
        <v>YES</v>
      </c>
      <c r="H127" s="1219" t="str">
        <f ca="1">IF(INDIRECT($X$24&amp;ScoreData[[#This Row],[Call]]&amp;ScoreData[[#This Row],[RefRow]])="X","YES","NO")</f>
        <v>YES</v>
      </c>
      <c r="I127" s="1219">
        <f ca="1">INDIRECT($X$24&amp;ScoreData[[#This Row],[Pass]]&amp;ScoreData[[#This Row],[RefRow]])</f>
        <v>1</v>
      </c>
      <c r="J127" s="1219">
        <f ca="1">IF(INDIRECT($X$24&amp;ScoreData[[#This Row],[Point]]&amp;ScoreData[[#This Row],[RefRow]])=0,"",INDIRECT($X$24&amp;ScoreData[[#This Row],[Point]]&amp;ScoreData[[#This Row],[RefRow]]))</f>
        <v>2</v>
      </c>
      <c r="K127" s="1219" t="b">
        <f ca="1">IF(OR(INDIRECT($X$24&amp;ScoreData[[#This Row],[Jam]]&amp;ScoreData[[#This Row],[RefRow]])="SP",INDIRECT($X$24&amp;ScoreData[[#This Row],[Jam]]&amp;ScoreData[[#This Row],[RefRow]])="SP*"),TRUE,FALSE)</f>
        <v>0</v>
      </c>
      <c r="L127" s="1219" t="b">
        <v>0</v>
      </c>
      <c r="M127" s="1219" t="str">
        <f t="array" ref="M127">IFERROR(INDEX(ScoreSearch[],MATCH(ScoreData[[#This Row],[Home?]]&amp;ScoreData[[#Headers],[Jam]],ScoreSearch[Home?]&amp;ScoreSearch[Item],1),3),"")</f>
        <v>$T</v>
      </c>
      <c r="N127" s="1219" t="str">
        <f t="array" ref="N127">IFERROR(INDEX(ScoreSearch[],MATCH(ScoreData[[#This Row],[Home?]]&amp;ScoreData[[#Headers],[Jammer]],ScoreSearch[Home?]&amp;ScoreSearch[Item],1),3),"")</f>
        <v>$U</v>
      </c>
      <c r="O127" s="1219" t="str">
        <f t="array" ref="O127">IFERROR(INDEX(ScoreSearch[],MATCH(ScoreData[[#This Row],[Home?]]&amp;ScoreData[[#Headers],[Lead]],ScoreSearch[Home?]&amp;ScoreSearch[Item],1),3),"")</f>
        <v>$W</v>
      </c>
      <c r="P127" s="1219" t="str">
        <f t="array" ref="P127">IFERROR(INDEX(ScoreSearch[],MATCH(ScoreData[[#This Row],[Home?]]&amp;ScoreData[[#Headers],[Call]],ScoreSearch[Home?]&amp;ScoreSearch[Item],1),3),"")</f>
        <v>$X</v>
      </c>
      <c r="Q127" s="1219" t="str">
        <f t="array" ref="Q127">IFERROR(INDEX(ScoreSearch[],MATCH(ScoreData[[#This Row],[Home?]]&amp;ScoreData[[#Headers],[Penalty]],ScoreSearch[Home?]&amp;ScoreSearch[Item],1),3),"")</f>
        <v>$Z</v>
      </c>
      <c r="R127" s="1222" t="str">
        <f t="array" ref="R127">IFERROR(INDEX(ScoreSearch[],MATCH(ScoreData[[#This Row],[Home?]]&amp;ScoreData[[#Headers],[Point]],ScoreSearch[Home?]&amp;ScoreSearch[Item],1),3),"")</f>
        <v>$AJ</v>
      </c>
      <c r="S127" s="1222" t="str">
        <f t="array" ref="S127">IFERROR(INDEX(ScoreSearch[],MATCH(ScoreData[[#This Row],[Home?]]&amp;ScoreData[[#Headers],[Pass]],ScoreSearch[Home?]&amp;ScoreSearch[Item],1),3),"")</f>
        <v>$AL</v>
      </c>
      <c r="T127" s="1219">
        <v>57</v>
      </c>
    </row>
    <row r="128" spans="1:20" x14ac:dyDescent="0.25">
      <c r="A128" s="1218">
        <f>[1]IBRF!$B$5</f>
        <v>41734</v>
      </c>
      <c r="B128" s="1221">
        <f t="shared" si="3"/>
        <v>0.83333333333333337</v>
      </c>
      <c r="C128" s="1219">
        <v>2</v>
      </c>
      <c r="D128" s="1219">
        <f ca="1">IF(ScoreData[[#This Row],[Passed?]],D127,INDIRECT($X$24&amp;ScoreData[[#This Row],[Jam]]&amp;ScoreData[[#This Row],[RefRow]]))</f>
        <v>10</v>
      </c>
      <c r="E128" s="1219" t="str">
        <f t="shared" si="5"/>
        <v>Harlots</v>
      </c>
      <c r="F128" s="1219" t="str">
        <f ca="1">IF(INDIRECT($X$24&amp;ScoreData[[#This Row],[Jammer]]&amp;ScoreData[[#This Row],[RefRow]])=0,"",INDIRECT($X$24&amp;ScoreData[[#This Row],[Jammer]]&amp;ScoreData[[#This Row],[RefRow]]))</f>
        <v>11G6</v>
      </c>
      <c r="G128" s="1219" t="str">
        <f ca="1">IF(INDIRECT($X$24&amp;ScoreData[[#This Row],[Lead]]&amp;ScoreData[[#This Row],[RefRow]])="X","YES","NO")</f>
        <v>YES</v>
      </c>
      <c r="H128" s="1219" t="str">
        <f ca="1">IF(INDIRECT($X$24&amp;ScoreData[[#This Row],[Call]]&amp;ScoreData[[#This Row],[RefRow]])="X","YES","NO")</f>
        <v>YES</v>
      </c>
      <c r="I128" s="1219">
        <f ca="1">INDIRECT($X$24&amp;ScoreData[[#This Row],[Pass]]&amp;ScoreData[[#This Row],[RefRow]])</f>
        <v>1</v>
      </c>
      <c r="J128" s="1219" t="str">
        <f ca="1">IF(INDIRECT($X$24&amp;ScoreData[[#This Row],[Point]]&amp;ScoreData[[#This Row],[RefRow]])=0,"",INDIRECT($X$24&amp;ScoreData[[#This Row],[Point]]&amp;ScoreData[[#This Row],[RefRow]]))</f>
        <v/>
      </c>
      <c r="K128" s="1219" t="b">
        <f ca="1">IF(OR(INDIRECT($X$24&amp;ScoreData[[#This Row],[Jam]]&amp;ScoreData[[#This Row],[RefRow]])="SP",INDIRECT($X$24&amp;ScoreData[[#This Row],[Jam]]&amp;ScoreData[[#This Row],[RefRow]])="SP*"),TRUE,FALSE)</f>
        <v>0</v>
      </c>
      <c r="L128" s="1219" t="b">
        <v>0</v>
      </c>
      <c r="M128" s="1219" t="str">
        <f t="array" ref="M128">IFERROR(INDEX(ScoreSearch[],MATCH(ScoreData[[#This Row],[Home?]]&amp;ScoreData[[#Headers],[Jam]],ScoreSearch[Home?]&amp;ScoreSearch[Item],1),3),"")</f>
        <v>$T</v>
      </c>
      <c r="N128" s="1219" t="str">
        <f t="array" ref="N128">IFERROR(INDEX(ScoreSearch[],MATCH(ScoreData[[#This Row],[Home?]]&amp;ScoreData[[#Headers],[Jammer]],ScoreSearch[Home?]&amp;ScoreSearch[Item],1),3),"")</f>
        <v>$U</v>
      </c>
      <c r="O128" s="1219" t="str">
        <f t="array" ref="O128">IFERROR(INDEX(ScoreSearch[],MATCH(ScoreData[[#This Row],[Home?]]&amp;ScoreData[[#Headers],[Lead]],ScoreSearch[Home?]&amp;ScoreSearch[Item],1),3),"")</f>
        <v>$W</v>
      </c>
      <c r="P128" s="1219" t="str">
        <f t="array" ref="P128">IFERROR(INDEX(ScoreSearch[],MATCH(ScoreData[[#This Row],[Home?]]&amp;ScoreData[[#Headers],[Call]],ScoreSearch[Home?]&amp;ScoreSearch[Item],1),3),"")</f>
        <v>$X</v>
      </c>
      <c r="Q128" s="1219" t="str">
        <f t="array" ref="Q128">IFERROR(INDEX(ScoreSearch[],MATCH(ScoreData[[#This Row],[Home?]]&amp;ScoreData[[#Headers],[Penalty]],ScoreSearch[Home?]&amp;ScoreSearch[Item],1),3),"")</f>
        <v>$Z</v>
      </c>
      <c r="R128" s="1222" t="str">
        <f t="array" ref="R128">IFERROR(INDEX(ScoreSearch[],MATCH(ScoreData[[#This Row],[Home?]]&amp;ScoreData[[#Headers],[Point]],ScoreSearch[Home?]&amp;ScoreSearch[Item],1),3),"")</f>
        <v>$AJ</v>
      </c>
      <c r="S128" s="1222" t="str">
        <f t="array" ref="S128">IFERROR(INDEX(ScoreSearch[],MATCH(ScoreData[[#This Row],[Home?]]&amp;ScoreData[[#Headers],[Pass]],ScoreSearch[Home?]&amp;ScoreSearch[Item],1),3),"")</f>
        <v>$AL</v>
      </c>
      <c r="T128" s="1219">
        <v>58</v>
      </c>
    </row>
    <row r="129" spans="1:20" x14ac:dyDescent="0.25">
      <c r="A129" s="1218">
        <f>[1]IBRF!$B$5</f>
        <v>41734</v>
      </c>
      <c r="B129" s="1221">
        <f t="shared" si="3"/>
        <v>0.83333333333333337</v>
      </c>
      <c r="C129" s="1219">
        <v>2</v>
      </c>
      <c r="D129" s="1219">
        <f ca="1">IF(ScoreData[[#This Row],[Passed?]],D128,INDIRECT($X$24&amp;ScoreData[[#This Row],[Jam]]&amp;ScoreData[[#This Row],[RefRow]]))</f>
        <v>11</v>
      </c>
      <c r="E129" s="1219" t="str">
        <f t="shared" si="5"/>
        <v>Harlots</v>
      </c>
      <c r="F129" s="1219" t="str">
        <f ca="1">IF(INDIRECT($X$24&amp;ScoreData[[#This Row],[Jammer]]&amp;ScoreData[[#This Row],[RefRow]])=0,"",INDIRECT($X$24&amp;ScoreData[[#This Row],[Jammer]]&amp;ScoreData[[#This Row],[RefRow]]))</f>
        <v>58</v>
      </c>
      <c r="G129" s="1219" t="str">
        <f ca="1">IF(INDIRECT($X$24&amp;ScoreData[[#This Row],[Lead]]&amp;ScoreData[[#This Row],[RefRow]])="X","YES","NO")</f>
        <v>NO</v>
      </c>
      <c r="H129" s="1219" t="str">
        <f ca="1">IF(INDIRECT($X$24&amp;ScoreData[[#This Row],[Call]]&amp;ScoreData[[#This Row],[RefRow]])="X","YES","NO")</f>
        <v>NO</v>
      </c>
      <c r="I129" s="1219">
        <f ca="1">INDIRECT($X$24&amp;ScoreData[[#This Row],[Pass]]&amp;ScoreData[[#This Row],[RefRow]])</f>
        <v>0</v>
      </c>
      <c r="J129" s="1219" t="str">
        <f ca="1">IF(INDIRECT($X$24&amp;ScoreData[[#This Row],[Point]]&amp;ScoreData[[#This Row],[RefRow]])=0,"",INDIRECT($X$24&amp;ScoreData[[#This Row],[Point]]&amp;ScoreData[[#This Row],[RefRow]]))</f>
        <v/>
      </c>
      <c r="K129" s="1219" t="b">
        <f ca="1">IF(OR(INDIRECT($X$24&amp;ScoreData[[#This Row],[Jam]]&amp;ScoreData[[#This Row],[RefRow]])="SP",INDIRECT($X$24&amp;ScoreData[[#This Row],[Jam]]&amp;ScoreData[[#This Row],[RefRow]])="SP*"),TRUE,FALSE)</f>
        <v>0</v>
      </c>
      <c r="L129" s="1219" t="b">
        <v>0</v>
      </c>
      <c r="M129" s="1219" t="str">
        <f t="array" ref="M129">IFERROR(INDEX(ScoreSearch[],MATCH(ScoreData[[#This Row],[Home?]]&amp;ScoreData[[#Headers],[Jam]],ScoreSearch[Home?]&amp;ScoreSearch[Item],1),3),"")</f>
        <v>$T</v>
      </c>
      <c r="N129" s="1219" t="str">
        <f t="array" ref="N129">IFERROR(INDEX(ScoreSearch[],MATCH(ScoreData[[#This Row],[Home?]]&amp;ScoreData[[#Headers],[Jammer]],ScoreSearch[Home?]&amp;ScoreSearch[Item],1),3),"")</f>
        <v>$U</v>
      </c>
      <c r="O129" s="1219" t="str">
        <f t="array" ref="O129">IFERROR(INDEX(ScoreSearch[],MATCH(ScoreData[[#This Row],[Home?]]&amp;ScoreData[[#Headers],[Lead]],ScoreSearch[Home?]&amp;ScoreSearch[Item],1),3),"")</f>
        <v>$W</v>
      </c>
      <c r="P129" s="1219" t="str">
        <f t="array" ref="P129">IFERROR(INDEX(ScoreSearch[],MATCH(ScoreData[[#This Row],[Home?]]&amp;ScoreData[[#Headers],[Call]],ScoreSearch[Home?]&amp;ScoreSearch[Item],1),3),"")</f>
        <v>$X</v>
      </c>
      <c r="Q129" s="1219" t="str">
        <f t="array" ref="Q129">IFERROR(INDEX(ScoreSearch[],MATCH(ScoreData[[#This Row],[Home?]]&amp;ScoreData[[#Headers],[Penalty]],ScoreSearch[Home?]&amp;ScoreSearch[Item],1),3),"")</f>
        <v>$Z</v>
      </c>
      <c r="R129" s="1222" t="str">
        <f t="array" ref="R129">IFERROR(INDEX(ScoreSearch[],MATCH(ScoreData[[#This Row],[Home?]]&amp;ScoreData[[#Headers],[Point]],ScoreSearch[Home?]&amp;ScoreSearch[Item],1),3),"")</f>
        <v>$AJ</v>
      </c>
      <c r="S129" s="1222" t="str">
        <f t="array" ref="S129">IFERROR(INDEX(ScoreSearch[],MATCH(ScoreData[[#This Row],[Home?]]&amp;ScoreData[[#Headers],[Pass]],ScoreSearch[Home?]&amp;ScoreSearch[Item],1),3),"")</f>
        <v>$AL</v>
      </c>
      <c r="T129" s="1219">
        <v>59</v>
      </c>
    </row>
    <row r="130" spans="1:20" x14ac:dyDescent="0.25">
      <c r="A130" s="1218">
        <f>[1]IBRF!$B$5</f>
        <v>41734</v>
      </c>
      <c r="B130" s="1221">
        <f t="shared" ref="B130:B153" si="6">$X$1</f>
        <v>0.83333333333333337</v>
      </c>
      <c r="C130" s="1219">
        <v>2</v>
      </c>
      <c r="D130" s="1219">
        <f ca="1">IF(ScoreData[[#This Row],[Passed?]],D129,INDIRECT($X$24&amp;ScoreData[[#This Row],[Jam]]&amp;ScoreData[[#This Row],[RefRow]]))</f>
        <v>11</v>
      </c>
      <c r="E130" s="1219" t="str">
        <f t="shared" si="5"/>
        <v>Harlots</v>
      </c>
      <c r="F130" s="1219" t="str">
        <f ca="1">IF(INDIRECT($X$24&amp;ScoreData[[#This Row],[Jammer]]&amp;ScoreData[[#This Row],[RefRow]])=0,"",INDIRECT($X$24&amp;ScoreData[[#This Row],[Jammer]]&amp;ScoreData[[#This Row],[RefRow]]))</f>
        <v>519</v>
      </c>
      <c r="G130" s="1219" t="str">
        <f ca="1">IF(INDIRECT($X$24&amp;ScoreData[[#This Row],[Lead]]&amp;ScoreData[[#This Row],[RefRow]])="X","YES","NO")</f>
        <v>NO</v>
      </c>
      <c r="H130" s="1219" t="str">
        <f ca="1">IF(INDIRECT($X$24&amp;ScoreData[[#This Row],[Call]]&amp;ScoreData[[#This Row],[RefRow]])="X","YES","NO")</f>
        <v>NO</v>
      </c>
      <c r="I130" s="1219">
        <f ca="1">INDIRECT($X$24&amp;ScoreData[[#This Row],[Pass]]&amp;ScoreData[[#This Row],[RefRow]])</f>
        <v>4</v>
      </c>
      <c r="J130" s="1219">
        <f ca="1">IF(INDIRECT($X$24&amp;ScoreData[[#This Row],[Point]]&amp;ScoreData[[#This Row],[RefRow]])=0,"",INDIRECT($X$24&amp;ScoreData[[#This Row],[Point]]&amp;ScoreData[[#This Row],[RefRow]]))</f>
        <v>15</v>
      </c>
      <c r="K130" s="1219" t="b">
        <f ca="1">IF(OR(INDIRECT($X$24&amp;ScoreData[[#This Row],[Jam]]&amp;ScoreData[[#This Row],[RefRow]])="SP",INDIRECT($X$24&amp;ScoreData[[#This Row],[Jam]]&amp;ScoreData[[#This Row],[RefRow]])="SP*"),TRUE,FALSE)</f>
        <v>1</v>
      </c>
      <c r="L130" s="1219" t="b">
        <v>0</v>
      </c>
      <c r="M130" s="1219" t="str">
        <f t="array" ref="M130">IFERROR(INDEX(ScoreSearch[],MATCH(ScoreData[[#This Row],[Home?]]&amp;ScoreData[[#Headers],[Jam]],ScoreSearch[Home?]&amp;ScoreSearch[Item],1),3),"")</f>
        <v>$T</v>
      </c>
      <c r="N130" s="1219" t="str">
        <f t="array" ref="N130">IFERROR(INDEX(ScoreSearch[],MATCH(ScoreData[[#This Row],[Home?]]&amp;ScoreData[[#Headers],[Jammer]],ScoreSearch[Home?]&amp;ScoreSearch[Item],1),3),"")</f>
        <v>$U</v>
      </c>
      <c r="O130" s="1219" t="str">
        <f t="array" ref="O130">IFERROR(INDEX(ScoreSearch[],MATCH(ScoreData[[#This Row],[Home?]]&amp;ScoreData[[#Headers],[Lead]],ScoreSearch[Home?]&amp;ScoreSearch[Item],1),3),"")</f>
        <v>$W</v>
      </c>
      <c r="P130" s="1219" t="str">
        <f t="array" ref="P130">IFERROR(INDEX(ScoreSearch[],MATCH(ScoreData[[#This Row],[Home?]]&amp;ScoreData[[#Headers],[Call]],ScoreSearch[Home?]&amp;ScoreSearch[Item],1),3),"")</f>
        <v>$X</v>
      </c>
      <c r="Q130" s="1219" t="str">
        <f t="array" ref="Q130">IFERROR(INDEX(ScoreSearch[],MATCH(ScoreData[[#This Row],[Home?]]&amp;ScoreData[[#Headers],[Penalty]],ScoreSearch[Home?]&amp;ScoreSearch[Item],1),3),"")</f>
        <v>$Z</v>
      </c>
      <c r="R130" s="1222" t="str">
        <f t="array" ref="R130">IFERROR(INDEX(ScoreSearch[],MATCH(ScoreData[[#This Row],[Home?]]&amp;ScoreData[[#Headers],[Point]],ScoreSearch[Home?]&amp;ScoreSearch[Item],1),3),"")</f>
        <v>$AJ</v>
      </c>
      <c r="S130" s="1222" t="str">
        <f t="array" ref="S130">IFERROR(INDEX(ScoreSearch[],MATCH(ScoreData[[#This Row],[Home?]]&amp;ScoreData[[#Headers],[Pass]],ScoreSearch[Home?]&amp;ScoreSearch[Item],1),3),"")</f>
        <v>$AL</v>
      </c>
      <c r="T130" s="1219">
        <v>60</v>
      </c>
    </row>
    <row r="131" spans="1:20" x14ac:dyDescent="0.25">
      <c r="A131" s="1218">
        <f>[1]IBRF!$B$5</f>
        <v>41734</v>
      </c>
      <c r="B131" s="1221">
        <f t="shared" si="6"/>
        <v>0.83333333333333337</v>
      </c>
      <c r="C131" s="1219">
        <v>2</v>
      </c>
      <c r="D131" s="1219">
        <f ca="1">IF(ScoreData[[#This Row],[Passed?]],D130,INDIRECT($X$24&amp;ScoreData[[#This Row],[Jam]]&amp;ScoreData[[#This Row],[RefRow]]))</f>
        <v>12</v>
      </c>
      <c r="E131" s="1219" t="str">
        <f t="shared" si="5"/>
        <v>Harlots</v>
      </c>
      <c r="F131" s="1219" t="str">
        <f ca="1">IF(INDIRECT($X$24&amp;ScoreData[[#This Row],[Jammer]]&amp;ScoreData[[#This Row],[RefRow]])=0,"",INDIRECT($X$24&amp;ScoreData[[#This Row],[Jammer]]&amp;ScoreData[[#This Row],[RefRow]]))</f>
        <v>K9</v>
      </c>
      <c r="G131" s="1219" t="str">
        <f ca="1">IF(INDIRECT($X$24&amp;ScoreData[[#This Row],[Lead]]&amp;ScoreData[[#This Row],[RefRow]])="X","YES","NO")</f>
        <v>YES</v>
      </c>
      <c r="H131" s="1219" t="str">
        <f ca="1">IF(INDIRECT($X$24&amp;ScoreData[[#This Row],[Call]]&amp;ScoreData[[#This Row],[RefRow]])="X","YES","NO")</f>
        <v>YES</v>
      </c>
      <c r="I131" s="1219">
        <f ca="1">INDIRECT($X$24&amp;ScoreData[[#This Row],[Pass]]&amp;ScoreData[[#This Row],[RefRow]])</f>
        <v>1</v>
      </c>
      <c r="J131" s="1219" t="str">
        <f ca="1">IF(INDIRECT($X$24&amp;ScoreData[[#This Row],[Point]]&amp;ScoreData[[#This Row],[RefRow]])=0,"",INDIRECT($X$24&amp;ScoreData[[#This Row],[Point]]&amp;ScoreData[[#This Row],[RefRow]]))</f>
        <v/>
      </c>
      <c r="K131" s="1219" t="b">
        <f ca="1">IF(OR(INDIRECT($X$24&amp;ScoreData[[#This Row],[Jam]]&amp;ScoreData[[#This Row],[RefRow]])="SP",INDIRECT($X$24&amp;ScoreData[[#This Row],[Jam]]&amp;ScoreData[[#This Row],[RefRow]])="SP*"),TRUE,FALSE)</f>
        <v>0</v>
      </c>
      <c r="L131" s="1219" t="b">
        <v>0</v>
      </c>
      <c r="M131" s="1219" t="str">
        <f t="array" ref="M131">IFERROR(INDEX(ScoreSearch[],MATCH(ScoreData[[#This Row],[Home?]]&amp;ScoreData[[#Headers],[Jam]],ScoreSearch[Home?]&amp;ScoreSearch[Item],1),3),"")</f>
        <v>$T</v>
      </c>
      <c r="N131" s="1219" t="str">
        <f t="array" ref="N131">IFERROR(INDEX(ScoreSearch[],MATCH(ScoreData[[#This Row],[Home?]]&amp;ScoreData[[#Headers],[Jammer]],ScoreSearch[Home?]&amp;ScoreSearch[Item],1),3),"")</f>
        <v>$U</v>
      </c>
      <c r="O131" s="1219" t="str">
        <f t="array" ref="O131">IFERROR(INDEX(ScoreSearch[],MATCH(ScoreData[[#This Row],[Home?]]&amp;ScoreData[[#Headers],[Lead]],ScoreSearch[Home?]&amp;ScoreSearch[Item],1),3),"")</f>
        <v>$W</v>
      </c>
      <c r="P131" s="1219" t="str">
        <f t="array" ref="P131">IFERROR(INDEX(ScoreSearch[],MATCH(ScoreData[[#This Row],[Home?]]&amp;ScoreData[[#Headers],[Call]],ScoreSearch[Home?]&amp;ScoreSearch[Item],1),3),"")</f>
        <v>$X</v>
      </c>
      <c r="Q131" s="1219" t="str">
        <f t="array" ref="Q131">IFERROR(INDEX(ScoreSearch[],MATCH(ScoreData[[#This Row],[Home?]]&amp;ScoreData[[#Headers],[Penalty]],ScoreSearch[Home?]&amp;ScoreSearch[Item],1),3),"")</f>
        <v>$Z</v>
      </c>
      <c r="R131" s="1222" t="str">
        <f t="array" ref="R131">IFERROR(INDEX(ScoreSearch[],MATCH(ScoreData[[#This Row],[Home?]]&amp;ScoreData[[#Headers],[Point]],ScoreSearch[Home?]&amp;ScoreSearch[Item],1),3),"")</f>
        <v>$AJ</v>
      </c>
      <c r="S131" s="1222" t="str">
        <f t="array" ref="S131">IFERROR(INDEX(ScoreSearch[],MATCH(ScoreData[[#This Row],[Home?]]&amp;ScoreData[[#Headers],[Pass]],ScoreSearch[Home?]&amp;ScoreSearch[Item],1),3),"")</f>
        <v>$AL</v>
      </c>
      <c r="T131" s="1219">
        <v>61</v>
      </c>
    </row>
    <row r="132" spans="1:20" x14ac:dyDescent="0.25">
      <c r="A132" s="1218">
        <f>[1]IBRF!$B$5</f>
        <v>41734</v>
      </c>
      <c r="B132" s="1221">
        <f t="shared" si="6"/>
        <v>0.83333333333333337</v>
      </c>
      <c r="C132" s="1219">
        <v>2</v>
      </c>
      <c r="D132" s="1219">
        <f ca="1">IF(ScoreData[[#This Row],[Passed?]],D131,INDIRECT($X$24&amp;ScoreData[[#This Row],[Jam]]&amp;ScoreData[[#This Row],[RefRow]]))</f>
        <v>13</v>
      </c>
      <c r="E132" s="1219" t="str">
        <f t="shared" si="5"/>
        <v>Harlots</v>
      </c>
      <c r="F132" s="1219" t="str">
        <f ca="1">IF(INDIRECT($X$24&amp;ScoreData[[#This Row],[Jammer]]&amp;ScoreData[[#This Row],[RefRow]])=0,"",INDIRECT($X$24&amp;ScoreData[[#This Row],[Jammer]]&amp;ScoreData[[#This Row],[RefRow]]))</f>
        <v>451</v>
      </c>
      <c r="G132" s="1219" t="str">
        <f ca="1">IF(INDIRECT($X$24&amp;ScoreData[[#This Row],[Lead]]&amp;ScoreData[[#This Row],[RefRow]])="X","YES","NO")</f>
        <v>NO</v>
      </c>
      <c r="H132" s="1219" t="str">
        <f ca="1">IF(INDIRECT($X$24&amp;ScoreData[[#This Row],[Call]]&amp;ScoreData[[#This Row],[RefRow]])="X","YES","NO")</f>
        <v>NO</v>
      </c>
      <c r="I132" s="1219">
        <f ca="1">INDIRECT($X$24&amp;ScoreData[[#This Row],[Pass]]&amp;ScoreData[[#This Row],[RefRow]])</f>
        <v>0</v>
      </c>
      <c r="J132" s="1219" t="str">
        <f ca="1">IF(INDIRECT($X$24&amp;ScoreData[[#This Row],[Point]]&amp;ScoreData[[#This Row],[RefRow]])=0,"",INDIRECT($X$24&amp;ScoreData[[#This Row],[Point]]&amp;ScoreData[[#This Row],[RefRow]]))</f>
        <v/>
      </c>
      <c r="K132" s="1219" t="b">
        <f ca="1">IF(OR(INDIRECT($X$24&amp;ScoreData[[#This Row],[Jam]]&amp;ScoreData[[#This Row],[RefRow]])="SP",INDIRECT($X$24&amp;ScoreData[[#This Row],[Jam]]&amp;ScoreData[[#This Row],[RefRow]])="SP*"),TRUE,FALSE)</f>
        <v>0</v>
      </c>
      <c r="L132" s="1219" t="b">
        <v>0</v>
      </c>
      <c r="M132" s="1219" t="str">
        <f t="array" ref="M132">IFERROR(INDEX(ScoreSearch[],MATCH(ScoreData[[#This Row],[Home?]]&amp;ScoreData[[#Headers],[Jam]],ScoreSearch[Home?]&amp;ScoreSearch[Item],1),3),"")</f>
        <v>$T</v>
      </c>
      <c r="N132" s="1219" t="str">
        <f t="array" ref="N132">IFERROR(INDEX(ScoreSearch[],MATCH(ScoreData[[#This Row],[Home?]]&amp;ScoreData[[#Headers],[Jammer]],ScoreSearch[Home?]&amp;ScoreSearch[Item],1),3),"")</f>
        <v>$U</v>
      </c>
      <c r="O132" s="1219" t="str">
        <f t="array" ref="O132">IFERROR(INDEX(ScoreSearch[],MATCH(ScoreData[[#This Row],[Home?]]&amp;ScoreData[[#Headers],[Lead]],ScoreSearch[Home?]&amp;ScoreSearch[Item],1),3),"")</f>
        <v>$W</v>
      </c>
      <c r="P132" s="1219" t="str">
        <f t="array" ref="P132">IFERROR(INDEX(ScoreSearch[],MATCH(ScoreData[[#This Row],[Home?]]&amp;ScoreData[[#Headers],[Call]],ScoreSearch[Home?]&amp;ScoreSearch[Item],1),3),"")</f>
        <v>$X</v>
      </c>
      <c r="Q132" s="1219" t="str">
        <f t="array" ref="Q132">IFERROR(INDEX(ScoreSearch[],MATCH(ScoreData[[#This Row],[Home?]]&amp;ScoreData[[#Headers],[Penalty]],ScoreSearch[Home?]&amp;ScoreSearch[Item],1),3),"")</f>
        <v>$Z</v>
      </c>
      <c r="R132" s="1222" t="str">
        <f t="array" ref="R132">IFERROR(INDEX(ScoreSearch[],MATCH(ScoreData[[#This Row],[Home?]]&amp;ScoreData[[#Headers],[Point]],ScoreSearch[Home?]&amp;ScoreSearch[Item],1),3),"")</f>
        <v>$AJ</v>
      </c>
      <c r="S132" s="1222" t="str">
        <f t="array" ref="S132">IFERROR(INDEX(ScoreSearch[],MATCH(ScoreData[[#This Row],[Home?]]&amp;ScoreData[[#Headers],[Pass]],ScoreSearch[Home?]&amp;ScoreSearch[Item],1),3),"")</f>
        <v>$AL</v>
      </c>
      <c r="T132" s="1219">
        <v>62</v>
      </c>
    </row>
    <row r="133" spans="1:20" x14ac:dyDescent="0.25">
      <c r="A133" s="1218">
        <f>[1]IBRF!$B$5</f>
        <v>41734</v>
      </c>
      <c r="B133" s="1221">
        <f t="shared" si="6"/>
        <v>0.83333333333333337</v>
      </c>
      <c r="C133" s="1219">
        <v>2</v>
      </c>
      <c r="D133" s="1219">
        <f ca="1">IF(ScoreData[[#This Row],[Passed?]],D132,INDIRECT($X$24&amp;ScoreData[[#This Row],[Jam]]&amp;ScoreData[[#This Row],[RefRow]]))</f>
        <v>13</v>
      </c>
      <c r="E133" s="1219" t="str">
        <f t="shared" si="5"/>
        <v>Harlots</v>
      </c>
      <c r="F133" s="1219" t="str">
        <f ca="1">IF(INDIRECT($X$24&amp;ScoreData[[#This Row],[Jammer]]&amp;ScoreData[[#This Row],[RefRow]])=0,"",INDIRECT($X$24&amp;ScoreData[[#This Row],[Jammer]]&amp;ScoreData[[#This Row],[RefRow]]))</f>
        <v>511</v>
      </c>
      <c r="G133" s="1219" t="str">
        <f ca="1">IF(INDIRECT($X$24&amp;ScoreData[[#This Row],[Lead]]&amp;ScoreData[[#This Row],[RefRow]])="X","YES","NO")</f>
        <v>NO</v>
      </c>
      <c r="H133" s="1219" t="str">
        <f ca="1">IF(INDIRECT($X$24&amp;ScoreData[[#This Row],[Call]]&amp;ScoreData[[#This Row],[RefRow]])="X","YES","NO")</f>
        <v>NO</v>
      </c>
      <c r="I133" s="1219">
        <f ca="1">INDIRECT($X$24&amp;ScoreData[[#This Row],[Pass]]&amp;ScoreData[[#This Row],[RefRow]])</f>
        <v>1</v>
      </c>
      <c r="J133" s="1219" t="str">
        <f ca="1">IF(INDIRECT($X$24&amp;ScoreData[[#This Row],[Point]]&amp;ScoreData[[#This Row],[RefRow]])=0,"",INDIRECT($X$24&amp;ScoreData[[#This Row],[Point]]&amp;ScoreData[[#This Row],[RefRow]]))</f>
        <v/>
      </c>
      <c r="K133" s="1219" t="b">
        <f ca="1">IF(OR(INDIRECT($X$24&amp;ScoreData[[#This Row],[Jam]]&amp;ScoreData[[#This Row],[RefRow]])="SP",INDIRECT($X$24&amp;ScoreData[[#This Row],[Jam]]&amp;ScoreData[[#This Row],[RefRow]])="SP*"),TRUE,FALSE)</f>
        <v>1</v>
      </c>
      <c r="L133" s="1219" t="b">
        <v>0</v>
      </c>
      <c r="M133" s="1219" t="str">
        <f t="array" ref="M133">IFERROR(INDEX(ScoreSearch[],MATCH(ScoreData[[#This Row],[Home?]]&amp;ScoreData[[#Headers],[Jam]],ScoreSearch[Home?]&amp;ScoreSearch[Item],1),3),"")</f>
        <v>$T</v>
      </c>
      <c r="N133" s="1219" t="str">
        <f t="array" ref="N133">IFERROR(INDEX(ScoreSearch[],MATCH(ScoreData[[#This Row],[Home?]]&amp;ScoreData[[#Headers],[Jammer]],ScoreSearch[Home?]&amp;ScoreSearch[Item],1),3),"")</f>
        <v>$U</v>
      </c>
      <c r="O133" s="1219" t="str">
        <f t="array" ref="O133">IFERROR(INDEX(ScoreSearch[],MATCH(ScoreData[[#This Row],[Home?]]&amp;ScoreData[[#Headers],[Lead]],ScoreSearch[Home?]&amp;ScoreSearch[Item],1),3),"")</f>
        <v>$W</v>
      </c>
      <c r="P133" s="1219" t="str">
        <f t="array" ref="P133">IFERROR(INDEX(ScoreSearch[],MATCH(ScoreData[[#This Row],[Home?]]&amp;ScoreData[[#Headers],[Call]],ScoreSearch[Home?]&amp;ScoreSearch[Item],1),3),"")</f>
        <v>$X</v>
      </c>
      <c r="Q133" s="1219" t="str">
        <f t="array" ref="Q133">IFERROR(INDEX(ScoreSearch[],MATCH(ScoreData[[#This Row],[Home?]]&amp;ScoreData[[#Headers],[Penalty]],ScoreSearch[Home?]&amp;ScoreSearch[Item],1),3),"")</f>
        <v>$Z</v>
      </c>
      <c r="R133" s="1222" t="str">
        <f t="array" ref="R133">IFERROR(INDEX(ScoreSearch[],MATCH(ScoreData[[#This Row],[Home?]]&amp;ScoreData[[#Headers],[Point]],ScoreSearch[Home?]&amp;ScoreSearch[Item],1),3),"")</f>
        <v>$AJ</v>
      </c>
      <c r="S133" s="1222" t="str">
        <f t="array" ref="S133">IFERROR(INDEX(ScoreSearch[],MATCH(ScoreData[[#This Row],[Home?]]&amp;ScoreData[[#Headers],[Pass]],ScoreSearch[Home?]&amp;ScoreSearch[Item],1),3),"")</f>
        <v>$AL</v>
      </c>
      <c r="T133" s="1219">
        <v>63</v>
      </c>
    </row>
    <row r="134" spans="1:20" x14ac:dyDescent="0.25">
      <c r="A134" s="1218">
        <f>[1]IBRF!$B$5</f>
        <v>41734</v>
      </c>
      <c r="B134" s="1221">
        <f t="shared" si="6"/>
        <v>0.83333333333333337</v>
      </c>
      <c r="C134" s="1219">
        <v>2</v>
      </c>
      <c r="D134" s="1219">
        <f ca="1">IF(ScoreData[[#This Row],[Passed?]],D133,INDIRECT($X$24&amp;ScoreData[[#This Row],[Jam]]&amp;ScoreData[[#This Row],[RefRow]]))</f>
        <v>14</v>
      </c>
      <c r="E134" s="1219" t="str">
        <f t="shared" si="5"/>
        <v>Harlots</v>
      </c>
      <c r="F134" s="1219" t="str">
        <f ca="1">IF(INDIRECT($X$24&amp;ScoreData[[#This Row],[Jammer]]&amp;ScoreData[[#This Row],[RefRow]])=0,"",INDIRECT($X$24&amp;ScoreData[[#This Row],[Jammer]]&amp;ScoreData[[#This Row],[RefRow]]))</f>
        <v>11G6</v>
      </c>
      <c r="G134" s="1219" t="str">
        <f ca="1">IF(INDIRECT($X$24&amp;ScoreData[[#This Row],[Lead]]&amp;ScoreData[[#This Row],[RefRow]])="X","YES","NO")</f>
        <v>YES</v>
      </c>
      <c r="H134" s="1219" t="str">
        <f ca="1">IF(INDIRECT($X$24&amp;ScoreData[[#This Row],[Call]]&amp;ScoreData[[#This Row],[RefRow]])="X","YES","NO")</f>
        <v>YES</v>
      </c>
      <c r="I134" s="1219">
        <f ca="1">INDIRECT($X$24&amp;ScoreData[[#This Row],[Pass]]&amp;ScoreData[[#This Row],[RefRow]])</f>
        <v>1</v>
      </c>
      <c r="J134" s="1219">
        <f ca="1">IF(INDIRECT($X$24&amp;ScoreData[[#This Row],[Point]]&amp;ScoreData[[#This Row],[RefRow]])=0,"",INDIRECT($X$24&amp;ScoreData[[#This Row],[Point]]&amp;ScoreData[[#This Row],[RefRow]]))</f>
        <v>4</v>
      </c>
      <c r="K134" s="1219" t="b">
        <f ca="1">IF(OR(INDIRECT($X$24&amp;ScoreData[[#This Row],[Jam]]&amp;ScoreData[[#This Row],[RefRow]])="SP",INDIRECT($X$24&amp;ScoreData[[#This Row],[Jam]]&amp;ScoreData[[#This Row],[RefRow]])="SP*"),TRUE,FALSE)</f>
        <v>0</v>
      </c>
      <c r="L134" s="1219" t="b">
        <v>0</v>
      </c>
      <c r="M134" s="1219" t="str">
        <f t="array" ref="M134">IFERROR(INDEX(ScoreSearch[],MATCH(ScoreData[[#This Row],[Home?]]&amp;ScoreData[[#Headers],[Jam]],ScoreSearch[Home?]&amp;ScoreSearch[Item],1),3),"")</f>
        <v>$T</v>
      </c>
      <c r="N134" s="1219" t="str">
        <f t="array" ref="N134">IFERROR(INDEX(ScoreSearch[],MATCH(ScoreData[[#This Row],[Home?]]&amp;ScoreData[[#Headers],[Jammer]],ScoreSearch[Home?]&amp;ScoreSearch[Item],1),3),"")</f>
        <v>$U</v>
      </c>
      <c r="O134" s="1219" t="str">
        <f t="array" ref="O134">IFERROR(INDEX(ScoreSearch[],MATCH(ScoreData[[#This Row],[Home?]]&amp;ScoreData[[#Headers],[Lead]],ScoreSearch[Home?]&amp;ScoreSearch[Item],1),3),"")</f>
        <v>$W</v>
      </c>
      <c r="P134" s="1219" t="str">
        <f t="array" ref="P134">IFERROR(INDEX(ScoreSearch[],MATCH(ScoreData[[#This Row],[Home?]]&amp;ScoreData[[#Headers],[Call]],ScoreSearch[Home?]&amp;ScoreSearch[Item],1),3),"")</f>
        <v>$X</v>
      </c>
      <c r="Q134" s="1219" t="str">
        <f t="array" ref="Q134">IFERROR(INDEX(ScoreSearch[],MATCH(ScoreData[[#This Row],[Home?]]&amp;ScoreData[[#Headers],[Penalty]],ScoreSearch[Home?]&amp;ScoreSearch[Item],1),3),"")</f>
        <v>$Z</v>
      </c>
      <c r="R134" s="1222" t="str">
        <f t="array" ref="R134">IFERROR(INDEX(ScoreSearch[],MATCH(ScoreData[[#This Row],[Home?]]&amp;ScoreData[[#Headers],[Point]],ScoreSearch[Home?]&amp;ScoreSearch[Item],1),3),"")</f>
        <v>$AJ</v>
      </c>
      <c r="S134" s="1222" t="str">
        <f t="array" ref="S134">IFERROR(INDEX(ScoreSearch[],MATCH(ScoreData[[#This Row],[Home?]]&amp;ScoreData[[#Headers],[Pass]],ScoreSearch[Home?]&amp;ScoreSearch[Item],1),3),"")</f>
        <v>$AL</v>
      </c>
      <c r="T134" s="1219">
        <v>64</v>
      </c>
    </row>
    <row r="135" spans="1:20" x14ac:dyDescent="0.25">
      <c r="A135" s="1218">
        <f>[1]IBRF!$B$5</f>
        <v>41734</v>
      </c>
      <c r="B135" s="1221">
        <f t="shared" si="6"/>
        <v>0.83333333333333337</v>
      </c>
      <c r="C135" s="1219">
        <v>2</v>
      </c>
      <c r="D135" s="1219">
        <f ca="1">IF(ScoreData[[#This Row],[Passed?]],D134,INDIRECT($X$24&amp;ScoreData[[#This Row],[Jam]]&amp;ScoreData[[#This Row],[RefRow]]))</f>
        <v>15</v>
      </c>
      <c r="E135" s="1219" t="str">
        <f t="shared" si="5"/>
        <v>Harlots</v>
      </c>
      <c r="F135" s="1219" t="str">
        <f ca="1">IF(INDIRECT($X$24&amp;ScoreData[[#This Row],[Jammer]]&amp;ScoreData[[#This Row],[RefRow]])=0,"",INDIRECT($X$24&amp;ScoreData[[#This Row],[Jammer]]&amp;ScoreData[[#This Row],[RefRow]]))</f>
        <v>58</v>
      </c>
      <c r="G135" s="1219" t="str">
        <f ca="1">IF(INDIRECT($X$24&amp;ScoreData[[#This Row],[Lead]]&amp;ScoreData[[#This Row],[RefRow]])="X","YES","NO")</f>
        <v>NO</v>
      </c>
      <c r="H135" s="1219" t="str">
        <f ca="1">IF(INDIRECT($X$24&amp;ScoreData[[#This Row],[Call]]&amp;ScoreData[[#This Row],[RefRow]])="X","YES","NO")</f>
        <v>NO</v>
      </c>
      <c r="I135" s="1219">
        <f ca="1">INDIRECT($X$24&amp;ScoreData[[#This Row],[Pass]]&amp;ScoreData[[#This Row],[RefRow]])</f>
        <v>0</v>
      </c>
      <c r="J135" s="1219" t="str">
        <f ca="1">IF(INDIRECT($X$24&amp;ScoreData[[#This Row],[Point]]&amp;ScoreData[[#This Row],[RefRow]])=0,"",INDIRECT($X$24&amp;ScoreData[[#This Row],[Point]]&amp;ScoreData[[#This Row],[RefRow]]))</f>
        <v/>
      </c>
      <c r="K135" s="1219" t="b">
        <f ca="1">IF(OR(INDIRECT($X$24&amp;ScoreData[[#This Row],[Jam]]&amp;ScoreData[[#This Row],[RefRow]])="SP",INDIRECT($X$24&amp;ScoreData[[#This Row],[Jam]]&amp;ScoreData[[#This Row],[RefRow]])="SP*"),TRUE,FALSE)</f>
        <v>0</v>
      </c>
      <c r="L135" s="1219" t="b">
        <v>0</v>
      </c>
      <c r="M135" s="1219" t="str">
        <f t="array" ref="M135">IFERROR(INDEX(ScoreSearch[],MATCH(ScoreData[[#This Row],[Home?]]&amp;ScoreData[[#Headers],[Jam]],ScoreSearch[Home?]&amp;ScoreSearch[Item],1),3),"")</f>
        <v>$T</v>
      </c>
      <c r="N135" s="1219" t="str">
        <f t="array" ref="N135">IFERROR(INDEX(ScoreSearch[],MATCH(ScoreData[[#This Row],[Home?]]&amp;ScoreData[[#Headers],[Jammer]],ScoreSearch[Home?]&amp;ScoreSearch[Item],1),3),"")</f>
        <v>$U</v>
      </c>
      <c r="O135" s="1219" t="str">
        <f t="array" ref="O135">IFERROR(INDEX(ScoreSearch[],MATCH(ScoreData[[#This Row],[Home?]]&amp;ScoreData[[#Headers],[Lead]],ScoreSearch[Home?]&amp;ScoreSearch[Item],1),3),"")</f>
        <v>$W</v>
      </c>
      <c r="P135" s="1219" t="str">
        <f t="array" ref="P135">IFERROR(INDEX(ScoreSearch[],MATCH(ScoreData[[#This Row],[Home?]]&amp;ScoreData[[#Headers],[Call]],ScoreSearch[Home?]&amp;ScoreSearch[Item],1),3),"")</f>
        <v>$X</v>
      </c>
      <c r="Q135" s="1219" t="str">
        <f t="array" ref="Q135">IFERROR(INDEX(ScoreSearch[],MATCH(ScoreData[[#This Row],[Home?]]&amp;ScoreData[[#Headers],[Penalty]],ScoreSearch[Home?]&amp;ScoreSearch[Item],1),3),"")</f>
        <v>$Z</v>
      </c>
      <c r="R135" s="1222" t="str">
        <f t="array" ref="R135">IFERROR(INDEX(ScoreSearch[],MATCH(ScoreData[[#This Row],[Home?]]&amp;ScoreData[[#Headers],[Point]],ScoreSearch[Home?]&amp;ScoreSearch[Item],1),3),"")</f>
        <v>$AJ</v>
      </c>
      <c r="S135" s="1222" t="str">
        <f t="array" ref="S135">IFERROR(INDEX(ScoreSearch[],MATCH(ScoreData[[#This Row],[Home?]]&amp;ScoreData[[#Headers],[Pass]],ScoreSearch[Home?]&amp;ScoreSearch[Item],1),3),"")</f>
        <v>$AL</v>
      </c>
      <c r="T135" s="1219">
        <v>65</v>
      </c>
    </row>
    <row r="136" spans="1:20" x14ac:dyDescent="0.25">
      <c r="A136" s="1218">
        <f>[1]IBRF!$B$5</f>
        <v>41734</v>
      </c>
      <c r="B136" s="1221">
        <f t="shared" si="6"/>
        <v>0.83333333333333337</v>
      </c>
      <c r="C136" s="1219">
        <v>2</v>
      </c>
      <c r="D136" s="1219">
        <f ca="1">IF(ScoreData[[#This Row],[Passed?]],D135,INDIRECT($X$24&amp;ScoreData[[#This Row],[Jam]]&amp;ScoreData[[#This Row],[RefRow]]))</f>
        <v>15</v>
      </c>
      <c r="E136" s="1219" t="str">
        <f t="shared" si="5"/>
        <v>Harlots</v>
      </c>
      <c r="F136" s="1219" t="str">
        <f ca="1">IF(INDIRECT($X$24&amp;ScoreData[[#This Row],[Jammer]]&amp;ScoreData[[#This Row],[RefRow]])=0,"",INDIRECT($X$24&amp;ScoreData[[#This Row],[Jammer]]&amp;ScoreData[[#This Row],[RefRow]]))</f>
        <v>45</v>
      </c>
      <c r="G136" s="1219" t="str">
        <f ca="1">IF(INDIRECT($X$24&amp;ScoreData[[#This Row],[Lead]]&amp;ScoreData[[#This Row],[RefRow]])="X","YES","NO")</f>
        <v>NO</v>
      </c>
      <c r="H136" s="1219" t="str">
        <f ca="1">IF(INDIRECT($X$24&amp;ScoreData[[#This Row],[Call]]&amp;ScoreData[[#This Row],[RefRow]])="X","YES","NO")</f>
        <v>NO</v>
      </c>
      <c r="I136" s="1219">
        <f ca="1">INDIRECT($X$24&amp;ScoreData[[#This Row],[Pass]]&amp;ScoreData[[#This Row],[RefRow]])</f>
        <v>0</v>
      </c>
      <c r="J136" s="1219" t="str">
        <f ca="1">IF(INDIRECT($X$24&amp;ScoreData[[#This Row],[Point]]&amp;ScoreData[[#This Row],[RefRow]])=0,"",INDIRECT($X$24&amp;ScoreData[[#This Row],[Point]]&amp;ScoreData[[#This Row],[RefRow]]))</f>
        <v/>
      </c>
      <c r="K136" s="1219" t="b">
        <f ca="1">IF(OR(INDIRECT($X$24&amp;ScoreData[[#This Row],[Jam]]&amp;ScoreData[[#This Row],[RefRow]])="SP",INDIRECT($X$24&amp;ScoreData[[#This Row],[Jam]]&amp;ScoreData[[#This Row],[RefRow]])="SP*"),TRUE,FALSE)</f>
        <v>1</v>
      </c>
      <c r="L136" s="1219" t="b">
        <v>0</v>
      </c>
      <c r="M136" s="1219" t="str">
        <f t="array" ref="M136">IFERROR(INDEX(ScoreSearch[],MATCH(ScoreData[[#This Row],[Home?]]&amp;ScoreData[[#Headers],[Jam]],ScoreSearch[Home?]&amp;ScoreSearch[Item],1),3),"")</f>
        <v>$T</v>
      </c>
      <c r="N136" s="1219" t="str">
        <f t="array" ref="N136">IFERROR(INDEX(ScoreSearch[],MATCH(ScoreData[[#This Row],[Home?]]&amp;ScoreData[[#Headers],[Jammer]],ScoreSearch[Home?]&amp;ScoreSearch[Item],1),3),"")</f>
        <v>$U</v>
      </c>
      <c r="O136" s="1219" t="str">
        <f t="array" ref="O136">IFERROR(INDEX(ScoreSearch[],MATCH(ScoreData[[#This Row],[Home?]]&amp;ScoreData[[#Headers],[Lead]],ScoreSearch[Home?]&amp;ScoreSearch[Item],1),3),"")</f>
        <v>$W</v>
      </c>
      <c r="P136" s="1219" t="str">
        <f t="array" ref="P136">IFERROR(INDEX(ScoreSearch[],MATCH(ScoreData[[#This Row],[Home?]]&amp;ScoreData[[#Headers],[Call]],ScoreSearch[Home?]&amp;ScoreSearch[Item],1),3),"")</f>
        <v>$X</v>
      </c>
      <c r="Q136" s="1219" t="str">
        <f t="array" ref="Q136">IFERROR(INDEX(ScoreSearch[],MATCH(ScoreData[[#This Row],[Home?]]&amp;ScoreData[[#Headers],[Penalty]],ScoreSearch[Home?]&amp;ScoreSearch[Item],1),3),"")</f>
        <v>$Z</v>
      </c>
      <c r="R136" s="1222" t="str">
        <f t="array" ref="R136">IFERROR(INDEX(ScoreSearch[],MATCH(ScoreData[[#This Row],[Home?]]&amp;ScoreData[[#Headers],[Point]],ScoreSearch[Home?]&amp;ScoreSearch[Item],1),3),"")</f>
        <v>$AJ</v>
      </c>
      <c r="S136" s="1222" t="str">
        <f t="array" ref="S136">IFERROR(INDEX(ScoreSearch[],MATCH(ScoreData[[#This Row],[Home?]]&amp;ScoreData[[#Headers],[Pass]],ScoreSearch[Home?]&amp;ScoreSearch[Item],1),3),"")</f>
        <v>$AL</v>
      </c>
      <c r="T136" s="1219">
        <v>66</v>
      </c>
    </row>
    <row r="137" spans="1:20" x14ac:dyDescent="0.25">
      <c r="A137" s="1218">
        <f>[1]IBRF!$B$5</f>
        <v>41734</v>
      </c>
      <c r="B137" s="1221">
        <f t="shared" si="6"/>
        <v>0.83333333333333337</v>
      </c>
      <c r="C137" s="1219">
        <v>2</v>
      </c>
      <c r="D137" s="1219">
        <f ca="1">IF(ScoreData[[#This Row],[Passed?]],D136,INDIRECT($X$24&amp;ScoreData[[#This Row],[Jam]]&amp;ScoreData[[#This Row],[RefRow]]))</f>
        <v>16</v>
      </c>
      <c r="E137" s="1219" t="str">
        <f t="shared" si="5"/>
        <v>Harlots</v>
      </c>
      <c r="F137" s="1219" t="str">
        <f ca="1">IF(INDIRECT($X$24&amp;ScoreData[[#This Row],[Jammer]]&amp;ScoreData[[#This Row],[RefRow]])=0,"",INDIRECT($X$24&amp;ScoreData[[#This Row],[Jammer]]&amp;ScoreData[[#This Row],[RefRow]]))</f>
        <v>45</v>
      </c>
      <c r="G137" s="1219" t="str">
        <f ca="1">IF(INDIRECT($X$24&amp;ScoreData[[#This Row],[Lead]]&amp;ScoreData[[#This Row],[RefRow]])="X","YES","NO")</f>
        <v>NO</v>
      </c>
      <c r="H137" s="1219" t="str">
        <f ca="1">IF(INDIRECT($X$24&amp;ScoreData[[#This Row],[Call]]&amp;ScoreData[[#This Row],[RefRow]])="X","YES","NO")</f>
        <v>NO</v>
      </c>
      <c r="I137" s="1219">
        <f ca="1">INDIRECT($X$24&amp;ScoreData[[#This Row],[Pass]]&amp;ScoreData[[#This Row],[RefRow]])</f>
        <v>0</v>
      </c>
      <c r="J137" s="1219" t="str">
        <f ca="1">IF(INDIRECT($X$24&amp;ScoreData[[#This Row],[Point]]&amp;ScoreData[[#This Row],[RefRow]])=0,"",INDIRECT($X$24&amp;ScoreData[[#This Row],[Point]]&amp;ScoreData[[#This Row],[RefRow]]))</f>
        <v/>
      </c>
      <c r="K137" s="1219" t="b">
        <f ca="1">IF(OR(INDIRECT($X$24&amp;ScoreData[[#This Row],[Jam]]&amp;ScoreData[[#This Row],[RefRow]])="SP",INDIRECT($X$24&amp;ScoreData[[#This Row],[Jam]]&amp;ScoreData[[#This Row],[RefRow]])="SP*"),TRUE,FALSE)</f>
        <v>0</v>
      </c>
      <c r="L137" s="1219" t="b">
        <v>0</v>
      </c>
      <c r="M137" s="1219" t="str">
        <f t="array" ref="M137">IFERROR(INDEX(ScoreSearch[],MATCH(ScoreData[[#This Row],[Home?]]&amp;ScoreData[[#Headers],[Jam]],ScoreSearch[Home?]&amp;ScoreSearch[Item],1),3),"")</f>
        <v>$T</v>
      </c>
      <c r="N137" s="1219" t="str">
        <f t="array" ref="N137">IFERROR(INDEX(ScoreSearch[],MATCH(ScoreData[[#This Row],[Home?]]&amp;ScoreData[[#Headers],[Jammer]],ScoreSearch[Home?]&amp;ScoreSearch[Item],1),3),"")</f>
        <v>$U</v>
      </c>
      <c r="O137" s="1219" t="str">
        <f t="array" ref="O137">IFERROR(INDEX(ScoreSearch[],MATCH(ScoreData[[#This Row],[Home?]]&amp;ScoreData[[#Headers],[Lead]],ScoreSearch[Home?]&amp;ScoreSearch[Item],1),3),"")</f>
        <v>$W</v>
      </c>
      <c r="P137" s="1219" t="str">
        <f t="array" ref="P137">IFERROR(INDEX(ScoreSearch[],MATCH(ScoreData[[#This Row],[Home?]]&amp;ScoreData[[#Headers],[Call]],ScoreSearch[Home?]&amp;ScoreSearch[Item],1),3),"")</f>
        <v>$X</v>
      </c>
      <c r="Q137" s="1219" t="str">
        <f t="array" ref="Q137">IFERROR(INDEX(ScoreSearch[],MATCH(ScoreData[[#This Row],[Home?]]&amp;ScoreData[[#Headers],[Penalty]],ScoreSearch[Home?]&amp;ScoreSearch[Item],1),3),"")</f>
        <v>$Z</v>
      </c>
      <c r="R137" s="1222" t="str">
        <f t="array" ref="R137">IFERROR(INDEX(ScoreSearch[],MATCH(ScoreData[[#This Row],[Home?]]&amp;ScoreData[[#Headers],[Point]],ScoreSearch[Home?]&amp;ScoreSearch[Item],1),3),"")</f>
        <v>$AJ</v>
      </c>
      <c r="S137" s="1222" t="str">
        <f t="array" ref="S137">IFERROR(INDEX(ScoreSearch[],MATCH(ScoreData[[#This Row],[Home?]]&amp;ScoreData[[#Headers],[Pass]],ScoreSearch[Home?]&amp;ScoreSearch[Item],1),3),"")</f>
        <v>$AL</v>
      </c>
      <c r="T137" s="1219">
        <v>67</v>
      </c>
    </row>
    <row r="138" spans="1:20" x14ac:dyDescent="0.25">
      <c r="A138" s="1218">
        <f>[1]IBRF!$B$5</f>
        <v>41734</v>
      </c>
      <c r="B138" s="1221">
        <f t="shared" si="6"/>
        <v>0.83333333333333337</v>
      </c>
      <c r="C138" s="1219">
        <v>2</v>
      </c>
      <c r="D138" s="1219">
        <f ca="1">IF(ScoreData[[#This Row],[Passed?]],D137,INDIRECT($X$24&amp;ScoreData[[#This Row],[Jam]]&amp;ScoreData[[#This Row],[RefRow]]))</f>
        <v>16</v>
      </c>
      <c r="E138" s="1219" t="str">
        <f t="shared" si="5"/>
        <v>Harlots</v>
      </c>
      <c r="F138" s="1219" t="str">
        <f ca="1">IF(INDIRECT($X$24&amp;ScoreData[[#This Row],[Jammer]]&amp;ScoreData[[#This Row],[RefRow]])=0,"",INDIRECT($X$24&amp;ScoreData[[#This Row],[Jammer]]&amp;ScoreData[[#This Row],[RefRow]]))</f>
        <v>519</v>
      </c>
      <c r="G138" s="1219" t="str">
        <f ca="1">IF(INDIRECT($X$24&amp;ScoreData[[#This Row],[Lead]]&amp;ScoreData[[#This Row],[RefRow]])="X","YES","NO")</f>
        <v>NO</v>
      </c>
      <c r="H138" s="1219" t="str">
        <f ca="1">IF(INDIRECT($X$24&amp;ScoreData[[#This Row],[Call]]&amp;ScoreData[[#This Row],[RefRow]])="X","YES","NO")</f>
        <v>NO</v>
      </c>
      <c r="I138" s="1219">
        <f ca="1">INDIRECT($X$24&amp;ScoreData[[#This Row],[Pass]]&amp;ScoreData[[#This Row],[RefRow]])</f>
        <v>1</v>
      </c>
      <c r="J138" s="1219" t="str">
        <f ca="1">IF(INDIRECT($X$24&amp;ScoreData[[#This Row],[Point]]&amp;ScoreData[[#This Row],[RefRow]])=0,"",INDIRECT($X$24&amp;ScoreData[[#This Row],[Point]]&amp;ScoreData[[#This Row],[RefRow]]))</f>
        <v/>
      </c>
      <c r="K138" s="1219" t="b">
        <f ca="1">IF(OR(INDIRECT($X$24&amp;ScoreData[[#This Row],[Jam]]&amp;ScoreData[[#This Row],[RefRow]])="SP",INDIRECT($X$24&amp;ScoreData[[#This Row],[Jam]]&amp;ScoreData[[#This Row],[RefRow]])="SP*"),TRUE,FALSE)</f>
        <v>1</v>
      </c>
      <c r="L138" s="1219" t="b">
        <v>0</v>
      </c>
      <c r="M138" s="1219" t="str">
        <f t="array" ref="M138">IFERROR(INDEX(ScoreSearch[],MATCH(ScoreData[[#This Row],[Home?]]&amp;ScoreData[[#Headers],[Jam]],ScoreSearch[Home?]&amp;ScoreSearch[Item],1),3),"")</f>
        <v>$T</v>
      </c>
      <c r="N138" s="1219" t="str">
        <f t="array" ref="N138">IFERROR(INDEX(ScoreSearch[],MATCH(ScoreData[[#This Row],[Home?]]&amp;ScoreData[[#Headers],[Jammer]],ScoreSearch[Home?]&amp;ScoreSearch[Item],1),3),"")</f>
        <v>$U</v>
      </c>
      <c r="O138" s="1219" t="str">
        <f t="array" ref="O138">IFERROR(INDEX(ScoreSearch[],MATCH(ScoreData[[#This Row],[Home?]]&amp;ScoreData[[#Headers],[Lead]],ScoreSearch[Home?]&amp;ScoreSearch[Item],1),3),"")</f>
        <v>$W</v>
      </c>
      <c r="P138" s="1219" t="str">
        <f t="array" ref="P138">IFERROR(INDEX(ScoreSearch[],MATCH(ScoreData[[#This Row],[Home?]]&amp;ScoreData[[#Headers],[Call]],ScoreSearch[Home?]&amp;ScoreSearch[Item],1),3),"")</f>
        <v>$X</v>
      </c>
      <c r="Q138" s="1219" t="str">
        <f t="array" ref="Q138">IFERROR(INDEX(ScoreSearch[],MATCH(ScoreData[[#This Row],[Home?]]&amp;ScoreData[[#Headers],[Penalty]],ScoreSearch[Home?]&amp;ScoreSearch[Item],1),3),"")</f>
        <v>$Z</v>
      </c>
      <c r="R138" s="1222" t="str">
        <f t="array" ref="R138">IFERROR(INDEX(ScoreSearch[],MATCH(ScoreData[[#This Row],[Home?]]&amp;ScoreData[[#Headers],[Point]],ScoreSearch[Home?]&amp;ScoreSearch[Item],1),3),"")</f>
        <v>$AJ</v>
      </c>
      <c r="S138" s="1222" t="str">
        <f t="array" ref="S138">IFERROR(INDEX(ScoreSearch[],MATCH(ScoreData[[#This Row],[Home?]]&amp;ScoreData[[#Headers],[Pass]],ScoreSearch[Home?]&amp;ScoreSearch[Item],1),3),"")</f>
        <v>$AL</v>
      </c>
      <c r="T138" s="1219">
        <v>68</v>
      </c>
    </row>
    <row r="139" spans="1:20" x14ac:dyDescent="0.25">
      <c r="A139" s="1218">
        <f>[1]IBRF!$B$5</f>
        <v>41734</v>
      </c>
      <c r="B139" s="1221">
        <f t="shared" si="6"/>
        <v>0.83333333333333337</v>
      </c>
      <c r="C139" s="1219">
        <v>2</v>
      </c>
      <c r="D139" s="1219">
        <f ca="1">IF(ScoreData[[#This Row],[Passed?]],D138,INDIRECT($X$24&amp;ScoreData[[#This Row],[Jam]]&amp;ScoreData[[#This Row],[RefRow]]))</f>
        <v>17</v>
      </c>
      <c r="E139" s="1219" t="str">
        <f t="shared" si="5"/>
        <v>Harlots</v>
      </c>
      <c r="F139" s="1219" t="str">
        <f ca="1">IF(INDIRECT($X$24&amp;ScoreData[[#This Row],[Jammer]]&amp;ScoreData[[#This Row],[RefRow]])=0,"",INDIRECT($X$24&amp;ScoreData[[#This Row],[Jammer]]&amp;ScoreData[[#This Row],[RefRow]]))</f>
        <v>K9</v>
      </c>
      <c r="G139" s="1219" t="str">
        <f ca="1">IF(INDIRECT($X$24&amp;ScoreData[[#This Row],[Lead]]&amp;ScoreData[[#This Row],[RefRow]])="X","YES","NO")</f>
        <v>NO</v>
      </c>
      <c r="H139" s="1219" t="str">
        <f ca="1">IF(INDIRECT($X$24&amp;ScoreData[[#This Row],[Call]]&amp;ScoreData[[#This Row],[RefRow]])="X","YES","NO")</f>
        <v>NO</v>
      </c>
      <c r="I139" s="1219">
        <f ca="1">INDIRECT($X$24&amp;ScoreData[[#This Row],[Pass]]&amp;ScoreData[[#This Row],[RefRow]])</f>
        <v>0</v>
      </c>
      <c r="J139" s="1219" t="str">
        <f ca="1">IF(INDIRECT($X$24&amp;ScoreData[[#This Row],[Point]]&amp;ScoreData[[#This Row],[RefRow]])=0,"",INDIRECT($X$24&amp;ScoreData[[#This Row],[Point]]&amp;ScoreData[[#This Row],[RefRow]]))</f>
        <v/>
      </c>
      <c r="K139" s="1219" t="b">
        <f ca="1">IF(OR(INDIRECT($X$24&amp;ScoreData[[#This Row],[Jam]]&amp;ScoreData[[#This Row],[RefRow]])="SP",INDIRECT($X$24&amp;ScoreData[[#This Row],[Jam]]&amp;ScoreData[[#This Row],[RefRow]])="SP*"),TRUE,FALSE)</f>
        <v>0</v>
      </c>
      <c r="L139" s="1219" t="b">
        <v>0</v>
      </c>
      <c r="M139" s="1219" t="str">
        <f t="array" ref="M139">IFERROR(INDEX(ScoreSearch[],MATCH(ScoreData[[#This Row],[Home?]]&amp;ScoreData[[#Headers],[Jam]],ScoreSearch[Home?]&amp;ScoreSearch[Item],1),3),"")</f>
        <v>$T</v>
      </c>
      <c r="N139" s="1219" t="str">
        <f t="array" ref="N139">IFERROR(INDEX(ScoreSearch[],MATCH(ScoreData[[#This Row],[Home?]]&amp;ScoreData[[#Headers],[Jammer]],ScoreSearch[Home?]&amp;ScoreSearch[Item],1),3),"")</f>
        <v>$U</v>
      </c>
      <c r="O139" s="1219" t="str">
        <f t="array" ref="O139">IFERROR(INDEX(ScoreSearch[],MATCH(ScoreData[[#This Row],[Home?]]&amp;ScoreData[[#Headers],[Lead]],ScoreSearch[Home?]&amp;ScoreSearch[Item],1),3),"")</f>
        <v>$W</v>
      </c>
      <c r="P139" s="1219" t="str">
        <f t="array" ref="P139">IFERROR(INDEX(ScoreSearch[],MATCH(ScoreData[[#This Row],[Home?]]&amp;ScoreData[[#Headers],[Call]],ScoreSearch[Home?]&amp;ScoreSearch[Item],1),3),"")</f>
        <v>$X</v>
      </c>
      <c r="Q139" s="1219" t="str">
        <f t="array" ref="Q139">IFERROR(INDEX(ScoreSearch[],MATCH(ScoreData[[#This Row],[Home?]]&amp;ScoreData[[#Headers],[Penalty]],ScoreSearch[Home?]&amp;ScoreSearch[Item],1),3),"")</f>
        <v>$Z</v>
      </c>
      <c r="R139" s="1222" t="str">
        <f t="array" ref="R139">IFERROR(INDEX(ScoreSearch[],MATCH(ScoreData[[#This Row],[Home?]]&amp;ScoreData[[#Headers],[Point]],ScoreSearch[Home?]&amp;ScoreSearch[Item],1),3),"")</f>
        <v>$AJ</v>
      </c>
      <c r="S139" s="1222" t="str">
        <f t="array" ref="S139">IFERROR(INDEX(ScoreSearch[],MATCH(ScoreData[[#This Row],[Home?]]&amp;ScoreData[[#Headers],[Pass]],ScoreSearch[Home?]&amp;ScoreSearch[Item],1),3),"")</f>
        <v>$AL</v>
      </c>
      <c r="T139" s="1219">
        <v>69</v>
      </c>
    </row>
    <row r="140" spans="1:20" x14ac:dyDescent="0.25">
      <c r="A140" s="1218">
        <f>[1]IBRF!$B$5</f>
        <v>41734</v>
      </c>
      <c r="B140" s="1221">
        <f t="shared" si="6"/>
        <v>0.83333333333333337</v>
      </c>
      <c r="C140" s="1219">
        <v>2</v>
      </c>
      <c r="D140" s="1219">
        <f ca="1">IF(ScoreData[[#This Row],[Passed?]],D139,INDIRECT($X$24&amp;ScoreData[[#This Row],[Jam]]&amp;ScoreData[[#This Row],[RefRow]]))</f>
        <v>18</v>
      </c>
      <c r="E140" s="1219" t="str">
        <f t="shared" si="5"/>
        <v>Harlots</v>
      </c>
      <c r="F140" s="1219" t="str">
        <f ca="1">IF(INDIRECT($X$24&amp;ScoreData[[#This Row],[Jammer]]&amp;ScoreData[[#This Row],[RefRow]])=0,"",INDIRECT($X$24&amp;ScoreData[[#This Row],[Jammer]]&amp;ScoreData[[#This Row],[RefRow]]))</f>
        <v>K9</v>
      </c>
      <c r="G140" s="1219" t="str">
        <f ca="1">IF(INDIRECT($X$24&amp;ScoreData[[#This Row],[Lead]]&amp;ScoreData[[#This Row],[RefRow]])="X","YES","NO")</f>
        <v>NO</v>
      </c>
      <c r="H140" s="1219" t="str">
        <f ca="1">IF(INDIRECT($X$24&amp;ScoreData[[#This Row],[Call]]&amp;ScoreData[[#This Row],[RefRow]])="X","YES","NO")</f>
        <v>NO</v>
      </c>
      <c r="I140" s="1219">
        <f ca="1">INDIRECT($X$24&amp;ScoreData[[#This Row],[Pass]]&amp;ScoreData[[#This Row],[RefRow]])</f>
        <v>0</v>
      </c>
      <c r="J140" s="1219" t="str">
        <f ca="1">IF(INDIRECT($X$24&amp;ScoreData[[#This Row],[Point]]&amp;ScoreData[[#This Row],[RefRow]])=0,"",INDIRECT($X$24&amp;ScoreData[[#This Row],[Point]]&amp;ScoreData[[#This Row],[RefRow]]))</f>
        <v/>
      </c>
      <c r="K140" s="1219" t="b">
        <f ca="1">IF(OR(INDIRECT($X$24&amp;ScoreData[[#This Row],[Jam]]&amp;ScoreData[[#This Row],[RefRow]])="SP",INDIRECT($X$24&amp;ScoreData[[#This Row],[Jam]]&amp;ScoreData[[#This Row],[RefRow]])="SP*"),TRUE,FALSE)</f>
        <v>0</v>
      </c>
      <c r="L140" s="1219" t="b">
        <v>0</v>
      </c>
      <c r="M140" s="1219" t="str">
        <f t="array" ref="M140">IFERROR(INDEX(ScoreSearch[],MATCH(ScoreData[[#This Row],[Home?]]&amp;ScoreData[[#Headers],[Jam]],ScoreSearch[Home?]&amp;ScoreSearch[Item],1),3),"")</f>
        <v>$T</v>
      </c>
      <c r="N140" s="1219" t="str">
        <f t="array" ref="N140">IFERROR(INDEX(ScoreSearch[],MATCH(ScoreData[[#This Row],[Home?]]&amp;ScoreData[[#Headers],[Jammer]],ScoreSearch[Home?]&amp;ScoreSearch[Item],1),3),"")</f>
        <v>$U</v>
      </c>
      <c r="O140" s="1219" t="str">
        <f t="array" ref="O140">IFERROR(INDEX(ScoreSearch[],MATCH(ScoreData[[#This Row],[Home?]]&amp;ScoreData[[#Headers],[Lead]],ScoreSearch[Home?]&amp;ScoreSearch[Item],1),3),"")</f>
        <v>$W</v>
      </c>
      <c r="P140" s="1219" t="str">
        <f t="array" ref="P140">IFERROR(INDEX(ScoreSearch[],MATCH(ScoreData[[#This Row],[Home?]]&amp;ScoreData[[#Headers],[Call]],ScoreSearch[Home?]&amp;ScoreSearch[Item],1),3),"")</f>
        <v>$X</v>
      </c>
      <c r="Q140" s="1219" t="str">
        <f t="array" ref="Q140">IFERROR(INDEX(ScoreSearch[],MATCH(ScoreData[[#This Row],[Home?]]&amp;ScoreData[[#Headers],[Penalty]],ScoreSearch[Home?]&amp;ScoreSearch[Item],1),3),"")</f>
        <v>$Z</v>
      </c>
      <c r="R140" s="1222" t="str">
        <f t="array" ref="R140">IFERROR(INDEX(ScoreSearch[],MATCH(ScoreData[[#This Row],[Home?]]&amp;ScoreData[[#Headers],[Point]],ScoreSearch[Home?]&amp;ScoreSearch[Item],1),3),"")</f>
        <v>$AJ</v>
      </c>
      <c r="S140" s="1222" t="str">
        <f t="array" ref="S140">IFERROR(INDEX(ScoreSearch[],MATCH(ScoreData[[#This Row],[Home?]]&amp;ScoreData[[#Headers],[Pass]],ScoreSearch[Home?]&amp;ScoreSearch[Item],1),3),"")</f>
        <v>$AL</v>
      </c>
      <c r="T140" s="1219">
        <v>70</v>
      </c>
    </row>
    <row r="141" spans="1:20" x14ac:dyDescent="0.25">
      <c r="A141" s="1218">
        <f>[1]IBRF!$B$5</f>
        <v>41734</v>
      </c>
      <c r="B141" s="1221">
        <f t="shared" si="6"/>
        <v>0.83333333333333337</v>
      </c>
      <c r="C141" s="1219">
        <v>2</v>
      </c>
      <c r="D141" s="1219">
        <f ca="1">IF(ScoreData[[#This Row],[Passed?]],D140,INDIRECT($X$24&amp;ScoreData[[#This Row],[Jam]]&amp;ScoreData[[#This Row],[RefRow]]))</f>
        <v>0</v>
      </c>
      <c r="E141" s="1219" t="str">
        <f t="shared" si="5"/>
        <v>Harlots</v>
      </c>
      <c r="F141" s="1219" t="str">
        <f ca="1">IF(INDIRECT($X$24&amp;ScoreData[[#This Row],[Jammer]]&amp;ScoreData[[#This Row],[RefRow]])=0,"",INDIRECT($X$24&amp;ScoreData[[#This Row],[Jammer]]&amp;ScoreData[[#This Row],[RefRow]]))</f>
        <v/>
      </c>
      <c r="G141" s="1219" t="str">
        <f ca="1">IF(INDIRECT($X$24&amp;ScoreData[[#This Row],[Lead]]&amp;ScoreData[[#This Row],[RefRow]])="X","YES","NO")</f>
        <v>NO</v>
      </c>
      <c r="H141" s="1219" t="str">
        <f ca="1">IF(INDIRECT($X$24&amp;ScoreData[[#This Row],[Call]]&amp;ScoreData[[#This Row],[RefRow]])="X","YES","NO")</f>
        <v>NO</v>
      </c>
      <c r="I141" s="1219">
        <f ca="1">INDIRECT($X$24&amp;ScoreData[[#This Row],[Pass]]&amp;ScoreData[[#This Row],[RefRow]])</f>
        <v>0</v>
      </c>
      <c r="J141" s="1219" t="str">
        <f ca="1">IF(INDIRECT($X$24&amp;ScoreData[[#This Row],[Point]]&amp;ScoreData[[#This Row],[RefRow]])=0,"",INDIRECT($X$24&amp;ScoreData[[#This Row],[Point]]&amp;ScoreData[[#This Row],[RefRow]]))</f>
        <v/>
      </c>
      <c r="K141" s="1219" t="b">
        <f ca="1">IF(OR(INDIRECT($X$24&amp;ScoreData[[#This Row],[Jam]]&amp;ScoreData[[#This Row],[RefRow]])="SP",INDIRECT($X$24&amp;ScoreData[[#This Row],[Jam]]&amp;ScoreData[[#This Row],[RefRow]])="SP*"),TRUE,FALSE)</f>
        <v>0</v>
      </c>
      <c r="L141" s="1219" t="b">
        <v>0</v>
      </c>
      <c r="M141" s="1219" t="str">
        <f t="array" ref="M141">IFERROR(INDEX(ScoreSearch[],MATCH(ScoreData[[#This Row],[Home?]]&amp;ScoreData[[#Headers],[Jam]],ScoreSearch[Home?]&amp;ScoreSearch[Item],1),3),"")</f>
        <v>$T</v>
      </c>
      <c r="N141" s="1219" t="str">
        <f t="array" ref="N141">IFERROR(INDEX(ScoreSearch[],MATCH(ScoreData[[#This Row],[Home?]]&amp;ScoreData[[#Headers],[Jammer]],ScoreSearch[Home?]&amp;ScoreSearch[Item],1),3),"")</f>
        <v>$U</v>
      </c>
      <c r="O141" s="1219" t="str">
        <f t="array" ref="O141">IFERROR(INDEX(ScoreSearch[],MATCH(ScoreData[[#This Row],[Home?]]&amp;ScoreData[[#Headers],[Lead]],ScoreSearch[Home?]&amp;ScoreSearch[Item],1),3),"")</f>
        <v>$W</v>
      </c>
      <c r="P141" s="1219" t="str">
        <f t="array" ref="P141">IFERROR(INDEX(ScoreSearch[],MATCH(ScoreData[[#This Row],[Home?]]&amp;ScoreData[[#Headers],[Call]],ScoreSearch[Home?]&amp;ScoreSearch[Item],1),3),"")</f>
        <v>$X</v>
      </c>
      <c r="Q141" s="1219" t="str">
        <f t="array" ref="Q141">IFERROR(INDEX(ScoreSearch[],MATCH(ScoreData[[#This Row],[Home?]]&amp;ScoreData[[#Headers],[Penalty]],ScoreSearch[Home?]&amp;ScoreSearch[Item],1),3),"")</f>
        <v>$Z</v>
      </c>
      <c r="R141" s="1222" t="str">
        <f t="array" ref="R141">IFERROR(INDEX(ScoreSearch[],MATCH(ScoreData[[#This Row],[Home?]]&amp;ScoreData[[#Headers],[Point]],ScoreSearch[Home?]&amp;ScoreSearch[Item],1),3),"")</f>
        <v>$AJ</v>
      </c>
      <c r="S141" s="1222" t="str">
        <f t="array" ref="S141">IFERROR(INDEX(ScoreSearch[],MATCH(ScoreData[[#This Row],[Home?]]&amp;ScoreData[[#Headers],[Pass]],ScoreSearch[Home?]&amp;ScoreSearch[Item],1),3),"")</f>
        <v>$AL</v>
      </c>
      <c r="T141" s="1219">
        <v>71</v>
      </c>
    </row>
    <row r="142" spans="1:20" x14ac:dyDescent="0.25">
      <c r="A142" s="1218">
        <f>[1]IBRF!$B$5</f>
        <v>41734</v>
      </c>
      <c r="B142" s="1221">
        <f t="shared" si="6"/>
        <v>0.83333333333333337</v>
      </c>
      <c r="C142" s="1219">
        <v>2</v>
      </c>
      <c r="D142" s="1219">
        <f ca="1">IF(ScoreData[[#This Row],[Passed?]],D141,INDIRECT($X$24&amp;ScoreData[[#This Row],[Jam]]&amp;ScoreData[[#This Row],[RefRow]]))</f>
        <v>0</v>
      </c>
      <c r="E142" s="1219" t="str">
        <f t="shared" si="5"/>
        <v>Harlots</v>
      </c>
      <c r="F142" s="1219" t="str">
        <f ca="1">IF(INDIRECT($X$24&amp;ScoreData[[#This Row],[Jammer]]&amp;ScoreData[[#This Row],[RefRow]])=0,"",INDIRECT($X$24&amp;ScoreData[[#This Row],[Jammer]]&amp;ScoreData[[#This Row],[RefRow]]))</f>
        <v/>
      </c>
      <c r="G142" s="1219" t="str">
        <f ca="1">IF(INDIRECT($X$24&amp;ScoreData[[#This Row],[Lead]]&amp;ScoreData[[#This Row],[RefRow]])="X","YES","NO")</f>
        <v>NO</v>
      </c>
      <c r="H142" s="1219" t="str">
        <f ca="1">IF(INDIRECT($X$24&amp;ScoreData[[#This Row],[Call]]&amp;ScoreData[[#This Row],[RefRow]])="X","YES","NO")</f>
        <v>NO</v>
      </c>
      <c r="I142" s="1219">
        <f ca="1">INDIRECT($X$24&amp;ScoreData[[#This Row],[Pass]]&amp;ScoreData[[#This Row],[RefRow]])</f>
        <v>0</v>
      </c>
      <c r="J142" s="1219" t="str">
        <f ca="1">IF(INDIRECT($X$24&amp;ScoreData[[#This Row],[Point]]&amp;ScoreData[[#This Row],[RefRow]])=0,"",INDIRECT($X$24&amp;ScoreData[[#This Row],[Point]]&amp;ScoreData[[#This Row],[RefRow]]))</f>
        <v/>
      </c>
      <c r="K142" s="1219" t="b">
        <f ca="1">IF(OR(INDIRECT($X$24&amp;ScoreData[[#This Row],[Jam]]&amp;ScoreData[[#This Row],[RefRow]])="SP",INDIRECT($X$24&amp;ScoreData[[#This Row],[Jam]]&amp;ScoreData[[#This Row],[RefRow]])="SP*"),TRUE,FALSE)</f>
        <v>0</v>
      </c>
      <c r="L142" s="1219" t="b">
        <v>0</v>
      </c>
      <c r="M142" s="1219" t="str">
        <f t="array" ref="M142">IFERROR(INDEX(ScoreSearch[],MATCH(ScoreData[[#This Row],[Home?]]&amp;ScoreData[[#Headers],[Jam]],ScoreSearch[Home?]&amp;ScoreSearch[Item],1),3),"")</f>
        <v>$T</v>
      </c>
      <c r="N142" s="1219" t="str">
        <f t="array" ref="N142">IFERROR(INDEX(ScoreSearch[],MATCH(ScoreData[[#This Row],[Home?]]&amp;ScoreData[[#Headers],[Jammer]],ScoreSearch[Home?]&amp;ScoreSearch[Item],1),3),"")</f>
        <v>$U</v>
      </c>
      <c r="O142" s="1219" t="str">
        <f t="array" ref="O142">IFERROR(INDEX(ScoreSearch[],MATCH(ScoreData[[#This Row],[Home?]]&amp;ScoreData[[#Headers],[Lead]],ScoreSearch[Home?]&amp;ScoreSearch[Item],1),3),"")</f>
        <v>$W</v>
      </c>
      <c r="P142" s="1219" t="str">
        <f t="array" ref="P142">IFERROR(INDEX(ScoreSearch[],MATCH(ScoreData[[#This Row],[Home?]]&amp;ScoreData[[#Headers],[Call]],ScoreSearch[Home?]&amp;ScoreSearch[Item],1),3),"")</f>
        <v>$X</v>
      </c>
      <c r="Q142" s="1219" t="str">
        <f t="array" ref="Q142">IFERROR(INDEX(ScoreSearch[],MATCH(ScoreData[[#This Row],[Home?]]&amp;ScoreData[[#Headers],[Penalty]],ScoreSearch[Home?]&amp;ScoreSearch[Item],1),3),"")</f>
        <v>$Z</v>
      </c>
      <c r="R142" s="1222" t="str">
        <f t="array" ref="R142">IFERROR(INDEX(ScoreSearch[],MATCH(ScoreData[[#This Row],[Home?]]&amp;ScoreData[[#Headers],[Point]],ScoreSearch[Home?]&amp;ScoreSearch[Item],1),3),"")</f>
        <v>$AJ</v>
      </c>
      <c r="S142" s="1222" t="str">
        <f t="array" ref="S142">IFERROR(INDEX(ScoreSearch[],MATCH(ScoreData[[#This Row],[Home?]]&amp;ScoreData[[#Headers],[Pass]],ScoreSearch[Home?]&amp;ScoreSearch[Item],1),3),"")</f>
        <v>$AL</v>
      </c>
      <c r="T142" s="1219">
        <v>72</v>
      </c>
    </row>
    <row r="143" spans="1:20" x14ac:dyDescent="0.25">
      <c r="A143" s="1218">
        <f>[1]IBRF!$B$5</f>
        <v>41734</v>
      </c>
      <c r="B143" s="1221">
        <f t="shared" si="6"/>
        <v>0.83333333333333337</v>
      </c>
      <c r="C143" s="1219">
        <v>2</v>
      </c>
      <c r="D143" s="1219">
        <f ca="1">IF(ScoreData[[#This Row],[Passed?]],D142,INDIRECT($X$24&amp;ScoreData[[#This Row],[Jam]]&amp;ScoreData[[#This Row],[RefRow]]))</f>
        <v>0</v>
      </c>
      <c r="E143" s="1219" t="str">
        <f t="shared" si="5"/>
        <v>Harlots</v>
      </c>
      <c r="F143" s="1219" t="str">
        <f ca="1">IF(INDIRECT($X$24&amp;ScoreData[[#This Row],[Jammer]]&amp;ScoreData[[#This Row],[RefRow]])=0,"",INDIRECT($X$24&amp;ScoreData[[#This Row],[Jammer]]&amp;ScoreData[[#This Row],[RefRow]]))</f>
        <v/>
      </c>
      <c r="G143" s="1219" t="str">
        <f ca="1">IF(INDIRECT($X$24&amp;ScoreData[[#This Row],[Lead]]&amp;ScoreData[[#This Row],[RefRow]])="X","YES","NO")</f>
        <v>NO</v>
      </c>
      <c r="H143" s="1219" t="str">
        <f ca="1">IF(INDIRECT($X$24&amp;ScoreData[[#This Row],[Call]]&amp;ScoreData[[#This Row],[RefRow]])="X","YES","NO")</f>
        <v>NO</v>
      </c>
      <c r="I143" s="1219">
        <f ca="1">INDIRECT($X$24&amp;ScoreData[[#This Row],[Pass]]&amp;ScoreData[[#This Row],[RefRow]])</f>
        <v>0</v>
      </c>
      <c r="J143" s="1219" t="str">
        <f ca="1">IF(INDIRECT($X$24&amp;ScoreData[[#This Row],[Point]]&amp;ScoreData[[#This Row],[RefRow]])=0,"",INDIRECT($X$24&amp;ScoreData[[#This Row],[Point]]&amp;ScoreData[[#This Row],[RefRow]]))</f>
        <v/>
      </c>
      <c r="K143" s="1219" t="b">
        <f ca="1">IF(OR(INDIRECT($X$24&amp;ScoreData[[#This Row],[Jam]]&amp;ScoreData[[#This Row],[RefRow]])="SP",INDIRECT($X$24&amp;ScoreData[[#This Row],[Jam]]&amp;ScoreData[[#This Row],[RefRow]])="SP*"),TRUE,FALSE)</f>
        <v>0</v>
      </c>
      <c r="L143" s="1219" t="b">
        <v>0</v>
      </c>
      <c r="M143" s="1219" t="str">
        <f t="array" ref="M143">IFERROR(INDEX(ScoreSearch[],MATCH(ScoreData[[#This Row],[Home?]]&amp;ScoreData[[#Headers],[Jam]],ScoreSearch[Home?]&amp;ScoreSearch[Item],1),3),"")</f>
        <v>$T</v>
      </c>
      <c r="N143" s="1219" t="str">
        <f t="array" ref="N143">IFERROR(INDEX(ScoreSearch[],MATCH(ScoreData[[#This Row],[Home?]]&amp;ScoreData[[#Headers],[Jammer]],ScoreSearch[Home?]&amp;ScoreSearch[Item],1),3),"")</f>
        <v>$U</v>
      </c>
      <c r="O143" s="1219" t="str">
        <f t="array" ref="O143">IFERROR(INDEX(ScoreSearch[],MATCH(ScoreData[[#This Row],[Home?]]&amp;ScoreData[[#Headers],[Lead]],ScoreSearch[Home?]&amp;ScoreSearch[Item],1),3),"")</f>
        <v>$W</v>
      </c>
      <c r="P143" s="1219" t="str">
        <f t="array" ref="P143">IFERROR(INDEX(ScoreSearch[],MATCH(ScoreData[[#This Row],[Home?]]&amp;ScoreData[[#Headers],[Call]],ScoreSearch[Home?]&amp;ScoreSearch[Item],1),3),"")</f>
        <v>$X</v>
      </c>
      <c r="Q143" s="1219" t="str">
        <f t="array" ref="Q143">IFERROR(INDEX(ScoreSearch[],MATCH(ScoreData[[#This Row],[Home?]]&amp;ScoreData[[#Headers],[Penalty]],ScoreSearch[Home?]&amp;ScoreSearch[Item],1),3),"")</f>
        <v>$Z</v>
      </c>
      <c r="R143" s="1222" t="str">
        <f t="array" ref="R143">IFERROR(INDEX(ScoreSearch[],MATCH(ScoreData[[#This Row],[Home?]]&amp;ScoreData[[#Headers],[Point]],ScoreSearch[Home?]&amp;ScoreSearch[Item],1),3),"")</f>
        <v>$AJ</v>
      </c>
      <c r="S143" s="1222" t="str">
        <f t="array" ref="S143">IFERROR(INDEX(ScoreSearch[],MATCH(ScoreData[[#This Row],[Home?]]&amp;ScoreData[[#Headers],[Pass]],ScoreSearch[Home?]&amp;ScoreSearch[Item],1),3),"")</f>
        <v>$AL</v>
      </c>
      <c r="T143" s="1219">
        <v>73</v>
      </c>
    </row>
    <row r="144" spans="1:20" x14ac:dyDescent="0.25">
      <c r="A144" s="1218">
        <f>[1]IBRF!$B$5</f>
        <v>41734</v>
      </c>
      <c r="B144" s="1221">
        <f t="shared" si="6"/>
        <v>0.83333333333333337</v>
      </c>
      <c r="C144" s="1219">
        <v>2</v>
      </c>
      <c r="D144" s="1219">
        <f ca="1">IF(ScoreData[[#This Row],[Passed?]],D143,INDIRECT($X$24&amp;ScoreData[[#This Row],[Jam]]&amp;ScoreData[[#This Row],[RefRow]]))</f>
        <v>0</v>
      </c>
      <c r="E144" s="1219" t="str">
        <f t="shared" si="5"/>
        <v>Harlots</v>
      </c>
      <c r="F144" s="1219" t="str">
        <f ca="1">IF(INDIRECT($X$24&amp;ScoreData[[#This Row],[Jammer]]&amp;ScoreData[[#This Row],[RefRow]])=0,"",INDIRECT($X$24&amp;ScoreData[[#This Row],[Jammer]]&amp;ScoreData[[#This Row],[RefRow]]))</f>
        <v/>
      </c>
      <c r="G144" s="1219" t="str">
        <f ca="1">IF(INDIRECT($X$24&amp;ScoreData[[#This Row],[Lead]]&amp;ScoreData[[#This Row],[RefRow]])="X","YES","NO")</f>
        <v>NO</v>
      </c>
      <c r="H144" s="1219" t="str">
        <f ca="1">IF(INDIRECT($X$24&amp;ScoreData[[#This Row],[Call]]&amp;ScoreData[[#This Row],[RefRow]])="X","YES","NO")</f>
        <v>NO</v>
      </c>
      <c r="I144" s="1219">
        <f ca="1">INDIRECT($X$24&amp;ScoreData[[#This Row],[Pass]]&amp;ScoreData[[#This Row],[RefRow]])</f>
        <v>0</v>
      </c>
      <c r="J144" s="1219" t="str">
        <f ca="1">IF(INDIRECT($X$24&amp;ScoreData[[#This Row],[Point]]&amp;ScoreData[[#This Row],[RefRow]])=0,"",INDIRECT($X$24&amp;ScoreData[[#This Row],[Point]]&amp;ScoreData[[#This Row],[RefRow]]))</f>
        <v/>
      </c>
      <c r="K144" s="1219" t="b">
        <f ca="1">IF(OR(INDIRECT($X$24&amp;ScoreData[[#This Row],[Jam]]&amp;ScoreData[[#This Row],[RefRow]])="SP",INDIRECT($X$24&amp;ScoreData[[#This Row],[Jam]]&amp;ScoreData[[#This Row],[RefRow]])="SP*"),TRUE,FALSE)</f>
        <v>0</v>
      </c>
      <c r="L144" s="1219" t="b">
        <v>0</v>
      </c>
      <c r="M144" s="1219" t="str">
        <f t="array" ref="M144">IFERROR(INDEX(ScoreSearch[],MATCH(ScoreData[[#This Row],[Home?]]&amp;ScoreData[[#Headers],[Jam]],ScoreSearch[Home?]&amp;ScoreSearch[Item],1),3),"")</f>
        <v>$T</v>
      </c>
      <c r="N144" s="1219" t="str">
        <f t="array" ref="N144">IFERROR(INDEX(ScoreSearch[],MATCH(ScoreData[[#This Row],[Home?]]&amp;ScoreData[[#Headers],[Jammer]],ScoreSearch[Home?]&amp;ScoreSearch[Item],1),3),"")</f>
        <v>$U</v>
      </c>
      <c r="O144" s="1219" t="str">
        <f t="array" ref="O144">IFERROR(INDEX(ScoreSearch[],MATCH(ScoreData[[#This Row],[Home?]]&amp;ScoreData[[#Headers],[Lead]],ScoreSearch[Home?]&amp;ScoreSearch[Item],1),3),"")</f>
        <v>$W</v>
      </c>
      <c r="P144" s="1219" t="str">
        <f t="array" ref="P144">IFERROR(INDEX(ScoreSearch[],MATCH(ScoreData[[#This Row],[Home?]]&amp;ScoreData[[#Headers],[Call]],ScoreSearch[Home?]&amp;ScoreSearch[Item],1),3),"")</f>
        <v>$X</v>
      </c>
      <c r="Q144" s="1219" t="str">
        <f t="array" ref="Q144">IFERROR(INDEX(ScoreSearch[],MATCH(ScoreData[[#This Row],[Home?]]&amp;ScoreData[[#Headers],[Penalty]],ScoreSearch[Home?]&amp;ScoreSearch[Item],1),3),"")</f>
        <v>$Z</v>
      </c>
      <c r="R144" s="1222" t="str">
        <f t="array" ref="R144">IFERROR(INDEX(ScoreSearch[],MATCH(ScoreData[[#This Row],[Home?]]&amp;ScoreData[[#Headers],[Point]],ScoreSearch[Home?]&amp;ScoreSearch[Item],1),3),"")</f>
        <v>$AJ</v>
      </c>
      <c r="S144" s="1222" t="str">
        <f t="array" ref="S144">IFERROR(INDEX(ScoreSearch[],MATCH(ScoreData[[#This Row],[Home?]]&amp;ScoreData[[#Headers],[Pass]],ScoreSearch[Home?]&amp;ScoreSearch[Item],1),3),"")</f>
        <v>$AL</v>
      </c>
      <c r="T144" s="1219">
        <v>74</v>
      </c>
    </row>
    <row r="145" spans="1:20" x14ac:dyDescent="0.25">
      <c r="A145" s="1218">
        <f>[1]IBRF!$B$5</f>
        <v>41734</v>
      </c>
      <c r="B145" s="1221">
        <f t="shared" si="6"/>
        <v>0.83333333333333337</v>
      </c>
      <c r="C145" s="1219">
        <v>2</v>
      </c>
      <c r="D145" s="1219">
        <f ca="1">IF(ScoreData[[#This Row],[Passed?]],D144,INDIRECT($X$24&amp;ScoreData[[#This Row],[Jam]]&amp;ScoreData[[#This Row],[RefRow]]))</f>
        <v>0</v>
      </c>
      <c r="E145" s="1219" t="str">
        <f t="shared" si="5"/>
        <v>Harlots</v>
      </c>
      <c r="F145" s="1219" t="str">
        <f ca="1">IF(INDIRECT($X$24&amp;ScoreData[[#This Row],[Jammer]]&amp;ScoreData[[#This Row],[RefRow]])=0,"",INDIRECT($X$24&amp;ScoreData[[#This Row],[Jammer]]&amp;ScoreData[[#This Row],[RefRow]]))</f>
        <v/>
      </c>
      <c r="G145" s="1219" t="str">
        <f ca="1">IF(INDIRECT($X$24&amp;ScoreData[[#This Row],[Lead]]&amp;ScoreData[[#This Row],[RefRow]])="X","YES","NO")</f>
        <v>NO</v>
      </c>
      <c r="H145" s="1219" t="str">
        <f ca="1">IF(INDIRECT($X$24&amp;ScoreData[[#This Row],[Call]]&amp;ScoreData[[#This Row],[RefRow]])="X","YES","NO")</f>
        <v>NO</v>
      </c>
      <c r="I145" s="1219">
        <f ca="1">INDIRECT($X$24&amp;ScoreData[[#This Row],[Pass]]&amp;ScoreData[[#This Row],[RefRow]])</f>
        <v>0</v>
      </c>
      <c r="J145" s="1219" t="str">
        <f ca="1">IF(INDIRECT($X$24&amp;ScoreData[[#This Row],[Point]]&amp;ScoreData[[#This Row],[RefRow]])=0,"",INDIRECT($X$24&amp;ScoreData[[#This Row],[Point]]&amp;ScoreData[[#This Row],[RefRow]]))</f>
        <v/>
      </c>
      <c r="K145" s="1219" t="b">
        <f ca="1">IF(OR(INDIRECT($X$24&amp;ScoreData[[#This Row],[Jam]]&amp;ScoreData[[#This Row],[RefRow]])="SP",INDIRECT($X$24&amp;ScoreData[[#This Row],[Jam]]&amp;ScoreData[[#This Row],[RefRow]])="SP*"),TRUE,FALSE)</f>
        <v>0</v>
      </c>
      <c r="L145" s="1219" t="b">
        <v>0</v>
      </c>
      <c r="M145" s="1219" t="str">
        <f t="array" ref="M145">IFERROR(INDEX(ScoreSearch[],MATCH(ScoreData[[#This Row],[Home?]]&amp;ScoreData[[#Headers],[Jam]],ScoreSearch[Home?]&amp;ScoreSearch[Item],1),3),"")</f>
        <v>$T</v>
      </c>
      <c r="N145" s="1219" t="str">
        <f t="array" ref="N145">IFERROR(INDEX(ScoreSearch[],MATCH(ScoreData[[#This Row],[Home?]]&amp;ScoreData[[#Headers],[Jammer]],ScoreSearch[Home?]&amp;ScoreSearch[Item],1),3),"")</f>
        <v>$U</v>
      </c>
      <c r="O145" s="1219" t="str">
        <f t="array" ref="O145">IFERROR(INDEX(ScoreSearch[],MATCH(ScoreData[[#This Row],[Home?]]&amp;ScoreData[[#Headers],[Lead]],ScoreSearch[Home?]&amp;ScoreSearch[Item],1),3),"")</f>
        <v>$W</v>
      </c>
      <c r="P145" s="1219" t="str">
        <f t="array" ref="P145">IFERROR(INDEX(ScoreSearch[],MATCH(ScoreData[[#This Row],[Home?]]&amp;ScoreData[[#Headers],[Call]],ScoreSearch[Home?]&amp;ScoreSearch[Item],1),3),"")</f>
        <v>$X</v>
      </c>
      <c r="Q145" s="1219" t="str">
        <f t="array" ref="Q145">IFERROR(INDEX(ScoreSearch[],MATCH(ScoreData[[#This Row],[Home?]]&amp;ScoreData[[#Headers],[Penalty]],ScoreSearch[Home?]&amp;ScoreSearch[Item],1),3),"")</f>
        <v>$Z</v>
      </c>
      <c r="R145" s="1222" t="str">
        <f t="array" ref="R145">IFERROR(INDEX(ScoreSearch[],MATCH(ScoreData[[#This Row],[Home?]]&amp;ScoreData[[#Headers],[Point]],ScoreSearch[Home?]&amp;ScoreSearch[Item],1),3),"")</f>
        <v>$AJ</v>
      </c>
      <c r="S145" s="1222" t="str">
        <f t="array" ref="S145">IFERROR(INDEX(ScoreSearch[],MATCH(ScoreData[[#This Row],[Home?]]&amp;ScoreData[[#Headers],[Pass]],ScoreSearch[Home?]&amp;ScoreSearch[Item],1),3),"")</f>
        <v>$AL</v>
      </c>
      <c r="T145" s="1219">
        <v>75</v>
      </c>
    </row>
    <row r="146" spans="1:20" x14ac:dyDescent="0.25">
      <c r="A146" s="1218">
        <f>[1]IBRF!$B$5</f>
        <v>41734</v>
      </c>
      <c r="B146" s="1221">
        <f t="shared" si="6"/>
        <v>0.83333333333333337</v>
      </c>
      <c r="C146" s="1219">
        <v>2</v>
      </c>
      <c r="D146" s="1219">
        <f ca="1">IF(ScoreData[[#This Row],[Passed?]],D145,INDIRECT($X$24&amp;ScoreData[[#This Row],[Jam]]&amp;ScoreData[[#This Row],[RefRow]]))</f>
        <v>0</v>
      </c>
      <c r="E146" s="1219" t="str">
        <f t="shared" si="5"/>
        <v>Harlots</v>
      </c>
      <c r="F146" s="1219" t="str">
        <f ca="1">IF(INDIRECT($X$24&amp;ScoreData[[#This Row],[Jammer]]&amp;ScoreData[[#This Row],[RefRow]])=0,"",INDIRECT($X$24&amp;ScoreData[[#This Row],[Jammer]]&amp;ScoreData[[#This Row],[RefRow]]))</f>
        <v/>
      </c>
      <c r="G146" s="1219" t="str">
        <f ca="1">IF(INDIRECT($X$24&amp;ScoreData[[#This Row],[Lead]]&amp;ScoreData[[#This Row],[RefRow]])="X","YES","NO")</f>
        <v>NO</v>
      </c>
      <c r="H146" s="1219" t="str">
        <f ca="1">IF(INDIRECT($X$24&amp;ScoreData[[#This Row],[Call]]&amp;ScoreData[[#This Row],[RefRow]])="X","YES","NO")</f>
        <v>NO</v>
      </c>
      <c r="I146" s="1219">
        <f ca="1">INDIRECT($X$24&amp;ScoreData[[#This Row],[Pass]]&amp;ScoreData[[#This Row],[RefRow]])</f>
        <v>0</v>
      </c>
      <c r="J146" s="1219" t="str">
        <f ca="1">IF(INDIRECT($X$24&amp;ScoreData[[#This Row],[Point]]&amp;ScoreData[[#This Row],[RefRow]])=0,"",INDIRECT($X$24&amp;ScoreData[[#This Row],[Point]]&amp;ScoreData[[#This Row],[RefRow]]))</f>
        <v/>
      </c>
      <c r="K146" s="1219" t="b">
        <f ca="1">IF(OR(INDIRECT($X$24&amp;ScoreData[[#This Row],[Jam]]&amp;ScoreData[[#This Row],[RefRow]])="SP",INDIRECT($X$24&amp;ScoreData[[#This Row],[Jam]]&amp;ScoreData[[#This Row],[RefRow]])="SP*"),TRUE,FALSE)</f>
        <v>0</v>
      </c>
      <c r="L146" s="1219" t="b">
        <v>0</v>
      </c>
      <c r="M146" s="1219" t="str">
        <f t="array" ref="M146">IFERROR(INDEX(ScoreSearch[],MATCH(ScoreData[[#This Row],[Home?]]&amp;ScoreData[[#Headers],[Jam]],ScoreSearch[Home?]&amp;ScoreSearch[Item],1),3),"")</f>
        <v>$T</v>
      </c>
      <c r="N146" s="1219" t="str">
        <f t="array" ref="N146">IFERROR(INDEX(ScoreSearch[],MATCH(ScoreData[[#This Row],[Home?]]&amp;ScoreData[[#Headers],[Jammer]],ScoreSearch[Home?]&amp;ScoreSearch[Item],1),3),"")</f>
        <v>$U</v>
      </c>
      <c r="O146" s="1219" t="str">
        <f t="array" ref="O146">IFERROR(INDEX(ScoreSearch[],MATCH(ScoreData[[#This Row],[Home?]]&amp;ScoreData[[#Headers],[Lead]],ScoreSearch[Home?]&amp;ScoreSearch[Item],1),3),"")</f>
        <v>$W</v>
      </c>
      <c r="P146" s="1219" t="str">
        <f t="array" ref="P146">IFERROR(INDEX(ScoreSearch[],MATCH(ScoreData[[#This Row],[Home?]]&amp;ScoreData[[#Headers],[Call]],ScoreSearch[Home?]&amp;ScoreSearch[Item],1),3),"")</f>
        <v>$X</v>
      </c>
      <c r="Q146" s="1219" t="str">
        <f t="array" ref="Q146">IFERROR(INDEX(ScoreSearch[],MATCH(ScoreData[[#This Row],[Home?]]&amp;ScoreData[[#Headers],[Penalty]],ScoreSearch[Home?]&amp;ScoreSearch[Item],1),3),"")</f>
        <v>$Z</v>
      </c>
      <c r="R146" s="1222" t="str">
        <f t="array" ref="R146">IFERROR(INDEX(ScoreSearch[],MATCH(ScoreData[[#This Row],[Home?]]&amp;ScoreData[[#Headers],[Point]],ScoreSearch[Home?]&amp;ScoreSearch[Item],1),3),"")</f>
        <v>$AJ</v>
      </c>
      <c r="S146" s="1222" t="str">
        <f t="array" ref="S146">IFERROR(INDEX(ScoreSearch[],MATCH(ScoreData[[#This Row],[Home?]]&amp;ScoreData[[#Headers],[Pass]],ScoreSearch[Home?]&amp;ScoreSearch[Item],1),3),"")</f>
        <v>$AL</v>
      </c>
      <c r="T146" s="1219">
        <v>76</v>
      </c>
    </row>
    <row r="147" spans="1:20" x14ac:dyDescent="0.25">
      <c r="A147" s="1218">
        <f>[1]IBRF!$B$5</f>
        <v>41734</v>
      </c>
      <c r="B147" s="1221">
        <f t="shared" si="6"/>
        <v>0.83333333333333337</v>
      </c>
      <c r="C147" s="1219">
        <v>2</v>
      </c>
      <c r="D147" s="1219">
        <f ca="1">IF(ScoreData[[#This Row],[Passed?]],D146,INDIRECT($X$24&amp;ScoreData[[#This Row],[Jam]]&amp;ScoreData[[#This Row],[RefRow]]))</f>
        <v>0</v>
      </c>
      <c r="E147" s="1219" t="str">
        <f t="shared" si="5"/>
        <v>Harlots</v>
      </c>
      <c r="F147" s="1219" t="str">
        <f ca="1">IF(INDIRECT($X$24&amp;ScoreData[[#This Row],[Jammer]]&amp;ScoreData[[#This Row],[RefRow]])=0,"",INDIRECT($X$24&amp;ScoreData[[#This Row],[Jammer]]&amp;ScoreData[[#This Row],[RefRow]]))</f>
        <v/>
      </c>
      <c r="G147" s="1219" t="str">
        <f ca="1">IF(INDIRECT($X$24&amp;ScoreData[[#This Row],[Lead]]&amp;ScoreData[[#This Row],[RefRow]])="X","YES","NO")</f>
        <v>NO</v>
      </c>
      <c r="H147" s="1219" t="str">
        <f ca="1">IF(INDIRECT($X$24&amp;ScoreData[[#This Row],[Call]]&amp;ScoreData[[#This Row],[RefRow]])="X","YES","NO")</f>
        <v>NO</v>
      </c>
      <c r="I147" s="1219">
        <f ca="1">INDIRECT($X$24&amp;ScoreData[[#This Row],[Pass]]&amp;ScoreData[[#This Row],[RefRow]])</f>
        <v>0</v>
      </c>
      <c r="J147" s="1219" t="str">
        <f ca="1">IF(INDIRECT($X$24&amp;ScoreData[[#This Row],[Point]]&amp;ScoreData[[#This Row],[RefRow]])=0,"",INDIRECT($X$24&amp;ScoreData[[#This Row],[Point]]&amp;ScoreData[[#This Row],[RefRow]]))</f>
        <v/>
      </c>
      <c r="K147" s="1219" t="b">
        <f ca="1">IF(OR(INDIRECT($X$24&amp;ScoreData[[#This Row],[Jam]]&amp;ScoreData[[#This Row],[RefRow]])="SP",INDIRECT($X$24&amp;ScoreData[[#This Row],[Jam]]&amp;ScoreData[[#This Row],[RefRow]])="SP*"),TRUE,FALSE)</f>
        <v>0</v>
      </c>
      <c r="L147" s="1219" t="b">
        <v>0</v>
      </c>
      <c r="M147" s="1219" t="str">
        <f t="array" ref="M147">IFERROR(INDEX(ScoreSearch[],MATCH(ScoreData[[#This Row],[Home?]]&amp;ScoreData[[#Headers],[Jam]],ScoreSearch[Home?]&amp;ScoreSearch[Item],1),3),"")</f>
        <v>$T</v>
      </c>
      <c r="N147" s="1219" t="str">
        <f t="array" ref="N147">IFERROR(INDEX(ScoreSearch[],MATCH(ScoreData[[#This Row],[Home?]]&amp;ScoreData[[#Headers],[Jammer]],ScoreSearch[Home?]&amp;ScoreSearch[Item],1),3),"")</f>
        <v>$U</v>
      </c>
      <c r="O147" s="1219" t="str">
        <f t="array" ref="O147">IFERROR(INDEX(ScoreSearch[],MATCH(ScoreData[[#This Row],[Home?]]&amp;ScoreData[[#Headers],[Lead]],ScoreSearch[Home?]&amp;ScoreSearch[Item],1),3),"")</f>
        <v>$W</v>
      </c>
      <c r="P147" s="1219" t="str">
        <f t="array" ref="P147">IFERROR(INDEX(ScoreSearch[],MATCH(ScoreData[[#This Row],[Home?]]&amp;ScoreData[[#Headers],[Call]],ScoreSearch[Home?]&amp;ScoreSearch[Item],1),3),"")</f>
        <v>$X</v>
      </c>
      <c r="Q147" s="1219" t="str">
        <f t="array" ref="Q147">IFERROR(INDEX(ScoreSearch[],MATCH(ScoreData[[#This Row],[Home?]]&amp;ScoreData[[#Headers],[Penalty]],ScoreSearch[Home?]&amp;ScoreSearch[Item],1),3),"")</f>
        <v>$Z</v>
      </c>
      <c r="R147" s="1222" t="str">
        <f t="array" ref="R147">IFERROR(INDEX(ScoreSearch[],MATCH(ScoreData[[#This Row],[Home?]]&amp;ScoreData[[#Headers],[Point]],ScoreSearch[Home?]&amp;ScoreSearch[Item],1),3),"")</f>
        <v>$AJ</v>
      </c>
      <c r="S147" s="1222" t="str">
        <f t="array" ref="S147">IFERROR(INDEX(ScoreSearch[],MATCH(ScoreData[[#This Row],[Home?]]&amp;ScoreData[[#Headers],[Pass]],ScoreSearch[Home?]&amp;ScoreSearch[Item],1),3),"")</f>
        <v>$AL</v>
      </c>
      <c r="T147" s="1219">
        <v>77</v>
      </c>
    </row>
    <row r="148" spans="1:20" x14ac:dyDescent="0.25">
      <c r="A148" s="1218">
        <f>[1]IBRF!$B$5</f>
        <v>41734</v>
      </c>
      <c r="B148" s="1221">
        <f t="shared" si="6"/>
        <v>0.83333333333333337</v>
      </c>
      <c r="C148" s="1219">
        <v>2</v>
      </c>
      <c r="D148" s="1219">
        <f ca="1">IF(ScoreData[[#This Row],[Passed?]],D147,INDIRECT($X$24&amp;ScoreData[[#This Row],[Jam]]&amp;ScoreData[[#This Row],[RefRow]]))</f>
        <v>0</v>
      </c>
      <c r="E148" s="1219" t="str">
        <f t="shared" si="5"/>
        <v>Harlots</v>
      </c>
      <c r="F148" s="1219" t="str">
        <f ca="1">IF(INDIRECT($X$24&amp;ScoreData[[#This Row],[Jammer]]&amp;ScoreData[[#This Row],[RefRow]])=0,"",INDIRECT($X$24&amp;ScoreData[[#This Row],[Jammer]]&amp;ScoreData[[#This Row],[RefRow]]))</f>
        <v/>
      </c>
      <c r="G148" s="1219" t="str">
        <f ca="1">IF(INDIRECT($X$24&amp;ScoreData[[#This Row],[Lead]]&amp;ScoreData[[#This Row],[RefRow]])="X","YES","NO")</f>
        <v>NO</v>
      </c>
      <c r="H148" s="1219" t="str">
        <f ca="1">IF(INDIRECT($X$24&amp;ScoreData[[#This Row],[Call]]&amp;ScoreData[[#This Row],[RefRow]])="X","YES","NO")</f>
        <v>NO</v>
      </c>
      <c r="I148" s="1219">
        <f ca="1">INDIRECT($X$24&amp;ScoreData[[#This Row],[Pass]]&amp;ScoreData[[#This Row],[RefRow]])</f>
        <v>0</v>
      </c>
      <c r="J148" s="1219" t="str">
        <f ca="1">IF(INDIRECT($X$24&amp;ScoreData[[#This Row],[Point]]&amp;ScoreData[[#This Row],[RefRow]])=0,"",INDIRECT($X$24&amp;ScoreData[[#This Row],[Point]]&amp;ScoreData[[#This Row],[RefRow]]))</f>
        <v/>
      </c>
      <c r="K148" s="1219" t="b">
        <f ca="1">IF(OR(INDIRECT($X$24&amp;ScoreData[[#This Row],[Jam]]&amp;ScoreData[[#This Row],[RefRow]])="SP",INDIRECT($X$24&amp;ScoreData[[#This Row],[Jam]]&amp;ScoreData[[#This Row],[RefRow]])="SP*"),TRUE,FALSE)</f>
        <v>0</v>
      </c>
      <c r="L148" s="1219" t="b">
        <v>0</v>
      </c>
      <c r="M148" s="1219" t="str">
        <f t="array" ref="M148">IFERROR(INDEX(ScoreSearch[],MATCH(ScoreData[[#This Row],[Home?]]&amp;ScoreData[[#Headers],[Jam]],ScoreSearch[Home?]&amp;ScoreSearch[Item],1),3),"")</f>
        <v>$T</v>
      </c>
      <c r="N148" s="1219" t="str">
        <f t="array" ref="N148">IFERROR(INDEX(ScoreSearch[],MATCH(ScoreData[[#This Row],[Home?]]&amp;ScoreData[[#Headers],[Jammer]],ScoreSearch[Home?]&amp;ScoreSearch[Item],1),3),"")</f>
        <v>$U</v>
      </c>
      <c r="O148" s="1219" t="str">
        <f t="array" ref="O148">IFERROR(INDEX(ScoreSearch[],MATCH(ScoreData[[#This Row],[Home?]]&amp;ScoreData[[#Headers],[Lead]],ScoreSearch[Home?]&amp;ScoreSearch[Item],1),3),"")</f>
        <v>$W</v>
      </c>
      <c r="P148" s="1219" t="str">
        <f t="array" ref="P148">IFERROR(INDEX(ScoreSearch[],MATCH(ScoreData[[#This Row],[Home?]]&amp;ScoreData[[#Headers],[Call]],ScoreSearch[Home?]&amp;ScoreSearch[Item],1),3),"")</f>
        <v>$X</v>
      </c>
      <c r="Q148" s="1219" t="str">
        <f t="array" ref="Q148">IFERROR(INDEX(ScoreSearch[],MATCH(ScoreData[[#This Row],[Home?]]&amp;ScoreData[[#Headers],[Penalty]],ScoreSearch[Home?]&amp;ScoreSearch[Item],1),3),"")</f>
        <v>$Z</v>
      </c>
      <c r="R148" s="1222" t="str">
        <f t="array" ref="R148">IFERROR(INDEX(ScoreSearch[],MATCH(ScoreData[[#This Row],[Home?]]&amp;ScoreData[[#Headers],[Point]],ScoreSearch[Home?]&amp;ScoreSearch[Item],1),3),"")</f>
        <v>$AJ</v>
      </c>
      <c r="S148" s="1222" t="str">
        <f t="array" ref="S148">IFERROR(INDEX(ScoreSearch[],MATCH(ScoreData[[#This Row],[Home?]]&amp;ScoreData[[#Headers],[Pass]],ScoreSearch[Home?]&amp;ScoreSearch[Item],1),3),"")</f>
        <v>$AL</v>
      </c>
      <c r="T148" s="1219">
        <v>78</v>
      </c>
    </row>
    <row r="149" spans="1:20" x14ac:dyDescent="0.25">
      <c r="A149" s="1218">
        <f>[1]IBRF!$B$5</f>
        <v>41734</v>
      </c>
      <c r="B149" s="1221">
        <f t="shared" si="6"/>
        <v>0.83333333333333337</v>
      </c>
      <c r="C149" s="1219">
        <v>2</v>
      </c>
      <c r="D149" s="1219">
        <f ca="1">IF(ScoreData[[#This Row],[Passed?]],D148,INDIRECT($X$24&amp;ScoreData[[#This Row],[Jam]]&amp;ScoreData[[#This Row],[RefRow]]))</f>
        <v>0</v>
      </c>
      <c r="E149" s="1219" t="str">
        <f t="shared" si="5"/>
        <v>Harlots</v>
      </c>
      <c r="F149" s="1219" t="str">
        <f ca="1">IF(INDIRECT($X$24&amp;ScoreData[[#This Row],[Jammer]]&amp;ScoreData[[#This Row],[RefRow]])=0,"",INDIRECT($X$24&amp;ScoreData[[#This Row],[Jammer]]&amp;ScoreData[[#This Row],[RefRow]]))</f>
        <v/>
      </c>
      <c r="G149" s="1219" t="str">
        <f ca="1">IF(INDIRECT($X$24&amp;ScoreData[[#This Row],[Lead]]&amp;ScoreData[[#This Row],[RefRow]])="X","YES","NO")</f>
        <v>NO</v>
      </c>
      <c r="H149" s="1219" t="str">
        <f ca="1">IF(INDIRECT($X$24&amp;ScoreData[[#This Row],[Call]]&amp;ScoreData[[#This Row],[RefRow]])="X","YES","NO")</f>
        <v>NO</v>
      </c>
      <c r="I149" s="1219">
        <f ca="1">INDIRECT($X$24&amp;ScoreData[[#This Row],[Pass]]&amp;ScoreData[[#This Row],[RefRow]])</f>
        <v>0</v>
      </c>
      <c r="J149" s="1219" t="str">
        <f ca="1">IF(INDIRECT($X$24&amp;ScoreData[[#This Row],[Point]]&amp;ScoreData[[#This Row],[RefRow]])=0,"",INDIRECT($X$24&amp;ScoreData[[#This Row],[Point]]&amp;ScoreData[[#This Row],[RefRow]]))</f>
        <v/>
      </c>
      <c r="K149" s="1219" t="b">
        <f ca="1">IF(OR(INDIRECT($X$24&amp;ScoreData[[#This Row],[Jam]]&amp;ScoreData[[#This Row],[RefRow]])="SP",INDIRECT($X$24&amp;ScoreData[[#This Row],[Jam]]&amp;ScoreData[[#This Row],[RefRow]])="SP*"),TRUE,FALSE)</f>
        <v>0</v>
      </c>
      <c r="L149" s="1219" t="b">
        <v>0</v>
      </c>
      <c r="M149" s="1219" t="str">
        <f t="array" ref="M149">IFERROR(INDEX(ScoreSearch[],MATCH(ScoreData[[#This Row],[Home?]]&amp;ScoreData[[#Headers],[Jam]],ScoreSearch[Home?]&amp;ScoreSearch[Item],1),3),"")</f>
        <v>$T</v>
      </c>
      <c r="N149" s="1219" t="str">
        <f t="array" ref="N149">IFERROR(INDEX(ScoreSearch[],MATCH(ScoreData[[#This Row],[Home?]]&amp;ScoreData[[#Headers],[Jammer]],ScoreSearch[Home?]&amp;ScoreSearch[Item],1),3),"")</f>
        <v>$U</v>
      </c>
      <c r="O149" s="1219" t="str">
        <f t="array" ref="O149">IFERROR(INDEX(ScoreSearch[],MATCH(ScoreData[[#This Row],[Home?]]&amp;ScoreData[[#Headers],[Lead]],ScoreSearch[Home?]&amp;ScoreSearch[Item],1),3),"")</f>
        <v>$W</v>
      </c>
      <c r="P149" s="1219" t="str">
        <f t="array" ref="P149">IFERROR(INDEX(ScoreSearch[],MATCH(ScoreData[[#This Row],[Home?]]&amp;ScoreData[[#Headers],[Call]],ScoreSearch[Home?]&amp;ScoreSearch[Item],1),3),"")</f>
        <v>$X</v>
      </c>
      <c r="Q149" s="1219" t="str">
        <f t="array" ref="Q149">IFERROR(INDEX(ScoreSearch[],MATCH(ScoreData[[#This Row],[Home?]]&amp;ScoreData[[#Headers],[Penalty]],ScoreSearch[Home?]&amp;ScoreSearch[Item],1),3),"")</f>
        <v>$Z</v>
      </c>
      <c r="R149" s="1222" t="str">
        <f t="array" ref="R149">IFERROR(INDEX(ScoreSearch[],MATCH(ScoreData[[#This Row],[Home?]]&amp;ScoreData[[#Headers],[Point]],ScoreSearch[Home?]&amp;ScoreSearch[Item],1),3),"")</f>
        <v>$AJ</v>
      </c>
      <c r="S149" s="1222" t="str">
        <f t="array" ref="S149">IFERROR(INDEX(ScoreSearch[],MATCH(ScoreData[[#This Row],[Home?]]&amp;ScoreData[[#Headers],[Pass]],ScoreSearch[Home?]&amp;ScoreSearch[Item],1),3),"")</f>
        <v>$AL</v>
      </c>
      <c r="T149" s="1219">
        <v>79</v>
      </c>
    </row>
    <row r="150" spans="1:20" x14ac:dyDescent="0.25">
      <c r="A150" s="1218">
        <f>[1]IBRF!$B$5</f>
        <v>41734</v>
      </c>
      <c r="B150" s="1221">
        <f t="shared" si="6"/>
        <v>0.83333333333333337</v>
      </c>
      <c r="C150" s="1219">
        <v>2</v>
      </c>
      <c r="D150" s="1219">
        <f ca="1">IF(ScoreData[[#This Row],[Passed?]],D149,INDIRECT($X$24&amp;ScoreData[[#This Row],[Jam]]&amp;ScoreData[[#This Row],[RefRow]]))</f>
        <v>0</v>
      </c>
      <c r="E150" s="1219" t="str">
        <f t="shared" si="5"/>
        <v>Harlots</v>
      </c>
      <c r="F150" s="1219" t="str">
        <f ca="1">IF(INDIRECT($X$24&amp;ScoreData[[#This Row],[Jammer]]&amp;ScoreData[[#This Row],[RefRow]])=0,"",INDIRECT($X$24&amp;ScoreData[[#This Row],[Jammer]]&amp;ScoreData[[#This Row],[RefRow]]))</f>
        <v/>
      </c>
      <c r="G150" s="1219" t="str">
        <f ca="1">IF(INDIRECT($X$24&amp;ScoreData[[#This Row],[Lead]]&amp;ScoreData[[#This Row],[RefRow]])="X","YES","NO")</f>
        <v>NO</v>
      </c>
      <c r="H150" s="1219" t="str">
        <f ca="1">IF(INDIRECT($X$24&amp;ScoreData[[#This Row],[Call]]&amp;ScoreData[[#This Row],[RefRow]])="X","YES","NO")</f>
        <v>NO</v>
      </c>
      <c r="I150" s="1219">
        <f ca="1">INDIRECT($X$24&amp;ScoreData[[#This Row],[Pass]]&amp;ScoreData[[#This Row],[RefRow]])</f>
        <v>0</v>
      </c>
      <c r="J150" s="1219" t="str">
        <f ca="1">IF(INDIRECT($X$24&amp;ScoreData[[#This Row],[Point]]&amp;ScoreData[[#This Row],[RefRow]])=0,"",INDIRECT($X$24&amp;ScoreData[[#This Row],[Point]]&amp;ScoreData[[#This Row],[RefRow]]))</f>
        <v/>
      </c>
      <c r="K150" s="1219" t="b">
        <f ca="1">IF(OR(INDIRECT($X$24&amp;ScoreData[[#This Row],[Jam]]&amp;ScoreData[[#This Row],[RefRow]])="SP",INDIRECT($X$24&amp;ScoreData[[#This Row],[Jam]]&amp;ScoreData[[#This Row],[RefRow]])="SP*"),TRUE,FALSE)</f>
        <v>0</v>
      </c>
      <c r="L150" s="1219" t="b">
        <v>0</v>
      </c>
      <c r="M150" s="1219" t="str">
        <f t="array" ref="M150">IFERROR(INDEX(ScoreSearch[],MATCH(ScoreData[[#This Row],[Home?]]&amp;ScoreData[[#Headers],[Jam]],ScoreSearch[Home?]&amp;ScoreSearch[Item],1),3),"")</f>
        <v>$T</v>
      </c>
      <c r="N150" s="1219" t="str">
        <f t="array" ref="N150">IFERROR(INDEX(ScoreSearch[],MATCH(ScoreData[[#This Row],[Home?]]&amp;ScoreData[[#Headers],[Jammer]],ScoreSearch[Home?]&amp;ScoreSearch[Item],1),3),"")</f>
        <v>$U</v>
      </c>
      <c r="O150" s="1219" t="str">
        <f t="array" ref="O150">IFERROR(INDEX(ScoreSearch[],MATCH(ScoreData[[#This Row],[Home?]]&amp;ScoreData[[#Headers],[Lead]],ScoreSearch[Home?]&amp;ScoreSearch[Item],1),3),"")</f>
        <v>$W</v>
      </c>
      <c r="P150" s="1219" t="str">
        <f t="array" ref="P150">IFERROR(INDEX(ScoreSearch[],MATCH(ScoreData[[#This Row],[Home?]]&amp;ScoreData[[#Headers],[Call]],ScoreSearch[Home?]&amp;ScoreSearch[Item],1),3),"")</f>
        <v>$X</v>
      </c>
      <c r="Q150" s="1219" t="str">
        <f t="array" ref="Q150">IFERROR(INDEX(ScoreSearch[],MATCH(ScoreData[[#This Row],[Home?]]&amp;ScoreData[[#Headers],[Penalty]],ScoreSearch[Home?]&amp;ScoreSearch[Item],1),3),"")</f>
        <v>$Z</v>
      </c>
      <c r="R150" s="1222" t="str">
        <f t="array" ref="R150">IFERROR(INDEX(ScoreSearch[],MATCH(ScoreData[[#This Row],[Home?]]&amp;ScoreData[[#Headers],[Point]],ScoreSearch[Home?]&amp;ScoreSearch[Item],1),3),"")</f>
        <v>$AJ</v>
      </c>
      <c r="S150" s="1222" t="str">
        <f t="array" ref="S150">IFERROR(INDEX(ScoreSearch[],MATCH(ScoreData[[#This Row],[Home?]]&amp;ScoreData[[#Headers],[Pass]],ScoreSearch[Home?]&amp;ScoreSearch[Item],1),3),"")</f>
        <v>$AL</v>
      </c>
      <c r="T150" s="1219">
        <v>80</v>
      </c>
    </row>
    <row r="151" spans="1:20" x14ac:dyDescent="0.25">
      <c r="A151" s="1218">
        <f>[1]IBRF!$B$5</f>
        <v>41734</v>
      </c>
      <c r="B151" s="1221">
        <f t="shared" si="6"/>
        <v>0.83333333333333337</v>
      </c>
      <c r="C151" s="1219">
        <v>2</v>
      </c>
      <c r="D151" s="1219">
        <f ca="1">IF(ScoreData[[#This Row],[Passed?]],D150,INDIRECT($X$24&amp;ScoreData[[#This Row],[Jam]]&amp;ScoreData[[#This Row],[RefRow]]))</f>
        <v>0</v>
      </c>
      <c r="E151" s="1219" t="str">
        <f t="shared" si="5"/>
        <v>Harlots</v>
      </c>
      <c r="F151" s="1219" t="str">
        <f ca="1">IF(INDIRECT($X$24&amp;ScoreData[[#This Row],[Jammer]]&amp;ScoreData[[#This Row],[RefRow]])=0,"",INDIRECT($X$24&amp;ScoreData[[#This Row],[Jammer]]&amp;ScoreData[[#This Row],[RefRow]]))</f>
        <v/>
      </c>
      <c r="G151" s="1219" t="str">
        <f ca="1">IF(INDIRECT($X$24&amp;ScoreData[[#This Row],[Lead]]&amp;ScoreData[[#This Row],[RefRow]])="X","YES","NO")</f>
        <v>NO</v>
      </c>
      <c r="H151" s="1219" t="str">
        <f ca="1">IF(INDIRECT($X$24&amp;ScoreData[[#This Row],[Call]]&amp;ScoreData[[#This Row],[RefRow]])="X","YES","NO")</f>
        <v>NO</v>
      </c>
      <c r="I151" s="1219">
        <f ca="1">INDIRECT($X$24&amp;ScoreData[[#This Row],[Pass]]&amp;ScoreData[[#This Row],[RefRow]])</f>
        <v>0</v>
      </c>
      <c r="J151" s="1219" t="str">
        <f ca="1">IF(INDIRECT($X$24&amp;ScoreData[[#This Row],[Point]]&amp;ScoreData[[#This Row],[RefRow]])=0,"",INDIRECT($X$24&amp;ScoreData[[#This Row],[Point]]&amp;ScoreData[[#This Row],[RefRow]]))</f>
        <v/>
      </c>
      <c r="K151" s="1219" t="b">
        <f ca="1">IF(OR(INDIRECT($X$24&amp;ScoreData[[#This Row],[Jam]]&amp;ScoreData[[#This Row],[RefRow]])="SP",INDIRECT($X$24&amp;ScoreData[[#This Row],[Jam]]&amp;ScoreData[[#This Row],[RefRow]])="SP*"),TRUE,FALSE)</f>
        <v>0</v>
      </c>
      <c r="L151" s="1219" t="b">
        <v>0</v>
      </c>
      <c r="M151" s="1219" t="str">
        <f t="array" ref="M151">IFERROR(INDEX(ScoreSearch[],MATCH(ScoreData[[#This Row],[Home?]]&amp;ScoreData[[#Headers],[Jam]],ScoreSearch[Home?]&amp;ScoreSearch[Item],1),3),"")</f>
        <v>$T</v>
      </c>
      <c r="N151" s="1219" t="str">
        <f t="array" ref="N151">IFERROR(INDEX(ScoreSearch[],MATCH(ScoreData[[#This Row],[Home?]]&amp;ScoreData[[#Headers],[Jammer]],ScoreSearch[Home?]&amp;ScoreSearch[Item],1),3),"")</f>
        <v>$U</v>
      </c>
      <c r="O151" s="1219" t="str">
        <f t="array" ref="O151">IFERROR(INDEX(ScoreSearch[],MATCH(ScoreData[[#This Row],[Home?]]&amp;ScoreData[[#Headers],[Lead]],ScoreSearch[Home?]&amp;ScoreSearch[Item],1),3),"")</f>
        <v>$W</v>
      </c>
      <c r="P151" s="1219" t="str">
        <f t="array" ref="P151">IFERROR(INDEX(ScoreSearch[],MATCH(ScoreData[[#This Row],[Home?]]&amp;ScoreData[[#Headers],[Call]],ScoreSearch[Home?]&amp;ScoreSearch[Item],1),3),"")</f>
        <v>$X</v>
      </c>
      <c r="Q151" s="1219" t="str">
        <f t="array" ref="Q151">IFERROR(INDEX(ScoreSearch[],MATCH(ScoreData[[#This Row],[Home?]]&amp;ScoreData[[#Headers],[Penalty]],ScoreSearch[Home?]&amp;ScoreSearch[Item],1),3),"")</f>
        <v>$Z</v>
      </c>
      <c r="R151" s="1222" t="str">
        <f t="array" ref="R151">IFERROR(INDEX(ScoreSearch[],MATCH(ScoreData[[#This Row],[Home?]]&amp;ScoreData[[#Headers],[Point]],ScoreSearch[Home?]&amp;ScoreSearch[Item],1),3),"")</f>
        <v>$AJ</v>
      </c>
      <c r="S151" s="1222" t="str">
        <f t="array" ref="S151">IFERROR(INDEX(ScoreSearch[],MATCH(ScoreData[[#This Row],[Home?]]&amp;ScoreData[[#Headers],[Pass]],ScoreSearch[Home?]&amp;ScoreSearch[Item],1),3),"")</f>
        <v>$AL</v>
      </c>
      <c r="T151" s="1219">
        <v>81</v>
      </c>
    </row>
    <row r="152" spans="1:20" x14ac:dyDescent="0.25">
      <c r="A152" s="1218">
        <f>[1]IBRF!$B$5</f>
        <v>41734</v>
      </c>
      <c r="B152" s="1221">
        <f t="shared" si="6"/>
        <v>0.83333333333333337</v>
      </c>
      <c r="C152" s="1219">
        <v>2</v>
      </c>
      <c r="D152" s="1219">
        <f ca="1">IF(ScoreData[[#This Row],[Passed?]],D151,INDIRECT($X$24&amp;ScoreData[[#This Row],[Jam]]&amp;ScoreData[[#This Row],[RefRow]]))</f>
        <v>0</v>
      </c>
      <c r="E152" s="1219" t="str">
        <f t="shared" si="5"/>
        <v>Harlots</v>
      </c>
      <c r="F152" s="1219" t="str">
        <f ca="1">IF(INDIRECT($X$24&amp;ScoreData[[#This Row],[Jammer]]&amp;ScoreData[[#This Row],[RefRow]])=0,"",INDIRECT($X$24&amp;ScoreData[[#This Row],[Jammer]]&amp;ScoreData[[#This Row],[RefRow]]))</f>
        <v/>
      </c>
      <c r="G152" s="1219" t="str">
        <f ca="1">IF(INDIRECT($X$24&amp;ScoreData[[#This Row],[Lead]]&amp;ScoreData[[#This Row],[RefRow]])="X","YES","NO")</f>
        <v>NO</v>
      </c>
      <c r="H152" s="1219" t="str">
        <f ca="1">IF(INDIRECT($X$24&amp;ScoreData[[#This Row],[Call]]&amp;ScoreData[[#This Row],[RefRow]])="X","YES","NO")</f>
        <v>NO</v>
      </c>
      <c r="I152" s="1219">
        <f ca="1">INDIRECT($X$24&amp;ScoreData[[#This Row],[Pass]]&amp;ScoreData[[#This Row],[RefRow]])</f>
        <v>0</v>
      </c>
      <c r="J152" s="1219" t="str">
        <f ca="1">IF(INDIRECT($X$24&amp;ScoreData[[#This Row],[Point]]&amp;ScoreData[[#This Row],[RefRow]])=0,"",INDIRECT($X$24&amp;ScoreData[[#This Row],[Point]]&amp;ScoreData[[#This Row],[RefRow]]))</f>
        <v/>
      </c>
      <c r="K152" s="1219" t="b">
        <f ca="1">IF(OR(INDIRECT($X$24&amp;ScoreData[[#This Row],[Jam]]&amp;ScoreData[[#This Row],[RefRow]])="SP",INDIRECT($X$24&amp;ScoreData[[#This Row],[Jam]]&amp;ScoreData[[#This Row],[RefRow]])="SP*"),TRUE,FALSE)</f>
        <v>0</v>
      </c>
      <c r="L152" s="1219" t="b">
        <v>0</v>
      </c>
      <c r="M152" s="1219" t="str">
        <f t="array" ref="M152">IFERROR(INDEX(ScoreSearch[],MATCH(ScoreData[[#This Row],[Home?]]&amp;ScoreData[[#Headers],[Jam]],ScoreSearch[Home?]&amp;ScoreSearch[Item],1),3),"")</f>
        <v>$T</v>
      </c>
      <c r="N152" s="1219" t="str">
        <f t="array" ref="N152">IFERROR(INDEX(ScoreSearch[],MATCH(ScoreData[[#This Row],[Home?]]&amp;ScoreData[[#Headers],[Jammer]],ScoreSearch[Home?]&amp;ScoreSearch[Item],1),3),"")</f>
        <v>$U</v>
      </c>
      <c r="O152" s="1219" t="str">
        <f t="array" ref="O152">IFERROR(INDEX(ScoreSearch[],MATCH(ScoreData[[#This Row],[Home?]]&amp;ScoreData[[#Headers],[Lead]],ScoreSearch[Home?]&amp;ScoreSearch[Item],1),3),"")</f>
        <v>$W</v>
      </c>
      <c r="P152" s="1219" t="str">
        <f t="array" ref="P152">IFERROR(INDEX(ScoreSearch[],MATCH(ScoreData[[#This Row],[Home?]]&amp;ScoreData[[#Headers],[Call]],ScoreSearch[Home?]&amp;ScoreSearch[Item],1),3),"")</f>
        <v>$X</v>
      </c>
      <c r="Q152" s="1219" t="str">
        <f t="array" ref="Q152">IFERROR(INDEX(ScoreSearch[],MATCH(ScoreData[[#This Row],[Home?]]&amp;ScoreData[[#Headers],[Penalty]],ScoreSearch[Home?]&amp;ScoreSearch[Item],1),3),"")</f>
        <v>$Z</v>
      </c>
      <c r="R152" s="1222" t="str">
        <f t="array" ref="R152">IFERROR(INDEX(ScoreSearch[],MATCH(ScoreData[[#This Row],[Home?]]&amp;ScoreData[[#Headers],[Point]],ScoreSearch[Home?]&amp;ScoreSearch[Item],1),3),"")</f>
        <v>$AJ</v>
      </c>
      <c r="S152" s="1222" t="str">
        <f t="array" ref="S152">IFERROR(INDEX(ScoreSearch[],MATCH(ScoreData[[#This Row],[Home?]]&amp;ScoreData[[#Headers],[Pass]],ScoreSearch[Home?]&amp;ScoreSearch[Item],1),3),"")</f>
        <v>$AL</v>
      </c>
      <c r="T152" s="1219">
        <v>82</v>
      </c>
    </row>
    <row r="153" spans="1:20" x14ac:dyDescent="0.25">
      <c r="A153" s="1218">
        <f>[1]IBRF!$B$5</f>
        <v>41734</v>
      </c>
      <c r="B153" s="1221">
        <f t="shared" si="6"/>
        <v>0.83333333333333337</v>
      </c>
      <c r="C153" s="1219">
        <v>2</v>
      </c>
      <c r="D153" s="1219">
        <f ca="1">IF(ScoreData[[#This Row],[Passed?]],D152,INDIRECT($X$24&amp;ScoreData[[#This Row],[Jam]]&amp;ScoreData[[#This Row],[RefRow]]))</f>
        <v>0</v>
      </c>
      <c r="E153" s="1219" t="str">
        <f t="shared" si="5"/>
        <v>Harlots</v>
      </c>
      <c r="F153" s="1219" t="str">
        <f ca="1">IF(INDIRECT($X$24&amp;ScoreData[[#This Row],[Jammer]]&amp;ScoreData[[#This Row],[RefRow]])=0,"",INDIRECT($X$24&amp;ScoreData[[#This Row],[Jammer]]&amp;ScoreData[[#This Row],[RefRow]]))</f>
        <v/>
      </c>
      <c r="G153" s="1219" t="str">
        <f ca="1">IF(INDIRECT($X$24&amp;ScoreData[[#This Row],[Lead]]&amp;ScoreData[[#This Row],[RefRow]])="X","YES","NO")</f>
        <v>NO</v>
      </c>
      <c r="H153" s="1219" t="str">
        <f ca="1">IF(INDIRECT($X$24&amp;ScoreData[[#This Row],[Call]]&amp;ScoreData[[#This Row],[RefRow]])="X","YES","NO")</f>
        <v>NO</v>
      </c>
      <c r="I153" s="1219">
        <f ca="1">INDIRECT($X$24&amp;ScoreData[[#This Row],[Pass]]&amp;ScoreData[[#This Row],[RefRow]])</f>
        <v>0</v>
      </c>
      <c r="J153" s="1219" t="str">
        <f ca="1">IF(INDIRECT($X$24&amp;ScoreData[[#This Row],[Point]]&amp;ScoreData[[#This Row],[RefRow]])=0,"",INDIRECT($X$24&amp;ScoreData[[#This Row],[Point]]&amp;ScoreData[[#This Row],[RefRow]]))</f>
        <v/>
      </c>
      <c r="K153" s="1219" t="b">
        <f ca="1">IF(OR(INDIRECT($X$24&amp;ScoreData[[#This Row],[Jam]]&amp;ScoreData[[#This Row],[RefRow]])="SP",INDIRECT($X$24&amp;ScoreData[[#This Row],[Jam]]&amp;ScoreData[[#This Row],[RefRow]])="SP*"),TRUE,FALSE)</f>
        <v>0</v>
      </c>
      <c r="L153" s="1219" t="b">
        <v>0</v>
      </c>
      <c r="M153" s="1219" t="str">
        <f t="array" ref="M153">IFERROR(INDEX(ScoreSearch[],MATCH(ScoreData[[#This Row],[Home?]]&amp;ScoreData[[#Headers],[Jam]],ScoreSearch[Home?]&amp;ScoreSearch[Item],1),3),"")</f>
        <v>$T</v>
      </c>
      <c r="N153" s="1219" t="str">
        <f t="array" ref="N153">IFERROR(INDEX(ScoreSearch[],MATCH(ScoreData[[#This Row],[Home?]]&amp;ScoreData[[#Headers],[Jammer]],ScoreSearch[Home?]&amp;ScoreSearch[Item],1),3),"")</f>
        <v>$U</v>
      </c>
      <c r="O153" s="1219" t="str">
        <f t="array" ref="O153">IFERROR(INDEX(ScoreSearch[],MATCH(ScoreData[[#This Row],[Home?]]&amp;ScoreData[[#Headers],[Lead]],ScoreSearch[Home?]&amp;ScoreSearch[Item],1),3),"")</f>
        <v>$W</v>
      </c>
      <c r="P153" s="1219" t="str">
        <f t="array" ref="P153">IFERROR(INDEX(ScoreSearch[],MATCH(ScoreData[[#This Row],[Home?]]&amp;ScoreData[[#Headers],[Call]],ScoreSearch[Home?]&amp;ScoreSearch[Item],1),3),"")</f>
        <v>$X</v>
      </c>
      <c r="Q153" s="1219" t="str">
        <f t="array" ref="Q153">IFERROR(INDEX(ScoreSearch[],MATCH(ScoreData[[#This Row],[Home?]]&amp;ScoreData[[#Headers],[Penalty]],ScoreSearch[Home?]&amp;ScoreSearch[Item],1),3),"")</f>
        <v>$Z</v>
      </c>
      <c r="R153" s="1222" t="str">
        <f t="array" ref="R153">IFERROR(INDEX(ScoreSearch[],MATCH(ScoreData[[#This Row],[Home?]]&amp;ScoreData[[#Headers],[Point]],ScoreSearch[Home?]&amp;ScoreSearch[Item],1),3),"")</f>
        <v>$AJ</v>
      </c>
      <c r="S153" s="1222" t="str">
        <f t="array" ref="S153">IFERROR(INDEX(ScoreSearch[],MATCH(ScoreData[[#This Row],[Home?]]&amp;ScoreData[[#Headers],[Pass]],ScoreSearch[Home?]&amp;ScoreSearch[Item],1),3),"")</f>
        <v>$AL</v>
      </c>
      <c r="T153" s="1219">
        <v>83</v>
      </c>
    </row>
  </sheetData>
  <pageMargins left="0.7" right="0.7" top="0.75" bottom="0.75" header="0.3" footer="0.3"/>
  <pageSetup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C153"/>
  <sheetViews>
    <sheetView topLeftCell="E1" zoomScaleNormal="100" workbookViewId="0">
      <selection activeCell="Y11" sqref="Y11"/>
    </sheetView>
  </sheetViews>
  <sheetFormatPr defaultColWidth="9.109375" defaultRowHeight="13.2" x14ac:dyDescent="0.25"/>
  <cols>
    <col min="1" max="1" width="12.6640625" style="1209" bestFit="1" customWidth="1"/>
    <col min="2" max="2" width="12.6640625" style="1209" customWidth="1"/>
    <col min="3" max="4" width="9.109375" style="1209"/>
    <col min="5" max="5" width="30.6640625" style="1209" bestFit="1" customWidth="1"/>
    <col min="6" max="6" width="9" style="1209" bestFit="1" customWidth="1"/>
    <col min="7" max="7" width="8.44140625" style="1209" bestFit="1" customWidth="1"/>
    <col min="8" max="8" width="7.6640625" style="1209" bestFit="1" customWidth="1"/>
    <col min="9" max="9" width="8.5546875" style="1209" bestFit="1" customWidth="1"/>
    <col min="10" max="10" width="5.44140625" style="1209" bestFit="1" customWidth="1"/>
    <col min="11" max="11" width="8" style="1209" bestFit="1" customWidth="1"/>
    <col min="12" max="12" width="5.5546875" style="1209" bestFit="1" customWidth="1"/>
    <col min="13" max="13" width="10" style="1209" bestFit="1" customWidth="1"/>
    <col min="14" max="14" width="9.109375" style="1209" bestFit="1" customWidth="1"/>
    <col min="15" max="15" width="5.5546875" style="1209" bestFit="1" customWidth="1"/>
    <col min="16" max="16" width="10" style="1209" bestFit="1" customWidth="1"/>
    <col min="17" max="17" width="9.109375" style="1209"/>
    <col min="18" max="18" width="5.5546875" style="1209" bestFit="1" customWidth="1"/>
    <col min="19" max="19" width="10" style="1209" bestFit="1" customWidth="1"/>
    <col min="20" max="20" width="9.109375" style="1209" bestFit="1" customWidth="1"/>
    <col min="21" max="21" width="13.109375" style="1209" bestFit="1" customWidth="1"/>
    <col min="22" max="22" width="11.6640625" style="1209" bestFit="1" customWidth="1"/>
    <col min="23" max="23" width="10.44140625" style="1209" bestFit="1" customWidth="1"/>
    <col min="24" max="24" width="11.6640625" style="1209" customWidth="1"/>
    <col min="25" max="25" width="12" style="1209" bestFit="1" customWidth="1"/>
    <col min="26" max="26" width="19.5546875" style="1209" bestFit="1" customWidth="1"/>
    <col min="27" max="27" width="14.109375" style="1209" bestFit="1" customWidth="1"/>
    <col min="28" max="28" width="22.44140625" style="1209" customWidth="1"/>
    <col min="29" max="29" width="20" style="1209" bestFit="1" customWidth="1"/>
    <col min="30" max="30" width="14.109375" style="1209" bestFit="1" customWidth="1"/>
    <col min="31" max="39" width="9.109375" style="1209"/>
    <col min="40" max="40" width="16.88671875" style="1209" bestFit="1" customWidth="1"/>
    <col min="41" max="41" width="20.5546875" style="1209" bestFit="1" customWidth="1"/>
    <col min="42" max="42" width="15.6640625" style="1209" bestFit="1" customWidth="1"/>
    <col min="43" max="16384" width="9.109375" style="1209"/>
  </cols>
  <sheetData>
    <row r="1" spans="1:27" x14ac:dyDescent="0.25">
      <c r="A1" s="1218" t="s">
        <v>671</v>
      </c>
      <c r="B1" s="1218" t="s">
        <v>672</v>
      </c>
      <c r="C1" s="1219" t="s">
        <v>219</v>
      </c>
      <c r="D1" s="1219" t="s">
        <v>673</v>
      </c>
      <c r="E1" s="1219" t="s">
        <v>68</v>
      </c>
      <c r="F1" s="1219" t="s">
        <v>124</v>
      </c>
      <c r="G1" s="1219" t="s">
        <v>701</v>
      </c>
      <c r="H1" s="1219" t="s">
        <v>702</v>
      </c>
      <c r="I1" s="1219" t="s">
        <v>122</v>
      </c>
      <c r="J1" s="1219" t="s">
        <v>703</v>
      </c>
      <c r="K1" s="1219" t="s">
        <v>704</v>
      </c>
      <c r="L1" s="1219" t="s">
        <v>705</v>
      </c>
      <c r="M1" s="1219" t="s">
        <v>706</v>
      </c>
      <c r="N1" s="1219" t="s">
        <v>707</v>
      </c>
      <c r="O1" s="1219" t="s">
        <v>708</v>
      </c>
      <c r="P1" s="1219" t="s">
        <v>709</v>
      </c>
      <c r="Q1" s="1219" t="s">
        <v>710</v>
      </c>
      <c r="R1" s="1219" t="s">
        <v>711</v>
      </c>
      <c r="S1" s="1219" t="s">
        <v>712</v>
      </c>
      <c r="T1" s="1219" t="s">
        <v>713</v>
      </c>
      <c r="U1" s="1220" t="s">
        <v>677</v>
      </c>
      <c r="V1" s="1220" t="s">
        <v>678</v>
      </c>
      <c r="W1" s="1219" t="s">
        <v>682</v>
      </c>
      <c r="X1" s="1203"/>
      <c r="Y1" s="1206" t="s">
        <v>668</v>
      </c>
      <c r="Z1" s="1207">
        <f>Export_IGRF!I1</f>
        <v>42105</v>
      </c>
      <c r="AA1" s="1208">
        <f>Export_IGRF!J1</f>
        <v>0.83333333333333337</v>
      </c>
    </row>
    <row r="2" spans="1:27" x14ac:dyDescent="0.25">
      <c r="A2" s="1218">
        <f>[1]IBRF!$B$5</f>
        <v>41734</v>
      </c>
      <c r="B2" s="1221">
        <f t="shared" ref="B2:B65" si="0">$AA$1</f>
        <v>0.83333333333333337</v>
      </c>
      <c r="C2" s="1219">
        <v>1</v>
      </c>
      <c r="D2" s="1219">
        <f t="array" aca="1" ref="D2" ca="1">IF(LineupsData[[#This Row],[Passed?]],D1,IF(INDIRECT($AA$24&amp;INDEX(LineupsSearch[],MATCH(LineupsData[[#This Row],[Home?]]&amp;"Jam",LineupsSearch[Home?]&amp;LineupsSearch[Item],1),3)&amp;LineupsData[[#This Row],[RefRow]])="",0,INDIRECT($AA$24&amp;INDEX(LineupsSearch[],MATCH(LineupsData[[#This Row],[Home?]]&amp;"Jam",LineupsSearch[Home?]&amp;LineupsSearch[Item],1),3)&amp;LineupsData[[#This Row],[RefRow]])))</f>
        <v>1</v>
      </c>
      <c r="E2" s="1219" t="str">
        <f t="shared" ref="E2:E39" si="1">$AA$2</f>
        <v>Plan B</v>
      </c>
      <c r="F2" s="1219" t="str">
        <f t="array" aca="1" ref="F2" ca="1">INDIRECT($AA$24&amp;INDEX(LineupsSearch[],MATCH(LineupsData[[#This Row],[Home?]]&amp;LineupsData[[#Headers],[Jammer]],LineupsSearch[Home?]&amp;LineupsSearch[Item],1),3)&amp;LineupsData[[#This Row],[RefRow]])</f>
        <v>4</v>
      </c>
      <c r="G2" s="1219" t="str">
        <f t="array" aca="1" ref="G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2" s="1219">
        <f ca="1">IFERROR(LEN(IF(OR(LEFT(LineupsData[[#This Row],[J_Box]],1)="$",LEFT(LineupsData[[#This Row],[J_Box]],1)="S"),RIGHT(LineupsData[[#This Row],[J_Box]],LEN(LineupsData[[#This Row],[J_Box]])-1),LineupsData[[#This Row],[J_Box]])),"")</f>
        <v>1</v>
      </c>
      <c r="I2" s="1219" t="str">
        <f t="array" aca="1" ref="I2" ca="1">INDIRECT($AA$24&amp;INDEX(LineupsSearch[],MATCH(LineupsData[[#This Row],[Home?]]&amp;LineupsData[[#Headers],[Pivot]],LineupsSearch[Home?]&amp;LineupsSearch[Item],1),3)&amp;LineupsData[[#This Row],[RefRow]])</f>
        <v>0</v>
      </c>
      <c r="J2" s="1219" t="str">
        <f t="array" aca="1" ref="J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2" s="1219">
        <f ca="1">IFERROR(LEN(IF(OR(LEFT(LineupsData[[#This Row],[P_Box]],1)="$",LEFT(LineupsData[[#This Row],[P_Box]],1)="S"),RIGHT(LineupsData[[#This Row],[P_Box]],LEN(LineupsData[[#This Row],[P_Box]])-1),LineupsData[[#This Row],[P_Box]])),"")</f>
        <v>0</v>
      </c>
      <c r="L2" s="1219" t="str">
        <f t="array" aca="1" ref="L2" ca="1">INDIRECT($AA$24&amp;INDEX(LineupsSearch[],MATCH(LineupsData[[#This Row],[Home?]]&amp;LineupsData[[#Headers],[B1]],LineupsSearch[Home?]&amp;LineupsSearch[Item],1),3)&amp;LineupsData[[#This Row],[RefRow]])</f>
        <v>20</v>
      </c>
      <c r="M2" s="1219" t="str">
        <f t="array" aca="1" ref="M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2" s="1219">
        <f ca="1">IFERROR(LEN(IF(OR(LEFT(LineupsData[[#This Row],[B1_Box]],1)="$",LEFT(LineupsData[[#This Row],[B1_Box]],1)="S"),RIGHT(LineupsData[[#This Row],[B1_Box]],LEN(LineupsData[[#This Row],[B1_Box]])-1),LineupsData[[#This Row],[B1_Box]])),"")</f>
        <v>0</v>
      </c>
      <c r="O2" s="1219" t="str">
        <f t="array" aca="1" ref="O2" ca="1">INDIRECT($AA$24&amp;INDEX(LineupsSearch[],MATCH(LineupsData[[#This Row],[Home?]]&amp;LineupsData[[#Headers],[B2]],LineupsSearch[Home?]&amp;LineupsSearch[Item],1),3)&amp;LineupsData[[#This Row],[RefRow]])</f>
        <v>303</v>
      </c>
      <c r="P2" s="1219" t="str">
        <f t="array" aca="1" ref="P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2" s="1219">
        <f ca="1">IFERROR(LEN(IF(OR(LEFT(LineupsData[[#This Row],[B2_Box]],1)="$",LEFT(LineupsData[[#This Row],[B2_Box]],1)="S"),RIGHT(LineupsData[[#This Row],[B2_Box]],LEN(LineupsData[[#This Row],[B2_Box]])-1),LineupsData[[#This Row],[B2_Box]])),"")</f>
        <v>0</v>
      </c>
      <c r="R2" s="1219" t="str">
        <f t="array" aca="1" ref="R2" ca="1">INDIRECT($AA$24&amp;INDEX(LineupsSearch[],MATCH(LineupsData[[#This Row],[Home?]]&amp;LineupsData[[#Headers],[B3]],LineupsSearch[Home?]&amp;LineupsSearch[Item],1),3)&amp;LineupsData[[#This Row],[RefRow]])</f>
        <v>64</v>
      </c>
      <c r="S2" s="1219" t="str">
        <f t="array" aca="1" ref="S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2" s="1219">
        <f ca="1">IFERROR(LEN(IF(OR(LEFT(LineupsData[[#This Row],[B3_Box]],1)="$",LEFT(LineupsData[[#This Row],[B3_Box]],1)="S"),RIGHT(LineupsData[[#This Row],[B3_Box]],LEN(LineupsData[[#This Row],[B3_Box]])-1),LineupsData[[#This Row],[B3_Box]])),"")</f>
        <v>0</v>
      </c>
      <c r="U2" s="1219" t="b">
        <f t="array" aca="1" ref="U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2" s="1219" t="b">
        <v>1</v>
      </c>
      <c r="W2" s="1219">
        <v>4</v>
      </c>
      <c r="X2" s="1203"/>
      <c r="Y2" s="1206" t="s">
        <v>669</v>
      </c>
      <c r="Z2" s="1206" t="str">
        <f>Export_IGRF!I2</f>
        <v>Tri-City Roller Derby</v>
      </c>
      <c r="AA2" s="1206" t="str">
        <f>Export_IGRF!J2</f>
        <v>Plan B</v>
      </c>
    </row>
    <row r="3" spans="1:27" x14ac:dyDescent="0.25">
      <c r="A3" s="1218">
        <f>[1]IBRF!$B$5</f>
        <v>41734</v>
      </c>
      <c r="B3" s="1221">
        <f t="shared" si="0"/>
        <v>0.83333333333333337</v>
      </c>
      <c r="C3" s="1219">
        <v>1</v>
      </c>
      <c r="D3" s="1219">
        <f t="array" aca="1" ref="D3" ca="1">IF(LineupsData[[#This Row],[Passed?]],D2,IF(INDIRECT($AA$24&amp;INDEX(LineupsSearch[],MATCH(LineupsData[[#This Row],[Home?]]&amp;"Jam",LineupsSearch[Home?]&amp;LineupsSearch[Item],1),3)&amp;LineupsData[[#This Row],[RefRow]])="",0,INDIRECT($AA$24&amp;INDEX(LineupsSearch[],MATCH(LineupsData[[#This Row],[Home?]]&amp;"Jam",LineupsSearch[Home?]&amp;LineupsSearch[Item],1),3)&amp;LineupsData[[#This Row],[RefRow]])))</f>
        <v>2</v>
      </c>
      <c r="E3" s="1219" t="str">
        <f t="shared" si="1"/>
        <v>Plan B</v>
      </c>
      <c r="F3" s="1219" t="str">
        <f t="array" aca="1" ref="F3" ca="1">INDIRECT($AA$24&amp;INDEX(LineupsSearch[],MATCH(LineupsData[[#This Row],[Home?]]&amp;LineupsData[[#Headers],[Jammer]],LineupsSearch[Home?]&amp;LineupsSearch[Item],1),3)&amp;LineupsData[[#This Row],[RefRow]])</f>
        <v>19</v>
      </c>
      <c r="G3" s="1219" t="str">
        <f t="array" aca="1" ref="G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3" s="1219">
        <f ca="1">IFERROR(LEN(IF(OR(LEFT(LineupsData[[#This Row],[J_Box]],1)="$",LEFT(LineupsData[[#This Row],[J_Box]],1)="S"),RIGHT(LineupsData[[#This Row],[J_Box]],LEN(LineupsData[[#This Row],[J_Box]])-1),LineupsData[[#This Row],[J_Box]])),"")</f>
        <v>0</v>
      </c>
      <c r="I3" s="1219" t="str">
        <f t="array" aca="1" ref="I3" ca="1">INDIRECT($AA$24&amp;INDEX(LineupsSearch[],MATCH(LineupsData[[#This Row],[Home?]]&amp;LineupsData[[#Headers],[Pivot]],LineupsSearch[Home?]&amp;LineupsSearch[Item],1),3)&amp;LineupsData[[#This Row],[RefRow]])</f>
        <v>N01</v>
      </c>
      <c r="J3" s="1219" t="str">
        <f t="array" aca="1" ref="J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3" s="1219">
        <f ca="1">IFERROR(LEN(IF(OR(LEFT(LineupsData[[#This Row],[P_Box]],1)="$",LEFT(LineupsData[[#This Row],[P_Box]],1)="S"),RIGHT(LineupsData[[#This Row],[P_Box]],LEN(LineupsData[[#This Row],[P_Box]])-1),LineupsData[[#This Row],[P_Box]])),"")</f>
        <v>0</v>
      </c>
      <c r="L3" s="1219" t="str">
        <f t="array" aca="1" ref="L3" ca="1">INDIRECT($AA$24&amp;INDEX(LineupsSearch[],MATCH(LineupsData[[#This Row],[Home?]]&amp;LineupsData[[#Headers],[B1]],LineupsSearch[Home?]&amp;LineupsSearch[Item],1),3)&amp;LineupsData[[#This Row],[RefRow]])</f>
        <v>17</v>
      </c>
      <c r="M3" s="1219" t="str">
        <f t="array" aca="1" ref="M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3" s="1219">
        <f ca="1">IFERROR(LEN(IF(OR(LEFT(LineupsData[[#This Row],[B1_Box]],1)="$",LEFT(LineupsData[[#This Row],[B1_Box]],1)="S"),RIGHT(LineupsData[[#This Row],[B1_Box]],LEN(LineupsData[[#This Row],[B1_Box]])-1),LineupsData[[#This Row],[B1_Box]])),"")</f>
        <v>0</v>
      </c>
      <c r="O3" s="1219" t="str">
        <f t="array" aca="1" ref="O3" ca="1">INDIRECT($AA$24&amp;INDEX(LineupsSearch[],MATCH(LineupsData[[#This Row],[Home?]]&amp;LineupsData[[#Headers],[B2]],LineupsSearch[Home?]&amp;LineupsSearch[Item],1),3)&amp;LineupsData[[#This Row],[RefRow]])</f>
        <v>33</v>
      </c>
      <c r="P3" s="1219" t="str">
        <f t="array" aca="1" ref="P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3" s="1219">
        <f ca="1">IFERROR(LEN(IF(OR(LEFT(LineupsData[[#This Row],[B2_Box]],1)="$",LEFT(LineupsData[[#This Row],[B2_Box]],1)="S"),RIGHT(LineupsData[[#This Row],[B2_Box]],LEN(LineupsData[[#This Row],[B2_Box]])-1),LineupsData[[#This Row],[B2_Box]])),"")</f>
        <v>0</v>
      </c>
      <c r="R3" s="1219" t="str">
        <f t="array" aca="1" ref="R3" ca="1">INDIRECT($AA$24&amp;INDEX(LineupsSearch[],MATCH(LineupsData[[#This Row],[Home?]]&amp;LineupsData[[#Headers],[B3]],LineupsSearch[Home?]&amp;LineupsSearch[Item],1),3)&amp;LineupsData[[#This Row],[RefRow]])</f>
        <v>480</v>
      </c>
      <c r="S3" s="1219" t="str">
        <f t="array" aca="1" ref="S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X</v>
      </c>
      <c r="T3" s="1219">
        <f ca="1">IFERROR(LEN(IF(OR(LEFT(LineupsData[[#This Row],[B3_Box]],1)="$",LEFT(LineupsData[[#This Row],[B3_Box]],1)="S"),RIGHT(LineupsData[[#This Row],[B3_Box]],LEN(LineupsData[[#This Row],[B3_Box]])-1),LineupsData[[#This Row],[B3_Box]])),"")</f>
        <v>1</v>
      </c>
      <c r="U3" s="1223" t="b">
        <f t="array" aca="1" ref="U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3" s="1219" t="b">
        <v>1</v>
      </c>
      <c r="W3" s="1219">
        <v>5</v>
      </c>
      <c r="X3" s="1203"/>
      <c r="Y3" s="1206" t="s">
        <v>670</v>
      </c>
      <c r="Z3" s="1206" t="str">
        <f>Export_IGRF!I3</f>
        <v>Hammer City Roller Girls</v>
      </c>
      <c r="AA3" s="1206" t="str">
        <f>Export_IGRF!J3</f>
        <v>Harlots</v>
      </c>
    </row>
    <row r="4" spans="1:27" x14ac:dyDescent="0.25">
      <c r="A4" s="1218">
        <f>[1]IBRF!$B$5</f>
        <v>41734</v>
      </c>
      <c r="B4" s="1221">
        <f t="shared" si="0"/>
        <v>0.83333333333333337</v>
      </c>
      <c r="C4" s="1219">
        <v>1</v>
      </c>
      <c r="D4" s="1219">
        <f t="array" aca="1" ref="D4" ca="1">IF(LineupsData[[#This Row],[Passed?]],D3,IF(INDIRECT($AA$24&amp;INDEX(LineupsSearch[],MATCH(LineupsData[[#This Row],[Home?]]&amp;"Jam",LineupsSearch[Home?]&amp;LineupsSearch[Item],1),3)&amp;LineupsData[[#This Row],[RefRow]])="",0,INDIRECT($AA$24&amp;INDEX(LineupsSearch[],MATCH(LineupsData[[#This Row],[Home?]]&amp;"Jam",LineupsSearch[Home?]&amp;LineupsSearch[Item],1),3)&amp;LineupsData[[#This Row],[RefRow]])))</f>
        <v>3</v>
      </c>
      <c r="E4" s="1219" t="str">
        <f t="shared" si="1"/>
        <v>Plan B</v>
      </c>
      <c r="F4" s="1219" t="str">
        <f t="array" aca="1" ref="F4" ca="1">INDIRECT($AA$24&amp;INDEX(LineupsSearch[],MATCH(LineupsData[[#This Row],[Home?]]&amp;LineupsData[[#Headers],[Jammer]],LineupsSearch[Home?]&amp;LineupsSearch[Item],1),3)&amp;LineupsData[[#This Row],[RefRow]])</f>
        <v>1321</v>
      </c>
      <c r="G4" s="1219" t="str">
        <f t="array" aca="1" ref="G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4" s="1219">
        <f ca="1">IFERROR(LEN(IF(OR(LEFT(LineupsData[[#This Row],[J_Box]],1)="$",LEFT(LineupsData[[#This Row],[J_Box]],1)="S"),RIGHT(LineupsData[[#This Row],[J_Box]],LEN(LineupsData[[#This Row],[J_Box]])-1),LineupsData[[#This Row],[J_Box]])),"")</f>
        <v>0</v>
      </c>
      <c r="I4" s="1219" t="str">
        <f t="array" aca="1" ref="I4" ca="1">INDIRECT($AA$24&amp;INDEX(LineupsSearch[],MATCH(LineupsData[[#This Row],[Home?]]&amp;LineupsData[[#Headers],[Pivot]],LineupsSearch[Home?]&amp;LineupsSearch[Item],1),3)&amp;LineupsData[[#This Row],[RefRow]])</f>
        <v>0</v>
      </c>
      <c r="J4" s="1219" t="str">
        <f t="array" aca="1" ref="J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4" s="1219">
        <f ca="1">IFERROR(LEN(IF(OR(LEFT(LineupsData[[#This Row],[P_Box]],1)="$",LEFT(LineupsData[[#This Row],[P_Box]],1)="S"),RIGHT(LineupsData[[#This Row],[P_Box]],LEN(LineupsData[[#This Row],[P_Box]])-1),LineupsData[[#This Row],[P_Box]])),"")</f>
        <v>0</v>
      </c>
      <c r="L4" s="1219" t="str">
        <f t="array" aca="1" ref="L4" ca="1">INDIRECT($AA$24&amp;INDEX(LineupsSearch[],MATCH(LineupsData[[#This Row],[Home?]]&amp;LineupsData[[#Headers],[B1]],LineupsSearch[Home?]&amp;LineupsSearch[Item],1),3)&amp;LineupsData[[#This Row],[RefRow]])</f>
        <v>44</v>
      </c>
      <c r="M4" s="1219" t="str">
        <f t="array" aca="1" ref="M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4" s="1219">
        <f ca="1">IFERROR(LEN(IF(OR(LEFT(LineupsData[[#This Row],[B1_Box]],1)="$",LEFT(LineupsData[[#This Row],[B1_Box]],1)="S"),RIGHT(LineupsData[[#This Row],[B1_Box]],LEN(LineupsData[[#This Row],[B1_Box]])-1),LineupsData[[#This Row],[B1_Box]])),"")</f>
        <v>0</v>
      </c>
      <c r="O4" s="1219" t="str">
        <f t="array" aca="1" ref="O4" ca="1">INDIRECT($AA$24&amp;INDEX(LineupsSearch[],MATCH(LineupsData[[#This Row],[Home?]]&amp;LineupsData[[#Headers],[B2]],LineupsSearch[Home?]&amp;LineupsSearch[Item],1),3)&amp;LineupsData[[#This Row],[RefRow]])</f>
        <v>20</v>
      </c>
      <c r="P4" s="1219" t="str">
        <f t="array" aca="1" ref="P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4" s="1219">
        <f ca="1">IFERROR(LEN(IF(OR(LEFT(LineupsData[[#This Row],[B2_Box]],1)="$",LEFT(LineupsData[[#This Row],[B2_Box]],1)="S"),RIGHT(LineupsData[[#This Row],[B2_Box]],LEN(LineupsData[[#This Row],[B2_Box]])-1),LineupsData[[#This Row],[B2_Box]])),"")</f>
        <v>0</v>
      </c>
      <c r="R4" s="1219" t="str">
        <f t="array" aca="1" ref="R4" ca="1">INDIRECT($AA$24&amp;INDEX(LineupsSearch[],MATCH(LineupsData[[#This Row],[Home?]]&amp;LineupsData[[#Headers],[B3]],LineupsSearch[Home?]&amp;LineupsSearch[Item],1),3)&amp;LineupsData[[#This Row],[RefRow]])</f>
        <v>64</v>
      </c>
      <c r="S4" s="1219" t="str">
        <f t="array" aca="1" ref="S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v>
      </c>
      <c r="T4" s="1219">
        <f ca="1">IFERROR(LEN(IF(OR(LEFT(LineupsData[[#This Row],[B3_Box]],1)="$",LEFT(LineupsData[[#This Row],[B3_Box]],1)="S"),RIGHT(LineupsData[[#This Row],[B3_Box]],LEN(LineupsData[[#This Row],[B3_Box]])-1),LineupsData[[#This Row],[B3_Box]])),"")</f>
        <v>1</v>
      </c>
      <c r="U4" s="1219" t="b">
        <f t="array" aca="1" ref="U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4" s="1219" t="b">
        <v>1</v>
      </c>
      <c r="W4" s="1219">
        <v>6</v>
      </c>
      <c r="X4" s="1203"/>
      <c r="Y4" s="1203"/>
    </row>
    <row r="5" spans="1:27" x14ac:dyDescent="0.25">
      <c r="A5" s="1218">
        <f>[1]IBRF!$B$5</f>
        <v>41734</v>
      </c>
      <c r="B5" s="1221">
        <f t="shared" si="0"/>
        <v>0.83333333333333337</v>
      </c>
      <c r="C5" s="1219">
        <v>1</v>
      </c>
      <c r="D5" s="1219">
        <f t="array" aca="1" ref="D5" ca="1">IF(LineupsData[[#This Row],[Passed?]],D4,IF(INDIRECT($AA$24&amp;INDEX(LineupsSearch[],MATCH(LineupsData[[#This Row],[Home?]]&amp;"Jam",LineupsSearch[Home?]&amp;LineupsSearch[Item],1),3)&amp;LineupsData[[#This Row],[RefRow]])="",0,INDIRECT($AA$24&amp;INDEX(LineupsSearch[],MATCH(LineupsData[[#This Row],[Home?]]&amp;"Jam",LineupsSearch[Home?]&amp;LineupsSearch[Item],1),3)&amp;LineupsData[[#This Row],[RefRow]])))</f>
        <v>4</v>
      </c>
      <c r="E5" s="1219" t="str">
        <f t="shared" si="1"/>
        <v>Plan B</v>
      </c>
      <c r="F5" s="1219" t="str">
        <f t="array" aca="1" ref="F5" ca="1">INDIRECT($AA$24&amp;INDEX(LineupsSearch[],MATCH(LineupsData[[#This Row],[Home?]]&amp;LineupsData[[#Headers],[Jammer]],LineupsSearch[Home?]&amp;LineupsSearch[Item],1),3)&amp;LineupsData[[#This Row],[RefRow]])</f>
        <v>84</v>
      </c>
      <c r="G5" s="1219" t="str">
        <f t="array" aca="1" ref="G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5" s="1219">
        <f ca="1">IFERROR(LEN(IF(OR(LEFT(LineupsData[[#This Row],[J_Box]],1)="$",LEFT(LineupsData[[#This Row],[J_Box]],1)="S"),RIGHT(LineupsData[[#This Row],[J_Box]],LEN(LineupsData[[#This Row],[J_Box]])-1),LineupsData[[#This Row],[J_Box]])),"")</f>
        <v>0</v>
      </c>
      <c r="I5" s="1219" t="str">
        <f t="array" aca="1" ref="I5" ca="1">INDIRECT($AA$24&amp;INDEX(LineupsSearch[],MATCH(LineupsData[[#This Row],[Home?]]&amp;LineupsData[[#Headers],[Pivot]],LineupsSearch[Home?]&amp;LineupsSearch[Item],1),3)&amp;LineupsData[[#This Row],[RefRow]])</f>
        <v>N01</v>
      </c>
      <c r="J5" s="1219" t="str">
        <f t="array" aca="1" ref="J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5" s="1219">
        <f ca="1">IFERROR(LEN(IF(OR(LEFT(LineupsData[[#This Row],[P_Box]],1)="$",LEFT(LineupsData[[#This Row],[P_Box]],1)="S"),RIGHT(LineupsData[[#This Row],[P_Box]],LEN(LineupsData[[#This Row],[P_Box]])-1),LineupsData[[#This Row],[P_Box]])),"")</f>
        <v>0</v>
      </c>
      <c r="L5" s="1219" t="str">
        <f t="array" aca="1" ref="L5" ca="1">INDIRECT($AA$24&amp;INDEX(LineupsSearch[],MATCH(LineupsData[[#This Row],[Home?]]&amp;LineupsData[[#Headers],[B1]],LineupsSearch[Home?]&amp;LineupsSearch[Item],1),3)&amp;LineupsData[[#This Row],[RefRow]])</f>
        <v>480</v>
      </c>
      <c r="M5" s="1219" t="str">
        <f t="array" aca="1" ref="M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5" s="1219">
        <f ca="1">IFERROR(LEN(IF(OR(LEFT(LineupsData[[#This Row],[B1_Box]],1)="$",LEFT(LineupsData[[#This Row],[B1_Box]],1)="S"),RIGHT(LineupsData[[#This Row],[B1_Box]],LEN(LineupsData[[#This Row],[B1_Box]])-1),LineupsData[[#This Row],[B1_Box]])),"")</f>
        <v>0</v>
      </c>
      <c r="O5" s="1219" t="str">
        <f t="array" aca="1" ref="O5" ca="1">INDIRECT($AA$24&amp;INDEX(LineupsSearch[],MATCH(LineupsData[[#This Row],[Home?]]&amp;LineupsData[[#Headers],[B2]],LineupsSearch[Home?]&amp;LineupsSearch[Item],1),3)&amp;LineupsData[[#This Row],[RefRow]])</f>
        <v>42</v>
      </c>
      <c r="P5" s="1219" t="str">
        <f t="array" aca="1" ref="P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5" s="1219">
        <f ca="1">IFERROR(LEN(IF(OR(LEFT(LineupsData[[#This Row],[B2_Box]],1)="$",LEFT(LineupsData[[#This Row],[B2_Box]],1)="S"),RIGHT(LineupsData[[#This Row],[B2_Box]],LEN(LineupsData[[#This Row],[B2_Box]])-1),LineupsData[[#This Row],[B2_Box]])),"")</f>
        <v>0</v>
      </c>
      <c r="R5" s="1219" t="str">
        <f t="array" aca="1" ref="R5" ca="1">INDIRECT($AA$24&amp;INDEX(LineupsSearch[],MATCH(LineupsData[[#This Row],[Home?]]&amp;LineupsData[[#Headers],[B3]],LineupsSearch[Home?]&amp;LineupsSearch[Item],1),3)&amp;LineupsData[[#This Row],[RefRow]])</f>
        <v>64</v>
      </c>
      <c r="S5" s="1219" t="str">
        <f t="array" aca="1" ref="S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X</v>
      </c>
      <c r="T5" s="1219">
        <f ca="1">IFERROR(LEN(IF(OR(LEFT(LineupsData[[#This Row],[B3_Box]],1)="$",LEFT(LineupsData[[#This Row],[B3_Box]],1)="S"),RIGHT(LineupsData[[#This Row],[B3_Box]],LEN(LineupsData[[#This Row],[B3_Box]])-1),LineupsData[[#This Row],[B3_Box]])),"")</f>
        <v>1</v>
      </c>
      <c r="U5" s="1219" t="b">
        <f t="array" aca="1" ref="U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5" s="1219" t="b">
        <v>1</v>
      </c>
      <c r="W5" s="1219">
        <v>7</v>
      </c>
      <c r="X5" s="1203"/>
      <c r="Y5" s="1203"/>
    </row>
    <row r="6" spans="1:27" x14ac:dyDescent="0.25">
      <c r="A6" s="1218">
        <f>[1]IBRF!$B$5</f>
        <v>41734</v>
      </c>
      <c r="B6" s="1221">
        <f t="shared" si="0"/>
        <v>0.83333333333333337</v>
      </c>
      <c r="C6" s="1219">
        <v>1</v>
      </c>
      <c r="D6" s="1219">
        <f t="array" aca="1" ref="D6" ca="1">IF(LineupsData[[#This Row],[Passed?]],D5,IF(INDIRECT($AA$24&amp;INDEX(LineupsSearch[],MATCH(LineupsData[[#This Row],[Home?]]&amp;"Jam",LineupsSearch[Home?]&amp;LineupsSearch[Item],1),3)&amp;LineupsData[[#This Row],[RefRow]])="",0,INDIRECT($AA$24&amp;INDEX(LineupsSearch[],MATCH(LineupsData[[#This Row],[Home?]]&amp;"Jam",LineupsSearch[Home?]&amp;LineupsSearch[Item],1),3)&amp;LineupsData[[#This Row],[RefRow]])))</f>
        <v>5</v>
      </c>
      <c r="E6" s="1219" t="str">
        <f t="shared" si="1"/>
        <v>Plan B</v>
      </c>
      <c r="F6" s="1219" t="str">
        <f t="array" aca="1" ref="F6" ca="1">INDIRECT($AA$24&amp;INDEX(LineupsSearch[],MATCH(LineupsData[[#This Row],[Home?]]&amp;LineupsData[[#Headers],[Jammer]],LineupsSearch[Home?]&amp;LineupsSearch[Item],1),3)&amp;LineupsData[[#This Row],[RefRow]])</f>
        <v>4</v>
      </c>
      <c r="G6" s="1219" t="str">
        <f t="array" aca="1" ref="G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6" s="1219">
        <f ca="1">IFERROR(LEN(IF(OR(LEFT(LineupsData[[#This Row],[J_Box]],1)="$",LEFT(LineupsData[[#This Row],[J_Box]],1)="S"),RIGHT(LineupsData[[#This Row],[J_Box]],LEN(LineupsData[[#This Row],[J_Box]])-1),LineupsData[[#This Row],[J_Box]])),"")</f>
        <v>0</v>
      </c>
      <c r="I6" s="1219" t="str">
        <f t="array" aca="1" ref="I6" ca="1">INDIRECT($AA$24&amp;INDEX(LineupsSearch[],MATCH(LineupsData[[#This Row],[Home?]]&amp;LineupsData[[#Headers],[Pivot]],LineupsSearch[Home?]&amp;LineupsSearch[Item],1),3)&amp;LineupsData[[#This Row],[RefRow]])</f>
        <v>0</v>
      </c>
      <c r="J6" s="1219" t="str">
        <f t="array" aca="1" ref="J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6" s="1219">
        <f ca="1">IFERROR(LEN(IF(OR(LEFT(LineupsData[[#This Row],[P_Box]],1)="$",LEFT(LineupsData[[#This Row],[P_Box]],1)="S"),RIGHT(LineupsData[[#This Row],[P_Box]],LEN(LineupsData[[#This Row],[P_Box]])-1),LineupsData[[#This Row],[P_Box]])),"")</f>
        <v>0</v>
      </c>
      <c r="L6" s="1219" t="str">
        <f t="array" aca="1" ref="L6" ca="1">INDIRECT($AA$24&amp;INDEX(LineupsSearch[],MATCH(LineupsData[[#This Row],[Home?]]&amp;LineupsData[[#Headers],[B1]],LineupsSearch[Home?]&amp;LineupsSearch[Item],1),3)&amp;LineupsData[[#This Row],[RefRow]])</f>
        <v>64</v>
      </c>
      <c r="M6" s="1219" t="str">
        <f t="array" aca="1" ref="M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6" s="1219">
        <f ca="1">IFERROR(LEN(IF(OR(LEFT(LineupsData[[#This Row],[B1_Box]],1)="$",LEFT(LineupsData[[#This Row],[B1_Box]],1)="S"),RIGHT(LineupsData[[#This Row],[B1_Box]],LEN(LineupsData[[#This Row],[B1_Box]])-1),LineupsData[[#This Row],[B1_Box]])),"")</f>
        <v>0</v>
      </c>
      <c r="O6" s="1219" t="str">
        <f t="array" aca="1" ref="O6" ca="1">INDIRECT($AA$24&amp;INDEX(LineupsSearch[],MATCH(LineupsData[[#This Row],[Home?]]&amp;LineupsData[[#Headers],[B2]],LineupsSearch[Home?]&amp;LineupsSearch[Item],1),3)&amp;LineupsData[[#This Row],[RefRow]])</f>
        <v>303</v>
      </c>
      <c r="P6" s="1219" t="str">
        <f t="array" aca="1" ref="P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6" s="1219">
        <f ca="1">IFERROR(LEN(IF(OR(LEFT(LineupsData[[#This Row],[B2_Box]],1)="$",LEFT(LineupsData[[#This Row],[B2_Box]],1)="S"),RIGHT(LineupsData[[#This Row],[B2_Box]],LEN(LineupsData[[#This Row],[B2_Box]])-1),LineupsData[[#This Row],[B2_Box]])),"")</f>
        <v>0</v>
      </c>
      <c r="R6" s="1219" t="str">
        <f t="array" aca="1" ref="R6" ca="1">INDIRECT($AA$24&amp;INDEX(LineupsSearch[],MATCH(LineupsData[[#This Row],[Home?]]&amp;LineupsData[[#Headers],[B3]],LineupsSearch[Home?]&amp;LineupsSearch[Item],1),3)&amp;LineupsData[[#This Row],[RefRow]])</f>
        <v>20</v>
      </c>
      <c r="S6" s="1219" t="str">
        <f t="array" aca="1" ref="S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v>
      </c>
      <c r="T6" s="1219">
        <f ca="1">IFERROR(LEN(IF(OR(LEFT(LineupsData[[#This Row],[B3_Box]],1)="$",LEFT(LineupsData[[#This Row],[B3_Box]],1)="S"),RIGHT(LineupsData[[#This Row],[B3_Box]],LEN(LineupsData[[#This Row],[B3_Box]])-1),LineupsData[[#This Row],[B3_Box]])),"")</f>
        <v>1</v>
      </c>
      <c r="U6" s="1219" t="b">
        <f t="array" aca="1" ref="U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6" s="1219" t="b">
        <v>1</v>
      </c>
      <c r="W6" s="1219">
        <v>8</v>
      </c>
      <c r="X6" s="1203"/>
      <c r="Y6" s="1203"/>
    </row>
    <row r="7" spans="1:27" x14ac:dyDescent="0.25">
      <c r="A7" s="1218">
        <f>[1]IBRF!$B$5</f>
        <v>41734</v>
      </c>
      <c r="B7" s="1221">
        <f t="shared" si="0"/>
        <v>0.83333333333333337</v>
      </c>
      <c r="C7" s="1219">
        <v>1</v>
      </c>
      <c r="D7" s="1219">
        <f t="array" aca="1" ref="D7" ca="1">IF(LineupsData[[#This Row],[Passed?]],D6,IF(INDIRECT($AA$24&amp;INDEX(LineupsSearch[],MATCH(LineupsData[[#This Row],[Home?]]&amp;"Jam",LineupsSearch[Home?]&amp;LineupsSearch[Item],1),3)&amp;LineupsData[[#This Row],[RefRow]])="",0,INDIRECT($AA$24&amp;INDEX(LineupsSearch[],MATCH(LineupsData[[#This Row],[Home?]]&amp;"Jam",LineupsSearch[Home?]&amp;LineupsSearch[Item],1),3)&amp;LineupsData[[#This Row],[RefRow]])))</f>
        <v>6</v>
      </c>
      <c r="E7" s="1219" t="str">
        <f t="shared" si="1"/>
        <v>Plan B</v>
      </c>
      <c r="F7" s="1219" t="str">
        <f t="array" aca="1" ref="F7" ca="1">INDIRECT($AA$24&amp;INDEX(LineupsSearch[],MATCH(LineupsData[[#This Row],[Home?]]&amp;LineupsData[[#Headers],[Jammer]],LineupsSearch[Home?]&amp;LineupsSearch[Item],1),3)&amp;LineupsData[[#This Row],[RefRow]])</f>
        <v>19</v>
      </c>
      <c r="G7" s="1219" t="str">
        <f t="array" aca="1" ref="G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7" s="1219">
        <f ca="1">IFERROR(LEN(IF(OR(LEFT(LineupsData[[#This Row],[J_Box]],1)="$",LEFT(LineupsData[[#This Row],[J_Box]],1)="S"),RIGHT(LineupsData[[#This Row],[J_Box]],LEN(LineupsData[[#This Row],[J_Box]])-1),LineupsData[[#This Row],[J_Box]])),"")</f>
        <v>0</v>
      </c>
      <c r="I7" s="1219" t="str">
        <f t="array" aca="1" ref="I7" ca="1">INDIRECT($AA$24&amp;INDEX(LineupsSearch[],MATCH(LineupsData[[#This Row],[Home?]]&amp;LineupsData[[#Headers],[Pivot]],LineupsSearch[Home?]&amp;LineupsSearch[Item],1),3)&amp;LineupsData[[#This Row],[RefRow]])</f>
        <v>N01</v>
      </c>
      <c r="J7" s="1219" t="str">
        <f t="array" aca="1" ref="J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7" s="1219">
        <f ca="1">IFERROR(LEN(IF(OR(LEFT(LineupsData[[#This Row],[P_Box]],1)="$",LEFT(LineupsData[[#This Row],[P_Box]],1)="S"),RIGHT(LineupsData[[#This Row],[P_Box]],LEN(LineupsData[[#This Row],[P_Box]])-1),LineupsData[[#This Row],[P_Box]])),"")</f>
        <v>0</v>
      </c>
      <c r="L7" s="1219" t="str">
        <f t="array" aca="1" ref="L7" ca="1">INDIRECT($AA$24&amp;INDEX(LineupsSearch[],MATCH(LineupsData[[#This Row],[Home?]]&amp;LineupsData[[#Headers],[B1]],LineupsSearch[Home?]&amp;LineupsSearch[Item],1),3)&amp;LineupsData[[#This Row],[RefRow]])</f>
        <v>33</v>
      </c>
      <c r="M7" s="1219" t="str">
        <f t="array" aca="1" ref="M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7" s="1219">
        <f ca="1">IFERROR(LEN(IF(OR(LEFT(LineupsData[[#This Row],[B1_Box]],1)="$",LEFT(LineupsData[[#This Row],[B1_Box]],1)="S"),RIGHT(LineupsData[[#This Row],[B1_Box]],LEN(LineupsData[[#This Row],[B1_Box]])-1),LineupsData[[#This Row],[B1_Box]])),"")</f>
        <v>0</v>
      </c>
      <c r="O7" s="1219" t="str">
        <f t="array" aca="1" ref="O7" ca="1">INDIRECT($AA$24&amp;INDEX(LineupsSearch[],MATCH(LineupsData[[#This Row],[Home?]]&amp;LineupsData[[#Headers],[B2]],LineupsSearch[Home?]&amp;LineupsSearch[Item],1),3)&amp;LineupsData[[#This Row],[RefRow]])</f>
        <v>480</v>
      </c>
      <c r="P7" s="1219" t="str">
        <f t="array" aca="1" ref="P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7" s="1219">
        <f ca="1">IFERROR(LEN(IF(OR(LEFT(LineupsData[[#This Row],[B2_Box]],1)="$",LEFT(LineupsData[[#This Row],[B2_Box]],1)="S"),RIGHT(LineupsData[[#This Row],[B2_Box]],LEN(LineupsData[[#This Row],[B2_Box]])-1),LineupsData[[#This Row],[B2_Box]])),"")</f>
        <v>0</v>
      </c>
      <c r="R7" s="1219" t="str">
        <f t="array" aca="1" ref="R7" ca="1">INDIRECT($AA$24&amp;INDEX(LineupsSearch[],MATCH(LineupsData[[#This Row],[Home?]]&amp;LineupsData[[#Headers],[B3]],LineupsSearch[Home?]&amp;LineupsSearch[Item],1),3)&amp;LineupsData[[#This Row],[RefRow]])</f>
        <v>20</v>
      </c>
      <c r="S7" s="1219" t="str">
        <f t="array" aca="1" ref="S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X</v>
      </c>
      <c r="T7" s="1219">
        <f ca="1">IFERROR(LEN(IF(OR(LEFT(LineupsData[[#This Row],[B3_Box]],1)="$",LEFT(LineupsData[[#This Row],[B3_Box]],1)="S"),RIGHT(LineupsData[[#This Row],[B3_Box]],LEN(LineupsData[[#This Row],[B3_Box]])-1),LineupsData[[#This Row],[B3_Box]])),"")</f>
        <v>1</v>
      </c>
      <c r="U7" s="1219" t="b">
        <f t="array" aca="1" ref="U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7" s="1219" t="b">
        <v>1</v>
      </c>
      <c r="W7" s="1219">
        <v>9</v>
      </c>
      <c r="X7" s="1203"/>
      <c r="Y7" s="1203"/>
    </row>
    <row r="8" spans="1:27" x14ac:dyDescent="0.25">
      <c r="A8" s="1218">
        <f>[1]IBRF!$B$5</f>
        <v>41734</v>
      </c>
      <c r="B8" s="1221">
        <f t="shared" si="0"/>
        <v>0.83333333333333337</v>
      </c>
      <c r="C8" s="1219">
        <v>1</v>
      </c>
      <c r="D8" s="1219">
        <f t="array" aca="1" ref="D8" ca="1">IF(LineupsData[[#This Row],[Passed?]],D7,IF(INDIRECT($AA$24&amp;INDEX(LineupsSearch[],MATCH(LineupsData[[#This Row],[Home?]]&amp;"Jam",LineupsSearch[Home?]&amp;LineupsSearch[Item],1),3)&amp;LineupsData[[#This Row],[RefRow]])="",0,INDIRECT($AA$24&amp;INDEX(LineupsSearch[],MATCH(LineupsData[[#This Row],[Home?]]&amp;"Jam",LineupsSearch[Home?]&amp;LineupsSearch[Item],1),3)&amp;LineupsData[[#This Row],[RefRow]])))</f>
        <v>6</v>
      </c>
      <c r="E8" s="1219" t="str">
        <f t="shared" si="1"/>
        <v>Plan B</v>
      </c>
      <c r="F8" s="1219" t="str">
        <f t="array" aca="1" ref="F8" ca="1">INDIRECT($AA$24&amp;INDEX(LineupsSearch[],MATCH(LineupsData[[#This Row],[Home?]]&amp;LineupsData[[#Headers],[Jammer]],LineupsSearch[Home?]&amp;LineupsSearch[Item],1),3)&amp;LineupsData[[#This Row],[RefRow]])</f>
        <v/>
      </c>
      <c r="G8" s="1219" t="str">
        <f t="array" aca="1" ref="G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8" s="1219">
        <f ca="1">IFERROR(LEN(IF(OR(LEFT(LineupsData[[#This Row],[J_Box]],1)="$",LEFT(LineupsData[[#This Row],[J_Box]],1)="S"),RIGHT(LineupsData[[#This Row],[J_Box]],LEN(LineupsData[[#This Row],[J_Box]])-1),LineupsData[[#This Row],[J_Box]])),"")</f>
        <v>0</v>
      </c>
      <c r="I8" s="1219">
        <f t="array" aca="1" ref="I8" ca="1">INDIRECT($AA$24&amp;INDEX(LineupsSearch[],MATCH(LineupsData[[#This Row],[Home?]]&amp;LineupsData[[#Headers],[Pivot]],LineupsSearch[Home?]&amp;LineupsSearch[Item],1),3)&amp;LineupsData[[#This Row],[RefRow]])</f>
        <v>0</v>
      </c>
      <c r="J8" s="1219" t="str">
        <f t="array" aca="1" ref="J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8" s="1219">
        <f ca="1">IFERROR(LEN(IF(OR(LEFT(LineupsData[[#This Row],[P_Box]],1)="$",LEFT(LineupsData[[#This Row],[P_Box]],1)="S"),RIGHT(LineupsData[[#This Row],[P_Box]],LEN(LineupsData[[#This Row],[P_Box]])-1),LineupsData[[#This Row],[P_Box]])),"")</f>
        <v>0</v>
      </c>
      <c r="L8" s="1219">
        <f t="array" aca="1" ref="L8" ca="1">INDIRECT($AA$24&amp;INDEX(LineupsSearch[],MATCH(LineupsData[[#This Row],[Home?]]&amp;LineupsData[[#Headers],[B1]],LineupsSearch[Home?]&amp;LineupsSearch[Item],1),3)&amp;LineupsData[[#This Row],[RefRow]])</f>
        <v>0</v>
      </c>
      <c r="M8" s="1219" t="str">
        <f t="array" aca="1" ref="M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8" s="1219">
        <f ca="1">IFERROR(LEN(IF(OR(LEFT(LineupsData[[#This Row],[B1_Box]],1)="$",LEFT(LineupsData[[#This Row],[B1_Box]],1)="S"),RIGHT(LineupsData[[#This Row],[B1_Box]],LEN(LineupsData[[#This Row],[B1_Box]])-1),LineupsData[[#This Row],[B1_Box]])),"")</f>
        <v>0</v>
      </c>
      <c r="O8" s="1219">
        <f t="array" aca="1" ref="O8" ca="1">INDIRECT($AA$24&amp;INDEX(LineupsSearch[],MATCH(LineupsData[[#This Row],[Home?]]&amp;LineupsData[[#Headers],[B2]],LineupsSearch[Home?]&amp;LineupsSearch[Item],1),3)&amp;LineupsData[[#This Row],[RefRow]])</f>
        <v>0</v>
      </c>
      <c r="P8" s="1219" t="str">
        <f t="array" aca="1" ref="P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8" s="1219">
        <f ca="1">IFERROR(LEN(IF(OR(LEFT(LineupsData[[#This Row],[B2_Box]],1)="$",LEFT(LineupsData[[#This Row],[B2_Box]],1)="S"),RIGHT(LineupsData[[#This Row],[B2_Box]],LEN(LineupsData[[#This Row],[B2_Box]])-1),LineupsData[[#This Row],[B2_Box]])),"")</f>
        <v>0</v>
      </c>
      <c r="R8" s="1219">
        <f t="array" aca="1" ref="R8" ca="1">INDIRECT($AA$24&amp;INDEX(LineupsSearch[],MATCH(LineupsData[[#This Row],[Home?]]&amp;LineupsData[[#Headers],[B3]],LineupsSearch[Home?]&amp;LineupsSearch[Item],1),3)&amp;LineupsData[[#This Row],[RefRow]])</f>
        <v>0</v>
      </c>
      <c r="S8" s="1219" t="str">
        <f t="array" aca="1" ref="S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8" s="1219">
        <f ca="1">IFERROR(LEN(IF(OR(LEFT(LineupsData[[#This Row],[B3_Box]],1)="$",LEFT(LineupsData[[#This Row],[B3_Box]],1)="S"),RIGHT(LineupsData[[#This Row],[B3_Box]],LEN(LineupsData[[#This Row],[B3_Box]])-1),LineupsData[[#This Row],[B3_Box]])),"")</f>
        <v>0</v>
      </c>
      <c r="U8" s="1219" t="b">
        <f t="array" aca="1" ref="U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8" s="1219" t="b">
        <v>1</v>
      </c>
      <c r="W8" s="1219">
        <v>10</v>
      </c>
      <c r="X8" s="1203"/>
      <c r="Y8" s="1204"/>
      <c r="Z8" s="1216"/>
      <c r="AA8" s="1216"/>
    </row>
    <row r="9" spans="1:27" x14ac:dyDescent="0.25">
      <c r="A9" s="1218">
        <f>[1]IBRF!$B$5</f>
        <v>41734</v>
      </c>
      <c r="B9" s="1221">
        <f t="shared" si="0"/>
        <v>0.83333333333333337</v>
      </c>
      <c r="C9" s="1219">
        <v>1</v>
      </c>
      <c r="D9" s="1219">
        <f t="array" aca="1" ref="D9" ca="1">IF(LineupsData[[#This Row],[Passed?]],D8,IF(INDIRECT($AA$24&amp;INDEX(LineupsSearch[],MATCH(LineupsData[[#This Row],[Home?]]&amp;"Jam",LineupsSearch[Home?]&amp;LineupsSearch[Item],1),3)&amp;LineupsData[[#This Row],[RefRow]])="",0,INDIRECT($AA$24&amp;INDEX(LineupsSearch[],MATCH(LineupsData[[#This Row],[Home?]]&amp;"Jam",LineupsSearch[Home?]&amp;LineupsSearch[Item],1),3)&amp;LineupsData[[#This Row],[RefRow]])))</f>
        <v>7</v>
      </c>
      <c r="E9" s="1219" t="str">
        <f t="shared" si="1"/>
        <v>Plan B</v>
      </c>
      <c r="F9" s="1219" t="str">
        <f t="array" aca="1" ref="F9" ca="1">INDIRECT($AA$24&amp;INDEX(LineupsSearch[],MATCH(LineupsData[[#This Row],[Home?]]&amp;LineupsData[[#Headers],[Jammer]],LineupsSearch[Home?]&amp;LineupsSearch[Item],1),3)&amp;LineupsData[[#This Row],[RefRow]])</f>
        <v>1321</v>
      </c>
      <c r="G9" s="1219" t="str">
        <f t="array" aca="1" ref="G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9" s="1219">
        <f ca="1">IFERROR(LEN(IF(OR(LEFT(LineupsData[[#This Row],[J_Box]],1)="$",LEFT(LineupsData[[#This Row],[J_Box]],1)="S"),RIGHT(LineupsData[[#This Row],[J_Box]],LEN(LineupsData[[#This Row],[J_Box]])-1),LineupsData[[#This Row],[J_Box]])),"")</f>
        <v>0</v>
      </c>
      <c r="I9" s="1219" t="str">
        <f t="array" aca="1" ref="I9" ca="1">INDIRECT($AA$24&amp;INDEX(LineupsSearch[],MATCH(LineupsData[[#This Row],[Home?]]&amp;LineupsData[[#Headers],[Pivot]],LineupsSearch[Home?]&amp;LineupsSearch[Item],1),3)&amp;LineupsData[[#This Row],[RefRow]])</f>
        <v>0</v>
      </c>
      <c r="J9" s="1219" t="str">
        <f t="array" aca="1" ref="J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9" s="1219">
        <f ca="1">IFERROR(LEN(IF(OR(LEFT(LineupsData[[#This Row],[P_Box]],1)="$",LEFT(LineupsData[[#This Row],[P_Box]],1)="S"),RIGHT(LineupsData[[#This Row],[P_Box]],LEN(LineupsData[[#This Row],[P_Box]])-1),LineupsData[[#This Row],[P_Box]])),"")</f>
        <v>0</v>
      </c>
      <c r="L9" s="1219" t="str">
        <f t="array" aca="1" ref="L9" ca="1">INDIRECT($AA$24&amp;INDEX(LineupsSearch[],MATCH(LineupsData[[#This Row],[Home?]]&amp;LineupsData[[#Headers],[B1]],LineupsSearch[Home?]&amp;LineupsSearch[Item],1),3)&amp;LineupsData[[#This Row],[RefRow]])</f>
        <v>44</v>
      </c>
      <c r="M9" s="1219" t="str">
        <f t="array" aca="1" ref="M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9" s="1219">
        <f ca="1">IFERROR(LEN(IF(OR(LEFT(LineupsData[[#This Row],[B1_Box]],1)="$",LEFT(LineupsData[[#This Row],[B1_Box]],1)="S"),RIGHT(LineupsData[[#This Row],[B1_Box]],LEN(LineupsData[[#This Row],[B1_Box]])-1),LineupsData[[#This Row],[B1_Box]])),"")</f>
        <v>0</v>
      </c>
      <c r="O9" s="1219" t="str">
        <f t="array" aca="1" ref="O9" ca="1">INDIRECT($AA$24&amp;INDEX(LineupsSearch[],MATCH(LineupsData[[#This Row],[Home?]]&amp;LineupsData[[#Headers],[B2]],LineupsSearch[Home?]&amp;LineupsSearch[Item],1),3)&amp;LineupsData[[#This Row],[RefRow]])</f>
        <v>303</v>
      </c>
      <c r="P9" s="1219" t="str">
        <f t="array" aca="1" ref="P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9" s="1219">
        <f ca="1">IFERROR(LEN(IF(OR(LEFT(LineupsData[[#This Row],[B2_Box]],1)="$",LEFT(LineupsData[[#This Row],[B2_Box]],1)="S"),RIGHT(LineupsData[[#This Row],[B2_Box]],LEN(LineupsData[[#This Row],[B2_Box]])-1),LineupsData[[#This Row],[B2_Box]])),"")</f>
        <v>0</v>
      </c>
      <c r="R9" s="1219" t="str">
        <f t="array" aca="1" ref="R9" ca="1">INDIRECT($AA$24&amp;INDEX(LineupsSearch[],MATCH(LineupsData[[#This Row],[Home?]]&amp;LineupsData[[#Headers],[B3]],LineupsSearch[Home?]&amp;LineupsSearch[Item],1),3)&amp;LineupsData[[#This Row],[RefRow]])</f>
        <v>64</v>
      </c>
      <c r="S9" s="1219" t="str">
        <f t="array" aca="1" ref="S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9" s="1219">
        <f ca="1">IFERROR(LEN(IF(OR(LEFT(LineupsData[[#This Row],[B3_Box]],1)="$",LEFT(LineupsData[[#This Row],[B3_Box]],1)="S"),RIGHT(LineupsData[[#This Row],[B3_Box]],LEN(LineupsData[[#This Row],[B3_Box]])-1),LineupsData[[#This Row],[B3_Box]])),"")</f>
        <v>0</v>
      </c>
      <c r="U9" s="1219" t="b">
        <f t="array" aca="1" ref="U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9" s="1219" t="b">
        <v>1</v>
      </c>
      <c r="W9" s="1219">
        <v>11</v>
      </c>
      <c r="X9" s="1203"/>
      <c r="Y9" s="1203"/>
    </row>
    <row r="10" spans="1:27" x14ac:dyDescent="0.25">
      <c r="A10" s="1218">
        <f>[1]IBRF!$B$5</f>
        <v>41734</v>
      </c>
      <c r="B10" s="1221">
        <f t="shared" si="0"/>
        <v>0.83333333333333337</v>
      </c>
      <c r="C10" s="1219">
        <v>1</v>
      </c>
      <c r="D10" s="1219">
        <f t="array" aca="1" ref="D10" ca="1">IF(LineupsData[[#This Row],[Passed?]],D9,IF(INDIRECT($AA$24&amp;INDEX(LineupsSearch[],MATCH(LineupsData[[#This Row],[Home?]]&amp;"Jam",LineupsSearch[Home?]&amp;LineupsSearch[Item],1),3)&amp;LineupsData[[#This Row],[RefRow]])="",0,INDIRECT($AA$24&amp;INDEX(LineupsSearch[],MATCH(LineupsData[[#This Row],[Home?]]&amp;"Jam",LineupsSearch[Home?]&amp;LineupsSearch[Item],1),3)&amp;LineupsData[[#This Row],[RefRow]])))</f>
        <v>8</v>
      </c>
      <c r="E10" s="1219" t="str">
        <f t="shared" si="1"/>
        <v>Plan B</v>
      </c>
      <c r="F10" s="1219" t="str">
        <f t="array" aca="1" ref="F10" ca="1">INDIRECT($AA$24&amp;INDEX(LineupsSearch[],MATCH(LineupsData[[#This Row],[Home?]]&amp;LineupsData[[#Headers],[Jammer]],LineupsSearch[Home?]&amp;LineupsSearch[Item],1),3)&amp;LineupsData[[#This Row],[RefRow]])</f>
        <v>84</v>
      </c>
      <c r="G10" s="1219" t="str">
        <f t="array" aca="1" ref="G1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10" s="1219">
        <f ca="1">IFERROR(LEN(IF(OR(LEFT(LineupsData[[#This Row],[J_Box]],1)="$",LEFT(LineupsData[[#This Row],[J_Box]],1)="S"),RIGHT(LineupsData[[#This Row],[J_Box]],LEN(LineupsData[[#This Row],[J_Box]])-1),LineupsData[[#This Row],[J_Box]])),"")</f>
        <v>1</v>
      </c>
      <c r="I10" s="1219" t="str">
        <f t="array" aca="1" ref="I10" ca="1">INDIRECT($AA$24&amp;INDEX(LineupsSearch[],MATCH(LineupsData[[#This Row],[Home?]]&amp;LineupsData[[#Headers],[Pivot]],LineupsSearch[Home?]&amp;LineupsSearch[Item],1),3)&amp;LineupsData[[#This Row],[RefRow]])</f>
        <v>N01</v>
      </c>
      <c r="J10" s="1219" t="str">
        <f t="array" aca="1" ref="J1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X</v>
      </c>
      <c r="K10" s="1219">
        <f ca="1">IFERROR(LEN(IF(OR(LEFT(LineupsData[[#This Row],[P_Box]],1)="$",LEFT(LineupsData[[#This Row],[P_Box]],1)="S"),RIGHT(LineupsData[[#This Row],[P_Box]],LEN(LineupsData[[#This Row],[P_Box]])-1),LineupsData[[#This Row],[P_Box]])),"")</f>
        <v>1</v>
      </c>
      <c r="L10" s="1219" t="str">
        <f t="array" aca="1" ref="L10" ca="1">INDIRECT($AA$24&amp;INDEX(LineupsSearch[],MATCH(LineupsData[[#This Row],[Home?]]&amp;LineupsData[[#Headers],[B1]],LineupsSearch[Home?]&amp;LineupsSearch[Item],1),3)&amp;LineupsData[[#This Row],[RefRow]])</f>
        <v>42</v>
      </c>
      <c r="M10" s="1219" t="str">
        <f t="array" aca="1" ref="M1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0" s="1219">
        <f ca="1">IFERROR(LEN(IF(OR(LEFT(LineupsData[[#This Row],[B1_Box]],1)="$",LEFT(LineupsData[[#This Row],[B1_Box]],1)="S"),RIGHT(LineupsData[[#This Row],[B1_Box]],LEN(LineupsData[[#This Row],[B1_Box]])-1),LineupsData[[#This Row],[B1_Box]])),"")</f>
        <v>0</v>
      </c>
      <c r="O10" s="1219" t="str">
        <f t="array" aca="1" ref="O10" ca="1">INDIRECT($AA$24&amp;INDEX(LineupsSearch[],MATCH(LineupsData[[#This Row],[Home?]]&amp;LineupsData[[#Headers],[B2]],LineupsSearch[Home?]&amp;LineupsSearch[Item],1),3)&amp;LineupsData[[#This Row],[RefRow]])</f>
        <v>17</v>
      </c>
      <c r="P10" s="1219" t="str">
        <f t="array" aca="1" ref="P1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X</v>
      </c>
      <c r="Q10" s="1219">
        <f ca="1">IFERROR(LEN(IF(OR(LEFT(LineupsData[[#This Row],[B2_Box]],1)="$",LEFT(LineupsData[[#This Row],[B2_Box]],1)="S"),RIGHT(LineupsData[[#This Row],[B2_Box]],LEN(LineupsData[[#This Row],[B2_Box]])-1),LineupsData[[#This Row],[B2_Box]])),"")</f>
        <v>1</v>
      </c>
      <c r="R10" s="1219" t="str">
        <f t="array" aca="1" ref="R10" ca="1">INDIRECT($AA$24&amp;INDEX(LineupsSearch[],MATCH(LineupsData[[#This Row],[Home?]]&amp;LineupsData[[#Headers],[B3]],LineupsSearch[Home?]&amp;LineupsSearch[Item],1),3)&amp;LineupsData[[#This Row],[RefRow]])</f>
        <v>480</v>
      </c>
      <c r="S10" s="1219" t="str">
        <f t="array" aca="1" ref="S1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0" s="1219">
        <f ca="1">IFERROR(LEN(IF(OR(LEFT(LineupsData[[#This Row],[B3_Box]],1)="$",LEFT(LineupsData[[#This Row],[B3_Box]],1)="S"),RIGHT(LineupsData[[#This Row],[B3_Box]],LEN(LineupsData[[#This Row],[B3_Box]])-1),LineupsData[[#This Row],[B3_Box]])),"")</f>
        <v>0</v>
      </c>
      <c r="U10" s="1219" t="b">
        <f t="array" aca="1" ref="U1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0" s="1219" t="b">
        <v>1</v>
      </c>
      <c r="W10" s="1219">
        <v>12</v>
      </c>
      <c r="X10" s="1203"/>
      <c r="Y10" s="1203"/>
    </row>
    <row r="11" spans="1:27" x14ac:dyDescent="0.25">
      <c r="A11" s="1218">
        <f>[1]IBRF!$B$5</f>
        <v>41734</v>
      </c>
      <c r="B11" s="1221">
        <f t="shared" si="0"/>
        <v>0.83333333333333337</v>
      </c>
      <c r="C11" s="1219">
        <v>1</v>
      </c>
      <c r="D11" s="1219">
        <f t="array" aca="1" ref="D11" ca="1">IF(LineupsData[[#This Row],[Passed?]],D10,IF(INDIRECT($AA$24&amp;INDEX(LineupsSearch[],MATCH(LineupsData[[#This Row],[Home?]]&amp;"Jam",LineupsSearch[Home?]&amp;LineupsSearch[Item],1),3)&amp;LineupsData[[#This Row],[RefRow]])="",0,INDIRECT($AA$24&amp;INDEX(LineupsSearch[],MATCH(LineupsData[[#This Row],[Home?]]&amp;"Jam",LineupsSearch[Home?]&amp;LineupsSearch[Item],1),3)&amp;LineupsData[[#This Row],[RefRow]])))</f>
        <v>9</v>
      </c>
      <c r="E11" s="1219" t="str">
        <f t="shared" si="1"/>
        <v>Plan B</v>
      </c>
      <c r="F11" s="1219" t="str">
        <f t="array" aca="1" ref="F11" ca="1">INDIRECT($AA$24&amp;INDEX(LineupsSearch[],MATCH(LineupsData[[#This Row],[Home?]]&amp;LineupsData[[#Headers],[Jammer]],LineupsSearch[Home?]&amp;LineupsSearch[Item],1),3)&amp;LineupsData[[#This Row],[RefRow]])</f>
        <v>4</v>
      </c>
      <c r="G11" s="1219" t="str">
        <f t="array" aca="1" ref="G1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1" s="1219">
        <f ca="1">IFERROR(LEN(IF(OR(LEFT(LineupsData[[#This Row],[J_Box]],1)="$",LEFT(LineupsData[[#This Row],[J_Box]],1)="S"),RIGHT(LineupsData[[#This Row],[J_Box]],LEN(LineupsData[[#This Row],[J_Box]])-1),LineupsData[[#This Row],[J_Box]])),"")</f>
        <v>0</v>
      </c>
      <c r="I11" s="1219" t="str">
        <f t="array" aca="1" ref="I11" ca="1">INDIRECT($AA$24&amp;INDEX(LineupsSearch[],MATCH(LineupsData[[#This Row],[Home?]]&amp;LineupsData[[#Headers],[Pivot]],LineupsSearch[Home?]&amp;LineupsSearch[Item],1),3)&amp;LineupsData[[#This Row],[RefRow]])</f>
        <v>0</v>
      </c>
      <c r="J11" s="1219" t="str">
        <f t="array" aca="1" ref="J1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1" s="1219">
        <f ca="1">IFERROR(LEN(IF(OR(LEFT(LineupsData[[#This Row],[P_Box]],1)="$",LEFT(LineupsData[[#This Row],[P_Box]],1)="S"),RIGHT(LineupsData[[#This Row],[P_Box]],LEN(LineupsData[[#This Row],[P_Box]])-1),LineupsData[[#This Row],[P_Box]])),"")</f>
        <v>0</v>
      </c>
      <c r="L11" s="1219" t="str">
        <f t="array" aca="1" ref="L11" ca="1">INDIRECT($AA$24&amp;INDEX(LineupsSearch[],MATCH(LineupsData[[#This Row],[Home?]]&amp;LineupsData[[#Headers],[B1]],LineupsSearch[Home?]&amp;LineupsSearch[Item],1),3)&amp;LineupsData[[#This Row],[RefRow]])</f>
        <v>64</v>
      </c>
      <c r="M11" s="1219" t="str">
        <f t="array" aca="1" ref="M1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1" s="1219">
        <f ca="1">IFERROR(LEN(IF(OR(LEFT(LineupsData[[#This Row],[B1_Box]],1)="$",LEFT(LineupsData[[#This Row],[B1_Box]],1)="S"),RIGHT(LineupsData[[#This Row],[B1_Box]],LEN(LineupsData[[#This Row],[B1_Box]])-1),LineupsData[[#This Row],[B1_Box]])),"")</f>
        <v>0</v>
      </c>
      <c r="O11" s="1219" t="str">
        <f t="array" aca="1" ref="O11" ca="1">INDIRECT($AA$24&amp;INDEX(LineupsSearch[],MATCH(LineupsData[[#This Row],[Home?]]&amp;LineupsData[[#Headers],[B2]],LineupsSearch[Home?]&amp;LineupsSearch[Item],1),3)&amp;LineupsData[[#This Row],[RefRow]])</f>
        <v>303</v>
      </c>
      <c r="P11" s="1219" t="str">
        <f t="array" aca="1" ref="P1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v>
      </c>
      <c r="Q11" s="1219">
        <f ca="1">IFERROR(LEN(IF(OR(LEFT(LineupsData[[#This Row],[B2_Box]],1)="$",LEFT(LineupsData[[#This Row],[B2_Box]],1)="S"),RIGHT(LineupsData[[#This Row],[B2_Box]],LEN(LineupsData[[#This Row],[B2_Box]])-1),LineupsData[[#This Row],[B2_Box]])),"")</f>
        <v>1</v>
      </c>
      <c r="R11" s="1219" t="str">
        <f t="array" aca="1" ref="R11" ca="1">INDIRECT($AA$24&amp;INDEX(LineupsSearch[],MATCH(LineupsData[[#This Row],[Home?]]&amp;LineupsData[[#Headers],[B3]],LineupsSearch[Home?]&amp;LineupsSearch[Item],1),3)&amp;LineupsData[[#This Row],[RefRow]])</f>
        <v>20</v>
      </c>
      <c r="S11" s="1219" t="str">
        <f t="array" aca="1" ref="S1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1" s="1219">
        <f ca="1">IFERROR(LEN(IF(OR(LEFT(LineupsData[[#This Row],[B3_Box]],1)="$",LEFT(LineupsData[[#This Row],[B3_Box]],1)="S"),RIGHT(LineupsData[[#This Row],[B3_Box]],LEN(LineupsData[[#This Row],[B3_Box]])-1),LineupsData[[#This Row],[B3_Box]])),"")</f>
        <v>0</v>
      </c>
      <c r="U11" s="1219" t="b">
        <f t="array" aca="1" ref="U1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1" s="1219" t="b">
        <v>1</v>
      </c>
      <c r="W11" s="1219">
        <v>13</v>
      </c>
      <c r="X11" s="1203"/>
      <c r="Y11" s="1203"/>
    </row>
    <row r="12" spans="1:27" x14ac:dyDescent="0.25">
      <c r="A12" s="1218">
        <f>[1]IBRF!$B$5</f>
        <v>41734</v>
      </c>
      <c r="B12" s="1221">
        <f t="shared" si="0"/>
        <v>0.83333333333333337</v>
      </c>
      <c r="C12" s="1219">
        <v>1</v>
      </c>
      <c r="D12" s="1219">
        <f t="array" aca="1" ref="D12" ca="1">IF(LineupsData[[#This Row],[Passed?]],D11,IF(INDIRECT($AA$24&amp;INDEX(LineupsSearch[],MATCH(LineupsData[[#This Row],[Home?]]&amp;"Jam",LineupsSearch[Home?]&amp;LineupsSearch[Item],1),3)&amp;LineupsData[[#This Row],[RefRow]])="",0,INDIRECT($AA$24&amp;INDEX(LineupsSearch[],MATCH(LineupsData[[#This Row],[Home?]]&amp;"Jam",LineupsSearch[Home?]&amp;LineupsSearch[Item],1),3)&amp;LineupsData[[#This Row],[RefRow]])))</f>
        <v>10</v>
      </c>
      <c r="E12" s="1219" t="str">
        <f t="shared" si="1"/>
        <v>Plan B</v>
      </c>
      <c r="F12" s="1219" t="str">
        <f t="array" aca="1" ref="F12" ca="1">INDIRECT($AA$24&amp;INDEX(LineupsSearch[],MATCH(LineupsData[[#This Row],[Home?]]&amp;LineupsData[[#Headers],[Jammer]],LineupsSearch[Home?]&amp;LineupsSearch[Item],1),3)&amp;LineupsData[[#This Row],[RefRow]])</f>
        <v>19</v>
      </c>
      <c r="G12" s="1219" t="str">
        <f t="array" aca="1" ref="G1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2" s="1219">
        <f ca="1">IFERROR(LEN(IF(OR(LEFT(LineupsData[[#This Row],[J_Box]],1)="$",LEFT(LineupsData[[#This Row],[J_Box]],1)="S"),RIGHT(LineupsData[[#This Row],[J_Box]],LEN(LineupsData[[#This Row],[J_Box]])-1),LineupsData[[#This Row],[J_Box]])),"")</f>
        <v>0</v>
      </c>
      <c r="I12" s="1219" t="str">
        <f t="array" aca="1" ref="I12" ca="1">INDIRECT($AA$24&amp;INDEX(LineupsSearch[],MATCH(LineupsData[[#This Row],[Home?]]&amp;LineupsData[[#Headers],[Pivot]],LineupsSearch[Home?]&amp;LineupsSearch[Item],1),3)&amp;LineupsData[[#This Row],[RefRow]])</f>
        <v>N01</v>
      </c>
      <c r="J12" s="1219" t="str">
        <f t="array" aca="1" ref="J1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2" s="1219">
        <f ca="1">IFERROR(LEN(IF(OR(LEFT(LineupsData[[#This Row],[P_Box]],1)="$",LEFT(LineupsData[[#This Row],[P_Box]],1)="S"),RIGHT(LineupsData[[#This Row],[P_Box]],LEN(LineupsData[[#This Row],[P_Box]])-1),LineupsData[[#This Row],[P_Box]])),"")</f>
        <v>0</v>
      </c>
      <c r="L12" s="1219" t="str">
        <f t="array" aca="1" ref="L12" ca="1">INDIRECT($AA$24&amp;INDEX(LineupsSearch[],MATCH(LineupsData[[#This Row],[Home?]]&amp;LineupsData[[#Headers],[B1]],LineupsSearch[Home?]&amp;LineupsSearch[Item],1),3)&amp;LineupsData[[#This Row],[RefRow]])</f>
        <v>33</v>
      </c>
      <c r="M12" s="1219" t="str">
        <f t="array" aca="1" ref="M1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2" s="1219">
        <f ca="1">IFERROR(LEN(IF(OR(LEFT(LineupsData[[#This Row],[B1_Box]],1)="$",LEFT(LineupsData[[#This Row],[B1_Box]],1)="S"),RIGHT(LineupsData[[#This Row],[B1_Box]],LEN(LineupsData[[#This Row],[B1_Box]])-1),LineupsData[[#This Row],[B1_Box]])),"")</f>
        <v>0</v>
      </c>
      <c r="O12" s="1219" t="str">
        <f t="array" aca="1" ref="O12" ca="1">INDIRECT($AA$24&amp;INDEX(LineupsSearch[],MATCH(LineupsData[[#This Row],[Home?]]&amp;LineupsData[[#Headers],[B2]],LineupsSearch[Home?]&amp;LineupsSearch[Item],1),3)&amp;LineupsData[[#This Row],[RefRow]])</f>
        <v>303</v>
      </c>
      <c r="P12" s="1219" t="str">
        <f t="array" aca="1" ref="P1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X</v>
      </c>
      <c r="Q12" s="1219">
        <f ca="1">IFERROR(LEN(IF(OR(LEFT(LineupsData[[#This Row],[B2_Box]],1)="$",LEFT(LineupsData[[#This Row],[B2_Box]],1)="S"),RIGHT(LineupsData[[#This Row],[B2_Box]],LEN(LineupsData[[#This Row],[B2_Box]])-1),LineupsData[[#This Row],[B2_Box]])),"")</f>
        <v>1</v>
      </c>
      <c r="R12" s="1219" t="str">
        <f t="array" aca="1" ref="R12" ca="1">INDIRECT($AA$24&amp;INDEX(LineupsSearch[],MATCH(LineupsData[[#This Row],[Home?]]&amp;LineupsData[[#Headers],[B3]],LineupsSearch[Home?]&amp;LineupsSearch[Item],1),3)&amp;LineupsData[[#This Row],[RefRow]])</f>
        <v>42</v>
      </c>
      <c r="S12" s="1219" t="str">
        <f t="array" aca="1" ref="S1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2" s="1219">
        <f ca="1">IFERROR(LEN(IF(OR(LEFT(LineupsData[[#This Row],[B3_Box]],1)="$",LEFT(LineupsData[[#This Row],[B3_Box]],1)="S"),RIGHT(LineupsData[[#This Row],[B3_Box]],LEN(LineupsData[[#This Row],[B3_Box]])-1),LineupsData[[#This Row],[B3_Box]])),"")</f>
        <v>0</v>
      </c>
      <c r="U12" s="1219" t="b">
        <f t="array" aca="1" ref="U1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2" s="1219" t="b">
        <v>1</v>
      </c>
      <c r="W12" s="1219">
        <v>14</v>
      </c>
      <c r="X12" s="1203"/>
      <c r="Y12" s="1203"/>
    </row>
    <row r="13" spans="1:27" x14ac:dyDescent="0.25">
      <c r="A13" s="1218">
        <f>[1]IBRF!$B$5</f>
        <v>41734</v>
      </c>
      <c r="B13" s="1221">
        <f t="shared" si="0"/>
        <v>0.83333333333333337</v>
      </c>
      <c r="C13" s="1219">
        <v>1</v>
      </c>
      <c r="D13" s="1219">
        <f t="array" aca="1" ref="D13" ca="1">IF(LineupsData[[#This Row],[Passed?]],D12,IF(INDIRECT($AA$24&amp;INDEX(LineupsSearch[],MATCH(LineupsData[[#This Row],[Home?]]&amp;"Jam",LineupsSearch[Home?]&amp;LineupsSearch[Item],1),3)&amp;LineupsData[[#This Row],[RefRow]])="",0,INDIRECT($AA$24&amp;INDEX(LineupsSearch[],MATCH(LineupsData[[#This Row],[Home?]]&amp;"Jam",LineupsSearch[Home?]&amp;LineupsSearch[Item],1),3)&amp;LineupsData[[#This Row],[RefRow]])))</f>
        <v>11</v>
      </c>
      <c r="E13" s="1219" t="str">
        <f t="shared" si="1"/>
        <v>Plan B</v>
      </c>
      <c r="F13" s="1219" t="str">
        <f t="array" aca="1" ref="F13" ca="1">INDIRECT($AA$24&amp;INDEX(LineupsSearch[],MATCH(LineupsData[[#This Row],[Home?]]&amp;LineupsData[[#Headers],[Jammer]],LineupsSearch[Home?]&amp;LineupsSearch[Item],1),3)&amp;LineupsData[[#This Row],[RefRow]])</f>
        <v>1321</v>
      </c>
      <c r="G13" s="1219" t="str">
        <f t="array" aca="1" ref="G1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3" s="1219">
        <f ca="1">IFERROR(LEN(IF(OR(LEFT(LineupsData[[#This Row],[J_Box]],1)="$",LEFT(LineupsData[[#This Row],[J_Box]],1)="S"),RIGHT(LineupsData[[#This Row],[J_Box]],LEN(LineupsData[[#This Row],[J_Box]])-1),LineupsData[[#This Row],[J_Box]])),"")</f>
        <v>0</v>
      </c>
      <c r="I13" s="1219" t="str">
        <f t="array" aca="1" ref="I13" ca="1">INDIRECT($AA$24&amp;INDEX(LineupsSearch[],MATCH(LineupsData[[#This Row],[Home?]]&amp;LineupsData[[#Headers],[Pivot]],LineupsSearch[Home?]&amp;LineupsSearch[Item],1),3)&amp;LineupsData[[#This Row],[RefRow]])</f>
        <v>0</v>
      </c>
      <c r="J13" s="1219" t="str">
        <f t="array" aca="1" ref="J1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3" s="1219">
        <f ca="1">IFERROR(LEN(IF(OR(LEFT(LineupsData[[#This Row],[P_Box]],1)="$",LEFT(LineupsData[[#This Row],[P_Box]],1)="S"),RIGHT(LineupsData[[#This Row],[P_Box]],LEN(LineupsData[[#This Row],[P_Box]])-1),LineupsData[[#This Row],[P_Box]])),"")</f>
        <v>0</v>
      </c>
      <c r="L13" s="1219" t="str">
        <f t="array" aca="1" ref="L13" ca="1">INDIRECT($AA$24&amp;INDEX(LineupsSearch[],MATCH(LineupsData[[#This Row],[Home?]]&amp;LineupsData[[#Headers],[B1]],LineupsSearch[Home?]&amp;LineupsSearch[Item],1),3)&amp;LineupsData[[#This Row],[RefRow]])</f>
        <v>20</v>
      </c>
      <c r="M13" s="1219" t="str">
        <f t="array" aca="1" ref="M1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3" s="1219">
        <f ca="1">IFERROR(LEN(IF(OR(LEFT(LineupsData[[#This Row],[B1_Box]],1)="$",LEFT(LineupsData[[#This Row],[B1_Box]],1)="S"),RIGHT(LineupsData[[#This Row],[B1_Box]],LEN(LineupsData[[#This Row],[B1_Box]])-1),LineupsData[[#This Row],[B1_Box]])),"")</f>
        <v>0</v>
      </c>
      <c r="O13" s="1219" t="str">
        <f t="array" aca="1" ref="O13" ca="1">INDIRECT($AA$24&amp;INDEX(LineupsSearch[],MATCH(LineupsData[[#This Row],[Home?]]&amp;LineupsData[[#Headers],[B2]],LineupsSearch[Home?]&amp;LineupsSearch[Item],1),3)&amp;LineupsData[[#This Row],[RefRow]])</f>
        <v>44</v>
      </c>
      <c r="P13" s="1219" t="str">
        <f t="array" aca="1" ref="P1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3" s="1219">
        <f ca="1">IFERROR(LEN(IF(OR(LEFT(LineupsData[[#This Row],[B2_Box]],1)="$",LEFT(LineupsData[[#This Row],[B2_Box]],1)="S"),RIGHT(LineupsData[[#This Row],[B2_Box]],LEN(LineupsData[[#This Row],[B2_Box]])-1),LineupsData[[#This Row],[B2_Box]])),"")</f>
        <v>0</v>
      </c>
      <c r="R13" s="1219" t="str">
        <f t="array" aca="1" ref="R13" ca="1">INDIRECT($AA$24&amp;INDEX(LineupsSearch[],MATCH(LineupsData[[#This Row],[Home?]]&amp;LineupsData[[#Headers],[B3]],LineupsSearch[Home?]&amp;LineupsSearch[Item],1),3)&amp;LineupsData[[#This Row],[RefRow]])</f>
        <v>64</v>
      </c>
      <c r="S13" s="1219" t="str">
        <f t="array" aca="1" ref="S1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3" s="1219">
        <f ca="1">IFERROR(LEN(IF(OR(LEFT(LineupsData[[#This Row],[B3_Box]],1)="$",LEFT(LineupsData[[#This Row],[B3_Box]],1)="S"),RIGHT(LineupsData[[#This Row],[B3_Box]],LEN(LineupsData[[#This Row],[B3_Box]])-1),LineupsData[[#This Row],[B3_Box]])),"")</f>
        <v>0</v>
      </c>
      <c r="U13" s="1219" t="b">
        <f t="array" aca="1" ref="U1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3" s="1219" t="b">
        <v>1</v>
      </c>
      <c r="W13" s="1219">
        <v>15</v>
      </c>
      <c r="X13" s="1203"/>
      <c r="Y13" s="1203"/>
    </row>
    <row r="14" spans="1:27" x14ac:dyDescent="0.25">
      <c r="A14" s="1218">
        <f>[1]IBRF!$B$5</f>
        <v>41734</v>
      </c>
      <c r="B14" s="1221">
        <f t="shared" si="0"/>
        <v>0.83333333333333337</v>
      </c>
      <c r="C14" s="1219">
        <v>1</v>
      </c>
      <c r="D14" s="1219">
        <f t="array" aca="1" ref="D14" ca="1">IF(LineupsData[[#This Row],[Passed?]],D13,IF(INDIRECT($AA$24&amp;INDEX(LineupsSearch[],MATCH(LineupsData[[#This Row],[Home?]]&amp;"Jam",LineupsSearch[Home?]&amp;LineupsSearch[Item],1),3)&amp;LineupsData[[#This Row],[RefRow]])="",0,INDIRECT($AA$24&amp;INDEX(LineupsSearch[],MATCH(LineupsData[[#This Row],[Home?]]&amp;"Jam",LineupsSearch[Home?]&amp;LineupsSearch[Item],1),3)&amp;LineupsData[[#This Row],[RefRow]])))</f>
        <v>12</v>
      </c>
      <c r="E14" s="1219" t="str">
        <f t="shared" si="1"/>
        <v>Plan B</v>
      </c>
      <c r="F14" s="1219" t="str">
        <f t="array" aca="1" ref="F14" ca="1">INDIRECT($AA$24&amp;INDEX(LineupsSearch[],MATCH(LineupsData[[#This Row],[Home?]]&amp;LineupsData[[#Headers],[Jammer]],LineupsSearch[Home?]&amp;LineupsSearch[Item],1),3)&amp;LineupsData[[#This Row],[RefRow]])</f>
        <v>84</v>
      </c>
      <c r="G14" s="1219" t="str">
        <f t="array" aca="1" ref="G1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4" s="1219">
        <f ca="1">IFERROR(LEN(IF(OR(LEFT(LineupsData[[#This Row],[J_Box]],1)="$",LEFT(LineupsData[[#This Row],[J_Box]],1)="S"),RIGHT(LineupsData[[#This Row],[J_Box]],LEN(LineupsData[[#This Row],[J_Box]])-1),LineupsData[[#This Row],[J_Box]])),"")</f>
        <v>0</v>
      </c>
      <c r="I14" s="1219" t="str">
        <f t="array" aca="1" ref="I14" ca="1">INDIRECT($AA$24&amp;INDEX(LineupsSearch[],MATCH(LineupsData[[#This Row],[Home?]]&amp;LineupsData[[#Headers],[Pivot]],LineupsSearch[Home?]&amp;LineupsSearch[Item],1),3)&amp;LineupsData[[#This Row],[RefRow]])</f>
        <v>N01</v>
      </c>
      <c r="J14" s="1219" t="str">
        <f t="array" aca="1" ref="J1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4" s="1219">
        <f ca="1">IFERROR(LEN(IF(OR(LEFT(LineupsData[[#This Row],[P_Box]],1)="$",LEFT(LineupsData[[#This Row],[P_Box]],1)="S"),RIGHT(LineupsData[[#This Row],[P_Box]],LEN(LineupsData[[#This Row],[P_Box]])-1),LineupsData[[#This Row],[P_Box]])),"")</f>
        <v>0</v>
      </c>
      <c r="L14" s="1219" t="str">
        <f t="array" aca="1" ref="L14" ca="1">INDIRECT($AA$24&amp;INDEX(LineupsSearch[],MATCH(LineupsData[[#This Row],[Home?]]&amp;LineupsData[[#Headers],[B1]],LineupsSearch[Home?]&amp;LineupsSearch[Item],1),3)&amp;LineupsData[[#This Row],[RefRow]])</f>
        <v>33</v>
      </c>
      <c r="M14" s="1219" t="str">
        <f t="array" aca="1" ref="M1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4" s="1219">
        <f ca="1">IFERROR(LEN(IF(OR(LEFT(LineupsData[[#This Row],[B1_Box]],1)="$",LEFT(LineupsData[[#This Row],[B1_Box]],1)="S"),RIGHT(LineupsData[[#This Row],[B1_Box]],LEN(LineupsData[[#This Row],[B1_Box]])-1),LineupsData[[#This Row],[B1_Box]])),"")</f>
        <v>0</v>
      </c>
      <c r="O14" s="1219" t="str">
        <f t="array" aca="1" ref="O14" ca="1">INDIRECT($AA$24&amp;INDEX(LineupsSearch[],MATCH(LineupsData[[#This Row],[Home?]]&amp;LineupsData[[#Headers],[B2]],LineupsSearch[Home?]&amp;LineupsSearch[Item],1),3)&amp;LineupsData[[#This Row],[RefRow]])</f>
        <v>17</v>
      </c>
      <c r="P14" s="1219" t="str">
        <f t="array" aca="1" ref="P1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4" s="1219">
        <f ca="1">IFERROR(LEN(IF(OR(LEFT(LineupsData[[#This Row],[B2_Box]],1)="$",LEFT(LineupsData[[#This Row],[B2_Box]],1)="S"),RIGHT(LineupsData[[#This Row],[B2_Box]],LEN(LineupsData[[#This Row],[B2_Box]])-1),LineupsData[[#This Row],[B2_Box]])),"")</f>
        <v>0</v>
      </c>
      <c r="R14" s="1219" t="str">
        <f t="array" aca="1" ref="R14" ca="1">INDIRECT($AA$24&amp;INDEX(LineupsSearch[],MATCH(LineupsData[[#This Row],[Home?]]&amp;LineupsData[[#Headers],[B3]],LineupsSearch[Home?]&amp;LineupsSearch[Item],1),3)&amp;LineupsData[[#This Row],[RefRow]])</f>
        <v>480</v>
      </c>
      <c r="S14" s="1219" t="str">
        <f t="array" aca="1" ref="S1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X</v>
      </c>
      <c r="T14" s="1219">
        <f ca="1">IFERROR(LEN(IF(OR(LEFT(LineupsData[[#This Row],[B3_Box]],1)="$",LEFT(LineupsData[[#This Row],[B3_Box]],1)="S"),RIGHT(LineupsData[[#This Row],[B3_Box]],LEN(LineupsData[[#This Row],[B3_Box]])-1),LineupsData[[#This Row],[B3_Box]])),"")</f>
        <v>1</v>
      </c>
      <c r="U14" s="1219" t="b">
        <f t="array" aca="1" ref="U1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4" s="1219" t="b">
        <v>1</v>
      </c>
      <c r="W14" s="1219">
        <v>16</v>
      </c>
      <c r="X14" s="1203"/>
      <c r="Y14" s="1203"/>
    </row>
    <row r="15" spans="1:27" x14ac:dyDescent="0.25">
      <c r="A15" s="1218">
        <f>[1]IBRF!$B$5</f>
        <v>41734</v>
      </c>
      <c r="B15" s="1221">
        <f t="shared" si="0"/>
        <v>0.83333333333333337</v>
      </c>
      <c r="C15" s="1219">
        <v>1</v>
      </c>
      <c r="D15" s="1219">
        <f t="array" aca="1" ref="D15" ca="1">IF(LineupsData[[#This Row],[Passed?]],D14,IF(INDIRECT($AA$24&amp;INDEX(LineupsSearch[],MATCH(LineupsData[[#This Row],[Home?]]&amp;"Jam",LineupsSearch[Home?]&amp;LineupsSearch[Item],1),3)&amp;LineupsData[[#This Row],[RefRow]])="",0,INDIRECT($AA$24&amp;INDEX(LineupsSearch[],MATCH(LineupsData[[#This Row],[Home?]]&amp;"Jam",LineupsSearch[Home?]&amp;LineupsSearch[Item],1),3)&amp;LineupsData[[#This Row],[RefRow]])))</f>
        <v>13</v>
      </c>
      <c r="E15" s="1219" t="str">
        <f t="shared" si="1"/>
        <v>Plan B</v>
      </c>
      <c r="F15" s="1219" t="str">
        <f t="array" aca="1" ref="F15" ca="1">INDIRECT($AA$24&amp;INDEX(LineupsSearch[],MATCH(LineupsData[[#This Row],[Home?]]&amp;LineupsData[[#Headers],[Jammer]],LineupsSearch[Home?]&amp;LineupsSearch[Item],1),3)&amp;LineupsData[[#This Row],[RefRow]])</f>
        <v>4</v>
      </c>
      <c r="G15" s="1219" t="str">
        <f t="array" aca="1" ref="G1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5" s="1219">
        <f ca="1">IFERROR(LEN(IF(OR(LEFT(LineupsData[[#This Row],[J_Box]],1)="$",LEFT(LineupsData[[#This Row],[J_Box]],1)="S"),RIGHT(LineupsData[[#This Row],[J_Box]],LEN(LineupsData[[#This Row],[J_Box]])-1),LineupsData[[#This Row],[J_Box]])),"")</f>
        <v>0</v>
      </c>
      <c r="I15" s="1219" t="str">
        <f t="array" aca="1" ref="I15" ca="1">INDIRECT($AA$24&amp;INDEX(LineupsSearch[],MATCH(LineupsData[[#This Row],[Home?]]&amp;LineupsData[[#Headers],[Pivot]],LineupsSearch[Home?]&amp;LineupsSearch[Item],1),3)&amp;LineupsData[[#This Row],[RefRow]])</f>
        <v>0</v>
      </c>
      <c r="J15" s="1219" t="str">
        <f t="array" aca="1" ref="J1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5" s="1219">
        <f ca="1">IFERROR(LEN(IF(OR(LEFT(LineupsData[[#This Row],[P_Box]],1)="$",LEFT(LineupsData[[#This Row],[P_Box]],1)="S"),RIGHT(LineupsData[[#This Row],[P_Box]],LEN(LineupsData[[#This Row],[P_Box]])-1),LineupsData[[#This Row],[P_Box]])),"")</f>
        <v>0</v>
      </c>
      <c r="L15" s="1219" t="str">
        <f t="array" aca="1" ref="L15" ca="1">INDIRECT($AA$24&amp;INDEX(LineupsSearch[],MATCH(LineupsData[[#This Row],[Home?]]&amp;LineupsData[[#Headers],[B1]],LineupsSearch[Home?]&amp;LineupsSearch[Item],1),3)&amp;LineupsData[[#This Row],[RefRow]])</f>
        <v>303</v>
      </c>
      <c r="M15" s="1219" t="str">
        <f t="array" aca="1" ref="M1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5" s="1219">
        <f ca="1">IFERROR(LEN(IF(OR(LEFT(LineupsData[[#This Row],[B1_Box]],1)="$",LEFT(LineupsData[[#This Row],[B1_Box]],1)="S"),RIGHT(LineupsData[[#This Row],[B1_Box]],LEN(LineupsData[[#This Row],[B1_Box]])-1),LineupsData[[#This Row],[B1_Box]])),"")</f>
        <v>0</v>
      </c>
      <c r="O15" s="1219" t="str">
        <f t="array" aca="1" ref="O15" ca="1">INDIRECT($AA$24&amp;INDEX(LineupsSearch[],MATCH(LineupsData[[#This Row],[Home?]]&amp;LineupsData[[#Headers],[B2]],LineupsSearch[Home?]&amp;LineupsSearch[Item],1),3)&amp;LineupsData[[#This Row],[RefRow]])</f>
        <v>20</v>
      </c>
      <c r="P15" s="1219" t="str">
        <f t="array" aca="1" ref="P1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5" s="1219">
        <f ca="1">IFERROR(LEN(IF(OR(LEFT(LineupsData[[#This Row],[B2_Box]],1)="$",LEFT(LineupsData[[#This Row],[B2_Box]],1)="S"),RIGHT(LineupsData[[#This Row],[B2_Box]],LEN(LineupsData[[#This Row],[B2_Box]])-1),LineupsData[[#This Row],[B2_Box]])),"")</f>
        <v>0</v>
      </c>
      <c r="R15" s="1219" t="str">
        <f t="array" aca="1" ref="R15" ca="1">INDIRECT($AA$24&amp;INDEX(LineupsSearch[],MATCH(LineupsData[[#This Row],[Home?]]&amp;LineupsData[[#Headers],[B3]],LineupsSearch[Home?]&amp;LineupsSearch[Item],1),3)&amp;LineupsData[[#This Row],[RefRow]])</f>
        <v>64</v>
      </c>
      <c r="S15" s="1219" t="str">
        <f t="array" aca="1" ref="S1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5" s="1219">
        <f ca="1">IFERROR(LEN(IF(OR(LEFT(LineupsData[[#This Row],[B3_Box]],1)="$",LEFT(LineupsData[[#This Row],[B3_Box]],1)="S"),RIGHT(LineupsData[[#This Row],[B3_Box]],LEN(LineupsData[[#This Row],[B3_Box]])-1),LineupsData[[#This Row],[B3_Box]])),"")</f>
        <v>0</v>
      </c>
      <c r="U15" s="1219" t="b">
        <f t="array" aca="1" ref="U1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5" s="1219" t="b">
        <v>1</v>
      </c>
      <c r="W15" s="1219">
        <v>17</v>
      </c>
      <c r="X15" s="1203"/>
      <c r="Y15" s="1203"/>
    </row>
    <row r="16" spans="1:27" x14ac:dyDescent="0.25">
      <c r="A16" s="1218">
        <f>[1]IBRF!$B$5</f>
        <v>41734</v>
      </c>
      <c r="B16" s="1221">
        <f t="shared" si="0"/>
        <v>0.83333333333333337</v>
      </c>
      <c r="C16" s="1219">
        <v>1</v>
      </c>
      <c r="D16" s="1219">
        <f t="array" aca="1" ref="D16" ca="1">IF(LineupsData[[#This Row],[Passed?]],D15,IF(INDIRECT($AA$24&amp;INDEX(LineupsSearch[],MATCH(LineupsData[[#This Row],[Home?]]&amp;"Jam",LineupsSearch[Home?]&amp;LineupsSearch[Item],1),3)&amp;LineupsData[[#This Row],[RefRow]])="",0,INDIRECT($AA$24&amp;INDEX(LineupsSearch[],MATCH(LineupsData[[#This Row],[Home?]]&amp;"Jam",LineupsSearch[Home?]&amp;LineupsSearch[Item],1),3)&amp;LineupsData[[#This Row],[RefRow]])))</f>
        <v>14</v>
      </c>
      <c r="E16" s="1219" t="str">
        <f t="shared" si="1"/>
        <v>Plan B</v>
      </c>
      <c r="F16" s="1219" t="str">
        <f t="array" aca="1" ref="F16" ca="1">INDIRECT($AA$24&amp;INDEX(LineupsSearch[],MATCH(LineupsData[[#This Row],[Home?]]&amp;LineupsData[[#Headers],[Jammer]],LineupsSearch[Home?]&amp;LineupsSearch[Item],1),3)&amp;LineupsData[[#This Row],[RefRow]])</f>
        <v>19</v>
      </c>
      <c r="G16" s="1219" t="str">
        <f t="array" aca="1" ref="G1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6" s="1219">
        <f ca="1">IFERROR(LEN(IF(OR(LEFT(LineupsData[[#This Row],[J_Box]],1)="$",LEFT(LineupsData[[#This Row],[J_Box]],1)="S"),RIGHT(LineupsData[[#This Row],[J_Box]],LEN(LineupsData[[#This Row],[J_Box]])-1),LineupsData[[#This Row],[J_Box]])),"")</f>
        <v>0</v>
      </c>
      <c r="I16" s="1219" t="str">
        <f t="array" aca="1" ref="I16" ca="1">INDIRECT($AA$24&amp;INDEX(LineupsSearch[],MATCH(LineupsData[[#This Row],[Home?]]&amp;LineupsData[[#Headers],[Pivot]],LineupsSearch[Home?]&amp;LineupsSearch[Item],1),3)&amp;LineupsData[[#This Row],[RefRow]])</f>
        <v>N01</v>
      </c>
      <c r="J16" s="1219" t="str">
        <f t="array" aca="1" ref="J1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6" s="1219">
        <f ca="1">IFERROR(LEN(IF(OR(LEFT(LineupsData[[#This Row],[P_Box]],1)="$",LEFT(LineupsData[[#This Row],[P_Box]],1)="S"),RIGHT(LineupsData[[#This Row],[P_Box]],LEN(LineupsData[[#This Row],[P_Box]])-1),LineupsData[[#This Row],[P_Box]])),"")</f>
        <v>0</v>
      </c>
      <c r="L16" s="1219" t="str">
        <f t="array" aca="1" ref="L16" ca="1">INDIRECT($AA$24&amp;INDEX(LineupsSearch[],MATCH(LineupsData[[#This Row],[Home?]]&amp;LineupsData[[#Headers],[B1]],LineupsSearch[Home?]&amp;LineupsSearch[Item],1),3)&amp;LineupsData[[#This Row],[RefRow]])</f>
        <v>33</v>
      </c>
      <c r="M16" s="1219" t="str">
        <f t="array" aca="1" ref="M1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6" s="1219">
        <f ca="1">IFERROR(LEN(IF(OR(LEFT(LineupsData[[#This Row],[B1_Box]],1)="$",LEFT(LineupsData[[#This Row],[B1_Box]],1)="S"),RIGHT(LineupsData[[#This Row],[B1_Box]],LEN(LineupsData[[#This Row],[B1_Box]])-1),LineupsData[[#This Row],[B1_Box]])),"")</f>
        <v>0</v>
      </c>
      <c r="O16" s="1219" t="str">
        <f t="array" aca="1" ref="O16" ca="1">INDIRECT($AA$24&amp;INDEX(LineupsSearch[],MATCH(LineupsData[[#This Row],[Home?]]&amp;LineupsData[[#Headers],[B2]],LineupsSearch[Home?]&amp;LineupsSearch[Item],1),3)&amp;LineupsData[[#This Row],[RefRow]])</f>
        <v>42</v>
      </c>
      <c r="P16" s="1219" t="str">
        <f t="array" aca="1" ref="P1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6" s="1219">
        <f ca="1">IFERROR(LEN(IF(OR(LEFT(LineupsData[[#This Row],[B2_Box]],1)="$",LEFT(LineupsData[[#This Row],[B2_Box]],1)="S"),RIGHT(LineupsData[[#This Row],[B2_Box]],LEN(LineupsData[[#This Row],[B2_Box]])-1),LineupsData[[#This Row],[B2_Box]])),"")</f>
        <v>0</v>
      </c>
      <c r="R16" s="1219" t="str">
        <f t="array" aca="1" ref="R16" ca="1">INDIRECT($AA$24&amp;INDEX(LineupsSearch[],MATCH(LineupsData[[#This Row],[Home?]]&amp;LineupsData[[#Headers],[B3]],LineupsSearch[Home?]&amp;LineupsSearch[Item],1),3)&amp;LineupsData[[#This Row],[RefRow]])</f>
        <v>480</v>
      </c>
      <c r="S16" s="1219" t="str">
        <f t="array" aca="1" ref="S1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6" s="1219">
        <f ca="1">IFERROR(LEN(IF(OR(LEFT(LineupsData[[#This Row],[B3_Box]],1)="$",LEFT(LineupsData[[#This Row],[B3_Box]],1)="S"),RIGHT(LineupsData[[#This Row],[B3_Box]],LEN(LineupsData[[#This Row],[B3_Box]])-1),LineupsData[[#This Row],[B3_Box]])),"")</f>
        <v>0</v>
      </c>
      <c r="U16" s="1219" t="b">
        <f t="array" aca="1" ref="U1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6" s="1219" t="b">
        <v>1</v>
      </c>
      <c r="W16" s="1219">
        <v>18</v>
      </c>
      <c r="X16" s="1203"/>
      <c r="Y16" s="1203"/>
    </row>
    <row r="17" spans="1:29" x14ac:dyDescent="0.25">
      <c r="A17" s="1218">
        <f>[1]IBRF!$B$5</f>
        <v>41734</v>
      </c>
      <c r="B17" s="1221">
        <f t="shared" si="0"/>
        <v>0.83333333333333337</v>
      </c>
      <c r="C17" s="1219">
        <v>1</v>
      </c>
      <c r="D17" s="1219">
        <f t="array" aca="1" ref="D17" ca="1">IF(LineupsData[[#This Row],[Passed?]],D16,IF(INDIRECT($AA$24&amp;INDEX(LineupsSearch[],MATCH(LineupsData[[#This Row],[Home?]]&amp;"Jam",LineupsSearch[Home?]&amp;LineupsSearch[Item],1),3)&amp;LineupsData[[#This Row],[RefRow]])="",0,INDIRECT($AA$24&amp;INDEX(LineupsSearch[],MATCH(LineupsData[[#This Row],[Home?]]&amp;"Jam",LineupsSearch[Home?]&amp;LineupsSearch[Item],1),3)&amp;LineupsData[[#This Row],[RefRow]])))</f>
        <v>15</v>
      </c>
      <c r="E17" s="1219" t="str">
        <f t="shared" si="1"/>
        <v>Plan B</v>
      </c>
      <c r="F17" s="1219" t="str">
        <f t="array" aca="1" ref="F17" ca="1">INDIRECT($AA$24&amp;INDEX(LineupsSearch[],MATCH(LineupsData[[#This Row],[Home?]]&amp;LineupsData[[#Headers],[Jammer]],LineupsSearch[Home?]&amp;LineupsSearch[Item],1),3)&amp;LineupsData[[#This Row],[RefRow]])</f>
        <v>20</v>
      </c>
      <c r="G17" s="1219" t="str">
        <f t="array" aca="1" ref="G1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7" s="1219">
        <f ca="1">IFERROR(LEN(IF(OR(LEFT(LineupsData[[#This Row],[J_Box]],1)="$",LEFT(LineupsData[[#This Row],[J_Box]],1)="S"),RIGHT(LineupsData[[#This Row],[J_Box]],LEN(LineupsData[[#This Row],[J_Box]])-1),LineupsData[[#This Row],[J_Box]])),"")</f>
        <v>0</v>
      </c>
      <c r="I17" s="1219" t="str">
        <f t="array" aca="1" ref="I17" ca="1">INDIRECT($AA$24&amp;INDEX(LineupsSearch[],MATCH(LineupsData[[#This Row],[Home?]]&amp;LineupsData[[#Headers],[Pivot]],LineupsSearch[Home?]&amp;LineupsSearch[Item],1),3)&amp;LineupsData[[#This Row],[RefRow]])</f>
        <v>0</v>
      </c>
      <c r="J17" s="1219" t="str">
        <f t="array" aca="1" ref="J1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v>
      </c>
      <c r="K17" s="1219">
        <f ca="1">IFERROR(LEN(IF(OR(LEFT(LineupsData[[#This Row],[P_Box]],1)="$",LEFT(LineupsData[[#This Row],[P_Box]],1)="S"),RIGHT(LineupsData[[#This Row],[P_Box]],LEN(LineupsData[[#This Row],[P_Box]])-1),LineupsData[[#This Row],[P_Box]])),"")</f>
        <v>1</v>
      </c>
      <c r="L17" s="1219" t="str">
        <f t="array" aca="1" ref="L17" ca="1">INDIRECT($AA$24&amp;INDEX(LineupsSearch[],MATCH(LineupsData[[#This Row],[Home?]]&amp;LineupsData[[#Headers],[B1]],LineupsSearch[Home?]&amp;LineupsSearch[Item],1),3)&amp;LineupsData[[#This Row],[RefRow]])</f>
        <v>64</v>
      </c>
      <c r="M17" s="1219" t="str">
        <f t="array" aca="1" ref="M1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v>
      </c>
      <c r="N17" s="1219">
        <f ca="1">IFERROR(LEN(IF(OR(LEFT(LineupsData[[#This Row],[B1_Box]],1)="$",LEFT(LineupsData[[#This Row],[B1_Box]],1)="S"),RIGHT(LineupsData[[#This Row],[B1_Box]],LEN(LineupsData[[#This Row],[B1_Box]])-1),LineupsData[[#This Row],[B1_Box]])),"")</f>
        <v>1</v>
      </c>
      <c r="O17" s="1219" t="str">
        <f t="array" aca="1" ref="O17" ca="1">INDIRECT($AA$24&amp;INDEX(LineupsSearch[],MATCH(LineupsData[[#This Row],[Home?]]&amp;LineupsData[[#Headers],[B2]],LineupsSearch[Home?]&amp;LineupsSearch[Item],1),3)&amp;LineupsData[[#This Row],[RefRow]])</f>
        <v>44</v>
      </c>
      <c r="P17" s="1219" t="str">
        <f t="array" aca="1" ref="P1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7" s="1219">
        <f ca="1">IFERROR(LEN(IF(OR(LEFT(LineupsData[[#This Row],[B2_Box]],1)="$",LEFT(LineupsData[[#This Row],[B2_Box]],1)="S"),RIGHT(LineupsData[[#This Row],[B2_Box]],LEN(LineupsData[[#This Row],[B2_Box]])-1),LineupsData[[#This Row],[B2_Box]])),"")</f>
        <v>0</v>
      </c>
      <c r="R17" s="1219" t="str">
        <f t="array" aca="1" ref="R17" ca="1">INDIRECT($AA$24&amp;INDEX(LineupsSearch[],MATCH(LineupsData[[#This Row],[Home?]]&amp;LineupsData[[#Headers],[B3]],LineupsSearch[Home?]&amp;LineupsSearch[Item],1),3)&amp;LineupsData[[#This Row],[RefRow]])</f>
        <v>1321</v>
      </c>
      <c r="S17" s="1219" t="str">
        <f t="array" aca="1" ref="S1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7" s="1219">
        <f ca="1">IFERROR(LEN(IF(OR(LEFT(LineupsData[[#This Row],[B3_Box]],1)="$",LEFT(LineupsData[[#This Row],[B3_Box]],1)="S"),RIGHT(LineupsData[[#This Row],[B3_Box]],LEN(LineupsData[[#This Row],[B3_Box]])-1),LineupsData[[#This Row],[B3_Box]])),"")</f>
        <v>0</v>
      </c>
      <c r="U17" s="1219" t="b">
        <f t="array" aca="1" ref="U1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7" s="1219" t="b">
        <v>1</v>
      </c>
      <c r="W17" s="1219">
        <v>19</v>
      </c>
      <c r="X17" s="1203"/>
      <c r="Y17" s="1203"/>
    </row>
    <row r="18" spans="1:29" x14ac:dyDescent="0.25">
      <c r="A18" s="1218">
        <f>[1]IBRF!$B$5</f>
        <v>41734</v>
      </c>
      <c r="B18" s="1221">
        <f t="shared" si="0"/>
        <v>0.83333333333333337</v>
      </c>
      <c r="C18" s="1219">
        <v>1</v>
      </c>
      <c r="D18" s="1219">
        <f t="array" aca="1" ref="D18" ca="1">IF(LineupsData[[#This Row],[Passed?]],D17,IF(INDIRECT($AA$24&amp;INDEX(LineupsSearch[],MATCH(LineupsData[[#This Row],[Home?]]&amp;"Jam",LineupsSearch[Home?]&amp;LineupsSearch[Item],1),3)&amp;LineupsData[[#This Row],[RefRow]])="",0,INDIRECT($AA$24&amp;INDEX(LineupsSearch[],MATCH(LineupsData[[#This Row],[Home?]]&amp;"Jam",LineupsSearch[Home?]&amp;LineupsSearch[Item],1),3)&amp;LineupsData[[#This Row],[RefRow]])))</f>
        <v>16</v>
      </c>
      <c r="E18" s="1219" t="str">
        <f t="shared" si="1"/>
        <v>Plan B</v>
      </c>
      <c r="F18" s="1219" t="str">
        <f t="array" aca="1" ref="F18" ca="1">INDIRECT($AA$24&amp;INDEX(LineupsSearch[],MATCH(LineupsData[[#This Row],[Home?]]&amp;LineupsData[[#Headers],[Jammer]],LineupsSearch[Home?]&amp;LineupsSearch[Item],1),3)&amp;LineupsData[[#This Row],[RefRow]])</f>
        <v>480</v>
      </c>
      <c r="G18" s="1219" t="str">
        <f t="array" aca="1" ref="G1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8" s="1219">
        <f ca="1">IFERROR(LEN(IF(OR(LEFT(LineupsData[[#This Row],[J_Box]],1)="$",LEFT(LineupsData[[#This Row],[J_Box]],1)="S"),RIGHT(LineupsData[[#This Row],[J_Box]],LEN(LineupsData[[#This Row],[J_Box]])-1),LineupsData[[#This Row],[J_Box]])),"")</f>
        <v>0</v>
      </c>
      <c r="I18" s="1219" t="str">
        <f t="array" aca="1" ref="I18" ca="1">INDIRECT($AA$24&amp;INDEX(LineupsSearch[],MATCH(LineupsData[[#This Row],[Home?]]&amp;LineupsData[[#Headers],[Pivot]],LineupsSearch[Home?]&amp;LineupsSearch[Item],1),3)&amp;LineupsData[[#This Row],[RefRow]])</f>
        <v>0</v>
      </c>
      <c r="J18" s="1219" t="str">
        <f t="array" aca="1" ref="J1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X</v>
      </c>
      <c r="K18" s="1219">
        <f ca="1">IFERROR(LEN(IF(OR(LEFT(LineupsData[[#This Row],[P_Box]],1)="$",LEFT(LineupsData[[#This Row],[P_Box]],1)="S"),RIGHT(LineupsData[[#This Row],[P_Box]],LEN(LineupsData[[#This Row],[P_Box]])-1),LineupsData[[#This Row],[P_Box]])),"")</f>
        <v>1</v>
      </c>
      <c r="L18" s="1219" t="str">
        <f t="array" aca="1" ref="L18" ca="1">INDIRECT($AA$24&amp;INDEX(LineupsSearch[],MATCH(LineupsData[[#This Row],[Home?]]&amp;LineupsData[[#Headers],[B1]],LineupsSearch[Home?]&amp;LineupsSearch[Item],1),3)&amp;LineupsData[[#This Row],[RefRow]])</f>
        <v>64</v>
      </c>
      <c r="M18" s="1219" t="str">
        <f t="array" aca="1" ref="M1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X</v>
      </c>
      <c r="N18" s="1219">
        <f ca="1">IFERROR(LEN(IF(OR(LEFT(LineupsData[[#This Row],[B1_Box]],1)="$",LEFT(LineupsData[[#This Row],[B1_Box]],1)="S"),RIGHT(LineupsData[[#This Row],[B1_Box]],LEN(LineupsData[[#This Row],[B1_Box]])-1),LineupsData[[#This Row],[B1_Box]])),"")</f>
        <v>1</v>
      </c>
      <c r="O18" s="1219" t="str">
        <f t="array" aca="1" ref="O18" ca="1">INDIRECT($AA$24&amp;INDEX(LineupsSearch[],MATCH(LineupsData[[#This Row],[Home?]]&amp;LineupsData[[#Headers],[B2]],LineupsSearch[Home?]&amp;LineupsSearch[Item],1),3)&amp;LineupsData[[#This Row],[RefRow]])</f>
        <v>N01</v>
      </c>
      <c r="P18" s="1219" t="str">
        <f t="array" aca="1" ref="P1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8" s="1219">
        <f ca="1">IFERROR(LEN(IF(OR(LEFT(LineupsData[[#This Row],[B2_Box]],1)="$",LEFT(LineupsData[[#This Row],[B2_Box]],1)="S"),RIGHT(LineupsData[[#This Row],[B2_Box]],LEN(LineupsData[[#This Row],[B2_Box]])-1),LineupsData[[#This Row],[B2_Box]])),"")</f>
        <v>0</v>
      </c>
      <c r="R18" s="1219" t="str">
        <f t="array" aca="1" ref="R18" ca="1">INDIRECT($AA$24&amp;INDEX(LineupsSearch[],MATCH(LineupsData[[#This Row],[Home?]]&amp;LineupsData[[#Headers],[B3]],LineupsSearch[Home?]&amp;LineupsSearch[Item],1),3)&amp;LineupsData[[#This Row],[RefRow]])</f>
        <v>42</v>
      </c>
      <c r="S18" s="1219" t="str">
        <f t="array" aca="1" ref="S1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8" s="1219">
        <f ca="1">IFERROR(LEN(IF(OR(LEFT(LineupsData[[#This Row],[B3_Box]],1)="$",LEFT(LineupsData[[#This Row],[B3_Box]],1)="S"),RIGHT(LineupsData[[#This Row],[B3_Box]],LEN(LineupsData[[#This Row],[B3_Box]])-1),LineupsData[[#This Row],[B3_Box]])),"")</f>
        <v>0</v>
      </c>
      <c r="U18" s="1219" t="b">
        <f t="array" aca="1" ref="U1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8" s="1219" t="b">
        <v>1</v>
      </c>
      <c r="W18" s="1219">
        <v>20</v>
      </c>
      <c r="X18" s="1203"/>
    </row>
    <row r="19" spans="1:29" x14ac:dyDescent="0.25">
      <c r="A19" s="1218">
        <f>[1]IBRF!$B$5</f>
        <v>41734</v>
      </c>
      <c r="B19" s="1221">
        <f t="shared" si="0"/>
        <v>0.83333333333333337</v>
      </c>
      <c r="C19" s="1219">
        <v>1</v>
      </c>
      <c r="D19" s="1219">
        <f t="array" aca="1" ref="D19" ca="1">IF(LineupsData[[#This Row],[Passed?]],D18,IF(INDIRECT($AA$24&amp;INDEX(LineupsSearch[],MATCH(LineupsData[[#This Row],[Home?]]&amp;"Jam",LineupsSearch[Home?]&amp;LineupsSearch[Item],1),3)&amp;LineupsData[[#This Row],[RefRow]])="",0,INDIRECT($AA$24&amp;INDEX(LineupsSearch[],MATCH(LineupsData[[#This Row],[Home?]]&amp;"Jam",LineupsSearch[Home?]&amp;LineupsSearch[Item],1),3)&amp;LineupsData[[#This Row],[RefRow]])))</f>
        <v>17</v>
      </c>
      <c r="E19" s="1219" t="str">
        <f t="shared" si="1"/>
        <v>Plan B</v>
      </c>
      <c r="F19" s="1219" t="str">
        <f t="array" aca="1" ref="F19" ca="1">INDIRECT($AA$24&amp;INDEX(LineupsSearch[],MATCH(LineupsData[[#This Row],[Home?]]&amp;LineupsData[[#Headers],[Jammer]],LineupsSearch[Home?]&amp;LineupsSearch[Item],1),3)&amp;LineupsData[[#This Row],[RefRow]])</f>
        <v>84</v>
      </c>
      <c r="G19" s="1219" t="str">
        <f t="array" aca="1" ref="G1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9" s="1219">
        <f ca="1">IFERROR(LEN(IF(OR(LEFT(LineupsData[[#This Row],[J_Box]],1)="$",LEFT(LineupsData[[#This Row],[J_Box]],1)="S"),RIGHT(LineupsData[[#This Row],[J_Box]],LEN(LineupsData[[#This Row],[J_Box]])-1),LineupsData[[#This Row],[J_Box]])),"")</f>
        <v>0</v>
      </c>
      <c r="I19" s="1219" t="str">
        <f t="array" aca="1" ref="I19" ca="1">INDIRECT($AA$24&amp;INDEX(LineupsSearch[],MATCH(LineupsData[[#This Row],[Home?]]&amp;LineupsData[[#Headers],[Pivot]],LineupsSearch[Home?]&amp;LineupsSearch[Item],1),3)&amp;LineupsData[[#This Row],[RefRow]])</f>
        <v>0</v>
      </c>
      <c r="J19" s="1219" t="str">
        <f t="array" aca="1" ref="J1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9" s="1219">
        <f ca="1">IFERROR(LEN(IF(OR(LEFT(LineupsData[[#This Row],[P_Box]],1)="$",LEFT(LineupsData[[#This Row],[P_Box]],1)="S"),RIGHT(LineupsData[[#This Row],[P_Box]],LEN(LineupsData[[#This Row],[P_Box]])-1),LineupsData[[#This Row],[P_Box]])),"")</f>
        <v>0</v>
      </c>
      <c r="L19" s="1219" t="str">
        <f t="array" aca="1" ref="L19" ca="1">INDIRECT($AA$24&amp;INDEX(LineupsSearch[],MATCH(LineupsData[[#This Row],[Home?]]&amp;LineupsData[[#Headers],[B1]],LineupsSearch[Home?]&amp;LineupsSearch[Item],1),3)&amp;LineupsData[[#This Row],[RefRow]])</f>
        <v>44</v>
      </c>
      <c r="M19" s="1219" t="str">
        <f t="array" aca="1" ref="M1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9" s="1219">
        <f ca="1">IFERROR(LEN(IF(OR(LEFT(LineupsData[[#This Row],[B1_Box]],1)="$",LEFT(LineupsData[[#This Row],[B1_Box]],1)="S"),RIGHT(LineupsData[[#This Row],[B1_Box]],LEN(LineupsData[[#This Row],[B1_Box]])-1),LineupsData[[#This Row],[B1_Box]])),"")</f>
        <v>0</v>
      </c>
      <c r="O19" s="1219" t="str">
        <f t="array" aca="1" ref="O19" ca="1">INDIRECT($AA$24&amp;INDEX(LineupsSearch[],MATCH(LineupsData[[#This Row],[Home?]]&amp;LineupsData[[#Headers],[B2]],LineupsSearch[Home?]&amp;LineupsSearch[Item],1),3)&amp;LineupsData[[#This Row],[RefRow]])</f>
        <v>64</v>
      </c>
      <c r="P19" s="1219" t="str">
        <f t="array" aca="1" ref="P1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9" s="1219">
        <f ca="1">IFERROR(LEN(IF(OR(LEFT(LineupsData[[#This Row],[B2_Box]],1)="$",LEFT(LineupsData[[#This Row],[B2_Box]],1)="S"),RIGHT(LineupsData[[#This Row],[B2_Box]],LEN(LineupsData[[#This Row],[B2_Box]])-1),LineupsData[[#This Row],[B2_Box]])),"")</f>
        <v>0</v>
      </c>
      <c r="R19" s="1219" t="str">
        <f t="array" aca="1" ref="R19" ca="1">INDIRECT($AA$24&amp;INDEX(LineupsSearch[],MATCH(LineupsData[[#This Row],[Home?]]&amp;LineupsData[[#Headers],[B3]],LineupsSearch[Home?]&amp;LineupsSearch[Item],1),3)&amp;LineupsData[[#This Row],[RefRow]])</f>
        <v>20</v>
      </c>
      <c r="S19" s="1219" t="str">
        <f t="array" aca="1" ref="S1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9" s="1219">
        <f ca="1">IFERROR(LEN(IF(OR(LEFT(LineupsData[[#This Row],[B3_Box]],1)="$",LEFT(LineupsData[[#This Row],[B3_Box]],1)="S"),RIGHT(LineupsData[[#This Row],[B3_Box]],LEN(LineupsData[[#This Row],[B3_Box]])-1),LineupsData[[#This Row],[B3_Box]])),"")</f>
        <v>0</v>
      </c>
      <c r="U19" s="1219" t="b">
        <f t="array" aca="1" ref="U1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9" s="1219" t="b">
        <v>1</v>
      </c>
      <c r="W19" s="1219">
        <v>21</v>
      </c>
      <c r="X19" s="1203"/>
    </row>
    <row r="20" spans="1:29" x14ac:dyDescent="0.25">
      <c r="A20" s="1218">
        <f>[1]IBRF!$B$5</f>
        <v>41734</v>
      </c>
      <c r="B20" s="1221">
        <f t="shared" si="0"/>
        <v>0.83333333333333337</v>
      </c>
      <c r="C20" s="1219">
        <v>1</v>
      </c>
      <c r="D20" s="1219">
        <f t="array" aca="1" ref="D20" ca="1">IF(LineupsData[[#This Row],[Passed?]],D19,IF(INDIRECT($AA$24&amp;INDEX(LineupsSearch[],MATCH(LineupsData[[#This Row],[Home?]]&amp;"Jam",LineupsSearch[Home?]&amp;LineupsSearch[Item],1),3)&amp;LineupsData[[#This Row],[RefRow]])="",0,INDIRECT($AA$24&amp;INDEX(LineupsSearch[],MATCH(LineupsData[[#This Row],[Home?]]&amp;"Jam",LineupsSearch[Home?]&amp;LineupsSearch[Item],1),3)&amp;LineupsData[[#This Row],[RefRow]])))</f>
        <v>18</v>
      </c>
      <c r="E20" s="1219" t="str">
        <f t="shared" si="1"/>
        <v>Plan B</v>
      </c>
      <c r="F20" s="1219" t="str">
        <f t="array" aca="1" ref="F20" ca="1">INDIRECT($AA$24&amp;INDEX(LineupsSearch[],MATCH(LineupsData[[#This Row],[Home?]]&amp;LineupsData[[#Headers],[Jammer]],LineupsSearch[Home?]&amp;LineupsSearch[Item],1),3)&amp;LineupsData[[#This Row],[RefRow]])</f>
        <v>4</v>
      </c>
      <c r="G20" s="1219" t="str">
        <f t="array" aca="1" ref="G2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20" s="1219">
        <f ca="1">IFERROR(LEN(IF(OR(LEFT(LineupsData[[#This Row],[J_Box]],1)="$",LEFT(LineupsData[[#This Row],[J_Box]],1)="S"),RIGHT(LineupsData[[#This Row],[J_Box]],LEN(LineupsData[[#This Row],[J_Box]])-1),LineupsData[[#This Row],[J_Box]])),"")</f>
        <v>0</v>
      </c>
      <c r="I20" s="1219" t="str">
        <f t="array" aca="1" ref="I20" ca="1">INDIRECT($AA$24&amp;INDEX(LineupsSearch[],MATCH(LineupsData[[#This Row],[Home?]]&amp;LineupsData[[#Headers],[Pivot]],LineupsSearch[Home?]&amp;LineupsSearch[Item],1),3)&amp;LineupsData[[#This Row],[RefRow]])</f>
        <v>N01</v>
      </c>
      <c r="J20" s="1219" t="str">
        <f t="array" aca="1" ref="J2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v>
      </c>
      <c r="K20" s="1219">
        <f ca="1">IFERROR(LEN(IF(OR(LEFT(LineupsData[[#This Row],[P_Box]],1)="$",LEFT(LineupsData[[#This Row],[P_Box]],1)="S"),RIGHT(LineupsData[[#This Row],[P_Box]],LEN(LineupsData[[#This Row],[P_Box]])-1),LineupsData[[#This Row],[P_Box]])),"")</f>
        <v>1</v>
      </c>
      <c r="L20" s="1219" t="str">
        <f t="array" aca="1" ref="L20" ca="1">INDIRECT($AA$24&amp;INDEX(LineupsSearch[],MATCH(LineupsData[[#This Row],[Home?]]&amp;LineupsData[[#Headers],[B1]],LineupsSearch[Home?]&amp;LineupsSearch[Item],1),3)&amp;LineupsData[[#This Row],[RefRow]])</f>
        <v>480</v>
      </c>
      <c r="M20" s="1219" t="str">
        <f t="array" aca="1" ref="M2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20" s="1219">
        <f ca="1">IFERROR(LEN(IF(OR(LEFT(LineupsData[[#This Row],[B1_Box]],1)="$",LEFT(LineupsData[[#This Row],[B1_Box]],1)="S"),RIGHT(LineupsData[[#This Row],[B1_Box]],LEN(LineupsData[[#This Row],[B1_Box]])-1),LineupsData[[#This Row],[B1_Box]])),"")</f>
        <v>0</v>
      </c>
      <c r="O20" s="1219" t="str">
        <f t="array" aca="1" ref="O20" ca="1">INDIRECT($AA$24&amp;INDEX(LineupsSearch[],MATCH(LineupsData[[#This Row],[Home?]]&amp;LineupsData[[#Headers],[B2]],LineupsSearch[Home?]&amp;LineupsSearch[Item],1),3)&amp;LineupsData[[#This Row],[RefRow]])</f>
        <v>33</v>
      </c>
      <c r="P20" s="1219" t="str">
        <f t="array" aca="1" ref="P2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20" s="1219">
        <f ca="1">IFERROR(LEN(IF(OR(LEFT(LineupsData[[#This Row],[B2_Box]],1)="$",LEFT(LineupsData[[#This Row],[B2_Box]],1)="S"),RIGHT(LineupsData[[#This Row],[B2_Box]],LEN(LineupsData[[#This Row],[B2_Box]])-1),LineupsData[[#This Row],[B2_Box]])),"")</f>
        <v>0</v>
      </c>
      <c r="R20" s="1219" t="str">
        <f t="array" aca="1" ref="R20" ca="1">INDIRECT($AA$24&amp;INDEX(LineupsSearch[],MATCH(LineupsData[[#This Row],[Home?]]&amp;LineupsData[[#Headers],[B3]],LineupsSearch[Home?]&amp;LineupsSearch[Item],1),3)&amp;LineupsData[[#This Row],[RefRow]])</f>
        <v>17</v>
      </c>
      <c r="S20" s="1219" t="str">
        <f t="array" aca="1" ref="S2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20" s="1219">
        <f ca="1">IFERROR(LEN(IF(OR(LEFT(LineupsData[[#This Row],[B3_Box]],1)="$",LEFT(LineupsData[[#This Row],[B3_Box]],1)="S"),RIGHT(LineupsData[[#This Row],[B3_Box]],LEN(LineupsData[[#This Row],[B3_Box]])-1),LineupsData[[#This Row],[B3_Box]])),"")</f>
        <v>0</v>
      </c>
      <c r="U20" s="1219" t="b">
        <f t="array" aca="1" ref="U2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20" s="1219" t="b">
        <v>1</v>
      </c>
      <c r="W20" s="1219">
        <v>22</v>
      </c>
      <c r="X20" s="1203"/>
    </row>
    <row r="21" spans="1:29" x14ac:dyDescent="0.25">
      <c r="A21" s="1218">
        <f>[1]IBRF!$B$5</f>
        <v>41734</v>
      </c>
      <c r="B21" s="1221">
        <f t="shared" si="0"/>
        <v>0.83333333333333337</v>
      </c>
      <c r="C21" s="1219">
        <v>1</v>
      </c>
      <c r="D21" s="1219">
        <f t="array" aca="1" ref="D21" ca="1">IF(LineupsData[[#This Row],[Passed?]],D20,IF(INDIRECT($AA$24&amp;INDEX(LineupsSearch[],MATCH(LineupsData[[#This Row],[Home?]]&amp;"Jam",LineupsSearch[Home?]&amp;LineupsSearch[Item],1),3)&amp;LineupsData[[#This Row],[RefRow]])="",0,INDIRECT($AA$24&amp;INDEX(LineupsSearch[],MATCH(LineupsData[[#This Row],[Home?]]&amp;"Jam",LineupsSearch[Home?]&amp;LineupsSearch[Item],1),3)&amp;LineupsData[[#This Row],[RefRow]])))</f>
        <v>18</v>
      </c>
      <c r="E21" s="1219" t="str">
        <f t="shared" si="1"/>
        <v>Plan B</v>
      </c>
      <c r="F21" s="1219" t="str">
        <f t="array" aca="1" ref="F21" ca="1">INDIRECT($AA$24&amp;INDEX(LineupsSearch[],MATCH(LineupsData[[#This Row],[Home?]]&amp;LineupsData[[#Headers],[Jammer]],LineupsSearch[Home?]&amp;LineupsSearch[Item],1),3)&amp;LineupsData[[#This Row],[RefRow]])</f>
        <v/>
      </c>
      <c r="G21" s="1219" t="str">
        <f t="array" aca="1" ref="G2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21" s="1219">
        <f ca="1">IFERROR(LEN(IF(OR(LEFT(LineupsData[[#This Row],[J_Box]],1)="$",LEFT(LineupsData[[#This Row],[J_Box]],1)="S"),RIGHT(LineupsData[[#This Row],[J_Box]],LEN(LineupsData[[#This Row],[J_Box]])-1),LineupsData[[#This Row],[J_Box]])),"")</f>
        <v>0</v>
      </c>
      <c r="I21" s="1219">
        <f t="array" aca="1" ref="I21" ca="1">INDIRECT($AA$24&amp;INDEX(LineupsSearch[],MATCH(LineupsData[[#This Row],[Home?]]&amp;LineupsData[[#Headers],[Pivot]],LineupsSearch[Home?]&amp;LineupsSearch[Item],1),3)&amp;LineupsData[[#This Row],[RefRow]])</f>
        <v>0</v>
      </c>
      <c r="J21" s="1219" t="str">
        <f t="array" aca="1" ref="J2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21" s="1219">
        <f ca="1">IFERROR(LEN(IF(OR(LEFT(LineupsData[[#This Row],[P_Box]],1)="$",LEFT(LineupsData[[#This Row],[P_Box]],1)="S"),RIGHT(LineupsData[[#This Row],[P_Box]],LEN(LineupsData[[#This Row],[P_Box]])-1),LineupsData[[#This Row],[P_Box]])),"")</f>
        <v>0</v>
      </c>
      <c r="L21" s="1219">
        <f t="array" aca="1" ref="L21" ca="1">INDIRECT($AA$24&amp;INDEX(LineupsSearch[],MATCH(LineupsData[[#This Row],[Home?]]&amp;LineupsData[[#Headers],[B1]],LineupsSearch[Home?]&amp;LineupsSearch[Item],1),3)&amp;LineupsData[[#This Row],[RefRow]])</f>
        <v>0</v>
      </c>
      <c r="M21" s="1219" t="str">
        <f t="array" aca="1" ref="M2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21" s="1219">
        <f ca="1">IFERROR(LEN(IF(OR(LEFT(LineupsData[[#This Row],[B1_Box]],1)="$",LEFT(LineupsData[[#This Row],[B1_Box]],1)="S"),RIGHT(LineupsData[[#This Row],[B1_Box]],LEN(LineupsData[[#This Row],[B1_Box]])-1),LineupsData[[#This Row],[B1_Box]])),"")</f>
        <v>0</v>
      </c>
      <c r="O21" s="1219">
        <f t="array" aca="1" ref="O21" ca="1">INDIRECT($AA$24&amp;INDEX(LineupsSearch[],MATCH(LineupsData[[#This Row],[Home?]]&amp;LineupsData[[#Headers],[B2]],LineupsSearch[Home?]&amp;LineupsSearch[Item],1),3)&amp;LineupsData[[#This Row],[RefRow]])</f>
        <v>0</v>
      </c>
      <c r="P21" s="1219" t="str">
        <f t="array" aca="1" ref="P2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21" s="1219">
        <f ca="1">IFERROR(LEN(IF(OR(LEFT(LineupsData[[#This Row],[B2_Box]],1)="$",LEFT(LineupsData[[#This Row],[B2_Box]],1)="S"),RIGHT(LineupsData[[#This Row],[B2_Box]],LEN(LineupsData[[#This Row],[B2_Box]])-1),LineupsData[[#This Row],[B2_Box]])),"")</f>
        <v>0</v>
      </c>
      <c r="R21" s="1219">
        <f t="array" aca="1" ref="R21" ca="1">INDIRECT($AA$24&amp;INDEX(LineupsSearch[],MATCH(LineupsData[[#This Row],[Home?]]&amp;LineupsData[[#Headers],[B3]],LineupsSearch[Home?]&amp;LineupsSearch[Item],1),3)&amp;LineupsData[[#This Row],[RefRow]])</f>
        <v>0</v>
      </c>
      <c r="S21" s="1219" t="str">
        <f t="array" aca="1" ref="S2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21" s="1219">
        <f ca="1">IFERROR(LEN(IF(OR(LEFT(LineupsData[[#This Row],[B3_Box]],1)="$",LEFT(LineupsData[[#This Row],[B3_Box]],1)="S"),RIGHT(LineupsData[[#This Row],[B3_Box]],LEN(LineupsData[[#This Row],[B3_Box]])-1),LineupsData[[#This Row],[B3_Box]])),"")</f>
        <v>0</v>
      </c>
      <c r="U21" s="1219" t="b">
        <f t="array" aca="1" ref="U2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21" s="1219" t="b">
        <v>1</v>
      </c>
      <c r="W21" s="1219">
        <v>23</v>
      </c>
      <c r="X21" s="1203"/>
    </row>
    <row r="22" spans="1:29" x14ac:dyDescent="0.25">
      <c r="A22" s="1218">
        <f>[1]IBRF!$B$5</f>
        <v>41734</v>
      </c>
      <c r="B22" s="1221">
        <f t="shared" si="0"/>
        <v>0.83333333333333337</v>
      </c>
      <c r="C22" s="1219">
        <v>1</v>
      </c>
      <c r="D22" s="1219">
        <f t="array" aca="1" ref="D22" ca="1">IF(LineupsData[[#This Row],[Passed?]],D21,IF(INDIRECT($AA$24&amp;INDEX(LineupsSearch[],MATCH(LineupsData[[#This Row],[Home?]]&amp;"Jam",LineupsSearch[Home?]&amp;LineupsSearch[Item],1),3)&amp;LineupsData[[#This Row],[RefRow]])="",0,INDIRECT($AA$24&amp;INDEX(LineupsSearch[],MATCH(LineupsData[[#This Row],[Home?]]&amp;"Jam",LineupsSearch[Home?]&amp;LineupsSearch[Item],1),3)&amp;LineupsData[[#This Row],[RefRow]])))</f>
        <v>19</v>
      </c>
      <c r="E22" s="1219" t="str">
        <f t="shared" si="1"/>
        <v>Plan B</v>
      </c>
      <c r="F22" s="1219" t="str">
        <f t="array" aca="1" ref="F22" ca="1">INDIRECT($AA$24&amp;INDEX(LineupsSearch[],MATCH(LineupsData[[#This Row],[Home?]]&amp;LineupsData[[#Headers],[Jammer]],LineupsSearch[Home?]&amp;LineupsSearch[Item],1),3)&amp;LineupsData[[#This Row],[RefRow]])</f>
        <v>84</v>
      </c>
      <c r="G22" s="1219" t="str">
        <f t="array" aca="1" ref="G2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22" s="1219">
        <f ca="1">IFERROR(LEN(IF(OR(LEFT(LineupsData[[#This Row],[J_Box]],1)="$",LEFT(LineupsData[[#This Row],[J_Box]],1)="S"),RIGHT(LineupsData[[#This Row],[J_Box]],LEN(LineupsData[[#This Row],[J_Box]])-1),LineupsData[[#This Row],[J_Box]])),"")</f>
        <v>0</v>
      </c>
      <c r="I22" s="1219" t="str">
        <f t="array" aca="1" ref="I22" ca="1">INDIRECT($AA$24&amp;INDEX(LineupsSearch[],MATCH(LineupsData[[#This Row],[Home?]]&amp;LineupsData[[#Headers],[Pivot]],LineupsSearch[Home?]&amp;LineupsSearch[Item],1),3)&amp;LineupsData[[#This Row],[RefRow]])</f>
        <v>N01</v>
      </c>
      <c r="J22" s="1219" t="str">
        <f t="array" aca="1" ref="J2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X</v>
      </c>
      <c r="K22" s="1219">
        <f ca="1">IFERROR(LEN(IF(OR(LEFT(LineupsData[[#This Row],[P_Box]],1)="$",LEFT(LineupsData[[#This Row],[P_Box]],1)="S"),RIGHT(LineupsData[[#This Row],[P_Box]],LEN(LineupsData[[#This Row],[P_Box]])-1),LineupsData[[#This Row],[P_Box]])),"")</f>
        <v>1</v>
      </c>
      <c r="L22" s="1219" t="str">
        <f t="array" aca="1" ref="L22" ca="1">INDIRECT($AA$24&amp;INDEX(LineupsSearch[],MATCH(LineupsData[[#This Row],[Home?]]&amp;LineupsData[[#Headers],[B1]],LineupsSearch[Home?]&amp;LineupsSearch[Item],1),3)&amp;LineupsData[[#This Row],[RefRow]])</f>
        <v>64</v>
      </c>
      <c r="M22" s="1219" t="str">
        <f t="array" aca="1" ref="M2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22" s="1219">
        <f ca="1">IFERROR(LEN(IF(OR(LEFT(LineupsData[[#This Row],[B1_Box]],1)="$",LEFT(LineupsData[[#This Row],[B1_Box]],1)="S"),RIGHT(LineupsData[[#This Row],[B1_Box]],LEN(LineupsData[[#This Row],[B1_Box]])-1),LineupsData[[#This Row],[B1_Box]])),"")</f>
        <v>0</v>
      </c>
      <c r="O22" s="1219" t="str">
        <f t="array" aca="1" ref="O22" ca="1">INDIRECT($AA$24&amp;INDEX(LineupsSearch[],MATCH(LineupsData[[#This Row],[Home?]]&amp;LineupsData[[#Headers],[B2]],LineupsSearch[Home?]&amp;LineupsSearch[Item],1),3)&amp;LineupsData[[#This Row],[RefRow]])</f>
        <v>0</v>
      </c>
      <c r="P22" s="1219" t="str">
        <f t="array" aca="1" ref="P2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22" s="1219">
        <f ca="1">IFERROR(LEN(IF(OR(LEFT(LineupsData[[#This Row],[B2_Box]],1)="$",LEFT(LineupsData[[#This Row],[B2_Box]],1)="S"),RIGHT(LineupsData[[#This Row],[B2_Box]],LEN(LineupsData[[#This Row],[B2_Box]])-1),LineupsData[[#This Row],[B2_Box]])),"")</f>
        <v>0</v>
      </c>
      <c r="R22" s="1219" t="str">
        <f t="array" aca="1" ref="R22" ca="1">INDIRECT($AA$24&amp;INDEX(LineupsSearch[],MATCH(LineupsData[[#This Row],[Home?]]&amp;LineupsData[[#Headers],[B3]],LineupsSearch[Home?]&amp;LineupsSearch[Item],1),3)&amp;LineupsData[[#This Row],[RefRow]])</f>
        <v>303</v>
      </c>
      <c r="S22" s="1219" t="str">
        <f t="array" aca="1" ref="S2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22" s="1219">
        <f ca="1">IFERROR(LEN(IF(OR(LEFT(LineupsData[[#This Row],[B3_Box]],1)="$",LEFT(LineupsData[[#This Row],[B3_Box]],1)="S"),RIGHT(LineupsData[[#This Row],[B3_Box]],LEN(LineupsData[[#This Row],[B3_Box]])-1),LineupsData[[#This Row],[B3_Box]])),"")</f>
        <v>0</v>
      </c>
      <c r="U22" s="1219" t="b">
        <f t="array" aca="1" ref="U2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22" s="1219" t="b">
        <v>1</v>
      </c>
      <c r="W22" s="1219">
        <v>24</v>
      </c>
      <c r="X22" s="1203"/>
      <c r="Y22" s="1206"/>
      <c r="Z22" s="1206"/>
    </row>
    <row r="23" spans="1:29" x14ac:dyDescent="0.25">
      <c r="A23" s="1218">
        <f>[1]IBRF!$B$5</f>
        <v>41734</v>
      </c>
      <c r="B23" s="1221">
        <f t="shared" si="0"/>
        <v>0.83333333333333337</v>
      </c>
      <c r="C23" s="1219">
        <v>1</v>
      </c>
      <c r="D23" s="1219">
        <f t="array" aca="1" ref="D23" ca="1">IF(LineupsData[[#This Row],[Passed?]],D22,IF(INDIRECT($AA$24&amp;INDEX(LineupsSearch[],MATCH(LineupsData[[#This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23" s="1219" t="str">
        <f t="shared" si="1"/>
        <v>Plan B</v>
      </c>
      <c r="F23" s="1219" t="str">
        <f t="array" aca="1" ref="F23" ca="1">INDIRECT($AA$24&amp;INDEX(LineupsSearch[],MATCH(LineupsData[[#This Row],[Home?]]&amp;LineupsData[[#Headers],[Jammer]],LineupsSearch[Home?]&amp;LineupsSearch[Item],1),3)&amp;LineupsData[[#This Row],[RefRow]])</f>
        <v/>
      </c>
      <c r="G23" s="1219" t="str">
        <f t="array" aca="1" ref="G2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23" s="1219">
        <f ca="1">IFERROR(LEN(IF(OR(LEFT(LineupsData[[#This Row],[J_Box]],1)="$",LEFT(LineupsData[[#This Row],[J_Box]],1)="S"),RIGHT(LineupsData[[#This Row],[J_Box]],LEN(LineupsData[[#This Row],[J_Box]])-1),LineupsData[[#This Row],[J_Box]])),"")</f>
        <v>0</v>
      </c>
      <c r="I23" s="1219">
        <f t="array" aca="1" ref="I23" ca="1">INDIRECT($AA$24&amp;INDEX(LineupsSearch[],MATCH(LineupsData[[#This Row],[Home?]]&amp;LineupsData[[#Headers],[Pivot]],LineupsSearch[Home?]&amp;LineupsSearch[Item],1),3)&amp;LineupsData[[#This Row],[RefRow]])</f>
        <v>0</v>
      </c>
      <c r="J23" s="1219" t="str">
        <f t="array" aca="1" ref="J2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23" s="1219">
        <f ca="1">IFERROR(LEN(IF(OR(LEFT(LineupsData[[#This Row],[P_Box]],1)="$",LEFT(LineupsData[[#This Row],[P_Box]],1)="S"),RIGHT(LineupsData[[#This Row],[P_Box]],LEN(LineupsData[[#This Row],[P_Box]])-1),LineupsData[[#This Row],[P_Box]])),"")</f>
        <v>0</v>
      </c>
      <c r="L23" s="1219">
        <f t="array" aca="1" ref="L23" ca="1">INDIRECT($AA$24&amp;INDEX(LineupsSearch[],MATCH(LineupsData[[#This Row],[Home?]]&amp;LineupsData[[#Headers],[B1]],LineupsSearch[Home?]&amp;LineupsSearch[Item],1),3)&amp;LineupsData[[#This Row],[RefRow]])</f>
        <v>0</v>
      </c>
      <c r="M23" s="1219" t="str">
        <f t="array" aca="1" ref="M2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23" s="1219">
        <f ca="1">IFERROR(LEN(IF(OR(LEFT(LineupsData[[#This Row],[B1_Box]],1)="$",LEFT(LineupsData[[#This Row],[B1_Box]],1)="S"),RIGHT(LineupsData[[#This Row],[B1_Box]],LEN(LineupsData[[#This Row],[B1_Box]])-1),LineupsData[[#This Row],[B1_Box]])),"")</f>
        <v>0</v>
      </c>
      <c r="O23" s="1219">
        <f t="array" aca="1" ref="O23" ca="1">INDIRECT($AA$24&amp;INDEX(LineupsSearch[],MATCH(LineupsData[[#This Row],[Home?]]&amp;LineupsData[[#Headers],[B2]],LineupsSearch[Home?]&amp;LineupsSearch[Item],1),3)&amp;LineupsData[[#This Row],[RefRow]])</f>
        <v>0</v>
      </c>
      <c r="P23" s="1219" t="str">
        <f t="array" aca="1" ref="P2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23" s="1219">
        <f ca="1">IFERROR(LEN(IF(OR(LEFT(LineupsData[[#This Row],[B2_Box]],1)="$",LEFT(LineupsData[[#This Row],[B2_Box]],1)="S"),RIGHT(LineupsData[[#This Row],[B2_Box]],LEN(LineupsData[[#This Row],[B2_Box]])-1),LineupsData[[#This Row],[B2_Box]])),"")</f>
        <v>0</v>
      </c>
      <c r="R23" s="1219">
        <f t="array" aca="1" ref="R23" ca="1">INDIRECT($AA$24&amp;INDEX(LineupsSearch[],MATCH(LineupsData[[#This Row],[Home?]]&amp;LineupsData[[#Headers],[B3]],LineupsSearch[Home?]&amp;LineupsSearch[Item],1),3)&amp;LineupsData[[#This Row],[RefRow]])</f>
        <v>0</v>
      </c>
      <c r="S23" s="1219" t="str">
        <f t="array" aca="1" ref="S2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23" s="1219">
        <f ca="1">IFERROR(LEN(IF(OR(LEFT(LineupsData[[#This Row],[B3_Box]],1)="$",LEFT(LineupsData[[#This Row],[B3_Box]],1)="S"),RIGHT(LineupsData[[#This Row],[B3_Box]],LEN(LineupsData[[#This Row],[B3_Box]])-1),LineupsData[[#This Row],[B3_Box]])),"")</f>
        <v>0</v>
      </c>
      <c r="U23" s="1219" t="b">
        <f t="array" aca="1" ref="U2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23" s="1219" t="b">
        <v>1</v>
      </c>
      <c r="W23" s="1219">
        <v>25</v>
      </c>
      <c r="X23" s="1203"/>
      <c r="Y23" s="1203"/>
      <c r="Z23" s="1203"/>
    </row>
    <row r="24" spans="1:29" x14ac:dyDescent="0.25">
      <c r="A24" s="1218">
        <f>[1]IBRF!$B$5</f>
        <v>41734</v>
      </c>
      <c r="B24" s="1221">
        <f t="shared" si="0"/>
        <v>0.83333333333333337</v>
      </c>
      <c r="C24" s="1219">
        <v>1</v>
      </c>
      <c r="D24" s="1219">
        <f t="array" aca="1" ref="D24" ca="1">IF(LineupsData[[#This Row],[Passed?]],D23,IF(INDIRECT($AA$24&amp;INDEX(LineupsSearch[],MATCH(LineupsData[[#This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24" s="1219" t="str">
        <f t="shared" si="1"/>
        <v>Plan B</v>
      </c>
      <c r="F24" s="1219" t="str">
        <f t="array" aca="1" ref="F24" ca="1">INDIRECT($AA$24&amp;INDEX(LineupsSearch[],MATCH(LineupsData[[#This Row],[Home?]]&amp;LineupsData[[#Headers],[Jammer]],LineupsSearch[Home?]&amp;LineupsSearch[Item],1),3)&amp;LineupsData[[#This Row],[RefRow]])</f>
        <v/>
      </c>
      <c r="G24" s="1219" t="str">
        <f t="array" aca="1" ref="G2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24" s="1219">
        <f ca="1">IFERROR(LEN(IF(OR(LEFT(LineupsData[[#This Row],[J_Box]],1)="$",LEFT(LineupsData[[#This Row],[J_Box]],1)="S"),RIGHT(LineupsData[[#This Row],[J_Box]],LEN(LineupsData[[#This Row],[J_Box]])-1),LineupsData[[#This Row],[J_Box]])),"")</f>
        <v>0</v>
      </c>
      <c r="I24" s="1219">
        <f t="array" aca="1" ref="I24" ca="1">INDIRECT($AA$24&amp;INDEX(LineupsSearch[],MATCH(LineupsData[[#This Row],[Home?]]&amp;LineupsData[[#Headers],[Pivot]],LineupsSearch[Home?]&amp;LineupsSearch[Item],1),3)&amp;LineupsData[[#This Row],[RefRow]])</f>
        <v>0</v>
      </c>
      <c r="J24" s="1219" t="str">
        <f t="array" aca="1" ref="J2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24" s="1219">
        <f ca="1">IFERROR(LEN(IF(OR(LEFT(LineupsData[[#This Row],[P_Box]],1)="$",LEFT(LineupsData[[#This Row],[P_Box]],1)="S"),RIGHT(LineupsData[[#This Row],[P_Box]],LEN(LineupsData[[#This Row],[P_Box]])-1),LineupsData[[#This Row],[P_Box]])),"")</f>
        <v>0</v>
      </c>
      <c r="L24" s="1219">
        <f t="array" aca="1" ref="L24" ca="1">INDIRECT($AA$24&amp;INDEX(LineupsSearch[],MATCH(LineupsData[[#This Row],[Home?]]&amp;LineupsData[[#Headers],[B1]],LineupsSearch[Home?]&amp;LineupsSearch[Item],1),3)&amp;LineupsData[[#This Row],[RefRow]])</f>
        <v>0</v>
      </c>
      <c r="M24" s="1219" t="str">
        <f t="array" aca="1" ref="M2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24" s="1219">
        <f ca="1">IFERROR(LEN(IF(OR(LEFT(LineupsData[[#This Row],[B1_Box]],1)="$",LEFT(LineupsData[[#This Row],[B1_Box]],1)="S"),RIGHT(LineupsData[[#This Row],[B1_Box]],LEN(LineupsData[[#This Row],[B1_Box]])-1),LineupsData[[#This Row],[B1_Box]])),"")</f>
        <v>0</v>
      </c>
      <c r="O24" s="1219">
        <f t="array" aca="1" ref="O24" ca="1">INDIRECT($AA$24&amp;INDEX(LineupsSearch[],MATCH(LineupsData[[#This Row],[Home?]]&amp;LineupsData[[#Headers],[B2]],LineupsSearch[Home?]&amp;LineupsSearch[Item],1),3)&amp;LineupsData[[#This Row],[RefRow]])</f>
        <v>0</v>
      </c>
      <c r="P24" s="1219" t="str">
        <f t="array" aca="1" ref="P2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24" s="1219">
        <f ca="1">IFERROR(LEN(IF(OR(LEFT(LineupsData[[#This Row],[B2_Box]],1)="$",LEFT(LineupsData[[#This Row],[B2_Box]],1)="S"),RIGHT(LineupsData[[#This Row],[B2_Box]],LEN(LineupsData[[#This Row],[B2_Box]])-1),LineupsData[[#This Row],[B2_Box]])),"")</f>
        <v>0</v>
      </c>
      <c r="R24" s="1219">
        <f t="array" aca="1" ref="R24" ca="1">INDIRECT($AA$24&amp;INDEX(LineupsSearch[],MATCH(LineupsData[[#This Row],[Home?]]&amp;LineupsData[[#Headers],[B3]],LineupsSearch[Home?]&amp;LineupsSearch[Item],1),3)&amp;LineupsData[[#This Row],[RefRow]])</f>
        <v>0</v>
      </c>
      <c r="S24" s="1219" t="str">
        <f t="array" aca="1" ref="S2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24" s="1219">
        <f ca="1">IFERROR(LEN(IF(OR(LEFT(LineupsData[[#This Row],[B3_Box]],1)="$",LEFT(LineupsData[[#This Row],[B3_Box]],1)="S"),RIGHT(LineupsData[[#This Row],[B3_Box]],LEN(LineupsData[[#This Row],[B3_Box]])-1),LineupsData[[#This Row],[B3_Box]])),"")</f>
        <v>0</v>
      </c>
      <c r="U24" s="1219" t="b">
        <f t="array" aca="1" ref="U2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24" s="1219" t="b">
        <v>1</v>
      </c>
      <c r="W24" s="1219">
        <v>26</v>
      </c>
      <c r="X24" s="1203"/>
      <c r="Y24" s="1203"/>
      <c r="Z24" s="1216" t="s">
        <v>683</v>
      </c>
      <c r="AA24" s="1216" t="s">
        <v>714</v>
      </c>
    </row>
    <row r="25" spans="1:29" x14ac:dyDescent="0.25">
      <c r="A25" s="1218">
        <f>[1]IBRF!$B$5</f>
        <v>41734</v>
      </c>
      <c r="B25" s="1221">
        <f t="shared" si="0"/>
        <v>0.83333333333333337</v>
      </c>
      <c r="C25" s="1219">
        <v>1</v>
      </c>
      <c r="D25" s="1219">
        <f t="array" aca="1" ref="D25" ca="1">IF(LineupsData[[#This Row],[Passed?]],D24,IF(INDIRECT($AA$24&amp;INDEX(LineupsSearch[],MATCH(LineupsData[[#This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25" s="1219" t="str">
        <f t="shared" si="1"/>
        <v>Plan B</v>
      </c>
      <c r="F25" s="1219" t="str">
        <f t="array" aca="1" ref="F25" ca="1">INDIRECT($AA$24&amp;INDEX(LineupsSearch[],MATCH(LineupsData[[#This Row],[Home?]]&amp;LineupsData[[#Headers],[Jammer]],LineupsSearch[Home?]&amp;LineupsSearch[Item],1),3)&amp;LineupsData[[#This Row],[RefRow]])</f>
        <v/>
      </c>
      <c r="G25" s="1219" t="str">
        <f t="array" aca="1" ref="G2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25" s="1219">
        <f ca="1">IFERROR(LEN(IF(OR(LEFT(LineupsData[[#This Row],[J_Box]],1)="$",LEFT(LineupsData[[#This Row],[J_Box]],1)="S"),RIGHT(LineupsData[[#This Row],[J_Box]],LEN(LineupsData[[#This Row],[J_Box]])-1),LineupsData[[#This Row],[J_Box]])),"")</f>
        <v>0</v>
      </c>
      <c r="I25" s="1219">
        <f t="array" aca="1" ref="I25" ca="1">INDIRECT($AA$24&amp;INDEX(LineupsSearch[],MATCH(LineupsData[[#This Row],[Home?]]&amp;LineupsData[[#Headers],[Pivot]],LineupsSearch[Home?]&amp;LineupsSearch[Item],1),3)&amp;LineupsData[[#This Row],[RefRow]])</f>
        <v>0</v>
      </c>
      <c r="J25" s="1219" t="str">
        <f t="array" aca="1" ref="J2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25" s="1219">
        <f ca="1">IFERROR(LEN(IF(OR(LEFT(LineupsData[[#This Row],[P_Box]],1)="$",LEFT(LineupsData[[#This Row],[P_Box]],1)="S"),RIGHT(LineupsData[[#This Row],[P_Box]],LEN(LineupsData[[#This Row],[P_Box]])-1),LineupsData[[#This Row],[P_Box]])),"")</f>
        <v>0</v>
      </c>
      <c r="L25" s="1219">
        <f t="array" aca="1" ref="L25" ca="1">INDIRECT($AA$24&amp;INDEX(LineupsSearch[],MATCH(LineupsData[[#This Row],[Home?]]&amp;LineupsData[[#Headers],[B1]],LineupsSearch[Home?]&amp;LineupsSearch[Item],1),3)&amp;LineupsData[[#This Row],[RefRow]])</f>
        <v>0</v>
      </c>
      <c r="M25" s="1219" t="str">
        <f t="array" aca="1" ref="M2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25" s="1219">
        <f ca="1">IFERROR(LEN(IF(OR(LEFT(LineupsData[[#This Row],[B1_Box]],1)="$",LEFT(LineupsData[[#This Row],[B1_Box]],1)="S"),RIGHT(LineupsData[[#This Row],[B1_Box]],LEN(LineupsData[[#This Row],[B1_Box]])-1),LineupsData[[#This Row],[B1_Box]])),"")</f>
        <v>0</v>
      </c>
      <c r="O25" s="1219">
        <f t="array" aca="1" ref="O25" ca="1">INDIRECT($AA$24&amp;INDEX(LineupsSearch[],MATCH(LineupsData[[#This Row],[Home?]]&amp;LineupsData[[#Headers],[B2]],LineupsSearch[Home?]&amp;LineupsSearch[Item],1),3)&amp;LineupsData[[#This Row],[RefRow]])</f>
        <v>0</v>
      </c>
      <c r="P25" s="1219" t="str">
        <f t="array" aca="1" ref="P2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25" s="1219">
        <f ca="1">IFERROR(LEN(IF(OR(LEFT(LineupsData[[#This Row],[B2_Box]],1)="$",LEFT(LineupsData[[#This Row],[B2_Box]],1)="S"),RIGHT(LineupsData[[#This Row],[B2_Box]],LEN(LineupsData[[#This Row],[B2_Box]])-1),LineupsData[[#This Row],[B2_Box]])),"")</f>
        <v>0</v>
      </c>
      <c r="R25" s="1219">
        <f t="array" aca="1" ref="R25" ca="1">INDIRECT($AA$24&amp;INDEX(LineupsSearch[],MATCH(LineupsData[[#This Row],[Home?]]&amp;LineupsData[[#Headers],[B3]],LineupsSearch[Home?]&amp;LineupsSearch[Item],1),3)&amp;LineupsData[[#This Row],[RefRow]])</f>
        <v>0</v>
      </c>
      <c r="S25" s="1219" t="str">
        <f t="array" aca="1" ref="S2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25" s="1219">
        <f ca="1">IFERROR(LEN(IF(OR(LEFT(LineupsData[[#This Row],[B3_Box]],1)="$",LEFT(LineupsData[[#This Row],[B3_Box]],1)="S"),RIGHT(LineupsData[[#This Row],[B3_Box]],LEN(LineupsData[[#This Row],[B3_Box]])-1),LineupsData[[#This Row],[B3_Box]])),"")</f>
        <v>0</v>
      </c>
      <c r="U25" s="1219" t="b">
        <f t="array" aca="1" ref="U2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25" s="1219" t="b">
        <v>1</v>
      </c>
      <c r="W25" s="1219">
        <v>27</v>
      </c>
      <c r="X25" s="1203"/>
      <c r="Y25" s="1203"/>
      <c r="Z25" s="1203"/>
    </row>
    <row r="26" spans="1:29" x14ac:dyDescent="0.25">
      <c r="A26" s="1218">
        <f>[1]IBRF!$B$5</f>
        <v>41734</v>
      </c>
      <c r="B26" s="1221">
        <f t="shared" si="0"/>
        <v>0.83333333333333337</v>
      </c>
      <c r="C26" s="1219">
        <v>1</v>
      </c>
      <c r="D26" s="1219">
        <f t="array" aca="1" ref="D26" ca="1">IF(LineupsData[[#This Row],[Passed?]],D25,IF(INDIRECT($AA$24&amp;INDEX(LineupsSearch[],MATCH(LineupsData[[#This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26" s="1219" t="str">
        <f t="shared" si="1"/>
        <v>Plan B</v>
      </c>
      <c r="F26" s="1219" t="str">
        <f t="array" aca="1" ref="F26" ca="1">INDIRECT($AA$24&amp;INDEX(LineupsSearch[],MATCH(LineupsData[[#This Row],[Home?]]&amp;LineupsData[[#Headers],[Jammer]],LineupsSearch[Home?]&amp;LineupsSearch[Item],1),3)&amp;LineupsData[[#This Row],[RefRow]])</f>
        <v/>
      </c>
      <c r="G26" s="1219" t="str">
        <f t="array" aca="1" ref="G2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26" s="1219">
        <f ca="1">IFERROR(LEN(IF(OR(LEFT(LineupsData[[#This Row],[J_Box]],1)="$",LEFT(LineupsData[[#This Row],[J_Box]],1)="S"),RIGHT(LineupsData[[#This Row],[J_Box]],LEN(LineupsData[[#This Row],[J_Box]])-1),LineupsData[[#This Row],[J_Box]])),"")</f>
        <v>0</v>
      </c>
      <c r="I26" s="1219">
        <f t="array" aca="1" ref="I26" ca="1">INDIRECT($AA$24&amp;INDEX(LineupsSearch[],MATCH(LineupsData[[#This Row],[Home?]]&amp;LineupsData[[#Headers],[Pivot]],LineupsSearch[Home?]&amp;LineupsSearch[Item],1),3)&amp;LineupsData[[#This Row],[RefRow]])</f>
        <v>0</v>
      </c>
      <c r="J26" s="1219" t="str">
        <f t="array" aca="1" ref="J2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26" s="1219">
        <f ca="1">IFERROR(LEN(IF(OR(LEFT(LineupsData[[#This Row],[P_Box]],1)="$",LEFT(LineupsData[[#This Row],[P_Box]],1)="S"),RIGHT(LineupsData[[#This Row],[P_Box]],LEN(LineupsData[[#This Row],[P_Box]])-1),LineupsData[[#This Row],[P_Box]])),"")</f>
        <v>0</v>
      </c>
      <c r="L26" s="1219">
        <f t="array" aca="1" ref="L26" ca="1">INDIRECT($AA$24&amp;INDEX(LineupsSearch[],MATCH(LineupsData[[#This Row],[Home?]]&amp;LineupsData[[#Headers],[B1]],LineupsSearch[Home?]&amp;LineupsSearch[Item],1),3)&amp;LineupsData[[#This Row],[RefRow]])</f>
        <v>0</v>
      </c>
      <c r="M26" s="1219" t="str">
        <f t="array" aca="1" ref="M2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26" s="1219">
        <f ca="1">IFERROR(LEN(IF(OR(LEFT(LineupsData[[#This Row],[B1_Box]],1)="$",LEFT(LineupsData[[#This Row],[B1_Box]],1)="S"),RIGHT(LineupsData[[#This Row],[B1_Box]],LEN(LineupsData[[#This Row],[B1_Box]])-1),LineupsData[[#This Row],[B1_Box]])),"")</f>
        <v>0</v>
      </c>
      <c r="O26" s="1219">
        <f t="array" aca="1" ref="O26" ca="1">INDIRECT($AA$24&amp;INDEX(LineupsSearch[],MATCH(LineupsData[[#This Row],[Home?]]&amp;LineupsData[[#Headers],[B2]],LineupsSearch[Home?]&amp;LineupsSearch[Item],1),3)&amp;LineupsData[[#This Row],[RefRow]])</f>
        <v>0</v>
      </c>
      <c r="P26" s="1219" t="str">
        <f t="array" aca="1" ref="P2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26" s="1219">
        <f ca="1">IFERROR(LEN(IF(OR(LEFT(LineupsData[[#This Row],[B2_Box]],1)="$",LEFT(LineupsData[[#This Row],[B2_Box]],1)="S"),RIGHT(LineupsData[[#This Row],[B2_Box]],LEN(LineupsData[[#This Row],[B2_Box]])-1),LineupsData[[#This Row],[B2_Box]])),"")</f>
        <v>0</v>
      </c>
      <c r="R26" s="1219">
        <f t="array" aca="1" ref="R26" ca="1">INDIRECT($AA$24&amp;INDEX(LineupsSearch[],MATCH(LineupsData[[#This Row],[Home?]]&amp;LineupsData[[#Headers],[B3]],LineupsSearch[Home?]&amp;LineupsSearch[Item],1),3)&amp;LineupsData[[#This Row],[RefRow]])</f>
        <v>0</v>
      </c>
      <c r="S26" s="1219" t="str">
        <f t="array" aca="1" ref="S2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26" s="1219">
        <f ca="1">IFERROR(LEN(IF(OR(LEFT(LineupsData[[#This Row],[B3_Box]],1)="$",LEFT(LineupsData[[#This Row],[B3_Box]],1)="S"),RIGHT(LineupsData[[#This Row],[B3_Box]],LEN(LineupsData[[#This Row],[B3_Box]])-1),LineupsData[[#This Row],[B3_Box]])),"")</f>
        <v>0</v>
      </c>
      <c r="U26" s="1219" t="b">
        <f t="array" aca="1" ref="U2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26" s="1219" t="b">
        <v>1</v>
      </c>
      <c r="W26" s="1219">
        <v>28</v>
      </c>
      <c r="X26" s="1203"/>
      <c r="Y26" s="1209" t="s">
        <v>678</v>
      </c>
      <c r="Z26" s="1209" t="s">
        <v>685</v>
      </c>
      <c r="AA26" s="1209" t="s">
        <v>686</v>
      </c>
      <c r="AB26" s="1225" t="s">
        <v>715</v>
      </c>
      <c r="AC26" s="1224" t="s">
        <v>716</v>
      </c>
    </row>
    <row r="27" spans="1:29" x14ac:dyDescent="0.25">
      <c r="A27" s="1218">
        <f>[1]IBRF!$B$5</f>
        <v>41734</v>
      </c>
      <c r="B27" s="1221">
        <f t="shared" si="0"/>
        <v>0.83333333333333337</v>
      </c>
      <c r="C27" s="1219">
        <v>1</v>
      </c>
      <c r="D27" s="1219">
        <f t="array" aca="1" ref="D27" ca="1">IF(LineupsData[[#This Row],[Passed?]],D26,IF(INDIRECT($AA$24&amp;INDEX(LineupsSearch[],MATCH(LineupsData[[#This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27" s="1219" t="str">
        <f t="shared" si="1"/>
        <v>Plan B</v>
      </c>
      <c r="F27" s="1219" t="str">
        <f t="array" aca="1" ref="F27" ca="1">INDIRECT($AA$24&amp;INDEX(LineupsSearch[],MATCH(LineupsData[[#This Row],[Home?]]&amp;LineupsData[[#Headers],[Jammer]],LineupsSearch[Home?]&amp;LineupsSearch[Item],1),3)&amp;LineupsData[[#This Row],[RefRow]])</f>
        <v/>
      </c>
      <c r="G27" s="1219" t="str">
        <f t="array" aca="1" ref="G2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27" s="1219">
        <f ca="1">IFERROR(LEN(IF(OR(LEFT(LineupsData[[#This Row],[J_Box]],1)="$",LEFT(LineupsData[[#This Row],[J_Box]],1)="S"),RIGHT(LineupsData[[#This Row],[J_Box]],LEN(LineupsData[[#This Row],[J_Box]])-1),LineupsData[[#This Row],[J_Box]])),"")</f>
        <v>0</v>
      </c>
      <c r="I27" s="1219">
        <f t="array" aca="1" ref="I27" ca="1">INDIRECT($AA$24&amp;INDEX(LineupsSearch[],MATCH(LineupsData[[#This Row],[Home?]]&amp;LineupsData[[#Headers],[Pivot]],LineupsSearch[Home?]&amp;LineupsSearch[Item],1),3)&amp;LineupsData[[#This Row],[RefRow]])</f>
        <v>0</v>
      </c>
      <c r="J27" s="1219" t="str">
        <f t="array" aca="1" ref="J2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27" s="1219">
        <f ca="1">IFERROR(LEN(IF(OR(LEFT(LineupsData[[#This Row],[P_Box]],1)="$",LEFT(LineupsData[[#This Row],[P_Box]],1)="S"),RIGHT(LineupsData[[#This Row],[P_Box]],LEN(LineupsData[[#This Row],[P_Box]])-1),LineupsData[[#This Row],[P_Box]])),"")</f>
        <v>0</v>
      </c>
      <c r="L27" s="1219">
        <f t="array" aca="1" ref="L27" ca="1">INDIRECT($AA$24&amp;INDEX(LineupsSearch[],MATCH(LineupsData[[#This Row],[Home?]]&amp;LineupsData[[#Headers],[B1]],LineupsSearch[Home?]&amp;LineupsSearch[Item],1),3)&amp;LineupsData[[#This Row],[RefRow]])</f>
        <v>0</v>
      </c>
      <c r="M27" s="1219" t="str">
        <f t="array" aca="1" ref="M2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27" s="1219">
        <f ca="1">IFERROR(LEN(IF(OR(LEFT(LineupsData[[#This Row],[B1_Box]],1)="$",LEFT(LineupsData[[#This Row],[B1_Box]],1)="S"),RIGHT(LineupsData[[#This Row],[B1_Box]],LEN(LineupsData[[#This Row],[B1_Box]])-1),LineupsData[[#This Row],[B1_Box]])),"")</f>
        <v>0</v>
      </c>
      <c r="O27" s="1219">
        <f t="array" aca="1" ref="O27" ca="1">INDIRECT($AA$24&amp;INDEX(LineupsSearch[],MATCH(LineupsData[[#This Row],[Home?]]&amp;LineupsData[[#Headers],[B2]],LineupsSearch[Home?]&amp;LineupsSearch[Item],1),3)&amp;LineupsData[[#This Row],[RefRow]])</f>
        <v>0</v>
      </c>
      <c r="P27" s="1219" t="str">
        <f t="array" aca="1" ref="P2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27" s="1219">
        <f ca="1">IFERROR(LEN(IF(OR(LEFT(LineupsData[[#This Row],[B2_Box]],1)="$",LEFT(LineupsData[[#This Row],[B2_Box]],1)="S"),RIGHT(LineupsData[[#This Row],[B2_Box]],LEN(LineupsData[[#This Row],[B2_Box]])-1),LineupsData[[#This Row],[B2_Box]])),"")</f>
        <v>0</v>
      </c>
      <c r="R27" s="1219">
        <f t="array" aca="1" ref="R27" ca="1">INDIRECT($AA$24&amp;INDEX(LineupsSearch[],MATCH(LineupsData[[#This Row],[Home?]]&amp;LineupsData[[#Headers],[B3]],LineupsSearch[Home?]&amp;LineupsSearch[Item],1),3)&amp;LineupsData[[#This Row],[RefRow]])</f>
        <v>0</v>
      </c>
      <c r="S27" s="1219" t="str">
        <f t="array" aca="1" ref="S2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27" s="1219">
        <f ca="1">IFERROR(LEN(IF(OR(LEFT(LineupsData[[#This Row],[B3_Box]],1)="$",LEFT(LineupsData[[#This Row],[B3_Box]],1)="S"),RIGHT(LineupsData[[#This Row],[B3_Box]],LEN(LineupsData[[#This Row],[B3_Box]])-1),LineupsData[[#This Row],[B3_Box]])),"")</f>
        <v>0</v>
      </c>
      <c r="U27" s="1219" t="b">
        <f t="array" aca="1" ref="U2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27" s="1219" t="b">
        <v>1</v>
      </c>
      <c r="W27" s="1219">
        <v>29</v>
      </c>
      <c r="X27" s="1203"/>
      <c r="Y27" s="1209" t="b">
        <v>0</v>
      </c>
      <c r="Z27" s="1216" t="s">
        <v>705</v>
      </c>
      <c r="AA27" s="1216" t="s">
        <v>717</v>
      </c>
      <c r="AB27" s="1224"/>
      <c r="AC27" s="1224"/>
    </row>
    <row r="28" spans="1:29" x14ac:dyDescent="0.25">
      <c r="A28" s="1218">
        <f>[1]IBRF!$B$5</f>
        <v>41734</v>
      </c>
      <c r="B28" s="1221">
        <f t="shared" si="0"/>
        <v>0.83333333333333337</v>
      </c>
      <c r="C28" s="1219">
        <v>1</v>
      </c>
      <c r="D28" s="1219">
        <f t="array" aca="1" ref="D28" ca="1">IF(LineupsData[[#This Row],[Passed?]],D27,IF(INDIRECT($AA$24&amp;INDEX(LineupsSearch[],MATCH(LineupsData[[#This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28" s="1219" t="str">
        <f t="shared" si="1"/>
        <v>Plan B</v>
      </c>
      <c r="F28" s="1219" t="str">
        <f t="array" aca="1" ref="F28" ca="1">INDIRECT($AA$24&amp;INDEX(LineupsSearch[],MATCH(LineupsData[[#This Row],[Home?]]&amp;LineupsData[[#Headers],[Jammer]],LineupsSearch[Home?]&amp;LineupsSearch[Item],1),3)&amp;LineupsData[[#This Row],[RefRow]])</f>
        <v/>
      </c>
      <c r="G28" s="1219" t="str">
        <f t="array" aca="1" ref="G2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28" s="1219">
        <f ca="1">IFERROR(LEN(IF(OR(LEFT(LineupsData[[#This Row],[J_Box]],1)="$",LEFT(LineupsData[[#This Row],[J_Box]],1)="S"),RIGHT(LineupsData[[#This Row],[J_Box]],LEN(LineupsData[[#This Row],[J_Box]])-1),LineupsData[[#This Row],[J_Box]])),"")</f>
        <v>0</v>
      </c>
      <c r="I28" s="1219">
        <f t="array" aca="1" ref="I28" ca="1">INDIRECT($AA$24&amp;INDEX(LineupsSearch[],MATCH(LineupsData[[#This Row],[Home?]]&amp;LineupsData[[#Headers],[Pivot]],LineupsSearch[Home?]&amp;LineupsSearch[Item],1),3)&amp;LineupsData[[#This Row],[RefRow]])</f>
        <v>0</v>
      </c>
      <c r="J28" s="1219" t="str">
        <f t="array" aca="1" ref="J2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28" s="1219">
        <f ca="1">IFERROR(LEN(IF(OR(LEFT(LineupsData[[#This Row],[P_Box]],1)="$",LEFT(LineupsData[[#This Row],[P_Box]],1)="S"),RIGHT(LineupsData[[#This Row],[P_Box]],LEN(LineupsData[[#This Row],[P_Box]])-1),LineupsData[[#This Row],[P_Box]])),"")</f>
        <v>0</v>
      </c>
      <c r="L28" s="1219">
        <f t="array" aca="1" ref="L28" ca="1">INDIRECT($AA$24&amp;INDEX(LineupsSearch[],MATCH(LineupsData[[#This Row],[Home?]]&amp;LineupsData[[#Headers],[B1]],LineupsSearch[Home?]&amp;LineupsSearch[Item],1),3)&amp;LineupsData[[#This Row],[RefRow]])</f>
        <v>0</v>
      </c>
      <c r="M28" s="1219" t="str">
        <f t="array" aca="1" ref="M2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28" s="1219">
        <f ca="1">IFERROR(LEN(IF(OR(LEFT(LineupsData[[#This Row],[B1_Box]],1)="$",LEFT(LineupsData[[#This Row],[B1_Box]],1)="S"),RIGHT(LineupsData[[#This Row],[B1_Box]],LEN(LineupsData[[#This Row],[B1_Box]])-1),LineupsData[[#This Row],[B1_Box]])),"")</f>
        <v>0</v>
      </c>
      <c r="O28" s="1219">
        <f t="array" aca="1" ref="O28" ca="1">INDIRECT($AA$24&amp;INDEX(LineupsSearch[],MATCH(LineupsData[[#This Row],[Home?]]&amp;LineupsData[[#Headers],[B2]],LineupsSearch[Home?]&amp;LineupsSearch[Item],1),3)&amp;LineupsData[[#This Row],[RefRow]])</f>
        <v>0</v>
      </c>
      <c r="P28" s="1219" t="str">
        <f t="array" aca="1" ref="P2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28" s="1219">
        <f ca="1">IFERROR(LEN(IF(OR(LEFT(LineupsData[[#This Row],[B2_Box]],1)="$",LEFT(LineupsData[[#This Row],[B2_Box]],1)="S"),RIGHT(LineupsData[[#This Row],[B2_Box]],LEN(LineupsData[[#This Row],[B2_Box]])-1),LineupsData[[#This Row],[B2_Box]])),"")</f>
        <v>0</v>
      </c>
      <c r="R28" s="1219">
        <f t="array" aca="1" ref="R28" ca="1">INDIRECT($AA$24&amp;INDEX(LineupsSearch[],MATCH(LineupsData[[#This Row],[Home?]]&amp;LineupsData[[#Headers],[B3]],LineupsSearch[Home?]&amp;LineupsSearch[Item],1),3)&amp;LineupsData[[#This Row],[RefRow]])</f>
        <v>0</v>
      </c>
      <c r="S28" s="1219" t="str">
        <f t="array" aca="1" ref="S2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28" s="1219">
        <f ca="1">IFERROR(LEN(IF(OR(LEFT(LineupsData[[#This Row],[B3_Box]],1)="$",LEFT(LineupsData[[#This Row],[B3_Box]],1)="S"),RIGHT(LineupsData[[#This Row],[B3_Box]],LEN(LineupsData[[#This Row],[B3_Box]])-1),LineupsData[[#This Row],[B3_Box]])),"")</f>
        <v>0</v>
      </c>
      <c r="U28" s="1219" t="b">
        <f t="array" aca="1" ref="U2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28" s="1219" t="b">
        <v>1</v>
      </c>
      <c r="W28" s="1219">
        <v>30</v>
      </c>
      <c r="X28" s="1203"/>
      <c r="Y28" s="1209" t="b">
        <v>0</v>
      </c>
      <c r="Z28" s="1216" t="s">
        <v>706</v>
      </c>
      <c r="AA28" s="1216" t="s">
        <v>691</v>
      </c>
      <c r="AB28" s="1225" t="s">
        <v>718</v>
      </c>
      <c r="AC28" s="1225" t="s">
        <v>719</v>
      </c>
    </row>
    <row r="29" spans="1:29" x14ac:dyDescent="0.25">
      <c r="A29" s="1218">
        <f>[1]IBRF!$B$5</f>
        <v>41734</v>
      </c>
      <c r="B29" s="1221">
        <f t="shared" si="0"/>
        <v>0.83333333333333337</v>
      </c>
      <c r="C29" s="1219">
        <v>1</v>
      </c>
      <c r="D29" s="1219">
        <f t="array" aca="1" ref="D29" ca="1">IF(LineupsData[[#This Row],[Passed?]],D28,IF(INDIRECT($AA$24&amp;INDEX(LineupsSearch[],MATCH(LineupsData[[#This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29" s="1219" t="str">
        <f t="shared" si="1"/>
        <v>Plan B</v>
      </c>
      <c r="F29" s="1219" t="str">
        <f t="array" aca="1" ref="F29" ca="1">INDIRECT($AA$24&amp;INDEX(LineupsSearch[],MATCH(LineupsData[[#This Row],[Home?]]&amp;LineupsData[[#Headers],[Jammer]],LineupsSearch[Home?]&amp;LineupsSearch[Item],1),3)&amp;LineupsData[[#This Row],[RefRow]])</f>
        <v/>
      </c>
      <c r="G29" s="1219" t="str">
        <f t="array" aca="1" ref="G2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29" s="1219">
        <f ca="1">IFERROR(LEN(IF(OR(LEFT(LineupsData[[#This Row],[J_Box]],1)="$",LEFT(LineupsData[[#This Row],[J_Box]],1)="S"),RIGHT(LineupsData[[#This Row],[J_Box]],LEN(LineupsData[[#This Row],[J_Box]])-1),LineupsData[[#This Row],[J_Box]])),"")</f>
        <v>0</v>
      </c>
      <c r="I29" s="1219">
        <f t="array" aca="1" ref="I29" ca="1">INDIRECT($AA$24&amp;INDEX(LineupsSearch[],MATCH(LineupsData[[#This Row],[Home?]]&amp;LineupsData[[#Headers],[Pivot]],LineupsSearch[Home?]&amp;LineupsSearch[Item],1),3)&amp;LineupsData[[#This Row],[RefRow]])</f>
        <v>0</v>
      </c>
      <c r="J29" s="1219" t="str">
        <f t="array" aca="1" ref="J2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29" s="1219">
        <f ca="1">IFERROR(LEN(IF(OR(LEFT(LineupsData[[#This Row],[P_Box]],1)="$",LEFT(LineupsData[[#This Row],[P_Box]],1)="S"),RIGHT(LineupsData[[#This Row],[P_Box]],LEN(LineupsData[[#This Row],[P_Box]])-1),LineupsData[[#This Row],[P_Box]])),"")</f>
        <v>0</v>
      </c>
      <c r="L29" s="1219">
        <f t="array" aca="1" ref="L29" ca="1">INDIRECT($AA$24&amp;INDEX(LineupsSearch[],MATCH(LineupsData[[#This Row],[Home?]]&amp;LineupsData[[#Headers],[B1]],LineupsSearch[Home?]&amp;LineupsSearch[Item],1),3)&amp;LineupsData[[#This Row],[RefRow]])</f>
        <v>0</v>
      </c>
      <c r="M29" s="1219" t="str">
        <f t="array" aca="1" ref="M2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29" s="1219">
        <f ca="1">IFERROR(LEN(IF(OR(LEFT(LineupsData[[#This Row],[B1_Box]],1)="$",LEFT(LineupsData[[#This Row],[B1_Box]],1)="S"),RIGHT(LineupsData[[#This Row],[B1_Box]],LEN(LineupsData[[#This Row],[B1_Box]])-1),LineupsData[[#This Row],[B1_Box]])),"")</f>
        <v>0</v>
      </c>
      <c r="O29" s="1219">
        <f t="array" aca="1" ref="O29" ca="1">INDIRECT($AA$24&amp;INDEX(LineupsSearch[],MATCH(LineupsData[[#This Row],[Home?]]&amp;LineupsData[[#Headers],[B2]],LineupsSearch[Home?]&amp;LineupsSearch[Item],1),3)&amp;LineupsData[[#This Row],[RefRow]])</f>
        <v>0</v>
      </c>
      <c r="P29" s="1219" t="str">
        <f t="array" aca="1" ref="P2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29" s="1219">
        <f ca="1">IFERROR(LEN(IF(OR(LEFT(LineupsData[[#This Row],[B2_Box]],1)="$",LEFT(LineupsData[[#This Row],[B2_Box]],1)="S"),RIGHT(LineupsData[[#This Row],[B2_Box]],LEN(LineupsData[[#This Row],[B2_Box]])-1),LineupsData[[#This Row],[B2_Box]])),"")</f>
        <v>0</v>
      </c>
      <c r="R29" s="1219">
        <f t="array" aca="1" ref="R29" ca="1">INDIRECT($AA$24&amp;INDEX(LineupsSearch[],MATCH(LineupsData[[#This Row],[Home?]]&amp;LineupsData[[#Headers],[B3]],LineupsSearch[Home?]&amp;LineupsSearch[Item],1),3)&amp;LineupsData[[#This Row],[RefRow]])</f>
        <v>0</v>
      </c>
      <c r="S29" s="1219" t="str">
        <f t="array" aca="1" ref="S2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29" s="1219">
        <f ca="1">IFERROR(LEN(IF(OR(LEFT(LineupsData[[#This Row],[B3_Box]],1)="$",LEFT(LineupsData[[#This Row],[B3_Box]],1)="S"),RIGHT(LineupsData[[#This Row],[B3_Box]],LEN(LineupsData[[#This Row],[B3_Box]])-1),LineupsData[[#This Row],[B3_Box]])),"")</f>
        <v>0</v>
      </c>
      <c r="U29" s="1219" t="b">
        <f t="array" aca="1" ref="U2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29" s="1219" t="b">
        <v>1</v>
      </c>
      <c r="W29" s="1219">
        <v>31</v>
      </c>
      <c r="X29" s="1203"/>
      <c r="Y29" s="1209" t="b">
        <v>0</v>
      </c>
      <c r="Z29" s="1216" t="s">
        <v>708</v>
      </c>
      <c r="AA29" s="1216" t="s">
        <v>720</v>
      </c>
      <c r="AB29" s="1224"/>
      <c r="AC29" s="1224"/>
    </row>
    <row r="30" spans="1:29" x14ac:dyDescent="0.25">
      <c r="A30" s="1218">
        <f>[1]IBRF!$B$5</f>
        <v>41734</v>
      </c>
      <c r="B30" s="1221">
        <f t="shared" si="0"/>
        <v>0.83333333333333337</v>
      </c>
      <c r="C30" s="1219">
        <v>1</v>
      </c>
      <c r="D30" s="1219">
        <f t="array" aca="1" ref="D30" ca="1">IF(LineupsData[[#This Row],[Passed?]],D29,IF(INDIRECT($AA$24&amp;INDEX(LineupsSearch[],MATCH(LineupsData[[#This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30" s="1219" t="str">
        <f t="shared" si="1"/>
        <v>Plan B</v>
      </c>
      <c r="F30" s="1219" t="str">
        <f t="array" aca="1" ref="F30" ca="1">INDIRECT($AA$24&amp;INDEX(LineupsSearch[],MATCH(LineupsData[[#This Row],[Home?]]&amp;LineupsData[[#Headers],[Jammer]],LineupsSearch[Home?]&amp;LineupsSearch[Item],1),3)&amp;LineupsData[[#This Row],[RefRow]])</f>
        <v/>
      </c>
      <c r="G30" s="1219" t="str">
        <f t="array" aca="1" ref="G3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30" s="1219">
        <f ca="1">IFERROR(LEN(IF(OR(LEFT(LineupsData[[#This Row],[J_Box]],1)="$",LEFT(LineupsData[[#This Row],[J_Box]],1)="S"),RIGHT(LineupsData[[#This Row],[J_Box]],LEN(LineupsData[[#This Row],[J_Box]])-1),LineupsData[[#This Row],[J_Box]])),"")</f>
        <v>0</v>
      </c>
      <c r="I30" s="1219">
        <f t="array" aca="1" ref="I30" ca="1">INDIRECT($AA$24&amp;INDEX(LineupsSearch[],MATCH(LineupsData[[#This Row],[Home?]]&amp;LineupsData[[#Headers],[Pivot]],LineupsSearch[Home?]&amp;LineupsSearch[Item],1),3)&amp;LineupsData[[#This Row],[RefRow]])</f>
        <v>0</v>
      </c>
      <c r="J30" s="1219" t="str">
        <f t="array" aca="1" ref="J3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30" s="1219">
        <f ca="1">IFERROR(LEN(IF(OR(LEFT(LineupsData[[#This Row],[P_Box]],1)="$",LEFT(LineupsData[[#This Row],[P_Box]],1)="S"),RIGHT(LineupsData[[#This Row],[P_Box]],LEN(LineupsData[[#This Row],[P_Box]])-1),LineupsData[[#This Row],[P_Box]])),"")</f>
        <v>0</v>
      </c>
      <c r="L30" s="1219">
        <f t="array" aca="1" ref="L30" ca="1">INDIRECT($AA$24&amp;INDEX(LineupsSearch[],MATCH(LineupsData[[#This Row],[Home?]]&amp;LineupsData[[#Headers],[B1]],LineupsSearch[Home?]&amp;LineupsSearch[Item],1),3)&amp;LineupsData[[#This Row],[RefRow]])</f>
        <v>0</v>
      </c>
      <c r="M30" s="1219" t="str">
        <f t="array" aca="1" ref="M3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30" s="1219">
        <f ca="1">IFERROR(LEN(IF(OR(LEFT(LineupsData[[#This Row],[B1_Box]],1)="$",LEFT(LineupsData[[#This Row],[B1_Box]],1)="S"),RIGHT(LineupsData[[#This Row],[B1_Box]],LEN(LineupsData[[#This Row],[B1_Box]])-1),LineupsData[[#This Row],[B1_Box]])),"")</f>
        <v>0</v>
      </c>
      <c r="O30" s="1219">
        <f t="array" aca="1" ref="O30" ca="1">INDIRECT($AA$24&amp;INDEX(LineupsSearch[],MATCH(LineupsData[[#This Row],[Home?]]&amp;LineupsData[[#Headers],[B2]],LineupsSearch[Home?]&amp;LineupsSearch[Item],1),3)&amp;LineupsData[[#This Row],[RefRow]])</f>
        <v>0</v>
      </c>
      <c r="P30" s="1219" t="str">
        <f t="array" aca="1" ref="P3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30" s="1219">
        <f ca="1">IFERROR(LEN(IF(OR(LEFT(LineupsData[[#This Row],[B2_Box]],1)="$",LEFT(LineupsData[[#This Row],[B2_Box]],1)="S"),RIGHT(LineupsData[[#This Row],[B2_Box]],LEN(LineupsData[[#This Row],[B2_Box]])-1),LineupsData[[#This Row],[B2_Box]])),"")</f>
        <v>0</v>
      </c>
      <c r="R30" s="1219">
        <f t="array" aca="1" ref="R30" ca="1">INDIRECT($AA$24&amp;INDEX(LineupsSearch[],MATCH(LineupsData[[#This Row],[Home?]]&amp;LineupsData[[#Headers],[B3]],LineupsSearch[Home?]&amp;LineupsSearch[Item],1),3)&amp;LineupsData[[#This Row],[RefRow]])</f>
        <v>0</v>
      </c>
      <c r="S30" s="1219" t="str">
        <f t="array" aca="1" ref="S3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30" s="1219">
        <f ca="1">IFERROR(LEN(IF(OR(LEFT(LineupsData[[#This Row],[B3_Box]],1)="$",LEFT(LineupsData[[#This Row],[B3_Box]],1)="S"),RIGHT(LineupsData[[#This Row],[B3_Box]],LEN(LineupsData[[#This Row],[B3_Box]])-1),LineupsData[[#This Row],[B3_Box]])),"")</f>
        <v>0</v>
      </c>
      <c r="U30" s="1219" t="b">
        <f t="array" aca="1" ref="U3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30" s="1219" t="b">
        <v>1</v>
      </c>
      <c r="W30" s="1219">
        <v>32</v>
      </c>
      <c r="X30" s="1203"/>
      <c r="Y30" s="1209" t="b">
        <v>0</v>
      </c>
      <c r="Z30" s="1225" t="s">
        <v>709</v>
      </c>
      <c r="AA30" s="1225" t="s">
        <v>721</v>
      </c>
      <c r="AB30" s="1225" t="s">
        <v>722</v>
      </c>
      <c r="AC30" s="1225" t="s">
        <v>723</v>
      </c>
    </row>
    <row r="31" spans="1:29" x14ac:dyDescent="0.25">
      <c r="A31" s="1218">
        <f>[1]IBRF!$B$5</f>
        <v>41734</v>
      </c>
      <c r="B31" s="1221">
        <f t="shared" si="0"/>
        <v>0.83333333333333337</v>
      </c>
      <c r="C31" s="1219">
        <v>1</v>
      </c>
      <c r="D31" s="1219">
        <f t="array" aca="1" ref="D31" ca="1">IF(LineupsData[[#This Row],[Passed?]],D30,IF(INDIRECT($AA$24&amp;INDEX(LineupsSearch[],MATCH(LineupsData[[#This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31" s="1219" t="str">
        <f t="shared" si="1"/>
        <v>Plan B</v>
      </c>
      <c r="F31" s="1219" t="str">
        <f t="array" aca="1" ref="F31" ca="1">INDIRECT($AA$24&amp;INDEX(LineupsSearch[],MATCH(LineupsData[[#This Row],[Home?]]&amp;LineupsData[[#Headers],[Jammer]],LineupsSearch[Home?]&amp;LineupsSearch[Item],1),3)&amp;LineupsData[[#This Row],[RefRow]])</f>
        <v/>
      </c>
      <c r="G31" s="1219" t="str">
        <f t="array" aca="1" ref="G3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31" s="1219">
        <f ca="1">IFERROR(LEN(IF(OR(LEFT(LineupsData[[#This Row],[J_Box]],1)="$",LEFT(LineupsData[[#This Row],[J_Box]],1)="S"),RIGHT(LineupsData[[#This Row],[J_Box]],LEN(LineupsData[[#This Row],[J_Box]])-1),LineupsData[[#This Row],[J_Box]])),"")</f>
        <v>0</v>
      </c>
      <c r="I31" s="1219">
        <f t="array" aca="1" ref="I31" ca="1">INDIRECT($AA$24&amp;INDEX(LineupsSearch[],MATCH(LineupsData[[#This Row],[Home?]]&amp;LineupsData[[#Headers],[Pivot]],LineupsSearch[Home?]&amp;LineupsSearch[Item],1),3)&amp;LineupsData[[#This Row],[RefRow]])</f>
        <v>0</v>
      </c>
      <c r="J31" s="1219" t="str">
        <f t="array" aca="1" ref="J3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31" s="1219">
        <f ca="1">IFERROR(LEN(IF(OR(LEFT(LineupsData[[#This Row],[P_Box]],1)="$",LEFT(LineupsData[[#This Row],[P_Box]],1)="S"),RIGHT(LineupsData[[#This Row],[P_Box]],LEN(LineupsData[[#This Row],[P_Box]])-1),LineupsData[[#This Row],[P_Box]])),"")</f>
        <v>0</v>
      </c>
      <c r="L31" s="1219">
        <f t="array" aca="1" ref="L31" ca="1">INDIRECT($AA$24&amp;INDEX(LineupsSearch[],MATCH(LineupsData[[#This Row],[Home?]]&amp;LineupsData[[#Headers],[B1]],LineupsSearch[Home?]&amp;LineupsSearch[Item],1),3)&amp;LineupsData[[#This Row],[RefRow]])</f>
        <v>0</v>
      </c>
      <c r="M31" s="1219" t="str">
        <f t="array" aca="1" ref="M3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31" s="1219">
        <f ca="1">IFERROR(LEN(IF(OR(LEFT(LineupsData[[#This Row],[B1_Box]],1)="$",LEFT(LineupsData[[#This Row],[B1_Box]],1)="S"),RIGHT(LineupsData[[#This Row],[B1_Box]],LEN(LineupsData[[#This Row],[B1_Box]])-1),LineupsData[[#This Row],[B1_Box]])),"")</f>
        <v>0</v>
      </c>
      <c r="O31" s="1219">
        <f t="array" aca="1" ref="O31" ca="1">INDIRECT($AA$24&amp;INDEX(LineupsSearch[],MATCH(LineupsData[[#This Row],[Home?]]&amp;LineupsData[[#Headers],[B2]],LineupsSearch[Home?]&amp;LineupsSearch[Item],1),3)&amp;LineupsData[[#This Row],[RefRow]])</f>
        <v>0</v>
      </c>
      <c r="P31" s="1219" t="str">
        <f t="array" aca="1" ref="P3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31" s="1219">
        <f ca="1">IFERROR(LEN(IF(OR(LEFT(LineupsData[[#This Row],[B2_Box]],1)="$",LEFT(LineupsData[[#This Row],[B2_Box]],1)="S"),RIGHT(LineupsData[[#This Row],[B2_Box]],LEN(LineupsData[[#This Row],[B2_Box]])-1),LineupsData[[#This Row],[B2_Box]])),"")</f>
        <v>0</v>
      </c>
      <c r="R31" s="1219">
        <f t="array" aca="1" ref="R31" ca="1">INDIRECT($AA$24&amp;INDEX(LineupsSearch[],MATCH(LineupsData[[#This Row],[Home?]]&amp;LineupsData[[#Headers],[B3]],LineupsSearch[Home?]&amp;LineupsSearch[Item],1),3)&amp;LineupsData[[#This Row],[RefRow]])</f>
        <v>0</v>
      </c>
      <c r="S31" s="1219" t="str">
        <f t="array" aca="1" ref="S3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31" s="1219">
        <f ca="1">IFERROR(LEN(IF(OR(LEFT(LineupsData[[#This Row],[B3_Box]],1)="$",LEFT(LineupsData[[#This Row],[B3_Box]],1)="S"),RIGHT(LineupsData[[#This Row],[B3_Box]],LEN(LineupsData[[#This Row],[B3_Box]])-1),LineupsData[[#This Row],[B3_Box]])),"")</f>
        <v>0</v>
      </c>
      <c r="U31" s="1219" t="b">
        <f t="array" aca="1" ref="U3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31" s="1219" t="b">
        <v>1</v>
      </c>
      <c r="W31" s="1219">
        <v>33</v>
      </c>
      <c r="X31" s="1203"/>
      <c r="Y31" s="1209" t="b">
        <v>0</v>
      </c>
      <c r="Z31" s="1224" t="s">
        <v>711</v>
      </c>
      <c r="AA31" s="1225" t="s">
        <v>724</v>
      </c>
      <c r="AB31" s="1224"/>
      <c r="AC31" s="1224"/>
    </row>
    <row r="32" spans="1:29" x14ac:dyDescent="0.25">
      <c r="A32" s="1218">
        <f>[1]IBRF!$B$5</f>
        <v>41734</v>
      </c>
      <c r="B32" s="1221">
        <f t="shared" si="0"/>
        <v>0.83333333333333337</v>
      </c>
      <c r="C32" s="1219">
        <v>1</v>
      </c>
      <c r="D32" s="1219">
        <f t="array" aca="1" ref="D32" ca="1">IF(LineupsData[[#This Row],[Passed?]],D31,IF(INDIRECT($AA$24&amp;INDEX(LineupsSearch[],MATCH(LineupsData[[#This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32" s="1219" t="str">
        <f t="shared" si="1"/>
        <v>Plan B</v>
      </c>
      <c r="F32" s="1219" t="str">
        <f t="array" aca="1" ref="F32" ca="1">INDIRECT($AA$24&amp;INDEX(LineupsSearch[],MATCH(LineupsData[[#This Row],[Home?]]&amp;LineupsData[[#Headers],[Jammer]],LineupsSearch[Home?]&amp;LineupsSearch[Item],1),3)&amp;LineupsData[[#This Row],[RefRow]])</f>
        <v/>
      </c>
      <c r="G32" s="1219" t="str">
        <f t="array" aca="1" ref="G3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32" s="1219">
        <f ca="1">IFERROR(LEN(IF(OR(LEFT(LineupsData[[#This Row],[J_Box]],1)="$",LEFT(LineupsData[[#This Row],[J_Box]],1)="S"),RIGHT(LineupsData[[#This Row],[J_Box]],LEN(LineupsData[[#This Row],[J_Box]])-1),LineupsData[[#This Row],[J_Box]])),"")</f>
        <v>0</v>
      </c>
      <c r="I32" s="1219">
        <f t="array" aca="1" ref="I32" ca="1">INDIRECT($AA$24&amp;INDEX(LineupsSearch[],MATCH(LineupsData[[#This Row],[Home?]]&amp;LineupsData[[#Headers],[Pivot]],LineupsSearch[Home?]&amp;LineupsSearch[Item],1),3)&amp;LineupsData[[#This Row],[RefRow]])</f>
        <v>0</v>
      </c>
      <c r="J32" s="1219" t="str">
        <f t="array" aca="1" ref="J3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32" s="1219">
        <f ca="1">IFERROR(LEN(IF(OR(LEFT(LineupsData[[#This Row],[P_Box]],1)="$",LEFT(LineupsData[[#This Row],[P_Box]],1)="S"),RIGHT(LineupsData[[#This Row],[P_Box]],LEN(LineupsData[[#This Row],[P_Box]])-1),LineupsData[[#This Row],[P_Box]])),"")</f>
        <v>0</v>
      </c>
      <c r="L32" s="1219">
        <f t="array" aca="1" ref="L32" ca="1">INDIRECT($AA$24&amp;INDEX(LineupsSearch[],MATCH(LineupsData[[#This Row],[Home?]]&amp;LineupsData[[#Headers],[B1]],LineupsSearch[Home?]&amp;LineupsSearch[Item],1),3)&amp;LineupsData[[#This Row],[RefRow]])</f>
        <v>0</v>
      </c>
      <c r="M32" s="1219" t="str">
        <f t="array" aca="1" ref="M3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32" s="1219">
        <f ca="1">IFERROR(LEN(IF(OR(LEFT(LineupsData[[#This Row],[B1_Box]],1)="$",LEFT(LineupsData[[#This Row],[B1_Box]],1)="S"),RIGHT(LineupsData[[#This Row],[B1_Box]],LEN(LineupsData[[#This Row],[B1_Box]])-1),LineupsData[[#This Row],[B1_Box]])),"")</f>
        <v>0</v>
      </c>
      <c r="O32" s="1219">
        <f t="array" aca="1" ref="O32" ca="1">INDIRECT($AA$24&amp;INDEX(LineupsSearch[],MATCH(LineupsData[[#This Row],[Home?]]&amp;LineupsData[[#Headers],[B2]],LineupsSearch[Home?]&amp;LineupsSearch[Item],1),3)&amp;LineupsData[[#This Row],[RefRow]])</f>
        <v>0</v>
      </c>
      <c r="P32" s="1219" t="str">
        <f t="array" aca="1" ref="P3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32" s="1219">
        <f ca="1">IFERROR(LEN(IF(OR(LEFT(LineupsData[[#This Row],[B2_Box]],1)="$",LEFT(LineupsData[[#This Row],[B2_Box]],1)="S"),RIGHT(LineupsData[[#This Row],[B2_Box]],LEN(LineupsData[[#This Row],[B2_Box]])-1),LineupsData[[#This Row],[B2_Box]])),"")</f>
        <v>0</v>
      </c>
      <c r="R32" s="1219">
        <f t="array" aca="1" ref="R32" ca="1">INDIRECT($AA$24&amp;INDEX(LineupsSearch[],MATCH(LineupsData[[#This Row],[Home?]]&amp;LineupsData[[#Headers],[B3]],LineupsSearch[Home?]&amp;LineupsSearch[Item],1),3)&amp;LineupsData[[#This Row],[RefRow]])</f>
        <v>0</v>
      </c>
      <c r="S32" s="1219" t="str">
        <f t="array" aca="1" ref="S3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32" s="1219">
        <f ca="1">IFERROR(LEN(IF(OR(LEFT(LineupsData[[#This Row],[B3_Box]],1)="$",LEFT(LineupsData[[#This Row],[B3_Box]],1)="S"),RIGHT(LineupsData[[#This Row],[B3_Box]],LEN(LineupsData[[#This Row],[B3_Box]])-1),LineupsData[[#This Row],[B3_Box]])),"")</f>
        <v>0</v>
      </c>
      <c r="U32" s="1219" t="b">
        <f t="array" aca="1" ref="U3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32" s="1219" t="b">
        <v>1</v>
      </c>
      <c r="W32" s="1219">
        <v>34</v>
      </c>
      <c r="X32" s="1203"/>
      <c r="Y32" s="1209" t="b">
        <v>0</v>
      </c>
      <c r="Z32" s="1225" t="s">
        <v>712</v>
      </c>
      <c r="AA32" s="1225" t="s">
        <v>725</v>
      </c>
      <c r="AB32" s="1225" t="s">
        <v>726</v>
      </c>
      <c r="AC32" s="1225" t="s">
        <v>727</v>
      </c>
    </row>
    <row r="33" spans="1:29" x14ac:dyDescent="0.25">
      <c r="A33" s="1218">
        <f>[1]IBRF!$B$5</f>
        <v>41734</v>
      </c>
      <c r="B33" s="1221">
        <f t="shared" si="0"/>
        <v>0.83333333333333337</v>
      </c>
      <c r="C33" s="1219">
        <v>1</v>
      </c>
      <c r="D33" s="1219">
        <f t="array" aca="1" ref="D33" ca="1">IF(LineupsData[[#This Row],[Passed?]],D32,IF(INDIRECT($AA$24&amp;INDEX(LineupsSearch[],MATCH(LineupsData[[#This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33" s="1219" t="str">
        <f t="shared" si="1"/>
        <v>Plan B</v>
      </c>
      <c r="F33" s="1219" t="str">
        <f t="array" aca="1" ref="F33" ca="1">INDIRECT($AA$24&amp;INDEX(LineupsSearch[],MATCH(LineupsData[[#This Row],[Home?]]&amp;LineupsData[[#Headers],[Jammer]],LineupsSearch[Home?]&amp;LineupsSearch[Item],1),3)&amp;LineupsData[[#This Row],[RefRow]])</f>
        <v/>
      </c>
      <c r="G33" s="1219" t="str">
        <f t="array" aca="1" ref="G3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33" s="1219">
        <f ca="1">IFERROR(LEN(IF(OR(LEFT(LineupsData[[#This Row],[J_Box]],1)="$",LEFT(LineupsData[[#This Row],[J_Box]],1)="S"),RIGHT(LineupsData[[#This Row],[J_Box]],LEN(LineupsData[[#This Row],[J_Box]])-1),LineupsData[[#This Row],[J_Box]])),"")</f>
        <v>0</v>
      </c>
      <c r="I33" s="1219">
        <f t="array" aca="1" ref="I33" ca="1">INDIRECT($AA$24&amp;INDEX(LineupsSearch[],MATCH(LineupsData[[#This Row],[Home?]]&amp;LineupsData[[#Headers],[Pivot]],LineupsSearch[Home?]&amp;LineupsSearch[Item],1),3)&amp;LineupsData[[#This Row],[RefRow]])</f>
        <v>0</v>
      </c>
      <c r="J33" s="1219" t="str">
        <f t="array" aca="1" ref="J3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33" s="1219">
        <f ca="1">IFERROR(LEN(IF(OR(LEFT(LineupsData[[#This Row],[P_Box]],1)="$",LEFT(LineupsData[[#This Row],[P_Box]],1)="S"),RIGHT(LineupsData[[#This Row],[P_Box]],LEN(LineupsData[[#This Row],[P_Box]])-1),LineupsData[[#This Row],[P_Box]])),"")</f>
        <v>0</v>
      </c>
      <c r="L33" s="1219">
        <f t="array" aca="1" ref="L33" ca="1">INDIRECT($AA$24&amp;INDEX(LineupsSearch[],MATCH(LineupsData[[#This Row],[Home?]]&amp;LineupsData[[#Headers],[B1]],LineupsSearch[Home?]&amp;LineupsSearch[Item],1),3)&amp;LineupsData[[#This Row],[RefRow]])</f>
        <v>0</v>
      </c>
      <c r="M33" s="1219" t="str">
        <f t="array" aca="1" ref="M3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33" s="1219">
        <f ca="1">IFERROR(LEN(IF(OR(LEFT(LineupsData[[#This Row],[B1_Box]],1)="$",LEFT(LineupsData[[#This Row],[B1_Box]],1)="S"),RIGHT(LineupsData[[#This Row],[B1_Box]],LEN(LineupsData[[#This Row],[B1_Box]])-1),LineupsData[[#This Row],[B1_Box]])),"")</f>
        <v>0</v>
      </c>
      <c r="O33" s="1219">
        <f t="array" aca="1" ref="O33" ca="1">INDIRECT($AA$24&amp;INDEX(LineupsSearch[],MATCH(LineupsData[[#This Row],[Home?]]&amp;LineupsData[[#Headers],[B2]],LineupsSearch[Home?]&amp;LineupsSearch[Item],1),3)&amp;LineupsData[[#This Row],[RefRow]])</f>
        <v>0</v>
      </c>
      <c r="P33" s="1219" t="str">
        <f t="array" aca="1" ref="P3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33" s="1219">
        <f ca="1">IFERROR(LEN(IF(OR(LEFT(LineupsData[[#This Row],[B2_Box]],1)="$",LEFT(LineupsData[[#This Row],[B2_Box]],1)="S"),RIGHT(LineupsData[[#This Row],[B2_Box]],LEN(LineupsData[[#This Row],[B2_Box]])-1),LineupsData[[#This Row],[B2_Box]])),"")</f>
        <v>0</v>
      </c>
      <c r="R33" s="1219">
        <f t="array" aca="1" ref="R33" ca="1">INDIRECT($AA$24&amp;INDEX(LineupsSearch[],MATCH(LineupsData[[#This Row],[Home?]]&amp;LineupsData[[#Headers],[B3]],LineupsSearch[Home?]&amp;LineupsSearch[Item],1),3)&amp;LineupsData[[#This Row],[RefRow]])</f>
        <v>0</v>
      </c>
      <c r="S33" s="1219" t="str">
        <f t="array" aca="1" ref="S3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33" s="1219">
        <f ca="1">IFERROR(LEN(IF(OR(LEFT(LineupsData[[#This Row],[B3_Box]],1)="$",LEFT(LineupsData[[#This Row],[B3_Box]],1)="S"),RIGHT(LineupsData[[#This Row],[B3_Box]],LEN(LineupsData[[#This Row],[B3_Box]])-1),LineupsData[[#This Row],[B3_Box]])),"")</f>
        <v>0</v>
      </c>
      <c r="U33" s="1219" t="b">
        <f t="array" aca="1" ref="U3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33" s="1219" t="b">
        <v>1</v>
      </c>
      <c r="W33" s="1219">
        <v>35</v>
      </c>
      <c r="X33" s="1203"/>
      <c r="Y33" s="1209" t="b">
        <v>0</v>
      </c>
      <c r="Z33" s="1216" t="s">
        <v>701</v>
      </c>
      <c r="AA33" s="1216" t="s">
        <v>728</v>
      </c>
      <c r="AB33" s="1225" t="s">
        <v>729</v>
      </c>
      <c r="AC33" s="1225" t="s">
        <v>730</v>
      </c>
    </row>
    <row r="34" spans="1:29" x14ac:dyDescent="0.25">
      <c r="A34" s="1218">
        <f>[1]IBRF!$B$5</f>
        <v>41734</v>
      </c>
      <c r="B34" s="1221">
        <f t="shared" si="0"/>
        <v>0.83333333333333337</v>
      </c>
      <c r="C34" s="1219">
        <v>1</v>
      </c>
      <c r="D34" s="1219">
        <f t="array" aca="1" ref="D34" ca="1">IF(LineupsData[[#This Row],[Passed?]],D33,IF(INDIRECT($AA$24&amp;INDEX(LineupsSearch[],MATCH(LineupsData[[#This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34" s="1219" t="str">
        <f t="shared" si="1"/>
        <v>Plan B</v>
      </c>
      <c r="F34" s="1219" t="str">
        <f t="array" aca="1" ref="F34" ca="1">INDIRECT($AA$24&amp;INDEX(LineupsSearch[],MATCH(LineupsData[[#This Row],[Home?]]&amp;LineupsData[[#Headers],[Jammer]],LineupsSearch[Home?]&amp;LineupsSearch[Item],1),3)&amp;LineupsData[[#This Row],[RefRow]])</f>
        <v/>
      </c>
      <c r="G34" s="1219" t="str">
        <f t="array" aca="1" ref="G3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34" s="1219">
        <f ca="1">IFERROR(LEN(IF(OR(LEFT(LineupsData[[#This Row],[J_Box]],1)="$",LEFT(LineupsData[[#This Row],[J_Box]],1)="S"),RIGHT(LineupsData[[#This Row],[J_Box]],LEN(LineupsData[[#This Row],[J_Box]])-1),LineupsData[[#This Row],[J_Box]])),"")</f>
        <v>0</v>
      </c>
      <c r="I34" s="1219">
        <f t="array" aca="1" ref="I34" ca="1">INDIRECT($AA$24&amp;INDEX(LineupsSearch[],MATCH(LineupsData[[#This Row],[Home?]]&amp;LineupsData[[#Headers],[Pivot]],LineupsSearch[Home?]&amp;LineupsSearch[Item],1),3)&amp;LineupsData[[#This Row],[RefRow]])</f>
        <v>0</v>
      </c>
      <c r="J34" s="1219" t="str">
        <f t="array" aca="1" ref="J3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34" s="1219">
        <f ca="1">IFERROR(LEN(IF(OR(LEFT(LineupsData[[#This Row],[P_Box]],1)="$",LEFT(LineupsData[[#This Row],[P_Box]],1)="S"),RIGHT(LineupsData[[#This Row],[P_Box]],LEN(LineupsData[[#This Row],[P_Box]])-1),LineupsData[[#This Row],[P_Box]])),"")</f>
        <v>0</v>
      </c>
      <c r="L34" s="1219">
        <f t="array" aca="1" ref="L34" ca="1">INDIRECT($AA$24&amp;INDEX(LineupsSearch[],MATCH(LineupsData[[#This Row],[Home?]]&amp;LineupsData[[#Headers],[B1]],LineupsSearch[Home?]&amp;LineupsSearch[Item],1),3)&amp;LineupsData[[#This Row],[RefRow]])</f>
        <v>0</v>
      </c>
      <c r="M34" s="1219" t="str">
        <f t="array" aca="1" ref="M3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34" s="1219">
        <f ca="1">IFERROR(LEN(IF(OR(LEFT(LineupsData[[#This Row],[B1_Box]],1)="$",LEFT(LineupsData[[#This Row],[B1_Box]],1)="S"),RIGHT(LineupsData[[#This Row],[B1_Box]],LEN(LineupsData[[#This Row],[B1_Box]])-1),LineupsData[[#This Row],[B1_Box]])),"")</f>
        <v>0</v>
      </c>
      <c r="O34" s="1219">
        <f t="array" aca="1" ref="O34" ca="1">INDIRECT($AA$24&amp;INDEX(LineupsSearch[],MATCH(LineupsData[[#This Row],[Home?]]&amp;LineupsData[[#Headers],[B2]],LineupsSearch[Home?]&amp;LineupsSearch[Item],1),3)&amp;LineupsData[[#This Row],[RefRow]])</f>
        <v>0</v>
      </c>
      <c r="P34" s="1219" t="str">
        <f t="array" aca="1" ref="P3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34" s="1219">
        <f ca="1">IFERROR(LEN(IF(OR(LEFT(LineupsData[[#This Row],[B2_Box]],1)="$",LEFT(LineupsData[[#This Row],[B2_Box]],1)="S"),RIGHT(LineupsData[[#This Row],[B2_Box]],LEN(LineupsData[[#This Row],[B2_Box]])-1),LineupsData[[#This Row],[B2_Box]])),"")</f>
        <v>0</v>
      </c>
      <c r="R34" s="1219">
        <f t="array" aca="1" ref="R34" ca="1">INDIRECT($AA$24&amp;INDEX(LineupsSearch[],MATCH(LineupsData[[#This Row],[Home?]]&amp;LineupsData[[#Headers],[B3]],LineupsSearch[Home?]&amp;LineupsSearch[Item],1),3)&amp;LineupsData[[#This Row],[RefRow]])</f>
        <v>0</v>
      </c>
      <c r="S34" s="1219" t="str">
        <f t="array" aca="1" ref="S3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34" s="1219">
        <f ca="1">IFERROR(LEN(IF(OR(LEFT(LineupsData[[#This Row],[B3_Box]],1)="$",LEFT(LineupsData[[#This Row],[B3_Box]],1)="S"),RIGHT(LineupsData[[#This Row],[B3_Box]],LEN(LineupsData[[#This Row],[B3_Box]])-1),LineupsData[[#This Row],[B3_Box]])),"")</f>
        <v>0</v>
      </c>
      <c r="U34" s="1219" t="b">
        <f t="array" aca="1" ref="U3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34" s="1219" t="b">
        <v>1</v>
      </c>
      <c r="W34" s="1219">
        <v>36</v>
      </c>
      <c r="Y34" s="1224" t="b">
        <v>0</v>
      </c>
      <c r="Z34" s="1225" t="s">
        <v>370</v>
      </c>
      <c r="AA34" s="1225" t="s">
        <v>731</v>
      </c>
      <c r="AB34" s="1224"/>
      <c r="AC34" s="1224"/>
    </row>
    <row r="35" spans="1:29" x14ac:dyDescent="0.25">
      <c r="A35" s="1218">
        <f>[1]IBRF!$B$5</f>
        <v>41734</v>
      </c>
      <c r="B35" s="1221">
        <f t="shared" si="0"/>
        <v>0.83333333333333337</v>
      </c>
      <c r="C35" s="1219">
        <v>1</v>
      </c>
      <c r="D35" s="1219">
        <f t="array" aca="1" ref="D35" ca="1">IF(LineupsData[[#This Row],[Passed?]],D34,IF(INDIRECT($AA$24&amp;INDEX(LineupsSearch[],MATCH(LineupsData[[#This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35" s="1219" t="str">
        <f t="shared" si="1"/>
        <v>Plan B</v>
      </c>
      <c r="F35" s="1219" t="str">
        <f t="array" aca="1" ref="F35" ca="1">INDIRECT($AA$24&amp;INDEX(LineupsSearch[],MATCH(LineupsData[[#This Row],[Home?]]&amp;LineupsData[[#Headers],[Jammer]],LineupsSearch[Home?]&amp;LineupsSearch[Item],1),3)&amp;LineupsData[[#This Row],[RefRow]])</f>
        <v/>
      </c>
      <c r="G35" s="1219" t="str">
        <f t="array" aca="1" ref="G3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35" s="1219">
        <f ca="1">IFERROR(LEN(IF(OR(LEFT(LineupsData[[#This Row],[J_Box]],1)="$",LEFT(LineupsData[[#This Row],[J_Box]],1)="S"),RIGHT(LineupsData[[#This Row],[J_Box]],LEN(LineupsData[[#This Row],[J_Box]])-1),LineupsData[[#This Row],[J_Box]])),"")</f>
        <v>0</v>
      </c>
      <c r="I35" s="1219">
        <f t="array" aca="1" ref="I35" ca="1">INDIRECT($AA$24&amp;INDEX(LineupsSearch[],MATCH(LineupsData[[#This Row],[Home?]]&amp;LineupsData[[#Headers],[Pivot]],LineupsSearch[Home?]&amp;LineupsSearch[Item],1),3)&amp;LineupsData[[#This Row],[RefRow]])</f>
        <v>0</v>
      </c>
      <c r="J35" s="1219" t="str">
        <f t="array" aca="1" ref="J3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35" s="1219">
        <f ca="1">IFERROR(LEN(IF(OR(LEFT(LineupsData[[#This Row],[P_Box]],1)="$",LEFT(LineupsData[[#This Row],[P_Box]],1)="S"),RIGHT(LineupsData[[#This Row],[P_Box]],LEN(LineupsData[[#This Row],[P_Box]])-1),LineupsData[[#This Row],[P_Box]])),"")</f>
        <v>0</v>
      </c>
      <c r="L35" s="1219">
        <f t="array" aca="1" ref="L35" ca="1">INDIRECT($AA$24&amp;INDEX(LineupsSearch[],MATCH(LineupsData[[#This Row],[Home?]]&amp;LineupsData[[#Headers],[B1]],LineupsSearch[Home?]&amp;LineupsSearch[Item],1),3)&amp;LineupsData[[#This Row],[RefRow]])</f>
        <v>0</v>
      </c>
      <c r="M35" s="1219" t="str">
        <f t="array" aca="1" ref="M3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35" s="1219">
        <f ca="1">IFERROR(LEN(IF(OR(LEFT(LineupsData[[#This Row],[B1_Box]],1)="$",LEFT(LineupsData[[#This Row],[B1_Box]],1)="S"),RIGHT(LineupsData[[#This Row],[B1_Box]],LEN(LineupsData[[#This Row],[B1_Box]])-1),LineupsData[[#This Row],[B1_Box]])),"")</f>
        <v>0</v>
      </c>
      <c r="O35" s="1219">
        <f t="array" aca="1" ref="O35" ca="1">INDIRECT($AA$24&amp;INDEX(LineupsSearch[],MATCH(LineupsData[[#This Row],[Home?]]&amp;LineupsData[[#Headers],[B2]],LineupsSearch[Home?]&amp;LineupsSearch[Item],1),3)&amp;LineupsData[[#This Row],[RefRow]])</f>
        <v>0</v>
      </c>
      <c r="P35" s="1219" t="str">
        <f t="array" aca="1" ref="P3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35" s="1219">
        <f ca="1">IFERROR(LEN(IF(OR(LEFT(LineupsData[[#This Row],[B2_Box]],1)="$",LEFT(LineupsData[[#This Row],[B2_Box]],1)="S"),RIGHT(LineupsData[[#This Row],[B2_Box]],LEN(LineupsData[[#This Row],[B2_Box]])-1),LineupsData[[#This Row],[B2_Box]])),"")</f>
        <v>0</v>
      </c>
      <c r="R35" s="1219">
        <f t="array" aca="1" ref="R35" ca="1">INDIRECT($AA$24&amp;INDEX(LineupsSearch[],MATCH(LineupsData[[#This Row],[Home?]]&amp;LineupsData[[#Headers],[B3]],LineupsSearch[Home?]&amp;LineupsSearch[Item],1),3)&amp;LineupsData[[#This Row],[RefRow]])</f>
        <v>0</v>
      </c>
      <c r="S35" s="1219" t="str">
        <f t="array" aca="1" ref="S3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35" s="1219">
        <f ca="1">IFERROR(LEN(IF(OR(LEFT(LineupsData[[#This Row],[B3_Box]],1)="$",LEFT(LineupsData[[#This Row],[B3_Box]],1)="S"),RIGHT(LineupsData[[#This Row],[B3_Box]],LEN(LineupsData[[#This Row],[B3_Box]])-1),LineupsData[[#This Row],[B3_Box]])),"")</f>
        <v>0</v>
      </c>
      <c r="U35" s="1219" t="b">
        <f t="array" aca="1" ref="U3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35" s="1219" t="b">
        <v>1</v>
      </c>
      <c r="W35" s="1219">
        <v>37</v>
      </c>
      <c r="Y35" s="1209" t="b">
        <v>0</v>
      </c>
      <c r="Z35" s="1216" t="s">
        <v>124</v>
      </c>
      <c r="AA35" s="1216" t="s">
        <v>732</v>
      </c>
      <c r="AB35" s="1224"/>
      <c r="AC35" s="1224"/>
    </row>
    <row r="36" spans="1:29" x14ac:dyDescent="0.25">
      <c r="A36" s="1218">
        <f>[1]IBRF!$B$5</f>
        <v>41734</v>
      </c>
      <c r="B36" s="1221">
        <f t="shared" si="0"/>
        <v>0.83333333333333337</v>
      </c>
      <c r="C36" s="1219">
        <v>1</v>
      </c>
      <c r="D36" s="1219">
        <f t="array" aca="1" ref="D36" ca="1">IF(LineupsData[[#This Row],[Passed?]],D35,IF(INDIRECT($AA$24&amp;INDEX(LineupsSearch[],MATCH(LineupsData[[#This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36" s="1219" t="str">
        <f t="shared" si="1"/>
        <v>Plan B</v>
      </c>
      <c r="F36" s="1219" t="str">
        <f t="array" aca="1" ref="F36" ca="1">INDIRECT($AA$24&amp;INDEX(LineupsSearch[],MATCH(LineupsData[[#This Row],[Home?]]&amp;LineupsData[[#Headers],[Jammer]],LineupsSearch[Home?]&amp;LineupsSearch[Item],1),3)&amp;LineupsData[[#This Row],[RefRow]])</f>
        <v/>
      </c>
      <c r="G36" s="1219" t="str">
        <f t="array" aca="1" ref="G3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36" s="1219">
        <f ca="1">IFERROR(LEN(IF(OR(LEFT(LineupsData[[#This Row],[J_Box]],1)="$",LEFT(LineupsData[[#This Row],[J_Box]],1)="S"),RIGHT(LineupsData[[#This Row],[J_Box]],LEN(LineupsData[[#This Row],[J_Box]])-1),LineupsData[[#This Row],[J_Box]])),"")</f>
        <v>0</v>
      </c>
      <c r="I36" s="1219">
        <f t="array" aca="1" ref="I36" ca="1">INDIRECT($AA$24&amp;INDEX(LineupsSearch[],MATCH(LineupsData[[#This Row],[Home?]]&amp;LineupsData[[#Headers],[Pivot]],LineupsSearch[Home?]&amp;LineupsSearch[Item],1),3)&amp;LineupsData[[#This Row],[RefRow]])</f>
        <v>0</v>
      </c>
      <c r="J36" s="1219" t="str">
        <f t="array" aca="1" ref="J3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36" s="1219">
        <f ca="1">IFERROR(LEN(IF(OR(LEFT(LineupsData[[#This Row],[P_Box]],1)="$",LEFT(LineupsData[[#This Row],[P_Box]],1)="S"),RIGHT(LineupsData[[#This Row],[P_Box]],LEN(LineupsData[[#This Row],[P_Box]])-1),LineupsData[[#This Row],[P_Box]])),"")</f>
        <v>0</v>
      </c>
      <c r="L36" s="1219">
        <f t="array" aca="1" ref="L36" ca="1">INDIRECT($AA$24&amp;INDEX(LineupsSearch[],MATCH(LineupsData[[#This Row],[Home?]]&amp;LineupsData[[#Headers],[B1]],LineupsSearch[Home?]&amp;LineupsSearch[Item],1),3)&amp;LineupsData[[#This Row],[RefRow]])</f>
        <v>0</v>
      </c>
      <c r="M36" s="1219" t="str">
        <f t="array" aca="1" ref="M3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36" s="1219">
        <f ca="1">IFERROR(LEN(IF(OR(LEFT(LineupsData[[#This Row],[B1_Box]],1)="$",LEFT(LineupsData[[#This Row],[B1_Box]],1)="S"),RIGHT(LineupsData[[#This Row],[B1_Box]],LEN(LineupsData[[#This Row],[B1_Box]])-1),LineupsData[[#This Row],[B1_Box]])),"")</f>
        <v>0</v>
      </c>
      <c r="O36" s="1219">
        <f t="array" aca="1" ref="O36" ca="1">INDIRECT($AA$24&amp;INDEX(LineupsSearch[],MATCH(LineupsData[[#This Row],[Home?]]&amp;LineupsData[[#Headers],[B2]],LineupsSearch[Home?]&amp;LineupsSearch[Item],1),3)&amp;LineupsData[[#This Row],[RefRow]])</f>
        <v>0</v>
      </c>
      <c r="P36" s="1219" t="str">
        <f t="array" aca="1" ref="P3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36" s="1219">
        <f ca="1">IFERROR(LEN(IF(OR(LEFT(LineupsData[[#This Row],[B2_Box]],1)="$",LEFT(LineupsData[[#This Row],[B2_Box]],1)="S"),RIGHT(LineupsData[[#This Row],[B2_Box]],LEN(LineupsData[[#This Row],[B2_Box]])-1),LineupsData[[#This Row],[B2_Box]])),"")</f>
        <v>0</v>
      </c>
      <c r="R36" s="1219">
        <f t="array" aca="1" ref="R36" ca="1">INDIRECT($AA$24&amp;INDEX(LineupsSearch[],MATCH(LineupsData[[#This Row],[Home?]]&amp;LineupsData[[#Headers],[B3]],LineupsSearch[Home?]&amp;LineupsSearch[Item],1),3)&amp;LineupsData[[#This Row],[RefRow]])</f>
        <v>0</v>
      </c>
      <c r="S36" s="1219" t="str">
        <f t="array" aca="1" ref="S3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36" s="1219">
        <f ca="1">IFERROR(LEN(IF(OR(LEFT(LineupsData[[#This Row],[B3_Box]],1)="$",LEFT(LineupsData[[#This Row],[B3_Box]],1)="S"),RIGHT(LineupsData[[#This Row],[B3_Box]],LEN(LineupsData[[#This Row],[B3_Box]])-1),LineupsData[[#This Row],[B3_Box]])),"")</f>
        <v>0</v>
      </c>
      <c r="U36" s="1219" t="b">
        <f t="array" aca="1" ref="U3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36" s="1219" t="b">
        <v>1</v>
      </c>
      <c r="W36" s="1219">
        <v>38</v>
      </c>
      <c r="Y36" s="1209" t="b">
        <v>0</v>
      </c>
      <c r="Z36" s="1216" t="s">
        <v>703</v>
      </c>
      <c r="AA36" s="1216" t="s">
        <v>733</v>
      </c>
      <c r="AB36" s="1225" t="s">
        <v>734</v>
      </c>
      <c r="AC36" s="1225" t="s">
        <v>693</v>
      </c>
    </row>
    <row r="37" spans="1:29" x14ac:dyDescent="0.25">
      <c r="A37" s="1218">
        <f>[1]IBRF!$B$5</f>
        <v>41734</v>
      </c>
      <c r="B37" s="1221">
        <f t="shared" si="0"/>
        <v>0.83333333333333337</v>
      </c>
      <c r="C37" s="1219">
        <v>1</v>
      </c>
      <c r="D37" s="1219">
        <f t="array" aca="1" ref="D37" ca="1">IF(LineupsData[[#This Row],[Passed?]],D36,IF(INDIRECT($AA$24&amp;INDEX(LineupsSearch[],MATCH(LineupsData[[#This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37" s="1219" t="str">
        <f t="shared" si="1"/>
        <v>Plan B</v>
      </c>
      <c r="F37" s="1219" t="str">
        <f t="array" aca="1" ref="F37" ca="1">INDIRECT($AA$24&amp;INDEX(LineupsSearch[],MATCH(LineupsData[[#This Row],[Home?]]&amp;LineupsData[[#Headers],[Jammer]],LineupsSearch[Home?]&amp;LineupsSearch[Item],1),3)&amp;LineupsData[[#This Row],[RefRow]])</f>
        <v/>
      </c>
      <c r="G37" s="1219" t="str">
        <f t="array" aca="1" ref="G3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37" s="1219">
        <f ca="1">IFERROR(LEN(IF(OR(LEFT(LineupsData[[#This Row],[J_Box]],1)="$",LEFT(LineupsData[[#This Row],[J_Box]],1)="S"),RIGHT(LineupsData[[#This Row],[J_Box]],LEN(LineupsData[[#This Row],[J_Box]])-1),LineupsData[[#This Row],[J_Box]])),"")</f>
        <v>0</v>
      </c>
      <c r="I37" s="1219">
        <f t="array" aca="1" ref="I37" ca="1">INDIRECT($AA$24&amp;INDEX(LineupsSearch[],MATCH(LineupsData[[#This Row],[Home?]]&amp;LineupsData[[#Headers],[Pivot]],LineupsSearch[Home?]&amp;LineupsSearch[Item],1),3)&amp;LineupsData[[#This Row],[RefRow]])</f>
        <v>0</v>
      </c>
      <c r="J37" s="1219" t="str">
        <f t="array" aca="1" ref="J3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37" s="1219">
        <f ca="1">IFERROR(LEN(IF(OR(LEFT(LineupsData[[#This Row],[P_Box]],1)="$",LEFT(LineupsData[[#This Row],[P_Box]],1)="S"),RIGHT(LineupsData[[#This Row],[P_Box]],LEN(LineupsData[[#This Row],[P_Box]])-1),LineupsData[[#This Row],[P_Box]])),"")</f>
        <v>0</v>
      </c>
      <c r="L37" s="1219">
        <f t="array" aca="1" ref="L37" ca="1">INDIRECT($AA$24&amp;INDEX(LineupsSearch[],MATCH(LineupsData[[#This Row],[Home?]]&amp;LineupsData[[#Headers],[B1]],LineupsSearch[Home?]&amp;LineupsSearch[Item],1),3)&amp;LineupsData[[#This Row],[RefRow]])</f>
        <v>0</v>
      </c>
      <c r="M37" s="1219" t="str">
        <f t="array" aca="1" ref="M3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37" s="1219">
        <f ca="1">IFERROR(LEN(IF(OR(LEFT(LineupsData[[#This Row],[B1_Box]],1)="$",LEFT(LineupsData[[#This Row],[B1_Box]],1)="S"),RIGHT(LineupsData[[#This Row],[B1_Box]],LEN(LineupsData[[#This Row],[B1_Box]])-1),LineupsData[[#This Row],[B1_Box]])),"")</f>
        <v>0</v>
      </c>
      <c r="O37" s="1219">
        <f t="array" aca="1" ref="O37" ca="1">INDIRECT($AA$24&amp;INDEX(LineupsSearch[],MATCH(LineupsData[[#This Row],[Home?]]&amp;LineupsData[[#Headers],[B2]],LineupsSearch[Home?]&amp;LineupsSearch[Item],1),3)&amp;LineupsData[[#This Row],[RefRow]])</f>
        <v>0</v>
      </c>
      <c r="P37" s="1219" t="str">
        <f t="array" aca="1" ref="P3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37" s="1219">
        <f ca="1">IFERROR(LEN(IF(OR(LEFT(LineupsData[[#This Row],[B2_Box]],1)="$",LEFT(LineupsData[[#This Row],[B2_Box]],1)="S"),RIGHT(LineupsData[[#This Row],[B2_Box]],LEN(LineupsData[[#This Row],[B2_Box]])-1),LineupsData[[#This Row],[B2_Box]])),"")</f>
        <v>0</v>
      </c>
      <c r="R37" s="1219">
        <f t="array" aca="1" ref="R37" ca="1">INDIRECT($AA$24&amp;INDEX(LineupsSearch[],MATCH(LineupsData[[#This Row],[Home?]]&amp;LineupsData[[#Headers],[B3]],LineupsSearch[Home?]&amp;LineupsSearch[Item],1),3)&amp;LineupsData[[#This Row],[RefRow]])</f>
        <v>0</v>
      </c>
      <c r="S37" s="1219" t="str">
        <f t="array" aca="1" ref="S3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37" s="1219">
        <f ca="1">IFERROR(LEN(IF(OR(LEFT(LineupsData[[#This Row],[B3_Box]],1)="$",LEFT(LineupsData[[#This Row],[B3_Box]],1)="S"),RIGHT(LineupsData[[#This Row],[B3_Box]],LEN(LineupsData[[#This Row],[B3_Box]])-1),LineupsData[[#This Row],[B3_Box]])),"")</f>
        <v>0</v>
      </c>
      <c r="U37" s="1219" t="b">
        <f t="array" aca="1" ref="U3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37" s="1219" t="b">
        <v>1</v>
      </c>
      <c r="W37" s="1219">
        <v>39</v>
      </c>
      <c r="Y37" s="1224" t="b">
        <v>0</v>
      </c>
      <c r="Z37" s="1225" t="s">
        <v>122</v>
      </c>
      <c r="AA37" s="1225" t="s">
        <v>735</v>
      </c>
      <c r="AB37" s="1224"/>
      <c r="AC37" s="1224"/>
    </row>
    <row r="38" spans="1:29" x14ac:dyDescent="0.25">
      <c r="A38" s="1218">
        <f>[1]IBRF!$B$5</f>
        <v>41734</v>
      </c>
      <c r="B38" s="1221">
        <f t="shared" si="0"/>
        <v>0.83333333333333337</v>
      </c>
      <c r="C38" s="1219">
        <v>1</v>
      </c>
      <c r="D38" s="1219">
        <f t="array" aca="1" ref="D38" ca="1">IF(LineupsData[[#This Row],[Passed?]],D37,IF(INDIRECT($AA$24&amp;INDEX(LineupsSearch[],MATCH(LineupsData[[#This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38" s="1219" t="str">
        <f t="shared" si="1"/>
        <v>Plan B</v>
      </c>
      <c r="F38" s="1219" t="str">
        <f t="array" aca="1" ref="F38" ca="1">INDIRECT($AA$24&amp;INDEX(LineupsSearch[],MATCH(LineupsData[[#This Row],[Home?]]&amp;LineupsData[[#Headers],[Jammer]],LineupsSearch[Home?]&amp;LineupsSearch[Item],1),3)&amp;LineupsData[[#This Row],[RefRow]])</f>
        <v/>
      </c>
      <c r="G38" s="1219" t="str">
        <f t="array" aca="1" ref="G3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38" s="1219">
        <f ca="1">IFERROR(LEN(IF(OR(LEFT(LineupsData[[#This Row],[J_Box]],1)="$",LEFT(LineupsData[[#This Row],[J_Box]],1)="S"),RIGHT(LineupsData[[#This Row],[J_Box]],LEN(LineupsData[[#This Row],[J_Box]])-1),LineupsData[[#This Row],[J_Box]])),"")</f>
        <v>0</v>
      </c>
      <c r="I38" s="1219">
        <f t="array" aca="1" ref="I38" ca="1">INDIRECT($AA$24&amp;INDEX(LineupsSearch[],MATCH(LineupsData[[#This Row],[Home?]]&amp;LineupsData[[#Headers],[Pivot]],LineupsSearch[Home?]&amp;LineupsSearch[Item],1),3)&amp;LineupsData[[#This Row],[RefRow]])</f>
        <v>0</v>
      </c>
      <c r="J38" s="1219" t="str">
        <f t="array" aca="1" ref="J3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38" s="1219">
        <f ca="1">IFERROR(LEN(IF(OR(LEFT(LineupsData[[#This Row],[P_Box]],1)="$",LEFT(LineupsData[[#This Row],[P_Box]],1)="S"),RIGHT(LineupsData[[#This Row],[P_Box]],LEN(LineupsData[[#This Row],[P_Box]])-1),LineupsData[[#This Row],[P_Box]])),"")</f>
        <v>0</v>
      </c>
      <c r="L38" s="1219">
        <f t="array" aca="1" ref="L38" ca="1">INDIRECT($AA$24&amp;INDEX(LineupsSearch[],MATCH(LineupsData[[#This Row],[Home?]]&amp;LineupsData[[#Headers],[B1]],LineupsSearch[Home?]&amp;LineupsSearch[Item],1),3)&amp;LineupsData[[#This Row],[RefRow]])</f>
        <v>0</v>
      </c>
      <c r="M38" s="1219" t="str">
        <f t="array" aca="1" ref="M3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38" s="1219">
        <f ca="1">IFERROR(LEN(IF(OR(LEFT(LineupsData[[#This Row],[B1_Box]],1)="$",LEFT(LineupsData[[#This Row],[B1_Box]],1)="S"),RIGHT(LineupsData[[#This Row],[B1_Box]],LEN(LineupsData[[#This Row],[B1_Box]])-1),LineupsData[[#This Row],[B1_Box]])),"")</f>
        <v>0</v>
      </c>
      <c r="O38" s="1219">
        <f t="array" aca="1" ref="O38" ca="1">INDIRECT($AA$24&amp;INDEX(LineupsSearch[],MATCH(LineupsData[[#This Row],[Home?]]&amp;LineupsData[[#Headers],[B2]],LineupsSearch[Home?]&amp;LineupsSearch[Item],1),3)&amp;LineupsData[[#This Row],[RefRow]])</f>
        <v>0</v>
      </c>
      <c r="P38" s="1219" t="str">
        <f t="array" aca="1" ref="P3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38" s="1219">
        <f ca="1">IFERROR(LEN(IF(OR(LEFT(LineupsData[[#This Row],[B2_Box]],1)="$",LEFT(LineupsData[[#This Row],[B2_Box]],1)="S"),RIGHT(LineupsData[[#This Row],[B2_Box]],LEN(LineupsData[[#This Row],[B2_Box]])-1),LineupsData[[#This Row],[B2_Box]])),"")</f>
        <v>0</v>
      </c>
      <c r="R38" s="1219">
        <f t="array" aca="1" ref="R38" ca="1">INDIRECT($AA$24&amp;INDEX(LineupsSearch[],MATCH(LineupsData[[#This Row],[Home?]]&amp;LineupsData[[#Headers],[B3]],LineupsSearch[Home?]&amp;LineupsSearch[Item],1),3)&amp;LineupsData[[#This Row],[RefRow]])</f>
        <v>0</v>
      </c>
      <c r="S38" s="1219" t="str">
        <f t="array" aca="1" ref="S3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38" s="1219">
        <f ca="1">IFERROR(LEN(IF(OR(LEFT(LineupsData[[#This Row],[B3_Box]],1)="$",LEFT(LineupsData[[#This Row],[B3_Box]],1)="S"),RIGHT(LineupsData[[#This Row],[B3_Box]],LEN(LineupsData[[#This Row],[B3_Box]])-1),LineupsData[[#This Row],[B3_Box]])),"")</f>
        <v>0</v>
      </c>
      <c r="U38" s="1219" t="b">
        <f t="array" aca="1" ref="U3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38" s="1219" t="b">
        <v>1</v>
      </c>
      <c r="W38" s="1219">
        <v>40</v>
      </c>
      <c r="Y38" s="1209" t="b">
        <v>1</v>
      </c>
      <c r="Z38" s="1216" t="s">
        <v>705</v>
      </c>
      <c r="AA38" s="1225" t="s">
        <v>736</v>
      </c>
      <c r="AB38" s="1224"/>
      <c r="AC38" s="1224"/>
    </row>
    <row r="39" spans="1:29" x14ac:dyDescent="0.25">
      <c r="A39" s="1218">
        <f>[1]IBRF!$B$5</f>
        <v>41734</v>
      </c>
      <c r="B39" s="1221">
        <f t="shared" si="0"/>
        <v>0.83333333333333337</v>
      </c>
      <c r="C39" s="1219">
        <v>1</v>
      </c>
      <c r="D39" s="1219">
        <f t="array" aca="1" ref="D39" ca="1">IF(LineupsData[[#This Row],[Passed?]],D38,IF(INDIRECT($AA$24&amp;INDEX(LineupsSearch[],MATCH(LineupsData[[#This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39" s="1219" t="str">
        <f t="shared" si="1"/>
        <v>Plan B</v>
      </c>
      <c r="F39" s="1219" t="str">
        <f t="array" aca="1" ref="F39" ca="1">INDIRECT($AA$24&amp;INDEX(LineupsSearch[],MATCH(LineupsData[[#This Row],[Home?]]&amp;LineupsData[[#Headers],[Jammer]],LineupsSearch[Home?]&amp;LineupsSearch[Item],1),3)&amp;LineupsData[[#This Row],[RefRow]])</f>
        <v/>
      </c>
      <c r="G39" s="1219" t="str">
        <f t="array" aca="1" ref="G3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39" s="1219">
        <f ca="1">IFERROR(LEN(IF(OR(LEFT(LineupsData[[#This Row],[J_Box]],1)="$",LEFT(LineupsData[[#This Row],[J_Box]],1)="S"),RIGHT(LineupsData[[#This Row],[J_Box]],LEN(LineupsData[[#This Row],[J_Box]])-1),LineupsData[[#This Row],[J_Box]])),"")</f>
        <v>0</v>
      </c>
      <c r="I39" s="1219">
        <f t="array" aca="1" ref="I39" ca="1">INDIRECT($AA$24&amp;INDEX(LineupsSearch[],MATCH(LineupsData[[#This Row],[Home?]]&amp;LineupsData[[#Headers],[Pivot]],LineupsSearch[Home?]&amp;LineupsSearch[Item],1),3)&amp;LineupsData[[#This Row],[RefRow]])</f>
        <v>0</v>
      </c>
      <c r="J39" s="1219" t="str">
        <f t="array" aca="1" ref="J3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39" s="1219">
        <f ca="1">IFERROR(LEN(IF(OR(LEFT(LineupsData[[#This Row],[P_Box]],1)="$",LEFT(LineupsData[[#This Row],[P_Box]],1)="S"),RIGHT(LineupsData[[#This Row],[P_Box]],LEN(LineupsData[[#This Row],[P_Box]])-1),LineupsData[[#This Row],[P_Box]])),"")</f>
        <v>0</v>
      </c>
      <c r="L39" s="1219">
        <f t="array" aca="1" ref="L39" ca="1">INDIRECT($AA$24&amp;INDEX(LineupsSearch[],MATCH(LineupsData[[#This Row],[Home?]]&amp;LineupsData[[#Headers],[B1]],LineupsSearch[Home?]&amp;LineupsSearch[Item],1),3)&amp;LineupsData[[#This Row],[RefRow]])</f>
        <v>0</v>
      </c>
      <c r="M39" s="1219" t="str">
        <f t="array" aca="1" ref="M3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39" s="1219">
        <f ca="1">IFERROR(LEN(IF(OR(LEFT(LineupsData[[#This Row],[B1_Box]],1)="$",LEFT(LineupsData[[#This Row],[B1_Box]],1)="S"),RIGHT(LineupsData[[#This Row],[B1_Box]],LEN(LineupsData[[#This Row],[B1_Box]])-1),LineupsData[[#This Row],[B1_Box]])),"")</f>
        <v>0</v>
      </c>
      <c r="O39" s="1219">
        <f t="array" aca="1" ref="O39" ca="1">INDIRECT($AA$24&amp;INDEX(LineupsSearch[],MATCH(LineupsData[[#This Row],[Home?]]&amp;LineupsData[[#Headers],[B2]],LineupsSearch[Home?]&amp;LineupsSearch[Item],1),3)&amp;LineupsData[[#This Row],[RefRow]])</f>
        <v>0</v>
      </c>
      <c r="P39" s="1219" t="str">
        <f t="array" aca="1" ref="P3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39" s="1219">
        <f ca="1">IFERROR(LEN(IF(OR(LEFT(LineupsData[[#This Row],[B2_Box]],1)="$",LEFT(LineupsData[[#This Row],[B2_Box]],1)="S"),RIGHT(LineupsData[[#This Row],[B2_Box]],LEN(LineupsData[[#This Row],[B2_Box]])-1),LineupsData[[#This Row],[B2_Box]])),"")</f>
        <v>0</v>
      </c>
      <c r="R39" s="1219">
        <f t="array" aca="1" ref="R39" ca="1">INDIRECT($AA$24&amp;INDEX(LineupsSearch[],MATCH(LineupsData[[#This Row],[Home?]]&amp;LineupsData[[#Headers],[B3]],LineupsSearch[Home?]&amp;LineupsSearch[Item],1),3)&amp;LineupsData[[#This Row],[RefRow]])</f>
        <v>0</v>
      </c>
      <c r="S39" s="1219" t="str">
        <f t="array" aca="1" ref="S3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39" s="1219">
        <f ca="1">IFERROR(LEN(IF(OR(LEFT(LineupsData[[#This Row],[B3_Box]],1)="$",LEFT(LineupsData[[#This Row],[B3_Box]],1)="S"),RIGHT(LineupsData[[#This Row],[B3_Box]],LEN(LineupsData[[#This Row],[B3_Box]])-1),LineupsData[[#This Row],[B3_Box]])),"")</f>
        <v>0</v>
      </c>
      <c r="U39" s="1219" t="b">
        <f t="array" aca="1" ref="U3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39" s="1219" t="b">
        <v>1</v>
      </c>
      <c r="W39" s="1219">
        <v>41</v>
      </c>
      <c r="Y39" s="1209" t="b">
        <v>1</v>
      </c>
      <c r="Z39" s="1216" t="s">
        <v>706</v>
      </c>
      <c r="AA39" s="1227" t="s">
        <v>737</v>
      </c>
      <c r="AB39" s="1228" t="s">
        <v>738</v>
      </c>
      <c r="AC39" s="1228" t="s">
        <v>739</v>
      </c>
    </row>
    <row r="40" spans="1:29" x14ac:dyDescent="0.25">
      <c r="A40" s="1218">
        <f>[1]IBRF!$B$5</f>
        <v>41734</v>
      </c>
      <c r="B40" s="1221">
        <f t="shared" si="0"/>
        <v>0.83333333333333337</v>
      </c>
      <c r="C40" s="1219">
        <v>1</v>
      </c>
      <c r="D40" s="1219">
        <f t="array" aca="1" ref="D40" ca="1">IF(LineupsData[[#This Row],[Passed?]],D39,IF(INDIRECT($AA$24&amp;INDEX(LineupsSearch[],MATCH(LineupsData[[#This Row],[Home?]]&amp;"Jam",LineupsSearch[Home?]&amp;LineupsSearch[Item],1),3)&amp;LineupsData[[#This Row],[RefRow]])="",0,INDIRECT($AA$24&amp;INDEX(LineupsSearch[],MATCH(LineupsData[[#This Row],[Home?]]&amp;"Jam",LineupsSearch[Home?]&amp;LineupsSearch[Item],1),3)&amp;LineupsData[[#This Row],[RefRow]])))</f>
        <v>1</v>
      </c>
      <c r="E40" s="1219" t="str">
        <f t="shared" ref="E40:E77" si="2">$AA$3</f>
        <v>Harlots</v>
      </c>
      <c r="F40" s="1219" t="str">
        <f t="array" aca="1" ref="F40" ca="1">INDIRECT($AA$24&amp;INDEX(LineupsSearch[],MATCH(LineupsData[[#This Row],[Home?]]&amp;LineupsData[[#Headers],[Jammer]],LineupsSearch[Home?]&amp;LineupsSearch[Item],1),3)&amp;LineupsData[[#This Row],[RefRow]])</f>
        <v>11G6</v>
      </c>
      <c r="G40" s="1219" t="str">
        <f t="array" aca="1" ref="G4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40" s="1219">
        <f ca="1">IFERROR(LEN(IF(OR(LEFT(LineupsData[[#This Row],[J_Box]],1)="$",LEFT(LineupsData[[#This Row],[J_Box]],1)="S"),RIGHT(LineupsData[[#This Row],[J_Box]],LEN(LineupsData[[#This Row],[J_Box]])-1),LineupsData[[#This Row],[J_Box]])),"")</f>
        <v>1</v>
      </c>
      <c r="I40" s="1219" t="str">
        <f t="array" aca="1" ref="I40" ca="1">INDIRECT($AA$24&amp;INDEX(LineupsSearch[],MATCH(LineupsData[[#This Row],[Home?]]&amp;LineupsData[[#Headers],[Pivot]],LineupsSearch[Home?]&amp;LineupsSearch[Item],1),3)&amp;LineupsData[[#This Row],[RefRow]])</f>
        <v>45</v>
      </c>
      <c r="J40" s="1219" t="str">
        <f t="array" aca="1" ref="J4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40" s="1219">
        <f ca="1">IFERROR(LEN(IF(OR(LEFT(LineupsData[[#This Row],[P_Box]],1)="$",LEFT(LineupsData[[#This Row],[P_Box]],1)="S"),RIGHT(LineupsData[[#This Row],[P_Box]],LEN(LineupsData[[#This Row],[P_Box]])-1),LineupsData[[#This Row],[P_Box]])),"")</f>
        <v>0</v>
      </c>
      <c r="L40" s="1219" t="str">
        <f t="array" aca="1" ref="L40" ca="1">INDIRECT($AA$24&amp;INDEX(LineupsSearch[],MATCH(LineupsData[[#This Row],[Home?]]&amp;LineupsData[[#Headers],[B1]],LineupsSearch[Home?]&amp;LineupsSearch[Item],1),3)&amp;LineupsData[[#This Row],[RefRow]])</f>
        <v>2611</v>
      </c>
      <c r="M40" s="1219" t="str">
        <f t="array" aca="1" ref="M4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40" s="1219">
        <f ca="1">IFERROR(LEN(IF(OR(LEFT(LineupsData[[#This Row],[B1_Box]],1)="$",LEFT(LineupsData[[#This Row],[B1_Box]],1)="S"),RIGHT(LineupsData[[#This Row],[B1_Box]],LEN(LineupsData[[#This Row],[B1_Box]])-1),LineupsData[[#This Row],[B1_Box]])),"")</f>
        <v>0</v>
      </c>
      <c r="O40" s="1219" t="str">
        <f t="array" aca="1" ref="O40" ca="1">INDIRECT($AA$24&amp;INDEX(LineupsSearch[],MATCH(LineupsData[[#This Row],[Home?]]&amp;LineupsData[[#Headers],[B2]],LineupsSearch[Home?]&amp;LineupsSearch[Item],1),3)&amp;LineupsData[[#This Row],[RefRow]])</f>
        <v>932</v>
      </c>
      <c r="P40" s="1219" t="str">
        <f t="array" aca="1" ref="P4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40" s="1219">
        <f ca="1">IFERROR(LEN(IF(OR(LEFT(LineupsData[[#This Row],[B2_Box]],1)="$",LEFT(LineupsData[[#This Row],[B2_Box]],1)="S"),RIGHT(LineupsData[[#This Row],[B2_Box]],LEN(LineupsData[[#This Row],[B2_Box]])-1),LineupsData[[#This Row],[B2_Box]])),"")</f>
        <v>0</v>
      </c>
      <c r="R40" s="1219" t="str">
        <f t="array" aca="1" ref="R40" ca="1">INDIRECT($AA$24&amp;INDEX(LineupsSearch[],MATCH(LineupsData[[#This Row],[Home?]]&amp;LineupsData[[#Headers],[B3]],LineupsSearch[Home?]&amp;LineupsSearch[Item],1),3)&amp;LineupsData[[#This Row],[RefRow]])</f>
        <v>237</v>
      </c>
      <c r="S40" s="1219" t="str">
        <f t="array" aca="1" ref="S4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40" s="1219">
        <f ca="1">IFERROR(LEN(IF(OR(LEFT(LineupsData[[#This Row],[B3_Box]],1)="$",LEFT(LineupsData[[#This Row],[B3_Box]],1)="S"),RIGHT(LineupsData[[#This Row],[B3_Box]],LEN(LineupsData[[#This Row],[B3_Box]])-1),LineupsData[[#This Row],[B3_Box]])),"")</f>
        <v>0</v>
      </c>
      <c r="U40" s="1219" t="b">
        <f t="array" aca="1" ref="U4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40" s="1219" t="b">
        <v>0</v>
      </c>
      <c r="W40" s="1219">
        <v>4</v>
      </c>
      <c r="Y40" s="1209" t="b">
        <v>1</v>
      </c>
      <c r="Z40" s="1216" t="s">
        <v>708</v>
      </c>
      <c r="AA40" s="1216" t="s">
        <v>740</v>
      </c>
      <c r="AB40" s="1224"/>
      <c r="AC40" s="1224"/>
    </row>
    <row r="41" spans="1:29" x14ac:dyDescent="0.25">
      <c r="A41" s="1218">
        <f>[1]IBRF!$B$5</f>
        <v>41734</v>
      </c>
      <c r="B41" s="1221">
        <f t="shared" si="0"/>
        <v>0.83333333333333337</v>
      </c>
      <c r="C41" s="1219">
        <v>1</v>
      </c>
      <c r="D41" s="1219">
        <f t="array" aca="1" ref="D41" ca="1">IF(LineupsData[[#This Row],[Passed?]],D40,IF(INDIRECT($AA$24&amp;INDEX(LineupsSearch[],MATCH(LineupsData[[#This Row],[Home?]]&amp;"Jam",LineupsSearch[Home?]&amp;LineupsSearch[Item],1),3)&amp;LineupsData[[#This Row],[RefRow]])="",0,INDIRECT($AA$24&amp;INDEX(LineupsSearch[],MATCH(LineupsData[[#This Row],[Home?]]&amp;"Jam",LineupsSearch[Home?]&amp;LineupsSearch[Item],1),3)&amp;LineupsData[[#This Row],[RefRow]])))</f>
        <v>2</v>
      </c>
      <c r="E41" s="1219" t="str">
        <f t="shared" si="2"/>
        <v>Harlots</v>
      </c>
      <c r="F41" s="1219" t="str">
        <f t="array" aca="1" ref="F41" ca="1">INDIRECT($AA$24&amp;INDEX(LineupsSearch[],MATCH(LineupsData[[#This Row],[Home?]]&amp;LineupsData[[#Headers],[Jammer]],LineupsSearch[Home?]&amp;LineupsSearch[Item],1),3)&amp;LineupsData[[#This Row],[RefRow]])</f>
        <v>58</v>
      </c>
      <c r="G41" s="1219" t="str">
        <f t="array" aca="1" ref="G4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41" s="1219">
        <f ca="1">IFERROR(LEN(IF(OR(LEFT(LineupsData[[#This Row],[J_Box]],1)="$",LEFT(LineupsData[[#This Row],[J_Box]],1)="S"),RIGHT(LineupsData[[#This Row],[J_Box]],LEN(LineupsData[[#This Row],[J_Box]])-1),LineupsData[[#This Row],[J_Box]])),"")</f>
        <v>1</v>
      </c>
      <c r="I41" s="1219" t="str">
        <f t="array" aca="1" ref="I41" ca="1">INDIRECT($AA$24&amp;INDEX(LineupsSearch[],MATCH(LineupsData[[#This Row],[Home?]]&amp;LineupsData[[#Headers],[Pivot]],LineupsSearch[Home?]&amp;LineupsSearch[Item],1),3)&amp;LineupsData[[#This Row],[RefRow]])</f>
        <v>26</v>
      </c>
      <c r="J41" s="1219" t="str">
        <f t="array" aca="1" ref="J4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41" s="1219">
        <f ca="1">IFERROR(LEN(IF(OR(LEFT(LineupsData[[#This Row],[P_Box]],1)="$",LEFT(LineupsData[[#This Row],[P_Box]],1)="S"),RIGHT(LineupsData[[#This Row],[P_Box]],LEN(LineupsData[[#This Row],[P_Box]])-1),LineupsData[[#This Row],[P_Box]])),"")</f>
        <v>0</v>
      </c>
      <c r="L41" s="1219" t="str">
        <f t="array" aca="1" ref="L41" ca="1">INDIRECT($AA$24&amp;INDEX(LineupsSearch[],MATCH(LineupsData[[#This Row],[Home?]]&amp;LineupsData[[#Headers],[B1]],LineupsSearch[Home?]&amp;LineupsSearch[Item],1),3)&amp;LineupsData[[#This Row],[RefRow]])</f>
        <v>11</v>
      </c>
      <c r="M41" s="1219" t="str">
        <f t="array" aca="1" ref="M4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41" s="1219">
        <f ca="1">IFERROR(LEN(IF(OR(LEFT(LineupsData[[#This Row],[B1_Box]],1)="$",LEFT(LineupsData[[#This Row],[B1_Box]],1)="S"),RIGHT(LineupsData[[#This Row],[B1_Box]],LEN(LineupsData[[#This Row],[B1_Box]])-1),LineupsData[[#This Row],[B1_Box]])),"")</f>
        <v>0</v>
      </c>
      <c r="O41" s="1219" t="str">
        <f t="array" aca="1" ref="O41" ca="1">INDIRECT($AA$24&amp;INDEX(LineupsSearch[],MATCH(LineupsData[[#This Row],[Home?]]&amp;LineupsData[[#Headers],[B2]],LineupsSearch[Home?]&amp;LineupsSearch[Item],1),3)&amp;LineupsData[[#This Row],[RefRow]])</f>
        <v>519</v>
      </c>
      <c r="P41" s="1219" t="str">
        <f t="array" aca="1" ref="P4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X</v>
      </c>
      <c r="Q41" s="1219">
        <f ca="1">IFERROR(LEN(IF(OR(LEFT(LineupsData[[#This Row],[B2_Box]],1)="$",LEFT(LineupsData[[#This Row],[B2_Box]],1)="S"),RIGHT(LineupsData[[#This Row],[B2_Box]],LEN(LineupsData[[#This Row],[B2_Box]])-1),LineupsData[[#This Row],[B2_Box]])),"")</f>
        <v>1</v>
      </c>
      <c r="R41" s="1219" t="str">
        <f t="array" aca="1" ref="R41" ca="1">INDIRECT($AA$24&amp;INDEX(LineupsSearch[],MATCH(LineupsData[[#This Row],[Home?]]&amp;LineupsData[[#Headers],[B3]],LineupsSearch[Home?]&amp;LineupsSearch[Item],1),3)&amp;LineupsData[[#This Row],[RefRow]])</f>
        <v>152</v>
      </c>
      <c r="S41" s="1219" t="str">
        <f t="array" aca="1" ref="S4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41" s="1219">
        <f ca="1">IFERROR(LEN(IF(OR(LEFT(LineupsData[[#This Row],[B3_Box]],1)="$",LEFT(LineupsData[[#This Row],[B3_Box]],1)="S"),RIGHT(LineupsData[[#This Row],[B3_Box]],LEN(LineupsData[[#This Row],[B3_Box]])-1),LineupsData[[#This Row],[B3_Box]])),"")</f>
        <v>0</v>
      </c>
      <c r="U41" s="1223" t="b">
        <f t="array" aca="1" ref="U4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41" s="1219" t="b">
        <v>0</v>
      </c>
      <c r="W41" s="1219">
        <v>5</v>
      </c>
      <c r="Y41" s="1224" t="b">
        <v>1</v>
      </c>
      <c r="Z41" s="1225" t="s">
        <v>709</v>
      </c>
      <c r="AA41" s="1216" t="s">
        <v>741</v>
      </c>
      <c r="AB41" s="1225" t="s">
        <v>700</v>
      </c>
      <c r="AC41" s="1225" t="s">
        <v>742</v>
      </c>
    </row>
    <row r="42" spans="1:29" x14ac:dyDescent="0.25">
      <c r="A42" s="1218">
        <f>[1]IBRF!$B$5</f>
        <v>41734</v>
      </c>
      <c r="B42" s="1221">
        <f t="shared" si="0"/>
        <v>0.83333333333333337</v>
      </c>
      <c r="C42" s="1219">
        <v>1</v>
      </c>
      <c r="D42" s="1219">
        <f t="array" aca="1" ref="D42" ca="1">IF(LineupsData[[#This Row],[Passed?]],D41,IF(INDIRECT($AA$24&amp;INDEX(LineupsSearch[],MATCH(LineupsData[[#This Row],[Home?]]&amp;"Jam",LineupsSearch[Home?]&amp;LineupsSearch[Item],1),3)&amp;LineupsData[[#This Row],[RefRow]])="",0,INDIRECT($AA$24&amp;INDEX(LineupsSearch[],MATCH(LineupsData[[#This Row],[Home?]]&amp;"Jam",LineupsSearch[Home?]&amp;LineupsSearch[Item],1),3)&amp;LineupsData[[#This Row],[RefRow]])))</f>
        <v>3</v>
      </c>
      <c r="E42" s="1219" t="str">
        <f t="shared" si="2"/>
        <v>Harlots</v>
      </c>
      <c r="F42" s="1219" t="str">
        <f t="array" aca="1" ref="F42" ca="1">INDIRECT($AA$24&amp;INDEX(LineupsSearch[],MATCH(LineupsData[[#This Row],[Home?]]&amp;LineupsData[[#Headers],[Jammer]],LineupsSearch[Home?]&amp;LineupsSearch[Item],1),3)&amp;LineupsData[[#This Row],[RefRow]])</f>
        <v>K9</v>
      </c>
      <c r="G42" s="1219" t="str">
        <f t="array" aca="1" ref="G4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42" s="1219">
        <f ca="1">IFERROR(LEN(IF(OR(LEFT(LineupsData[[#This Row],[J_Box]],1)="$",LEFT(LineupsData[[#This Row],[J_Box]],1)="S"),RIGHT(LineupsData[[#This Row],[J_Box]],LEN(LineupsData[[#This Row],[J_Box]])-1),LineupsData[[#This Row],[J_Box]])),"")</f>
        <v>0</v>
      </c>
      <c r="I42" s="1219" t="str">
        <f t="array" aca="1" ref="I42" ca="1">INDIRECT($AA$24&amp;INDEX(LineupsSearch[],MATCH(LineupsData[[#This Row],[Home?]]&amp;LineupsData[[#Headers],[Pivot]],LineupsSearch[Home?]&amp;LineupsSearch[Item],1),3)&amp;LineupsData[[#This Row],[RefRow]])</f>
        <v>45</v>
      </c>
      <c r="J42" s="1219" t="str">
        <f t="array" aca="1" ref="J4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42" s="1219">
        <f ca="1">IFERROR(LEN(IF(OR(LEFT(LineupsData[[#This Row],[P_Box]],1)="$",LEFT(LineupsData[[#This Row],[P_Box]],1)="S"),RIGHT(LineupsData[[#This Row],[P_Box]],LEN(LineupsData[[#This Row],[P_Box]])-1),LineupsData[[#This Row],[P_Box]])),"")</f>
        <v>0</v>
      </c>
      <c r="L42" s="1219" t="str">
        <f t="array" aca="1" ref="L42" ca="1">INDIRECT($AA$24&amp;INDEX(LineupsSearch[],MATCH(LineupsData[[#This Row],[Home?]]&amp;LineupsData[[#Headers],[B1]],LineupsSearch[Home?]&amp;LineupsSearch[Item],1),3)&amp;LineupsData[[#This Row],[RefRow]])</f>
        <v>H20</v>
      </c>
      <c r="M42" s="1219" t="str">
        <f t="array" aca="1" ref="M4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42" s="1219">
        <f ca="1">IFERROR(LEN(IF(OR(LEFT(LineupsData[[#This Row],[B1_Box]],1)="$",LEFT(LineupsData[[#This Row],[B1_Box]],1)="S"),RIGHT(LineupsData[[#This Row],[B1_Box]],LEN(LineupsData[[#This Row],[B1_Box]])-1),LineupsData[[#This Row],[B1_Box]])),"")</f>
        <v>0</v>
      </c>
      <c r="O42" s="1219" t="str">
        <f t="array" aca="1" ref="O42" ca="1">INDIRECT($AA$24&amp;INDEX(LineupsSearch[],MATCH(LineupsData[[#This Row],[Home?]]&amp;LineupsData[[#Headers],[B2]],LineupsSearch[Home?]&amp;LineupsSearch[Item],1),3)&amp;LineupsData[[#This Row],[RefRow]])</f>
        <v>2611</v>
      </c>
      <c r="P42" s="1219" t="str">
        <f t="array" aca="1" ref="P4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42" s="1219">
        <f ca="1">IFERROR(LEN(IF(OR(LEFT(LineupsData[[#This Row],[B2_Box]],1)="$",LEFT(LineupsData[[#This Row],[B2_Box]],1)="S"),RIGHT(LineupsData[[#This Row],[B2_Box]],LEN(LineupsData[[#This Row],[B2_Box]])-1),LineupsData[[#This Row],[B2_Box]])),"")</f>
        <v>0</v>
      </c>
      <c r="R42" s="1219" t="str">
        <f t="array" aca="1" ref="R42" ca="1">INDIRECT($AA$24&amp;INDEX(LineupsSearch[],MATCH(LineupsData[[#This Row],[Home?]]&amp;LineupsData[[#Headers],[B3]],LineupsSearch[Home?]&amp;LineupsSearch[Item],1),3)&amp;LineupsData[[#This Row],[RefRow]])</f>
        <v>237</v>
      </c>
      <c r="S42" s="1219" t="str">
        <f t="array" aca="1" ref="S4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42" s="1219">
        <f ca="1">IFERROR(LEN(IF(OR(LEFT(LineupsData[[#This Row],[B3_Box]],1)="$",LEFT(LineupsData[[#This Row],[B3_Box]],1)="S"),RIGHT(LineupsData[[#This Row],[B3_Box]],LEN(LineupsData[[#This Row],[B3_Box]])-1),LineupsData[[#This Row],[B3_Box]])),"")</f>
        <v>0</v>
      </c>
      <c r="U42" s="1219" t="b">
        <f t="array" aca="1" ref="U4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42" s="1219" t="b">
        <v>0</v>
      </c>
      <c r="W42" s="1219">
        <v>6</v>
      </c>
      <c r="Y42" s="1224" t="b">
        <v>1</v>
      </c>
      <c r="Z42" s="1224" t="s">
        <v>711</v>
      </c>
      <c r="AA42" s="1216" t="s">
        <v>698</v>
      </c>
      <c r="AB42" s="1224"/>
      <c r="AC42" s="1224"/>
    </row>
    <row r="43" spans="1:29" x14ac:dyDescent="0.25">
      <c r="A43" s="1218">
        <f>[1]IBRF!$B$5</f>
        <v>41734</v>
      </c>
      <c r="B43" s="1221">
        <f t="shared" si="0"/>
        <v>0.83333333333333337</v>
      </c>
      <c r="C43" s="1219">
        <v>1</v>
      </c>
      <c r="D43" s="1219">
        <f t="array" aca="1" ref="D43" ca="1">IF(LineupsData[[#This Row],[Passed?]],D42,IF(INDIRECT($AA$24&amp;INDEX(LineupsSearch[],MATCH(LineupsData[[#This Row],[Home?]]&amp;"Jam",LineupsSearch[Home?]&amp;LineupsSearch[Item],1),3)&amp;LineupsData[[#This Row],[RefRow]])="",0,INDIRECT($AA$24&amp;INDEX(LineupsSearch[],MATCH(LineupsData[[#This Row],[Home?]]&amp;"Jam",LineupsSearch[Home?]&amp;LineupsSearch[Item],1),3)&amp;LineupsData[[#This Row],[RefRow]])))</f>
        <v>4</v>
      </c>
      <c r="E43" s="1219" t="str">
        <f t="shared" si="2"/>
        <v>Harlots</v>
      </c>
      <c r="F43" s="1219" t="str">
        <f t="array" aca="1" ref="F43" ca="1">INDIRECT($AA$24&amp;INDEX(LineupsSearch[],MATCH(LineupsData[[#This Row],[Home?]]&amp;LineupsData[[#Headers],[Jammer]],LineupsSearch[Home?]&amp;LineupsSearch[Item],1),3)&amp;LineupsData[[#This Row],[RefRow]])</f>
        <v>451</v>
      </c>
      <c r="G43" s="1219" t="str">
        <f t="array" aca="1" ref="G4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43" s="1219">
        <f ca="1">IFERROR(LEN(IF(OR(LEFT(LineupsData[[#This Row],[J_Box]],1)="$",LEFT(LineupsData[[#This Row],[J_Box]],1)="S"),RIGHT(LineupsData[[#This Row],[J_Box]],LEN(LineupsData[[#This Row],[J_Box]])-1),LineupsData[[#This Row],[J_Box]])),"")</f>
        <v>0</v>
      </c>
      <c r="I43" s="1219" t="str">
        <f t="array" aca="1" ref="I43" ca="1">INDIRECT($AA$24&amp;INDEX(LineupsSearch[],MATCH(LineupsData[[#This Row],[Home?]]&amp;LineupsData[[#Headers],[Pivot]],LineupsSearch[Home?]&amp;LineupsSearch[Item],1),3)&amp;LineupsData[[#This Row],[RefRow]])</f>
        <v>26</v>
      </c>
      <c r="J43" s="1219" t="str">
        <f t="array" aca="1" ref="J4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43" s="1219">
        <f ca="1">IFERROR(LEN(IF(OR(LEFT(LineupsData[[#This Row],[P_Box]],1)="$",LEFT(LineupsData[[#This Row],[P_Box]],1)="S"),RIGHT(LineupsData[[#This Row],[P_Box]],LEN(LineupsData[[#This Row],[P_Box]])-1),LineupsData[[#This Row],[P_Box]])),"")</f>
        <v>0</v>
      </c>
      <c r="L43" s="1219" t="str">
        <f t="array" aca="1" ref="L43" ca="1">INDIRECT($AA$24&amp;INDEX(LineupsSearch[],MATCH(LineupsData[[#This Row],[Home?]]&amp;LineupsData[[#Headers],[B1]],LineupsSearch[Home?]&amp;LineupsSearch[Item],1),3)&amp;LineupsData[[#This Row],[RefRow]])</f>
        <v>932</v>
      </c>
      <c r="M43" s="1219" t="str">
        <f t="array" aca="1" ref="M4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43" s="1219">
        <f ca="1">IFERROR(LEN(IF(OR(LEFT(LineupsData[[#This Row],[B1_Box]],1)="$",LEFT(LineupsData[[#This Row],[B1_Box]],1)="S"),RIGHT(LineupsData[[#This Row],[B1_Box]],LEN(LineupsData[[#This Row],[B1_Box]])-1),LineupsData[[#This Row],[B1_Box]])),"")</f>
        <v>0</v>
      </c>
      <c r="O43" s="1219" t="str">
        <f t="array" aca="1" ref="O43" ca="1">INDIRECT($AA$24&amp;INDEX(LineupsSearch[],MATCH(LineupsData[[#This Row],[Home?]]&amp;LineupsData[[#Headers],[B2]],LineupsSearch[Home?]&amp;LineupsSearch[Item],1),3)&amp;LineupsData[[#This Row],[RefRow]])</f>
        <v>11</v>
      </c>
      <c r="P43" s="1219" t="str">
        <f t="array" aca="1" ref="P4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43" s="1219">
        <f ca="1">IFERROR(LEN(IF(OR(LEFT(LineupsData[[#This Row],[B2_Box]],1)="$",LEFT(LineupsData[[#This Row],[B2_Box]],1)="S"),RIGHT(LineupsData[[#This Row],[B2_Box]],LEN(LineupsData[[#This Row],[B2_Box]])-1),LineupsData[[#This Row],[B2_Box]])),"")</f>
        <v>0</v>
      </c>
      <c r="R43" s="1219" t="str">
        <f t="array" aca="1" ref="R43" ca="1">INDIRECT($AA$24&amp;INDEX(LineupsSearch[],MATCH(LineupsData[[#This Row],[Home?]]&amp;LineupsData[[#Headers],[B3]],LineupsSearch[Home?]&amp;LineupsSearch[Item],1),3)&amp;LineupsData[[#This Row],[RefRow]])</f>
        <v>519</v>
      </c>
      <c r="S43" s="1219" t="str">
        <f t="array" aca="1" ref="S4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43" s="1219">
        <f ca="1">IFERROR(LEN(IF(OR(LEFT(LineupsData[[#This Row],[B3_Box]],1)="$",LEFT(LineupsData[[#This Row],[B3_Box]],1)="S"),RIGHT(LineupsData[[#This Row],[B3_Box]],LEN(LineupsData[[#This Row],[B3_Box]])-1),LineupsData[[#This Row],[B3_Box]])),"")</f>
        <v>0</v>
      </c>
      <c r="U43" s="1219" t="b">
        <f t="array" aca="1" ref="U4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43" s="1219" t="b">
        <v>0</v>
      </c>
      <c r="W43" s="1219">
        <v>7</v>
      </c>
      <c r="Y43" s="1224" t="b">
        <v>1</v>
      </c>
      <c r="Z43" s="1225" t="s">
        <v>712</v>
      </c>
      <c r="AA43" s="1225" t="s">
        <v>688</v>
      </c>
      <c r="AB43" s="1225" t="s">
        <v>689</v>
      </c>
      <c r="AC43" s="1225" t="s">
        <v>743</v>
      </c>
    </row>
    <row r="44" spans="1:29" x14ac:dyDescent="0.25">
      <c r="A44" s="1218">
        <f>[1]IBRF!$B$5</f>
        <v>41734</v>
      </c>
      <c r="B44" s="1221">
        <f t="shared" si="0"/>
        <v>0.83333333333333337</v>
      </c>
      <c r="C44" s="1219">
        <v>1</v>
      </c>
      <c r="D44" s="1219">
        <f t="array" aca="1" ref="D44" ca="1">IF(LineupsData[[#This Row],[Passed?]],D43,IF(INDIRECT($AA$24&amp;INDEX(LineupsSearch[],MATCH(LineupsData[[#This Row],[Home?]]&amp;"Jam",LineupsSearch[Home?]&amp;LineupsSearch[Item],1),3)&amp;LineupsData[[#This Row],[RefRow]])="",0,INDIRECT($AA$24&amp;INDEX(LineupsSearch[],MATCH(LineupsData[[#This Row],[Home?]]&amp;"Jam",LineupsSearch[Home?]&amp;LineupsSearch[Item],1),3)&amp;LineupsData[[#This Row],[RefRow]])))</f>
        <v>5</v>
      </c>
      <c r="E44" s="1219" t="str">
        <f t="shared" si="2"/>
        <v>Harlots</v>
      </c>
      <c r="F44" s="1219" t="str">
        <f t="array" aca="1" ref="F44" ca="1">INDIRECT($AA$24&amp;INDEX(LineupsSearch[],MATCH(LineupsData[[#This Row],[Home?]]&amp;LineupsData[[#Headers],[Jammer]],LineupsSearch[Home?]&amp;LineupsSearch[Item],1),3)&amp;LineupsData[[#This Row],[RefRow]])</f>
        <v>11G6</v>
      </c>
      <c r="G44" s="1219" t="str">
        <f t="array" aca="1" ref="G4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44" s="1219">
        <f ca="1">IFERROR(LEN(IF(OR(LEFT(LineupsData[[#This Row],[J_Box]],1)="$",LEFT(LineupsData[[#This Row],[J_Box]],1)="S"),RIGHT(LineupsData[[#This Row],[J_Box]],LEN(LineupsData[[#This Row],[J_Box]])-1),LineupsData[[#This Row],[J_Box]])),"")</f>
        <v>0</v>
      </c>
      <c r="I44" s="1219" t="str">
        <f t="array" aca="1" ref="I44" ca="1">INDIRECT($AA$24&amp;INDEX(LineupsSearch[],MATCH(LineupsData[[#This Row],[Home?]]&amp;LineupsData[[#Headers],[Pivot]],LineupsSearch[Home?]&amp;LineupsSearch[Item],1),3)&amp;LineupsData[[#This Row],[RefRow]])</f>
        <v>45</v>
      </c>
      <c r="J44" s="1219" t="str">
        <f t="array" aca="1" ref="J4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44" s="1219">
        <f ca="1">IFERROR(LEN(IF(OR(LEFT(LineupsData[[#This Row],[P_Box]],1)="$",LEFT(LineupsData[[#This Row],[P_Box]],1)="S"),RIGHT(LineupsData[[#This Row],[P_Box]],LEN(LineupsData[[#This Row],[P_Box]])-1),LineupsData[[#This Row],[P_Box]])),"")</f>
        <v>0</v>
      </c>
      <c r="L44" s="1219" t="str">
        <f t="array" aca="1" ref="L44" ca="1">INDIRECT($AA$24&amp;INDEX(LineupsSearch[],MATCH(LineupsData[[#This Row],[Home?]]&amp;LineupsData[[#Headers],[B1]],LineupsSearch[Home?]&amp;LineupsSearch[Item],1),3)&amp;LineupsData[[#This Row],[RefRow]])</f>
        <v>2611</v>
      </c>
      <c r="M44" s="1219" t="str">
        <f t="array" aca="1" ref="M4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44" s="1219">
        <f ca="1">IFERROR(LEN(IF(OR(LEFT(LineupsData[[#This Row],[B1_Box]],1)="$",LEFT(LineupsData[[#This Row],[B1_Box]],1)="S"),RIGHT(LineupsData[[#This Row],[B1_Box]],LEN(LineupsData[[#This Row],[B1_Box]])-1),LineupsData[[#This Row],[B1_Box]])),"")</f>
        <v>0</v>
      </c>
      <c r="O44" s="1219" t="str">
        <f t="array" aca="1" ref="O44" ca="1">INDIRECT($AA$24&amp;INDEX(LineupsSearch[],MATCH(LineupsData[[#This Row],[Home?]]&amp;LineupsData[[#Headers],[B2]],LineupsSearch[Home?]&amp;LineupsSearch[Item],1),3)&amp;LineupsData[[#This Row],[RefRow]])</f>
        <v>237</v>
      </c>
      <c r="P44" s="1219" t="str">
        <f t="array" aca="1" ref="P4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44" s="1219">
        <f ca="1">IFERROR(LEN(IF(OR(LEFT(LineupsData[[#This Row],[B2_Box]],1)="$",LEFT(LineupsData[[#This Row],[B2_Box]],1)="S"),RIGHT(LineupsData[[#This Row],[B2_Box]],LEN(LineupsData[[#This Row],[B2_Box]])-1),LineupsData[[#This Row],[B2_Box]])),"")</f>
        <v>0</v>
      </c>
      <c r="R44" s="1219" t="str">
        <f t="array" aca="1" ref="R44" ca="1">INDIRECT($AA$24&amp;INDEX(LineupsSearch[],MATCH(LineupsData[[#This Row],[Home?]]&amp;LineupsData[[#Headers],[B3]],LineupsSearch[Home?]&amp;LineupsSearch[Item],1),3)&amp;LineupsData[[#This Row],[RefRow]])</f>
        <v>152</v>
      </c>
      <c r="S44" s="1219" t="str">
        <f t="array" aca="1" ref="S4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44" s="1219">
        <f ca="1">IFERROR(LEN(IF(OR(LEFT(LineupsData[[#This Row],[B3_Box]],1)="$",LEFT(LineupsData[[#This Row],[B3_Box]],1)="S"),RIGHT(LineupsData[[#This Row],[B3_Box]],LEN(LineupsData[[#This Row],[B3_Box]])-1),LineupsData[[#This Row],[B3_Box]])),"")</f>
        <v>0</v>
      </c>
      <c r="U44" s="1219" t="b">
        <f t="array" aca="1" ref="U4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44" s="1219" t="b">
        <v>0</v>
      </c>
      <c r="W44" s="1219">
        <v>8</v>
      </c>
      <c r="Y44" s="1209" t="b">
        <v>1</v>
      </c>
      <c r="Z44" s="1216" t="s">
        <v>701</v>
      </c>
      <c r="AA44" s="1216" t="s">
        <v>697</v>
      </c>
      <c r="AB44" s="1225" t="s">
        <v>694</v>
      </c>
      <c r="AC44" s="1225" t="s">
        <v>744</v>
      </c>
    </row>
    <row r="45" spans="1:29" x14ac:dyDescent="0.25">
      <c r="A45" s="1218">
        <f>[1]IBRF!$B$5</f>
        <v>41734</v>
      </c>
      <c r="B45" s="1221">
        <f t="shared" si="0"/>
        <v>0.83333333333333337</v>
      </c>
      <c r="C45" s="1219">
        <v>1</v>
      </c>
      <c r="D45" s="1219">
        <f t="array" aca="1" ref="D45" ca="1">IF(LineupsData[[#This Row],[Passed?]],D44,IF(INDIRECT($AA$24&amp;INDEX(LineupsSearch[],MATCH(LineupsData[[#This Row],[Home?]]&amp;"Jam",LineupsSearch[Home?]&amp;LineupsSearch[Item],1),3)&amp;LineupsData[[#This Row],[RefRow]])="",0,INDIRECT($AA$24&amp;INDEX(LineupsSearch[],MATCH(LineupsData[[#This Row],[Home?]]&amp;"Jam",LineupsSearch[Home?]&amp;LineupsSearch[Item],1),3)&amp;LineupsData[[#This Row],[RefRow]])))</f>
        <v>6</v>
      </c>
      <c r="E45" s="1219" t="str">
        <f t="shared" si="2"/>
        <v>Harlots</v>
      </c>
      <c r="F45" s="1219" t="str">
        <f t="array" aca="1" ref="F45" ca="1">INDIRECT($AA$24&amp;INDEX(LineupsSearch[],MATCH(LineupsData[[#This Row],[Home?]]&amp;LineupsData[[#Headers],[Jammer]],LineupsSearch[Home?]&amp;LineupsSearch[Item],1),3)&amp;LineupsData[[#This Row],[RefRow]])</f>
        <v>58</v>
      </c>
      <c r="G45" s="1219" t="str">
        <f t="array" aca="1" ref="G4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45" s="1219">
        <f ca="1">IFERROR(LEN(IF(OR(LEFT(LineupsData[[#This Row],[J_Box]],1)="$",LEFT(LineupsData[[#This Row],[J_Box]],1)="S"),RIGHT(LineupsData[[#This Row],[J_Box]],LEN(LineupsData[[#This Row],[J_Box]])-1),LineupsData[[#This Row],[J_Box]])),"")</f>
        <v>0</v>
      </c>
      <c r="I45" s="1219" t="str">
        <f t="array" aca="1" ref="I45" ca="1">INDIRECT($AA$24&amp;INDEX(LineupsSearch[],MATCH(LineupsData[[#This Row],[Home?]]&amp;LineupsData[[#Headers],[Pivot]],LineupsSearch[Home?]&amp;LineupsSearch[Item],1),3)&amp;LineupsData[[#This Row],[RefRow]])</f>
        <v>26</v>
      </c>
      <c r="J45" s="1219" t="str">
        <f t="array" aca="1" ref="J4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45" s="1219">
        <f ca="1">IFERROR(LEN(IF(OR(LEFT(LineupsData[[#This Row],[P_Box]],1)="$",LEFT(LineupsData[[#This Row],[P_Box]],1)="S"),RIGHT(LineupsData[[#This Row],[P_Box]],LEN(LineupsData[[#This Row],[P_Box]])-1),LineupsData[[#This Row],[P_Box]])),"")</f>
        <v>0</v>
      </c>
      <c r="L45" s="1219" t="str">
        <f t="array" aca="1" ref="L45" ca="1">INDIRECT($AA$24&amp;INDEX(LineupsSearch[],MATCH(LineupsData[[#This Row],[Home?]]&amp;LineupsData[[#Headers],[B1]],LineupsSearch[Home?]&amp;LineupsSearch[Item],1),3)&amp;LineupsData[[#This Row],[RefRow]])</f>
        <v>11</v>
      </c>
      <c r="M45" s="1219" t="str">
        <f t="array" aca="1" ref="M4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45" s="1219">
        <f ca="1">IFERROR(LEN(IF(OR(LEFT(LineupsData[[#This Row],[B1_Box]],1)="$",LEFT(LineupsData[[#This Row],[B1_Box]],1)="S"),RIGHT(LineupsData[[#This Row],[B1_Box]],LEN(LineupsData[[#This Row],[B1_Box]])-1),LineupsData[[#This Row],[B1_Box]])),"")</f>
        <v>0</v>
      </c>
      <c r="O45" s="1219" t="str">
        <f t="array" aca="1" ref="O45" ca="1">INDIRECT($AA$24&amp;INDEX(LineupsSearch[],MATCH(LineupsData[[#This Row],[Home?]]&amp;LineupsData[[#Headers],[B2]],LineupsSearch[Home?]&amp;LineupsSearch[Item],1),3)&amp;LineupsData[[#This Row],[RefRow]])</f>
        <v>H20</v>
      </c>
      <c r="P45" s="1219" t="str">
        <f t="array" aca="1" ref="P4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45" s="1219">
        <f ca="1">IFERROR(LEN(IF(OR(LEFT(LineupsData[[#This Row],[B2_Box]],1)="$",LEFT(LineupsData[[#This Row],[B2_Box]],1)="S"),RIGHT(LineupsData[[#This Row],[B2_Box]],LEN(LineupsData[[#This Row],[B2_Box]])-1),LineupsData[[#This Row],[B2_Box]])),"")</f>
        <v>0</v>
      </c>
      <c r="R45" s="1219" t="str">
        <f t="array" aca="1" ref="R45" ca="1">INDIRECT($AA$24&amp;INDEX(LineupsSearch[],MATCH(LineupsData[[#This Row],[Home?]]&amp;LineupsData[[#Headers],[B3]],LineupsSearch[Home?]&amp;LineupsSearch[Item],1),3)&amp;LineupsData[[#This Row],[RefRow]])</f>
        <v>519</v>
      </c>
      <c r="S45" s="1219" t="str">
        <f t="array" aca="1" ref="S4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45" s="1219">
        <f ca="1">IFERROR(LEN(IF(OR(LEFT(LineupsData[[#This Row],[B3_Box]],1)="$",LEFT(LineupsData[[#This Row],[B3_Box]],1)="S"),RIGHT(LineupsData[[#This Row],[B3_Box]],LEN(LineupsData[[#This Row],[B3_Box]])-1),LineupsData[[#This Row],[B3_Box]])),"")</f>
        <v>0</v>
      </c>
      <c r="U45" s="1219" t="b">
        <f t="array" aca="1" ref="U4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45" s="1219" t="b">
        <v>0</v>
      </c>
      <c r="W45" s="1219">
        <v>9</v>
      </c>
      <c r="Y45" s="1224" t="b">
        <v>1</v>
      </c>
      <c r="Z45" s="1225" t="s">
        <v>370</v>
      </c>
      <c r="AA45" s="1225" t="s">
        <v>695</v>
      </c>
      <c r="AB45" s="1224"/>
      <c r="AC45" s="1224"/>
    </row>
    <row r="46" spans="1:29" x14ac:dyDescent="0.25">
      <c r="A46" s="1218">
        <f>[1]IBRF!$B$5</f>
        <v>41734</v>
      </c>
      <c r="B46" s="1221">
        <f t="shared" si="0"/>
        <v>0.83333333333333337</v>
      </c>
      <c r="C46" s="1219">
        <v>1</v>
      </c>
      <c r="D46" s="1219">
        <f t="array" aca="1" ref="D46" ca="1">IF(LineupsData[[#This Row],[Passed?]],D45,IF(INDIRECT($AA$24&amp;INDEX(LineupsSearch[],MATCH(LineupsData[[#This Row],[Home?]]&amp;"Jam",LineupsSearch[Home?]&amp;LineupsSearch[Item],1),3)&amp;LineupsData[[#This Row],[RefRow]])="",0,INDIRECT($AA$24&amp;INDEX(LineupsSearch[],MATCH(LineupsData[[#This Row],[Home?]]&amp;"Jam",LineupsSearch[Home?]&amp;LineupsSearch[Item],1),3)&amp;LineupsData[[#This Row],[RefRow]])))</f>
        <v>6</v>
      </c>
      <c r="E46" s="1219" t="str">
        <f t="shared" si="2"/>
        <v>Harlots</v>
      </c>
      <c r="F46" s="1219" t="str">
        <f t="array" aca="1" ref="F46" ca="1">INDIRECT($AA$24&amp;INDEX(LineupsSearch[],MATCH(LineupsData[[#This Row],[Home?]]&amp;LineupsData[[#Headers],[Jammer]],LineupsSearch[Home?]&amp;LineupsSearch[Item],1),3)&amp;LineupsData[[#This Row],[RefRow]])</f>
        <v>26</v>
      </c>
      <c r="G46" s="1219" t="str">
        <f t="array" aca="1" ref="G4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46" s="1219">
        <f ca="1">IFERROR(LEN(IF(OR(LEFT(LineupsData[[#This Row],[J_Box]],1)="$",LEFT(LineupsData[[#This Row],[J_Box]],1)="S"),RIGHT(LineupsData[[#This Row],[J_Box]],LEN(LineupsData[[#This Row],[J_Box]])-1),LineupsData[[#This Row],[J_Box]])),"")</f>
        <v>0</v>
      </c>
      <c r="I46" s="1219">
        <f t="array" aca="1" ref="I46" ca="1">INDIRECT($AA$24&amp;INDEX(LineupsSearch[],MATCH(LineupsData[[#This Row],[Home?]]&amp;LineupsData[[#Headers],[Pivot]],LineupsSearch[Home?]&amp;LineupsSearch[Item],1),3)&amp;LineupsData[[#This Row],[RefRow]])</f>
        <v>0</v>
      </c>
      <c r="J46" s="1219" t="str">
        <f t="array" aca="1" ref="J4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46" s="1219">
        <f ca="1">IFERROR(LEN(IF(OR(LEFT(LineupsData[[#This Row],[P_Box]],1)="$",LEFT(LineupsData[[#This Row],[P_Box]],1)="S"),RIGHT(LineupsData[[#This Row],[P_Box]],LEN(LineupsData[[#This Row],[P_Box]])-1),LineupsData[[#This Row],[P_Box]])),"")</f>
        <v>0</v>
      </c>
      <c r="L46" s="1219">
        <f t="array" aca="1" ref="L46" ca="1">INDIRECT($AA$24&amp;INDEX(LineupsSearch[],MATCH(LineupsData[[#This Row],[Home?]]&amp;LineupsData[[#Headers],[B1]],LineupsSearch[Home?]&amp;LineupsSearch[Item],1),3)&amp;LineupsData[[#This Row],[RefRow]])</f>
        <v>0</v>
      </c>
      <c r="M46" s="1219" t="str">
        <f t="array" aca="1" ref="M4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46" s="1219">
        <f ca="1">IFERROR(LEN(IF(OR(LEFT(LineupsData[[#This Row],[B1_Box]],1)="$",LEFT(LineupsData[[#This Row],[B1_Box]],1)="S"),RIGHT(LineupsData[[#This Row],[B1_Box]],LEN(LineupsData[[#This Row],[B1_Box]])-1),LineupsData[[#This Row],[B1_Box]])),"")</f>
        <v>0</v>
      </c>
      <c r="O46" s="1219">
        <f t="array" aca="1" ref="O46" ca="1">INDIRECT($AA$24&amp;INDEX(LineupsSearch[],MATCH(LineupsData[[#This Row],[Home?]]&amp;LineupsData[[#Headers],[B2]],LineupsSearch[Home?]&amp;LineupsSearch[Item],1),3)&amp;LineupsData[[#This Row],[RefRow]])</f>
        <v>0</v>
      </c>
      <c r="P46" s="1219" t="str">
        <f t="array" aca="1" ref="P4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46" s="1219">
        <f ca="1">IFERROR(LEN(IF(OR(LEFT(LineupsData[[#This Row],[B2_Box]],1)="$",LEFT(LineupsData[[#This Row],[B2_Box]],1)="S"),RIGHT(LineupsData[[#This Row],[B2_Box]],LEN(LineupsData[[#This Row],[B2_Box]])-1),LineupsData[[#This Row],[B2_Box]])),"")</f>
        <v>0</v>
      </c>
      <c r="R46" s="1219">
        <f t="array" aca="1" ref="R46" ca="1">INDIRECT($AA$24&amp;INDEX(LineupsSearch[],MATCH(LineupsData[[#This Row],[Home?]]&amp;LineupsData[[#Headers],[B3]],LineupsSearch[Home?]&amp;LineupsSearch[Item],1),3)&amp;LineupsData[[#This Row],[RefRow]])</f>
        <v>0</v>
      </c>
      <c r="S46" s="1219" t="str">
        <f t="array" aca="1" ref="S4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46" s="1219">
        <f ca="1">IFERROR(LEN(IF(OR(LEFT(LineupsData[[#This Row],[B3_Box]],1)="$",LEFT(LineupsData[[#This Row],[B3_Box]],1)="S"),RIGHT(LineupsData[[#This Row],[B3_Box]],LEN(LineupsData[[#This Row],[B3_Box]])-1),LineupsData[[#This Row],[B3_Box]])),"")</f>
        <v>0</v>
      </c>
      <c r="U46" s="1219" t="b">
        <f t="array" aca="1" ref="U4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46" s="1219" t="b">
        <v>0</v>
      </c>
      <c r="W46" s="1219">
        <v>10</v>
      </c>
      <c r="Y46" s="1209" t="b">
        <v>1</v>
      </c>
      <c r="Z46" s="1216" t="s">
        <v>124</v>
      </c>
      <c r="AA46" s="1216" t="s">
        <v>745</v>
      </c>
      <c r="AB46" s="1224"/>
      <c r="AC46" s="1224"/>
    </row>
    <row r="47" spans="1:29" x14ac:dyDescent="0.25">
      <c r="A47" s="1218">
        <f>[1]IBRF!$B$5</f>
        <v>41734</v>
      </c>
      <c r="B47" s="1221">
        <f t="shared" si="0"/>
        <v>0.83333333333333337</v>
      </c>
      <c r="C47" s="1219">
        <v>1</v>
      </c>
      <c r="D47" s="1219">
        <f t="array" aca="1" ref="D47" ca="1">IF(LineupsData[[#This Row],[Passed?]],D46,IF(INDIRECT($AA$24&amp;INDEX(LineupsSearch[],MATCH(LineupsData[[#This Row],[Home?]]&amp;"Jam",LineupsSearch[Home?]&amp;LineupsSearch[Item],1),3)&amp;LineupsData[[#This Row],[RefRow]])="",0,INDIRECT($AA$24&amp;INDEX(LineupsSearch[],MATCH(LineupsData[[#This Row],[Home?]]&amp;"Jam",LineupsSearch[Home?]&amp;LineupsSearch[Item],1),3)&amp;LineupsData[[#This Row],[RefRow]])))</f>
        <v>7</v>
      </c>
      <c r="E47" s="1219" t="str">
        <f t="shared" si="2"/>
        <v>Harlots</v>
      </c>
      <c r="F47" s="1219" t="str">
        <f t="array" aca="1" ref="F47" ca="1">INDIRECT($AA$24&amp;INDEX(LineupsSearch[],MATCH(LineupsData[[#This Row],[Home?]]&amp;LineupsData[[#Headers],[Jammer]],LineupsSearch[Home?]&amp;LineupsSearch[Item],1),3)&amp;LineupsData[[#This Row],[RefRow]])</f>
        <v>K9</v>
      </c>
      <c r="G47" s="1219" t="str">
        <f t="array" aca="1" ref="G4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47" s="1219">
        <f ca="1">IFERROR(LEN(IF(OR(LEFT(LineupsData[[#This Row],[J_Box]],1)="$",LEFT(LineupsData[[#This Row],[J_Box]],1)="S"),RIGHT(LineupsData[[#This Row],[J_Box]],LEN(LineupsData[[#This Row],[J_Box]])-1),LineupsData[[#This Row],[J_Box]])),"")</f>
        <v>0</v>
      </c>
      <c r="I47" s="1219" t="str">
        <f t="array" aca="1" ref="I47" ca="1">INDIRECT($AA$24&amp;INDEX(LineupsSearch[],MATCH(LineupsData[[#This Row],[Home?]]&amp;LineupsData[[#Headers],[Pivot]],LineupsSearch[Home?]&amp;LineupsSearch[Item],1),3)&amp;LineupsData[[#This Row],[RefRow]])</f>
        <v>45</v>
      </c>
      <c r="J47" s="1219" t="str">
        <f t="array" aca="1" ref="J4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47" s="1219">
        <f ca="1">IFERROR(LEN(IF(OR(LEFT(LineupsData[[#This Row],[P_Box]],1)="$",LEFT(LineupsData[[#This Row],[P_Box]],1)="S"),RIGHT(LineupsData[[#This Row],[P_Box]],LEN(LineupsData[[#This Row],[P_Box]])-1),LineupsData[[#This Row],[P_Box]])),"")</f>
        <v>0</v>
      </c>
      <c r="L47" s="1219" t="str">
        <f t="array" aca="1" ref="L47" ca="1">INDIRECT($AA$24&amp;INDEX(LineupsSearch[],MATCH(LineupsData[[#This Row],[Home?]]&amp;LineupsData[[#Headers],[B1]],LineupsSearch[Home?]&amp;LineupsSearch[Item],1),3)&amp;LineupsData[[#This Row],[RefRow]])</f>
        <v>237</v>
      </c>
      <c r="M47" s="1219" t="str">
        <f t="array" aca="1" ref="M4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47" s="1219">
        <f ca="1">IFERROR(LEN(IF(OR(LEFT(LineupsData[[#This Row],[B1_Box]],1)="$",LEFT(LineupsData[[#This Row],[B1_Box]],1)="S"),RIGHT(LineupsData[[#This Row],[B1_Box]],LEN(LineupsData[[#This Row],[B1_Box]])-1),LineupsData[[#This Row],[B1_Box]])),"")</f>
        <v>0</v>
      </c>
      <c r="O47" s="1219" t="str">
        <f t="array" aca="1" ref="O47" ca="1">INDIRECT($AA$24&amp;INDEX(LineupsSearch[],MATCH(LineupsData[[#This Row],[Home?]]&amp;LineupsData[[#Headers],[B2]],LineupsSearch[Home?]&amp;LineupsSearch[Item],1),3)&amp;LineupsData[[#This Row],[RefRow]])</f>
        <v>932</v>
      </c>
      <c r="P47" s="1219" t="str">
        <f t="array" aca="1" ref="P4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47" s="1219">
        <f ca="1">IFERROR(LEN(IF(OR(LEFT(LineupsData[[#This Row],[B2_Box]],1)="$",LEFT(LineupsData[[#This Row],[B2_Box]],1)="S"),RIGHT(LineupsData[[#This Row],[B2_Box]],LEN(LineupsData[[#This Row],[B2_Box]])-1),LineupsData[[#This Row],[B2_Box]])),"")</f>
        <v>0</v>
      </c>
      <c r="R47" s="1219" t="str">
        <f t="array" aca="1" ref="R47" ca="1">INDIRECT($AA$24&amp;INDEX(LineupsSearch[],MATCH(LineupsData[[#This Row],[Home?]]&amp;LineupsData[[#Headers],[B3]],LineupsSearch[Home?]&amp;LineupsSearch[Item],1),3)&amp;LineupsData[[#This Row],[RefRow]])</f>
        <v>2611</v>
      </c>
      <c r="S47" s="1219" t="str">
        <f t="array" aca="1" ref="S4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v>
      </c>
      <c r="T47" s="1219">
        <f ca="1">IFERROR(LEN(IF(OR(LEFT(LineupsData[[#This Row],[B3_Box]],1)="$",LEFT(LineupsData[[#This Row],[B3_Box]],1)="S"),RIGHT(LineupsData[[#This Row],[B3_Box]],LEN(LineupsData[[#This Row],[B3_Box]])-1),LineupsData[[#This Row],[B3_Box]])),"")</f>
        <v>1</v>
      </c>
      <c r="U47" s="1219" t="b">
        <f t="array" aca="1" ref="U4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47" s="1219" t="b">
        <v>0</v>
      </c>
      <c r="W47" s="1219">
        <v>11</v>
      </c>
      <c r="Y47" s="1209" t="b">
        <v>1</v>
      </c>
      <c r="Z47" s="1216" t="s">
        <v>703</v>
      </c>
      <c r="AA47" s="1227" t="s">
        <v>746</v>
      </c>
      <c r="AB47" s="1228" t="s">
        <v>747</v>
      </c>
      <c r="AC47" s="1228" t="s">
        <v>748</v>
      </c>
    </row>
    <row r="48" spans="1:29" x14ac:dyDescent="0.25">
      <c r="A48" s="1218">
        <f>[1]IBRF!$B$5</f>
        <v>41734</v>
      </c>
      <c r="B48" s="1221">
        <f t="shared" si="0"/>
        <v>0.83333333333333337</v>
      </c>
      <c r="C48" s="1219">
        <v>1</v>
      </c>
      <c r="D48" s="1219">
        <f t="array" aca="1" ref="D48" ca="1">IF(LineupsData[[#This Row],[Passed?]],D47,IF(INDIRECT($AA$24&amp;INDEX(LineupsSearch[],MATCH(LineupsData[[#This Row],[Home?]]&amp;"Jam",LineupsSearch[Home?]&amp;LineupsSearch[Item],1),3)&amp;LineupsData[[#This Row],[RefRow]])="",0,INDIRECT($AA$24&amp;INDEX(LineupsSearch[],MATCH(LineupsData[[#This Row],[Home?]]&amp;"Jam",LineupsSearch[Home?]&amp;LineupsSearch[Item],1),3)&amp;LineupsData[[#This Row],[RefRow]])))</f>
        <v>8</v>
      </c>
      <c r="E48" s="1219" t="str">
        <f t="shared" si="2"/>
        <v>Harlots</v>
      </c>
      <c r="F48" s="1219" t="str">
        <f t="array" aca="1" ref="F48" ca="1">INDIRECT($AA$24&amp;INDEX(LineupsSearch[],MATCH(LineupsData[[#This Row],[Home?]]&amp;LineupsData[[#Headers],[Jammer]],LineupsSearch[Home?]&amp;LineupsSearch[Item],1),3)&amp;LineupsData[[#This Row],[RefRow]])</f>
        <v>451</v>
      </c>
      <c r="G48" s="1219" t="str">
        <f t="array" aca="1" ref="G4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48" s="1219">
        <f ca="1">IFERROR(LEN(IF(OR(LEFT(LineupsData[[#This Row],[J_Box]],1)="$",LEFT(LineupsData[[#This Row],[J_Box]],1)="S"),RIGHT(LineupsData[[#This Row],[J_Box]],LEN(LineupsData[[#This Row],[J_Box]])-1),LineupsData[[#This Row],[J_Box]])),"")</f>
        <v>0</v>
      </c>
      <c r="I48" s="1219" t="str">
        <f t="array" aca="1" ref="I48" ca="1">INDIRECT($AA$24&amp;INDEX(LineupsSearch[],MATCH(LineupsData[[#This Row],[Home?]]&amp;LineupsData[[#Headers],[Pivot]],LineupsSearch[Home?]&amp;LineupsSearch[Item],1),3)&amp;LineupsData[[#This Row],[RefRow]])</f>
        <v>26</v>
      </c>
      <c r="J48" s="1219" t="str">
        <f t="array" aca="1" ref="J4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48" s="1219">
        <f ca="1">IFERROR(LEN(IF(OR(LEFT(LineupsData[[#This Row],[P_Box]],1)="$",LEFT(LineupsData[[#This Row],[P_Box]],1)="S"),RIGHT(LineupsData[[#This Row],[P_Box]],LEN(LineupsData[[#This Row],[P_Box]])-1),LineupsData[[#This Row],[P_Box]])),"")</f>
        <v>0</v>
      </c>
      <c r="L48" s="1219" t="str">
        <f t="array" aca="1" ref="L48" ca="1">INDIRECT($AA$24&amp;INDEX(LineupsSearch[],MATCH(LineupsData[[#This Row],[Home?]]&amp;LineupsData[[#Headers],[B1]],LineupsSearch[Home?]&amp;LineupsSearch[Item],1),3)&amp;LineupsData[[#This Row],[RefRow]])</f>
        <v>11</v>
      </c>
      <c r="M48" s="1219" t="str">
        <f t="array" aca="1" ref="M4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48" s="1219">
        <f ca="1">IFERROR(LEN(IF(OR(LEFT(LineupsData[[#This Row],[B1_Box]],1)="$",LEFT(LineupsData[[#This Row],[B1_Box]],1)="S"),RIGHT(LineupsData[[#This Row],[B1_Box]],LEN(LineupsData[[#This Row],[B1_Box]])-1),LineupsData[[#This Row],[B1_Box]])),"")</f>
        <v>0</v>
      </c>
      <c r="O48" s="1219" t="str">
        <f t="array" aca="1" ref="O48" ca="1">INDIRECT($AA$24&amp;INDEX(LineupsSearch[],MATCH(LineupsData[[#This Row],[Home?]]&amp;LineupsData[[#Headers],[B2]],LineupsSearch[Home?]&amp;LineupsSearch[Item],1),3)&amp;LineupsData[[#This Row],[RefRow]])</f>
        <v>519</v>
      </c>
      <c r="P48" s="1219" t="str">
        <f t="array" aca="1" ref="P4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48" s="1219">
        <f ca="1">IFERROR(LEN(IF(OR(LEFT(LineupsData[[#This Row],[B2_Box]],1)="$",LEFT(LineupsData[[#This Row],[B2_Box]],1)="S"),RIGHT(LineupsData[[#This Row],[B2_Box]],LEN(LineupsData[[#This Row],[B2_Box]])-1),LineupsData[[#This Row],[B2_Box]])),"")</f>
        <v>0</v>
      </c>
      <c r="R48" s="1219" t="str">
        <f t="array" aca="1" ref="R48" ca="1">INDIRECT($AA$24&amp;INDEX(LineupsSearch[],MATCH(LineupsData[[#This Row],[Home?]]&amp;LineupsData[[#Headers],[B3]],LineupsSearch[Home?]&amp;LineupsSearch[Item],1),3)&amp;LineupsData[[#This Row],[RefRow]])</f>
        <v>2611</v>
      </c>
      <c r="S48" s="1219" t="str">
        <f t="array" aca="1" ref="S4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X</v>
      </c>
      <c r="T48" s="1219">
        <f ca="1">IFERROR(LEN(IF(OR(LEFT(LineupsData[[#This Row],[B3_Box]],1)="$",LEFT(LineupsData[[#This Row],[B3_Box]],1)="S"),RIGHT(LineupsData[[#This Row],[B3_Box]],LEN(LineupsData[[#This Row],[B3_Box]])-1),LineupsData[[#This Row],[B3_Box]])),"")</f>
        <v>1</v>
      </c>
      <c r="U48" s="1219" t="b">
        <f t="array" aca="1" ref="U4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48" s="1219" t="b">
        <v>0</v>
      </c>
      <c r="W48" s="1219">
        <v>12</v>
      </c>
      <c r="Y48" s="1224" t="b">
        <v>1</v>
      </c>
      <c r="Z48" s="1225" t="s">
        <v>122</v>
      </c>
      <c r="AA48" s="1225" t="s">
        <v>699</v>
      </c>
      <c r="AB48" s="1224"/>
      <c r="AC48" s="1224"/>
    </row>
    <row r="49" spans="1:23" x14ac:dyDescent="0.25">
      <c r="A49" s="1218">
        <f>[1]IBRF!$B$5</f>
        <v>41734</v>
      </c>
      <c r="B49" s="1221">
        <f t="shared" si="0"/>
        <v>0.83333333333333337</v>
      </c>
      <c r="C49" s="1219">
        <v>1</v>
      </c>
      <c r="D49" s="1219">
        <f t="array" aca="1" ref="D49" ca="1">IF(LineupsData[[#This Row],[Passed?]],D48,IF(INDIRECT($AA$24&amp;INDEX(LineupsSearch[],MATCH(LineupsData[[#This Row],[Home?]]&amp;"Jam",LineupsSearch[Home?]&amp;LineupsSearch[Item],1),3)&amp;LineupsData[[#This Row],[RefRow]])="",0,INDIRECT($AA$24&amp;INDEX(LineupsSearch[],MATCH(LineupsData[[#This Row],[Home?]]&amp;"Jam",LineupsSearch[Home?]&amp;LineupsSearch[Item],1),3)&amp;LineupsData[[#This Row],[RefRow]])))</f>
        <v>9</v>
      </c>
      <c r="E49" s="1219" t="str">
        <f t="shared" si="2"/>
        <v>Harlots</v>
      </c>
      <c r="F49" s="1219" t="str">
        <f t="array" aca="1" ref="F49" ca="1">INDIRECT($AA$24&amp;INDEX(LineupsSearch[],MATCH(LineupsData[[#This Row],[Home?]]&amp;LineupsData[[#Headers],[Jammer]],LineupsSearch[Home?]&amp;LineupsSearch[Item],1),3)&amp;LineupsData[[#This Row],[RefRow]])</f>
        <v>11G6</v>
      </c>
      <c r="G49" s="1219" t="str">
        <f t="array" aca="1" ref="G4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49" s="1219">
        <f ca="1">IFERROR(LEN(IF(OR(LEFT(LineupsData[[#This Row],[J_Box]],1)="$",LEFT(LineupsData[[#This Row],[J_Box]],1)="S"),RIGHT(LineupsData[[#This Row],[J_Box]],LEN(LineupsData[[#This Row],[J_Box]])-1),LineupsData[[#This Row],[J_Box]])),"")</f>
        <v>1</v>
      </c>
      <c r="I49" s="1219" t="str">
        <f t="array" aca="1" ref="I49" ca="1">INDIRECT($AA$24&amp;INDEX(LineupsSearch[],MATCH(LineupsData[[#This Row],[Home?]]&amp;LineupsData[[#Headers],[Pivot]],LineupsSearch[Home?]&amp;LineupsSearch[Item],1),3)&amp;LineupsData[[#This Row],[RefRow]])</f>
        <v>45</v>
      </c>
      <c r="J49" s="1219" t="str">
        <f t="array" aca="1" ref="J4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49" s="1219">
        <f ca="1">IFERROR(LEN(IF(OR(LEFT(LineupsData[[#This Row],[P_Box]],1)="$",LEFT(LineupsData[[#This Row],[P_Box]],1)="S"),RIGHT(LineupsData[[#This Row],[P_Box]],LEN(LineupsData[[#This Row],[P_Box]])-1),LineupsData[[#This Row],[P_Box]])),"")</f>
        <v>0</v>
      </c>
      <c r="L49" s="1219" t="str">
        <f t="array" aca="1" ref="L49" ca="1">INDIRECT($AA$24&amp;INDEX(LineupsSearch[],MATCH(LineupsData[[#This Row],[Home?]]&amp;LineupsData[[#Headers],[B1]],LineupsSearch[Home?]&amp;LineupsSearch[Item],1),3)&amp;LineupsData[[#This Row],[RefRow]])</f>
        <v>237</v>
      </c>
      <c r="M49" s="1219" t="str">
        <f t="array" aca="1" ref="M4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49" s="1219">
        <f ca="1">IFERROR(LEN(IF(OR(LEFT(LineupsData[[#This Row],[B1_Box]],1)="$",LEFT(LineupsData[[#This Row],[B1_Box]],1)="S"),RIGHT(LineupsData[[#This Row],[B1_Box]],LEN(LineupsData[[#This Row],[B1_Box]])-1),LineupsData[[#This Row],[B1_Box]])),"")</f>
        <v>0</v>
      </c>
      <c r="O49" s="1219" t="str">
        <f t="array" aca="1" ref="O49" ca="1">INDIRECT($AA$24&amp;INDEX(LineupsSearch[],MATCH(LineupsData[[#This Row],[Home?]]&amp;LineupsData[[#Headers],[B2]],LineupsSearch[Home?]&amp;LineupsSearch[Item],1),3)&amp;LineupsData[[#This Row],[RefRow]])</f>
        <v>152</v>
      </c>
      <c r="P49" s="1219" t="str">
        <f t="array" aca="1" ref="P4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49" s="1219">
        <f ca="1">IFERROR(LEN(IF(OR(LEFT(LineupsData[[#This Row],[B2_Box]],1)="$",LEFT(LineupsData[[#This Row],[B2_Box]],1)="S"),RIGHT(LineupsData[[#This Row],[B2_Box]],LEN(LineupsData[[#This Row],[B2_Box]])-1),LineupsData[[#This Row],[B2_Box]])),"")</f>
        <v>0</v>
      </c>
      <c r="R49" s="1219" t="str">
        <f t="array" aca="1" ref="R49" ca="1">INDIRECT($AA$24&amp;INDEX(LineupsSearch[],MATCH(LineupsData[[#This Row],[Home?]]&amp;LineupsData[[#Headers],[B3]],LineupsSearch[Home?]&amp;LineupsSearch[Item],1),3)&amp;LineupsData[[#This Row],[RefRow]])</f>
        <v>2611</v>
      </c>
      <c r="S49" s="1219" t="str">
        <f t="array" aca="1" ref="S4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49" s="1219">
        <f ca="1">IFERROR(LEN(IF(OR(LEFT(LineupsData[[#This Row],[B3_Box]],1)="$",LEFT(LineupsData[[#This Row],[B3_Box]],1)="S"),RIGHT(LineupsData[[#This Row],[B3_Box]],LEN(LineupsData[[#This Row],[B3_Box]])-1),LineupsData[[#This Row],[B3_Box]])),"")</f>
        <v>0</v>
      </c>
      <c r="U49" s="1219" t="b">
        <f t="array" aca="1" ref="U4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49" s="1219" t="b">
        <v>0</v>
      </c>
      <c r="W49" s="1219">
        <v>13</v>
      </c>
    </row>
    <row r="50" spans="1:23" x14ac:dyDescent="0.25">
      <c r="A50" s="1218">
        <f>[1]IBRF!$B$5</f>
        <v>41734</v>
      </c>
      <c r="B50" s="1221">
        <f t="shared" si="0"/>
        <v>0.83333333333333337</v>
      </c>
      <c r="C50" s="1219">
        <v>1</v>
      </c>
      <c r="D50" s="1219">
        <f t="array" aca="1" ref="D50" ca="1">IF(LineupsData[[#This Row],[Passed?]],D49,IF(INDIRECT($AA$24&amp;INDEX(LineupsSearch[],MATCH(LineupsData[[#This Row],[Home?]]&amp;"Jam",LineupsSearch[Home?]&amp;LineupsSearch[Item],1),3)&amp;LineupsData[[#This Row],[RefRow]])="",0,INDIRECT($AA$24&amp;INDEX(LineupsSearch[],MATCH(LineupsData[[#This Row],[Home?]]&amp;"Jam",LineupsSearch[Home?]&amp;LineupsSearch[Item],1),3)&amp;LineupsData[[#This Row],[RefRow]])))</f>
        <v>10</v>
      </c>
      <c r="E50" s="1219" t="str">
        <f t="shared" si="2"/>
        <v>Harlots</v>
      </c>
      <c r="F50" s="1219" t="str">
        <f t="array" aca="1" ref="F50" ca="1">INDIRECT($AA$24&amp;INDEX(LineupsSearch[],MATCH(LineupsData[[#This Row],[Home?]]&amp;LineupsData[[#Headers],[Jammer]],LineupsSearch[Home?]&amp;LineupsSearch[Item],1),3)&amp;LineupsData[[#This Row],[RefRow]])</f>
        <v>58</v>
      </c>
      <c r="G50" s="1219" t="str">
        <f t="array" aca="1" ref="G5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50" s="1219">
        <f ca="1">IFERROR(LEN(IF(OR(LEFT(LineupsData[[#This Row],[J_Box]],1)="$",LEFT(LineupsData[[#This Row],[J_Box]],1)="S"),RIGHT(LineupsData[[#This Row],[J_Box]],LEN(LineupsData[[#This Row],[J_Box]])-1),LineupsData[[#This Row],[J_Box]])),"")</f>
        <v>0</v>
      </c>
      <c r="I50" s="1219" t="str">
        <f t="array" aca="1" ref="I50" ca="1">INDIRECT($AA$24&amp;INDEX(LineupsSearch[],MATCH(LineupsData[[#This Row],[Home?]]&amp;LineupsData[[#Headers],[Pivot]],LineupsSearch[Home?]&amp;LineupsSearch[Item],1),3)&amp;LineupsData[[#This Row],[RefRow]])</f>
        <v>26</v>
      </c>
      <c r="J50" s="1219" t="str">
        <f t="array" aca="1" ref="J5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50" s="1219">
        <f ca="1">IFERROR(LEN(IF(OR(LEFT(LineupsData[[#This Row],[P_Box]],1)="$",LEFT(LineupsData[[#This Row],[P_Box]],1)="S"),RIGHT(LineupsData[[#This Row],[P_Box]],LEN(LineupsData[[#This Row],[P_Box]])-1),LineupsData[[#This Row],[P_Box]])),"")</f>
        <v>0</v>
      </c>
      <c r="L50" s="1219" t="str">
        <f t="array" aca="1" ref="L50" ca="1">INDIRECT($AA$24&amp;INDEX(LineupsSearch[],MATCH(LineupsData[[#This Row],[Home?]]&amp;LineupsData[[#Headers],[B1]],LineupsSearch[Home?]&amp;LineupsSearch[Item],1),3)&amp;LineupsData[[#This Row],[RefRow]])</f>
        <v>11</v>
      </c>
      <c r="M50" s="1219" t="str">
        <f t="array" aca="1" ref="M5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50" s="1219">
        <f ca="1">IFERROR(LEN(IF(OR(LEFT(LineupsData[[#This Row],[B1_Box]],1)="$",LEFT(LineupsData[[#This Row],[B1_Box]],1)="S"),RIGHT(LineupsData[[#This Row],[B1_Box]],LEN(LineupsData[[#This Row],[B1_Box]])-1),LineupsData[[#This Row],[B1_Box]])),"")</f>
        <v>0</v>
      </c>
      <c r="O50" s="1219" t="str">
        <f t="array" aca="1" ref="O50" ca="1">INDIRECT($AA$24&amp;INDEX(LineupsSearch[],MATCH(LineupsData[[#This Row],[Home?]]&amp;LineupsData[[#Headers],[B2]],LineupsSearch[Home?]&amp;LineupsSearch[Item],1),3)&amp;LineupsData[[#This Row],[RefRow]])</f>
        <v>H20</v>
      </c>
      <c r="P50" s="1219" t="str">
        <f t="array" aca="1" ref="P5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50" s="1219">
        <f ca="1">IFERROR(LEN(IF(OR(LEFT(LineupsData[[#This Row],[B2_Box]],1)="$",LEFT(LineupsData[[#This Row],[B2_Box]],1)="S"),RIGHT(LineupsData[[#This Row],[B2_Box]],LEN(LineupsData[[#This Row],[B2_Box]])-1),LineupsData[[#This Row],[B2_Box]])),"")</f>
        <v>0</v>
      </c>
      <c r="R50" s="1219" t="str">
        <f t="array" aca="1" ref="R50" ca="1">INDIRECT($AA$24&amp;INDEX(LineupsSearch[],MATCH(LineupsData[[#This Row],[Home?]]&amp;LineupsData[[#Headers],[B3]],LineupsSearch[Home?]&amp;LineupsSearch[Item],1),3)&amp;LineupsData[[#This Row],[RefRow]])</f>
        <v>519</v>
      </c>
      <c r="S50" s="1219" t="str">
        <f t="array" aca="1" ref="S5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50" s="1219">
        <f ca="1">IFERROR(LEN(IF(OR(LEFT(LineupsData[[#This Row],[B3_Box]],1)="$",LEFT(LineupsData[[#This Row],[B3_Box]],1)="S"),RIGHT(LineupsData[[#This Row],[B3_Box]],LEN(LineupsData[[#This Row],[B3_Box]])-1),LineupsData[[#This Row],[B3_Box]])),"")</f>
        <v>0</v>
      </c>
      <c r="U50" s="1219" t="b">
        <f t="array" aca="1" ref="U5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50" s="1219" t="b">
        <v>0</v>
      </c>
      <c r="W50" s="1219">
        <v>14</v>
      </c>
    </row>
    <row r="51" spans="1:23" x14ac:dyDescent="0.25">
      <c r="A51" s="1218">
        <f>[1]IBRF!$B$5</f>
        <v>41734</v>
      </c>
      <c r="B51" s="1221">
        <f t="shared" si="0"/>
        <v>0.83333333333333337</v>
      </c>
      <c r="C51" s="1219">
        <v>1</v>
      </c>
      <c r="D51" s="1219">
        <f t="array" aca="1" ref="D51" ca="1">IF(LineupsData[[#This Row],[Passed?]],D50,IF(INDIRECT($AA$24&amp;INDEX(LineupsSearch[],MATCH(LineupsData[[#This Row],[Home?]]&amp;"Jam",LineupsSearch[Home?]&amp;LineupsSearch[Item],1),3)&amp;LineupsData[[#This Row],[RefRow]])="",0,INDIRECT($AA$24&amp;INDEX(LineupsSearch[],MATCH(LineupsData[[#This Row],[Home?]]&amp;"Jam",LineupsSearch[Home?]&amp;LineupsSearch[Item],1),3)&amp;LineupsData[[#This Row],[RefRow]])))</f>
        <v>11</v>
      </c>
      <c r="E51" s="1219" t="str">
        <f t="shared" si="2"/>
        <v>Harlots</v>
      </c>
      <c r="F51" s="1219" t="str">
        <f t="array" aca="1" ref="F51" ca="1">INDIRECT($AA$24&amp;INDEX(LineupsSearch[],MATCH(LineupsData[[#This Row],[Home?]]&amp;LineupsData[[#Headers],[Jammer]],LineupsSearch[Home?]&amp;LineupsSearch[Item],1),3)&amp;LineupsData[[#This Row],[RefRow]])</f>
        <v>K9</v>
      </c>
      <c r="G51" s="1219" t="str">
        <f t="array" aca="1" ref="G5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51" s="1219">
        <f ca="1">IFERROR(LEN(IF(OR(LEFT(LineupsData[[#This Row],[J_Box]],1)="$",LEFT(LineupsData[[#This Row],[J_Box]],1)="S"),RIGHT(LineupsData[[#This Row],[J_Box]],LEN(LineupsData[[#This Row],[J_Box]])-1),LineupsData[[#This Row],[J_Box]])),"")</f>
        <v>0</v>
      </c>
      <c r="I51" s="1219" t="str">
        <f t="array" aca="1" ref="I51" ca="1">INDIRECT($AA$24&amp;INDEX(LineupsSearch[],MATCH(LineupsData[[#This Row],[Home?]]&amp;LineupsData[[#Headers],[Pivot]],LineupsSearch[Home?]&amp;LineupsSearch[Item],1),3)&amp;LineupsData[[#This Row],[RefRow]])</f>
        <v>45</v>
      </c>
      <c r="J51" s="1219" t="str">
        <f t="array" aca="1" ref="J5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51" s="1219">
        <f ca="1">IFERROR(LEN(IF(OR(LEFT(LineupsData[[#This Row],[P_Box]],1)="$",LEFT(LineupsData[[#This Row],[P_Box]],1)="S"),RIGHT(LineupsData[[#This Row],[P_Box]],LEN(LineupsData[[#This Row],[P_Box]])-1),LineupsData[[#This Row],[P_Box]])),"")</f>
        <v>0</v>
      </c>
      <c r="L51" s="1219" t="str">
        <f t="array" aca="1" ref="L51" ca="1">INDIRECT($AA$24&amp;INDEX(LineupsSearch[],MATCH(LineupsData[[#This Row],[Home?]]&amp;LineupsData[[#Headers],[B1]],LineupsSearch[Home?]&amp;LineupsSearch[Item],1),3)&amp;LineupsData[[#This Row],[RefRow]])</f>
        <v>237</v>
      </c>
      <c r="M51" s="1219" t="str">
        <f t="array" aca="1" ref="M5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51" s="1219">
        <f ca="1">IFERROR(LEN(IF(OR(LEFT(LineupsData[[#This Row],[B1_Box]],1)="$",LEFT(LineupsData[[#This Row],[B1_Box]],1)="S"),RIGHT(LineupsData[[#This Row],[B1_Box]],LEN(LineupsData[[#This Row],[B1_Box]])-1),LineupsData[[#This Row],[B1_Box]])),"")</f>
        <v>0</v>
      </c>
      <c r="O51" s="1219" t="str">
        <f t="array" aca="1" ref="O51" ca="1">INDIRECT($AA$24&amp;INDEX(LineupsSearch[],MATCH(LineupsData[[#This Row],[Home?]]&amp;LineupsData[[#Headers],[B2]],LineupsSearch[Home?]&amp;LineupsSearch[Item],1),3)&amp;LineupsData[[#This Row],[RefRow]])</f>
        <v>2611</v>
      </c>
      <c r="P51" s="1219" t="str">
        <f t="array" aca="1" ref="P5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v>
      </c>
      <c r="Q51" s="1219">
        <f ca="1">IFERROR(LEN(IF(OR(LEFT(LineupsData[[#This Row],[B2_Box]],1)="$",LEFT(LineupsData[[#This Row],[B2_Box]],1)="S"),RIGHT(LineupsData[[#This Row],[B2_Box]],LEN(LineupsData[[#This Row],[B2_Box]])-1),LineupsData[[#This Row],[B2_Box]])),"")</f>
        <v>1</v>
      </c>
      <c r="R51" s="1219" t="str">
        <f t="array" aca="1" ref="R51" ca="1">INDIRECT($AA$24&amp;INDEX(LineupsSearch[],MATCH(LineupsData[[#This Row],[Home?]]&amp;LineupsData[[#Headers],[B3]],LineupsSearch[Home?]&amp;LineupsSearch[Item],1),3)&amp;LineupsData[[#This Row],[RefRow]])</f>
        <v>932</v>
      </c>
      <c r="S51" s="1219" t="str">
        <f t="array" aca="1" ref="S5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51" s="1219">
        <f ca="1">IFERROR(LEN(IF(OR(LEFT(LineupsData[[#This Row],[B3_Box]],1)="$",LEFT(LineupsData[[#This Row],[B3_Box]],1)="S"),RIGHT(LineupsData[[#This Row],[B3_Box]],LEN(LineupsData[[#This Row],[B3_Box]])-1),LineupsData[[#This Row],[B3_Box]])),"")</f>
        <v>0</v>
      </c>
      <c r="U51" s="1219" t="b">
        <f t="array" aca="1" ref="U5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51" s="1219" t="b">
        <v>0</v>
      </c>
      <c r="W51" s="1219">
        <v>15</v>
      </c>
    </row>
    <row r="52" spans="1:23" x14ac:dyDescent="0.25">
      <c r="A52" s="1218">
        <f>[1]IBRF!$B$5</f>
        <v>41734</v>
      </c>
      <c r="B52" s="1221">
        <f t="shared" si="0"/>
        <v>0.83333333333333337</v>
      </c>
      <c r="C52" s="1219">
        <v>1</v>
      </c>
      <c r="D52" s="1219">
        <f t="array" aca="1" ref="D52" ca="1">IF(LineupsData[[#This Row],[Passed?]],D51,IF(INDIRECT($AA$24&amp;INDEX(LineupsSearch[],MATCH(LineupsData[[#This Row],[Home?]]&amp;"Jam",LineupsSearch[Home?]&amp;LineupsSearch[Item],1),3)&amp;LineupsData[[#This Row],[RefRow]])="",0,INDIRECT($AA$24&amp;INDEX(LineupsSearch[],MATCH(LineupsData[[#This Row],[Home?]]&amp;"Jam",LineupsSearch[Home?]&amp;LineupsSearch[Item],1),3)&amp;LineupsData[[#This Row],[RefRow]])))</f>
        <v>12</v>
      </c>
      <c r="E52" s="1219" t="str">
        <f t="shared" si="2"/>
        <v>Harlots</v>
      </c>
      <c r="F52" s="1219" t="str">
        <f t="array" aca="1" ref="F52" ca="1">INDIRECT($AA$24&amp;INDEX(LineupsSearch[],MATCH(LineupsData[[#This Row],[Home?]]&amp;LineupsData[[#Headers],[Jammer]],LineupsSearch[Home?]&amp;LineupsSearch[Item],1),3)&amp;LineupsData[[#This Row],[RefRow]])</f>
        <v>451</v>
      </c>
      <c r="G52" s="1219" t="str">
        <f t="array" aca="1" ref="G5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52" s="1219">
        <f ca="1">IFERROR(LEN(IF(OR(LEFT(LineupsData[[#This Row],[J_Box]],1)="$",LEFT(LineupsData[[#This Row],[J_Box]],1)="S"),RIGHT(LineupsData[[#This Row],[J_Box]],LEN(LineupsData[[#This Row],[J_Box]])-1),LineupsData[[#This Row],[J_Box]])),"")</f>
        <v>0</v>
      </c>
      <c r="I52" s="1219" t="str">
        <f t="array" aca="1" ref="I52" ca="1">INDIRECT($AA$24&amp;INDEX(LineupsSearch[],MATCH(LineupsData[[#This Row],[Home?]]&amp;LineupsData[[#Headers],[Pivot]],LineupsSearch[Home?]&amp;LineupsSearch[Item],1),3)&amp;LineupsData[[#This Row],[RefRow]])</f>
        <v>26</v>
      </c>
      <c r="J52" s="1219" t="str">
        <f t="array" aca="1" ref="J5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52" s="1219">
        <f ca="1">IFERROR(LEN(IF(OR(LEFT(LineupsData[[#This Row],[P_Box]],1)="$",LEFT(LineupsData[[#This Row],[P_Box]],1)="S"),RIGHT(LineupsData[[#This Row],[P_Box]],LEN(LineupsData[[#This Row],[P_Box]])-1),LineupsData[[#This Row],[P_Box]])),"")</f>
        <v>0</v>
      </c>
      <c r="L52" s="1219" t="str">
        <f t="array" aca="1" ref="L52" ca="1">INDIRECT($AA$24&amp;INDEX(LineupsSearch[],MATCH(LineupsData[[#This Row],[Home?]]&amp;LineupsData[[#Headers],[B1]],LineupsSearch[Home?]&amp;LineupsSearch[Item],1),3)&amp;LineupsData[[#This Row],[RefRow]])</f>
        <v>11</v>
      </c>
      <c r="M52" s="1219" t="str">
        <f t="array" aca="1" ref="M5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52" s="1219">
        <f ca="1">IFERROR(LEN(IF(OR(LEFT(LineupsData[[#This Row],[B1_Box]],1)="$",LEFT(LineupsData[[#This Row],[B1_Box]],1)="S"),RIGHT(LineupsData[[#This Row],[B1_Box]],LEN(LineupsData[[#This Row],[B1_Box]])-1),LineupsData[[#This Row],[B1_Box]])),"")</f>
        <v>0</v>
      </c>
      <c r="O52" s="1219" t="str">
        <f t="array" aca="1" ref="O52" ca="1">INDIRECT($AA$24&amp;INDEX(LineupsSearch[],MATCH(LineupsData[[#This Row],[Home?]]&amp;LineupsData[[#Headers],[B2]],LineupsSearch[Home?]&amp;LineupsSearch[Item],1),3)&amp;LineupsData[[#This Row],[RefRow]])</f>
        <v>2611</v>
      </c>
      <c r="P52" s="1219" t="str">
        <f t="array" aca="1" ref="P5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X</v>
      </c>
      <c r="Q52" s="1219">
        <f ca="1">IFERROR(LEN(IF(OR(LEFT(LineupsData[[#This Row],[B2_Box]],1)="$",LEFT(LineupsData[[#This Row],[B2_Box]],1)="S"),RIGHT(LineupsData[[#This Row],[B2_Box]],LEN(LineupsData[[#This Row],[B2_Box]])-1),LineupsData[[#This Row],[B2_Box]])),"")</f>
        <v>1</v>
      </c>
      <c r="R52" s="1219" t="str">
        <f t="array" aca="1" ref="R52" ca="1">INDIRECT($AA$24&amp;INDEX(LineupsSearch[],MATCH(LineupsData[[#This Row],[Home?]]&amp;LineupsData[[#Headers],[B3]],LineupsSearch[Home?]&amp;LineupsSearch[Item],1),3)&amp;LineupsData[[#This Row],[RefRow]])</f>
        <v>519</v>
      </c>
      <c r="S52" s="1219" t="str">
        <f t="array" aca="1" ref="S5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52" s="1219">
        <f ca="1">IFERROR(LEN(IF(OR(LEFT(LineupsData[[#This Row],[B3_Box]],1)="$",LEFT(LineupsData[[#This Row],[B3_Box]],1)="S"),RIGHT(LineupsData[[#This Row],[B3_Box]],LEN(LineupsData[[#This Row],[B3_Box]])-1),LineupsData[[#This Row],[B3_Box]])),"")</f>
        <v>0</v>
      </c>
      <c r="U52" s="1219" t="b">
        <f t="array" aca="1" ref="U5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52" s="1219" t="b">
        <v>0</v>
      </c>
      <c r="W52" s="1219">
        <v>16</v>
      </c>
    </row>
    <row r="53" spans="1:23" x14ac:dyDescent="0.25">
      <c r="A53" s="1218">
        <f>[1]IBRF!$B$5</f>
        <v>41734</v>
      </c>
      <c r="B53" s="1221">
        <f t="shared" si="0"/>
        <v>0.83333333333333337</v>
      </c>
      <c r="C53" s="1219">
        <v>1</v>
      </c>
      <c r="D53" s="1219">
        <f t="array" aca="1" ref="D53" ca="1">IF(LineupsData[[#This Row],[Passed?]],D52,IF(INDIRECT($AA$24&amp;INDEX(LineupsSearch[],MATCH(LineupsData[[#This Row],[Home?]]&amp;"Jam",LineupsSearch[Home?]&amp;LineupsSearch[Item],1),3)&amp;LineupsData[[#This Row],[RefRow]])="",0,INDIRECT($AA$24&amp;INDEX(LineupsSearch[],MATCH(LineupsData[[#This Row],[Home?]]&amp;"Jam",LineupsSearch[Home?]&amp;LineupsSearch[Item],1),3)&amp;LineupsData[[#This Row],[RefRow]])))</f>
        <v>13</v>
      </c>
      <c r="E53" s="1219" t="str">
        <f t="shared" si="2"/>
        <v>Harlots</v>
      </c>
      <c r="F53" s="1219" t="str">
        <f t="array" aca="1" ref="F53" ca="1">INDIRECT($AA$24&amp;INDEX(LineupsSearch[],MATCH(LineupsData[[#This Row],[Home?]]&amp;LineupsData[[#Headers],[Jammer]],LineupsSearch[Home?]&amp;LineupsSearch[Item],1),3)&amp;LineupsData[[#This Row],[RefRow]])</f>
        <v>511</v>
      </c>
      <c r="G53" s="1219" t="str">
        <f t="array" aca="1" ref="G5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53" s="1219">
        <f ca="1">IFERROR(LEN(IF(OR(LEFT(LineupsData[[#This Row],[J_Box]],1)="$",LEFT(LineupsData[[#This Row],[J_Box]],1)="S"),RIGHT(LineupsData[[#This Row],[J_Box]],LEN(LineupsData[[#This Row],[J_Box]])-1),LineupsData[[#This Row],[J_Box]])),"")</f>
        <v>1</v>
      </c>
      <c r="I53" s="1219" t="str">
        <f t="array" aca="1" ref="I53" ca="1">INDIRECT($AA$24&amp;INDEX(LineupsSearch[],MATCH(LineupsData[[#This Row],[Home?]]&amp;LineupsData[[#Headers],[Pivot]],LineupsSearch[Home?]&amp;LineupsSearch[Item],1),3)&amp;LineupsData[[#This Row],[RefRow]])</f>
        <v>11G6</v>
      </c>
      <c r="J53" s="1219" t="str">
        <f t="array" aca="1" ref="J5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53" s="1219">
        <f ca="1">IFERROR(LEN(IF(OR(LEFT(LineupsData[[#This Row],[P_Box]],1)="$",LEFT(LineupsData[[#This Row],[P_Box]],1)="S"),RIGHT(LineupsData[[#This Row],[P_Box]],LEN(LineupsData[[#This Row],[P_Box]])-1),LineupsData[[#This Row],[P_Box]])),"")</f>
        <v>0</v>
      </c>
      <c r="L53" s="1219" t="str">
        <f t="array" aca="1" ref="L53" ca="1">INDIRECT($AA$24&amp;INDEX(LineupsSearch[],MATCH(LineupsData[[#This Row],[Home?]]&amp;LineupsData[[#Headers],[B1]],LineupsSearch[Home?]&amp;LineupsSearch[Item],1),3)&amp;LineupsData[[#This Row],[RefRow]])</f>
        <v>152</v>
      </c>
      <c r="M53" s="1219" t="str">
        <f t="array" aca="1" ref="M5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53" s="1219">
        <f ca="1">IFERROR(LEN(IF(OR(LEFT(LineupsData[[#This Row],[B1_Box]],1)="$",LEFT(LineupsData[[#This Row],[B1_Box]],1)="S"),RIGHT(LineupsData[[#This Row],[B1_Box]],LEN(LineupsData[[#This Row],[B1_Box]])-1),LineupsData[[#This Row],[B1_Box]])),"")</f>
        <v>0</v>
      </c>
      <c r="O53" s="1219" t="str">
        <f t="array" aca="1" ref="O53" ca="1">INDIRECT($AA$24&amp;INDEX(LineupsSearch[],MATCH(LineupsData[[#This Row],[Home?]]&amp;LineupsData[[#Headers],[B2]],LineupsSearch[Home?]&amp;LineupsSearch[Item],1),3)&amp;LineupsData[[#This Row],[RefRow]])</f>
        <v>237</v>
      </c>
      <c r="P53" s="1219" t="str">
        <f t="array" aca="1" ref="P5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53" s="1219">
        <f ca="1">IFERROR(LEN(IF(OR(LEFT(LineupsData[[#This Row],[B2_Box]],1)="$",LEFT(LineupsData[[#This Row],[B2_Box]],1)="S"),RIGHT(LineupsData[[#This Row],[B2_Box]],LEN(LineupsData[[#This Row],[B2_Box]])-1),LineupsData[[#This Row],[B2_Box]])),"")</f>
        <v>0</v>
      </c>
      <c r="R53" s="1219" t="str">
        <f t="array" aca="1" ref="R53" ca="1">INDIRECT($AA$24&amp;INDEX(LineupsSearch[],MATCH(LineupsData[[#This Row],[Home?]]&amp;LineupsData[[#Headers],[B3]],LineupsSearch[Home?]&amp;LineupsSearch[Item],1),3)&amp;LineupsData[[#This Row],[RefRow]])</f>
        <v>2611</v>
      </c>
      <c r="S53" s="1219" t="str">
        <f t="array" aca="1" ref="S5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53" s="1219">
        <f ca="1">IFERROR(LEN(IF(OR(LEFT(LineupsData[[#This Row],[B3_Box]],1)="$",LEFT(LineupsData[[#This Row],[B3_Box]],1)="S"),RIGHT(LineupsData[[#This Row],[B3_Box]],LEN(LineupsData[[#This Row],[B3_Box]])-1),LineupsData[[#This Row],[B3_Box]])),"")</f>
        <v>0</v>
      </c>
      <c r="U53" s="1219" t="b">
        <f t="array" aca="1" ref="U5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53" s="1219" t="b">
        <v>0</v>
      </c>
      <c r="W53" s="1219">
        <v>17</v>
      </c>
    </row>
    <row r="54" spans="1:23" x14ac:dyDescent="0.25">
      <c r="A54" s="1218">
        <f>[1]IBRF!$B$5</f>
        <v>41734</v>
      </c>
      <c r="B54" s="1221">
        <f t="shared" si="0"/>
        <v>0.83333333333333337</v>
      </c>
      <c r="C54" s="1219">
        <v>1</v>
      </c>
      <c r="D54" s="1219">
        <f t="array" aca="1" ref="D54" ca="1">IF(LineupsData[[#This Row],[Passed?]],D53,IF(INDIRECT($AA$24&amp;INDEX(LineupsSearch[],MATCH(LineupsData[[#This Row],[Home?]]&amp;"Jam",LineupsSearch[Home?]&amp;LineupsSearch[Item],1),3)&amp;LineupsData[[#This Row],[RefRow]])="",0,INDIRECT($AA$24&amp;INDEX(LineupsSearch[],MATCH(LineupsData[[#This Row],[Home?]]&amp;"Jam",LineupsSearch[Home?]&amp;LineupsSearch[Item],1),3)&amp;LineupsData[[#This Row],[RefRow]])))</f>
        <v>14</v>
      </c>
      <c r="E54" s="1219" t="str">
        <f t="shared" si="2"/>
        <v>Harlots</v>
      </c>
      <c r="F54" s="1219" t="str">
        <f t="array" aca="1" ref="F54" ca="1">INDIRECT($AA$24&amp;INDEX(LineupsSearch[],MATCH(LineupsData[[#This Row],[Home?]]&amp;LineupsData[[#Headers],[Jammer]],LineupsSearch[Home?]&amp;LineupsSearch[Item],1),3)&amp;LineupsData[[#This Row],[RefRow]])</f>
        <v>58</v>
      </c>
      <c r="G54" s="1219" t="str">
        <f t="array" aca="1" ref="G5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54" s="1219">
        <f ca="1">IFERROR(LEN(IF(OR(LEFT(LineupsData[[#This Row],[J_Box]],1)="$",LEFT(LineupsData[[#This Row],[J_Box]],1)="S"),RIGHT(LineupsData[[#This Row],[J_Box]],LEN(LineupsData[[#This Row],[J_Box]])-1),LineupsData[[#This Row],[J_Box]])),"")</f>
        <v>0</v>
      </c>
      <c r="I54" s="1219" t="str">
        <f t="array" aca="1" ref="I54" ca="1">INDIRECT($AA$24&amp;INDEX(LineupsSearch[],MATCH(LineupsData[[#This Row],[Home?]]&amp;LineupsData[[#Headers],[Pivot]],LineupsSearch[Home?]&amp;LineupsSearch[Item],1),3)&amp;LineupsData[[#This Row],[RefRow]])</f>
        <v>26</v>
      </c>
      <c r="J54" s="1219" t="str">
        <f t="array" aca="1" ref="J5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54" s="1219">
        <f ca="1">IFERROR(LEN(IF(OR(LEFT(LineupsData[[#This Row],[P_Box]],1)="$",LEFT(LineupsData[[#This Row],[P_Box]],1)="S"),RIGHT(LineupsData[[#This Row],[P_Box]],LEN(LineupsData[[#This Row],[P_Box]])-1),LineupsData[[#This Row],[P_Box]])),"")</f>
        <v>0</v>
      </c>
      <c r="L54" s="1219" t="str">
        <f t="array" aca="1" ref="L54" ca="1">INDIRECT($AA$24&amp;INDEX(LineupsSearch[],MATCH(LineupsData[[#This Row],[Home?]]&amp;LineupsData[[#Headers],[B1]],LineupsSearch[Home?]&amp;LineupsSearch[Item],1),3)&amp;LineupsData[[#This Row],[RefRow]])</f>
        <v>11</v>
      </c>
      <c r="M54" s="1219" t="str">
        <f t="array" aca="1" ref="M5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v>
      </c>
      <c r="N54" s="1219">
        <f ca="1">IFERROR(LEN(IF(OR(LEFT(LineupsData[[#This Row],[B1_Box]],1)="$",LEFT(LineupsData[[#This Row],[B1_Box]],1)="S"),RIGHT(LineupsData[[#This Row],[B1_Box]],LEN(LineupsData[[#This Row],[B1_Box]])-1),LineupsData[[#This Row],[B1_Box]])),"")</f>
        <v>1</v>
      </c>
      <c r="O54" s="1219" t="str">
        <f t="array" aca="1" ref="O54" ca="1">INDIRECT($AA$24&amp;INDEX(LineupsSearch[],MATCH(LineupsData[[#This Row],[Home?]]&amp;LineupsData[[#Headers],[B2]],LineupsSearch[Home?]&amp;LineupsSearch[Item],1),3)&amp;LineupsData[[#This Row],[RefRow]])</f>
        <v>H20</v>
      </c>
      <c r="P54" s="1219" t="str">
        <f t="array" aca="1" ref="P5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54" s="1219">
        <f ca="1">IFERROR(LEN(IF(OR(LEFT(LineupsData[[#This Row],[B2_Box]],1)="$",LEFT(LineupsData[[#This Row],[B2_Box]],1)="S"),RIGHT(LineupsData[[#This Row],[B2_Box]],LEN(LineupsData[[#This Row],[B2_Box]])-1),LineupsData[[#This Row],[B2_Box]])),"")</f>
        <v>0</v>
      </c>
      <c r="R54" s="1219" t="str">
        <f t="array" aca="1" ref="R54" ca="1">INDIRECT($AA$24&amp;INDEX(LineupsSearch[],MATCH(LineupsData[[#This Row],[Home?]]&amp;LineupsData[[#Headers],[B3]],LineupsSearch[Home?]&amp;LineupsSearch[Item],1),3)&amp;LineupsData[[#This Row],[RefRow]])</f>
        <v>519</v>
      </c>
      <c r="S54" s="1219" t="str">
        <f t="array" aca="1" ref="S5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54" s="1219">
        <f ca="1">IFERROR(LEN(IF(OR(LEFT(LineupsData[[#This Row],[B3_Box]],1)="$",LEFT(LineupsData[[#This Row],[B3_Box]],1)="S"),RIGHT(LineupsData[[#This Row],[B3_Box]],LEN(LineupsData[[#This Row],[B3_Box]])-1),LineupsData[[#This Row],[B3_Box]])),"")</f>
        <v>0</v>
      </c>
      <c r="U54" s="1219" t="b">
        <f t="array" aca="1" ref="U5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54" s="1219" t="b">
        <v>0</v>
      </c>
      <c r="W54" s="1219">
        <v>18</v>
      </c>
    </row>
    <row r="55" spans="1:23" x14ac:dyDescent="0.25">
      <c r="A55" s="1218">
        <f>[1]IBRF!$B$5</f>
        <v>41734</v>
      </c>
      <c r="B55" s="1221">
        <f t="shared" si="0"/>
        <v>0.83333333333333337</v>
      </c>
      <c r="C55" s="1219">
        <v>1</v>
      </c>
      <c r="D55" s="1219">
        <f t="array" aca="1" ref="D55" ca="1">IF(LineupsData[[#This Row],[Passed?]],D54,IF(INDIRECT($AA$24&amp;INDEX(LineupsSearch[],MATCH(LineupsData[[#This Row],[Home?]]&amp;"Jam",LineupsSearch[Home?]&amp;LineupsSearch[Item],1),3)&amp;LineupsData[[#This Row],[RefRow]])="",0,INDIRECT($AA$24&amp;INDEX(LineupsSearch[],MATCH(LineupsData[[#This Row],[Home?]]&amp;"Jam",LineupsSearch[Home?]&amp;LineupsSearch[Item],1),3)&amp;LineupsData[[#This Row],[RefRow]])))</f>
        <v>15</v>
      </c>
      <c r="E55" s="1219" t="str">
        <f t="shared" si="2"/>
        <v>Harlots</v>
      </c>
      <c r="F55" s="1219" t="str">
        <f t="array" aca="1" ref="F55" ca="1">INDIRECT($AA$24&amp;INDEX(LineupsSearch[],MATCH(LineupsData[[#This Row],[Home?]]&amp;LineupsData[[#Headers],[Jammer]],LineupsSearch[Home?]&amp;LineupsSearch[Item],1),3)&amp;LineupsData[[#This Row],[RefRow]])</f>
        <v>K9</v>
      </c>
      <c r="G55" s="1219" t="str">
        <f t="array" aca="1" ref="G5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55" s="1219">
        <f ca="1">IFERROR(LEN(IF(OR(LEFT(LineupsData[[#This Row],[J_Box]],1)="$",LEFT(LineupsData[[#This Row],[J_Box]],1)="S"),RIGHT(LineupsData[[#This Row],[J_Box]],LEN(LineupsData[[#This Row],[J_Box]])-1),LineupsData[[#This Row],[J_Box]])),"")</f>
        <v>0</v>
      </c>
      <c r="I55" s="1219" t="str">
        <f t="array" aca="1" ref="I55" ca="1">INDIRECT($AA$24&amp;INDEX(LineupsSearch[],MATCH(LineupsData[[#This Row],[Home?]]&amp;LineupsData[[#Headers],[Pivot]],LineupsSearch[Home?]&amp;LineupsSearch[Item],1),3)&amp;LineupsData[[#This Row],[RefRow]])</f>
        <v>45</v>
      </c>
      <c r="J55" s="1219" t="str">
        <f t="array" aca="1" ref="J5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55" s="1219">
        <f ca="1">IFERROR(LEN(IF(OR(LEFT(LineupsData[[#This Row],[P_Box]],1)="$",LEFT(LineupsData[[#This Row],[P_Box]],1)="S"),RIGHT(LineupsData[[#This Row],[P_Box]],LEN(LineupsData[[#This Row],[P_Box]])-1),LineupsData[[#This Row],[P_Box]])),"")</f>
        <v>0</v>
      </c>
      <c r="L55" s="1219" t="str">
        <f t="array" aca="1" ref="L55" ca="1">INDIRECT($AA$24&amp;INDEX(LineupsSearch[],MATCH(LineupsData[[#This Row],[Home?]]&amp;LineupsData[[#Headers],[B1]],LineupsSearch[Home?]&amp;LineupsSearch[Item],1),3)&amp;LineupsData[[#This Row],[RefRow]])</f>
        <v>11</v>
      </c>
      <c r="M55" s="1219" t="str">
        <f t="array" aca="1" ref="M5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I</v>
      </c>
      <c r="N55" s="1219">
        <f ca="1">IFERROR(LEN(IF(OR(LEFT(LineupsData[[#This Row],[B1_Box]],1)="$",LEFT(LineupsData[[#This Row],[B1_Box]],1)="S"),RIGHT(LineupsData[[#This Row],[B1_Box]],LEN(LineupsData[[#This Row],[B1_Box]])-1),LineupsData[[#This Row],[B1_Box]])),"")</f>
        <v>1</v>
      </c>
      <c r="O55" s="1219" t="str">
        <f t="array" aca="1" ref="O55" ca="1">INDIRECT($AA$24&amp;INDEX(LineupsSearch[],MATCH(LineupsData[[#This Row],[Home?]]&amp;LineupsData[[#Headers],[B2]],LineupsSearch[Home?]&amp;LineupsSearch[Item],1),3)&amp;LineupsData[[#This Row],[RefRow]])</f>
        <v>511</v>
      </c>
      <c r="P55" s="1219" t="str">
        <f t="array" aca="1" ref="P5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55" s="1219">
        <f ca="1">IFERROR(LEN(IF(OR(LEFT(LineupsData[[#This Row],[B2_Box]],1)="$",LEFT(LineupsData[[#This Row],[B2_Box]],1)="S"),RIGHT(LineupsData[[#This Row],[B2_Box]],LEN(LineupsData[[#This Row],[B2_Box]])-1),LineupsData[[#This Row],[B2_Box]])),"")</f>
        <v>0</v>
      </c>
      <c r="R55" s="1219" t="str">
        <f t="array" aca="1" ref="R55" ca="1">INDIRECT($AA$24&amp;INDEX(LineupsSearch[],MATCH(LineupsData[[#This Row],[Home?]]&amp;LineupsData[[#Headers],[B3]],LineupsSearch[Home?]&amp;LineupsSearch[Item],1),3)&amp;LineupsData[[#This Row],[RefRow]])</f>
        <v>237</v>
      </c>
      <c r="S55" s="1219" t="str">
        <f t="array" aca="1" ref="S5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55" s="1219">
        <f ca="1">IFERROR(LEN(IF(OR(LEFT(LineupsData[[#This Row],[B3_Box]],1)="$",LEFT(LineupsData[[#This Row],[B3_Box]],1)="S"),RIGHT(LineupsData[[#This Row],[B3_Box]],LEN(LineupsData[[#This Row],[B3_Box]])-1),LineupsData[[#This Row],[B3_Box]])),"")</f>
        <v>0</v>
      </c>
      <c r="U55" s="1219" t="b">
        <f t="array" aca="1" ref="U5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55" s="1219" t="b">
        <v>0</v>
      </c>
      <c r="W55" s="1219">
        <v>19</v>
      </c>
    </row>
    <row r="56" spans="1:23" x14ac:dyDescent="0.25">
      <c r="A56" s="1218">
        <f>[1]IBRF!$B$5</f>
        <v>41734</v>
      </c>
      <c r="B56" s="1221">
        <f t="shared" si="0"/>
        <v>0.83333333333333337</v>
      </c>
      <c r="C56" s="1219">
        <v>1</v>
      </c>
      <c r="D56" s="1219">
        <f t="array" aca="1" ref="D56" ca="1">IF(LineupsData[[#This Row],[Passed?]],D55,IF(INDIRECT($AA$24&amp;INDEX(LineupsSearch[],MATCH(LineupsData[[#This Row],[Home?]]&amp;"Jam",LineupsSearch[Home?]&amp;LineupsSearch[Item],1),3)&amp;LineupsData[[#This Row],[RefRow]])="",0,INDIRECT($AA$24&amp;INDEX(LineupsSearch[],MATCH(LineupsData[[#This Row],[Home?]]&amp;"Jam",LineupsSearch[Home?]&amp;LineupsSearch[Item],1),3)&amp;LineupsData[[#This Row],[RefRow]])))</f>
        <v>16</v>
      </c>
      <c r="E56" s="1219" t="str">
        <f t="shared" si="2"/>
        <v>Harlots</v>
      </c>
      <c r="F56" s="1219" t="str">
        <f t="array" aca="1" ref="F56" ca="1">INDIRECT($AA$24&amp;INDEX(LineupsSearch[],MATCH(LineupsData[[#This Row],[Home?]]&amp;LineupsData[[#Headers],[Jammer]],LineupsSearch[Home?]&amp;LineupsSearch[Item],1),3)&amp;LineupsData[[#This Row],[RefRow]])</f>
        <v>451</v>
      </c>
      <c r="G56" s="1219" t="str">
        <f t="array" aca="1" ref="G5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56" s="1219">
        <f ca="1">IFERROR(LEN(IF(OR(LEFT(LineupsData[[#This Row],[J_Box]],1)="$",LEFT(LineupsData[[#This Row],[J_Box]],1)="S"),RIGHT(LineupsData[[#This Row],[J_Box]],LEN(LineupsData[[#This Row],[J_Box]])-1),LineupsData[[#This Row],[J_Box]])),"")</f>
        <v>0</v>
      </c>
      <c r="I56" s="1219" t="str">
        <f t="array" aca="1" ref="I56" ca="1">INDIRECT($AA$24&amp;INDEX(LineupsSearch[],MATCH(LineupsData[[#This Row],[Home?]]&amp;LineupsData[[#Headers],[Pivot]],LineupsSearch[Home?]&amp;LineupsSearch[Item],1),3)&amp;LineupsData[[#This Row],[RefRow]])</f>
        <v>26</v>
      </c>
      <c r="J56" s="1219" t="str">
        <f t="array" aca="1" ref="J5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56" s="1219">
        <f ca="1">IFERROR(LEN(IF(OR(LEFT(LineupsData[[#This Row],[P_Box]],1)="$",LEFT(LineupsData[[#This Row],[P_Box]],1)="S"),RIGHT(LineupsData[[#This Row],[P_Box]],LEN(LineupsData[[#This Row],[P_Box]])-1),LineupsData[[#This Row],[P_Box]])),"")</f>
        <v>0</v>
      </c>
      <c r="L56" s="1219" t="str">
        <f t="array" aca="1" ref="L56" ca="1">INDIRECT($AA$24&amp;INDEX(LineupsSearch[],MATCH(LineupsData[[#This Row],[Home?]]&amp;LineupsData[[#Headers],[B1]],LineupsSearch[Home?]&amp;LineupsSearch[Item],1),3)&amp;LineupsData[[#This Row],[RefRow]])</f>
        <v>11</v>
      </c>
      <c r="M56" s="1219" t="str">
        <f t="array" aca="1" ref="M5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X</v>
      </c>
      <c r="N56" s="1219">
        <f ca="1">IFERROR(LEN(IF(OR(LEFT(LineupsData[[#This Row],[B1_Box]],1)="$",LEFT(LineupsData[[#This Row],[B1_Box]],1)="S"),RIGHT(LineupsData[[#This Row],[B1_Box]],LEN(LineupsData[[#This Row],[B1_Box]])-1),LineupsData[[#This Row],[B1_Box]])),"")</f>
        <v>1</v>
      </c>
      <c r="O56" s="1219" t="str">
        <f t="array" aca="1" ref="O56" ca="1">INDIRECT($AA$24&amp;INDEX(LineupsSearch[],MATCH(LineupsData[[#This Row],[Home?]]&amp;LineupsData[[#Headers],[B2]],LineupsSearch[Home?]&amp;LineupsSearch[Item],1),3)&amp;LineupsData[[#This Row],[RefRow]])</f>
        <v>932</v>
      </c>
      <c r="P56" s="1219" t="str">
        <f t="array" aca="1" ref="P5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56" s="1219">
        <f ca="1">IFERROR(LEN(IF(OR(LEFT(LineupsData[[#This Row],[B2_Box]],1)="$",LEFT(LineupsData[[#This Row],[B2_Box]],1)="S"),RIGHT(LineupsData[[#This Row],[B2_Box]],LEN(LineupsData[[#This Row],[B2_Box]])-1),LineupsData[[#This Row],[B2_Box]])),"")</f>
        <v>0</v>
      </c>
      <c r="R56" s="1219" t="str">
        <f t="array" aca="1" ref="R56" ca="1">INDIRECT($AA$24&amp;INDEX(LineupsSearch[],MATCH(LineupsData[[#This Row],[Home?]]&amp;LineupsData[[#Headers],[B3]],LineupsSearch[Home?]&amp;LineupsSearch[Item],1),3)&amp;LineupsData[[#This Row],[RefRow]])</f>
        <v>519</v>
      </c>
      <c r="S56" s="1219" t="str">
        <f t="array" aca="1" ref="S5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56" s="1219">
        <f ca="1">IFERROR(LEN(IF(OR(LEFT(LineupsData[[#This Row],[B3_Box]],1)="$",LEFT(LineupsData[[#This Row],[B3_Box]],1)="S"),RIGHT(LineupsData[[#This Row],[B3_Box]],LEN(LineupsData[[#This Row],[B3_Box]])-1),LineupsData[[#This Row],[B3_Box]])),"")</f>
        <v>0</v>
      </c>
      <c r="U56" s="1219" t="b">
        <f t="array" aca="1" ref="U5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56" s="1219" t="b">
        <v>0</v>
      </c>
      <c r="W56" s="1219">
        <v>20</v>
      </c>
    </row>
    <row r="57" spans="1:23" x14ac:dyDescent="0.25">
      <c r="A57" s="1218">
        <f>[1]IBRF!$B$5</f>
        <v>41734</v>
      </c>
      <c r="B57" s="1221">
        <f t="shared" si="0"/>
        <v>0.83333333333333337</v>
      </c>
      <c r="C57" s="1219">
        <v>1</v>
      </c>
      <c r="D57" s="1219">
        <f t="array" aca="1" ref="D57" ca="1">IF(LineupsData[[#This Row],[Passed?]],D56,IF(INDIRECT($AA$24&amp;INDEX(LineupsSearch[],MATCH(LineupsData[[#This Row],[Home?]]&amp;"Jam",LineupsSearch[Home?]&amp;LineupsSearch[Item],1),3)&amp;LineupsData[[#This Row],[RefRow]])="",0,INDIRECT($AA$24&amp;INDEX(LineupsSearch[],MATCH(LineupsData[[#This Row],[Home?]]&amp;"Jam",LineupsSearch[Home?]&amp;LineupsSearch[Item],1),3)&amp;LineupsData[[#This Row],[RefRow]])))</f>
        <v>17</v>
      </c>
      <c r="E57" s="1219" t="str">
        <f t="shared" si="2"/>
        <v>Harlots</v>
      </c>
      <c r="F57" s="1219" t="str">
        <f t="array" aca="1" ref="F57" ca="1">INDIRECT($AA$24&amp;INDEX(LineupsSearch[],MATCH(LineupsData[[#This Row],[Home?]]&amp;LineupsData[[#Headers],[Jammer]],LineupsSearch[Home?]&amp;LineupsSearch[Item],1),3)&amp;LineupsData[[#This Row],[RefRow]])</f>
        <v>11G6</v>
      </c>
      <c r="G57" s="1219" t="str">
        <f t="array" aca="1" ref="G5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57" s="1219">
        <f ca="1">IFERROR(LEN(IF(OR(LEFT(LineupsData[[#This Row],[J_Box]],1)="$",LEFT(LineupsData[[#This Row],[J_Box]],1)="S"),RIGHT(LineupsData[[#This Row],[J_Box]],LEN(LineupsData[[#This Row],[J_Box]])-1),LineupsData[[#This Row],[J_Box]])),"")</f>
        <v>0</v>
      </c>
      <c r="I57" s="1219" t="str">
        <f t="array" aca="1" ref="I57" ca="1">INDIRECT($AA$24&amp;INDEX(LineupsSearch[],MATCH(LineupsData[[#This Row],[Home?]]&amp;LineupsData[[#Headers],[Pivot]],LineupsSearch[Home?]&amp;LineupsSearch[Item],1),3)&amp;LineupsData[[#This Row],[RefRow]])</f>
        <v>45</v>
      </c>
      <c r="J57" s="1219" t="str">
        <f t="array" aca="1" ref="J5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57" s="1219">
        <f ca="1">IFERROR(LEN(IF(OR(LEFT(LineupsData[[#This Row],[P_Box]],1)="$",LEFT(LineupsData[[#This Row],[P_Box]],1)="S"),RIGHT(LineupsData[[#This Row],[P_Box]],LEN(LineupsData[[#This Row],[P_Box]])-1),LineupsData[[#This Row],[P_Box]])),"")</f>
        <v>0</v>
      </c>
      <c r="L57" s="1219" t="str">
        <f t="array" aca="1" ref="L57" ca="1">INDIRECT($AA$24&amp;INDEX(LineupsSearch[],MATCH(LineupsData[[#This Row],[Home?]]&amp;LineupsData[[#Headers],[B1]],LineupsSearch[Home?]&amp;LineupsSearch[Item],1),3)&amp;LineupsData[[#This Row],[RefRow]])</f>
        <v>152</v>
      </c>
      <c r="M57" s="1219" t="str">
        <f t="array" aca="1" ref="M5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57" s="1219">
        <f ca="1">IFERROR(LEN(IF(OR(LEFT(LineupsData[[#This Row],[B1_Box]],1)="$",LEFT(LineupsData[[#This Row],[B1_Box]],1)="S"),RIGHT(LineupsData[[#This Row],[B1_Box]],LEN(LineupsData[[#This Row],[B1_Box]])-1),LineupsData[[#This Row],[B1_Box]])),"")</f>
        <v>0</v>
      </c>
      <c r="O57" s="1219" t="str">
        <f t="array" aca="1" ref="O57" ca="1">INDIRECT($AA$24&amp;INDEX(LineupsSearch[],MATCH(LineupsData[[#This Row],[Home?]]&amp;LineupsData[[#Headers],[B2]],LineupsSearch[Home?]&amp;LineupsSearch[Item],1),3)&amp;LineupsData[[#This Row],[RefRow]])</f>
        <v>237</v>
      </c>
      <c r="P57" s="1219" t="str">
        <f t="array" aca="1" ref="P5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57" s="1219">
        <f ca="1">IFERROR(LEN(IF(OR(LEFT(LineupsData[[#This Row],[B2_Box]],1)="$",LEFT(LineupsData[[#This Row],[B2_Box]],1)="S"),RIGHT(LineupsData[[#This Row],[B2_Box]],LEN(LineupsData[[#This Row],[B2_Box]])-1),LineupsData[[#This Row],[B2_Box]])),"")</f>
        <v>0</v>
      </c>
      <c r="R57" s="1219" t="str">
        <f t="array" aca="1" ref="R57" ca="1">INDIRECT($AA$24&amp;INDEX(LineupsSearch[],MATCH(LineupsData[[#This Row],[Home?]]&amp;LineupsData[[#Headers],[B3]],LineupsSearch[Home?]&amp;LineupsSearch[Item],1),3)&amp;LineupsData[[#This Row],[RefRow]])</f>
        <v>2611</v>
      </c>
      <c r="S57" s="1219" t="str">
        <f t="array" aca="1" ref="S5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57" s="1219">
        <f ca="1">IFERROR(LEN(IF(OR(LEFT(LineupsData[[#This Row],[B3_Box]],1)="$",LEFT(LineupsData[[#This Row],[B3_Box]],1)="S"),RIGHT(LineupsData[[#This Row],[B3_Box]],LEN(LineupsData[[#This Row],[B3_Box]])-1),LineupsData[[#This Row],[B3_Box]])),"")</f>
        <v>0</v>
      </c>
      <c r="U57" s="1219" t="b">
        <f t="array" aca="1" ref="U5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57" s="1219" t="b">
        <v>0</v>
      </c>
      <c r="W57" s="1219">
        <v>21</v>
      </c>
    </row>
    <row r="58" spans="1:23" x14ac:dyDescent="0.25">
      <c r="A58" s="1218">
        <f>[1]IBRF!$B$5</f>
        <v>41734</v>
      </c>
      <c r="B58" s="1221">
        <f t="shared" si="0"/>
        <v>0.83333333333333337</v>
      </c>
      <c r="C58" s="1219">
        <v>1</v>
      </c>
      <c r="D58" s="1219">
        <f t="array" aca="1" ref="D58" ca="1">IF(LineupsData[[#This Row],[Passed?]],D57,IF(INDIRECT($AA$24&amp;INDEX(LineupsSearch[],MATCH(LineupsData[[#This Row],[Home?]]&amp;"Jam",LineupsSearch[Home?]&amp;LineupsSearch[Item],1),3)&amp;LineupsData[[#This Row],[RefRow]])="",0,INDIRECT($AA$24&amp;INDEX(LineupsSearch[],MATCH(LineupsData[[#This Row],[Home?]]&amp;"Jam",LineupsSearch[Home?]&amp;LineupsSearch[Item],1),3)&amp;LineupsData[[#This Row],[RefRow]])))</f>
        <v>18</v>
      </c>
      <c r="E58" s="1219" t="str">
        <f t="shared" si="2"/>
        <v>Harlots</v>
      </c>
      <c r="F58" s="1219" t="str">
        <f t="array" aca="1" ref="F58" ca="1">INDIRECT($AA$24&amp;INDEX(LineupsSearch[],MATCH(LineupsData[[#This Row],[Home?]]&amp;LineupsData[[#Headers],[Jammer]],LineupsSearch[Home?]&amp;LineupsSearch[Item],1),3)&amp;LineupsData[[#This Row],[RefRow]])</f>
        <v>58</v>
      </c>
      <c r="G58" s="1219" t="str">
        <f t="array" aca="1" ref="G5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58" s="1219">
        <f ca="1">IFERROR(LEN(IF(OR(LEFT(LineupsData[[#This Row],[J_Box]],1)="$",LEFT(LineupsData[[#This Row],[J_Box]],1)="S"),RIGHT(LineupsData[[#This Row],[J_Box]],LEN(LineupsData[[#This Row],[J_Box]])-1),LineupsData[[#This Row],[J_Box]])),"")</f>
        <v>0</v>
      </c>
      <c r="I58" s="1219" t="str">
        <f t="array" aca="1" ref="I58" ca="1">INDIRECT($AA$24&amp;INDEX(LineupsSearch[],MATCH(LineupsData[[#This Row],[Home?]]&amp;LineupsData[[#Headers],[Pivot]],LineupsSearch[Home?]&amp;LineupsSearch[Item],1),3)&amp;LineupsData[[#This Row],[RefRow]])</f>
        <v>26</v>
      </c>
      <c r="J58" s="1219" t="str">
        <f t="array" aca="1" ref="J5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58" s="1219">
        <f ca="1">IFERROR(LEN(IF(OR(LEFT(LineupsData[[#This Row],[P_Box]],1)="$",LEFT(LineupsData[[#This Row],[P_Box]],1)="S"),RIGHT(LineupsData[[#This Row],[P_Box]],LEN(LineupsData[[#This Row],[P_Box]])-1),LineupsData[[#This Row],[P_Box]])),"")</f>
        <v>0</v>
      </c>
      <c r="L58" s="1219" t="str">
        <f t="array" aca="1" ref="L58" ca="1">INDIRECT($AA$24&amp;INDEX(LineupsSearch[],MATCH(LineupsData[[#This Row],[Home?]]&amp;LineupsData[[#Headers],[B1]],LineupsSearch[Home?]&amp;LineupsSearch[Item],1),3)&amp;LineupsData[[#This Row],[RefRow]])</f>
        <v>519</v>
      </c>
      <c r="M58" s="1219" t="str">
        <f t="array" aca="1" ref="M5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58" s="1219">
        <f ca="1">IFERROR(LEN(IF(OR(LEFT(LineupsData[[#This Row],[B1_Box]],1)="$",LEFT(LineupsData[[#This Row],[B1_Box]],1)="S"),RIGHT(LineupsData[[#This Row],[B1_Box]],LEN(LineupsData[[#This Row],[B1_Box]])-1),LineupsData[[#This Row],[B1_Box]])),"")</f>
        <v>0</v>
      </c>
      <c r="O58" s="1219" t="str">
        <f t="array" aca="1" ref="O58" ca="1">INDIRECT($AA$24&amp;INDEX(LineupsSearch[],MATCH(LineupsData[[#This Row],[Home?]]&amp;LineupsData[[#Headers],[B2]],LineupsSearch[Home?]&amp;LineupsSearch[Item],1),3)&amp;LineupsData[[#This Row],[RefRow]])</f>
        <v>11</v>
      </c>
      <c r="P58" s="1219" t="str">
        <f t="array" aca="1" ref="P5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58" s="1219">
        <f ca="1">IFERROR(LEN(IF(OR(LEFT(LineupsData[[#This Row],[B2_Box]],1)="$",LEFT(LineupsData[[#This Row],[B2_Box]],1)="S"),RIGHT(LineupsData[[#This Row],[B2_Box]],LEN(LineupsData[[#This Row],[B2_Box]])-1),LineupsData[[#This Row],[B2_Box]])),"")</f>
        <v>0</v>
      </c>
      <c r="R58" s="1219" t="str">
        <f t="array" aca="1" ref="R58" ca="1">INDIRECT($AA$24&amp;INDEX(LineupsSearch[],MATCH(LineupsData[[#This Row],[Home?]]&amp;LineupsData[[#Headers],[B3]],LineupsSearch[Home?]&amp;LineupsSearch[Item],1),3)&amp;LineupsData[[#This Row],[RefRow]])</f>
        <v>H20</v>
      </c>
      <c r="S58" s="1219" t="str">
        <f t="array" aca="1" ref="S5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58" s="1219">
        <f ca="1">IFERROR(LEN(IF(OR(LEFT(LineupsData[[#This Row],[B3_Box]],1)="$",LEFT(LineupsData[[#This Row],[B3_Box]],1)="S"),RIGHT(LineupsData[[#This Row],[B3_Box]],LEN(LineupsData[[#This Row],[B3_Box]])-1),LineupsData[[#This Row],[B3_Box]])),"")</f>
        <v>0</v>
      </c>
      <c r="U58" s="1219" t="b">
        <f t="array" aca="1" ref="U5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58" s="1219" t="b">
        <v>0</v>
      </c>
      <c r="W58" s="1219">
        <v>22</v>
      </c>
    </row>
    <row r="59" spans="1:23" x14ac:dyDescent="0.25">
      <c r="A59" s="1218">
        <f>[1]IBRF!$B$5</f>
        <v>41734</v>
      </c>
      <c r="B59" s="1221">
        <f t="shared" si="0"/>
        <v>0.83333333333333337</v>
      </c>
      <c r="C59" s="1219">
        <v>1</v>
      </c>
      <c r="D59" s="1219">
        <f t="array" aca="1" ref="D59" ca="1">IF(LineupsData[[#This Row],[Passed?]],D58,IF(INDIRECT($AA$24&amp;INDEX(LineupsSearch[],MATCH(LineupsData[[#This Row],[Home?]]&amp;"Jam",LineupsSearch[Home?]&amp;LineupsSearch[Item],1),3)&amp;LineupsData[[#This Row],[RefRow]])="",0,INDIRECT($AA$24&amp;INDEX(LineupsSearch[],MATCH(LineupsData[[#This Row],[Home?]]&amp;"Jam",LineupsSearch[Home?]&amp;LineupsSearch[Item],1),3)&amp;LineupsData[[#This Row],[RefRow]])))</f>
        <v>18</v>
      </c>
      <c r="E59" s="1219" t="str">
        <f t="shared" si="2"/>
        <v>Harlots</v>
      </c>
      <c r="F59" s="1219" t="str">
        <f t="array" aca="1" ref="F59" ca="1">INDIRECT($AA$24&amp;INDEX(LineupsSearch[],MATCH(LineupsData[[#This Row],[Home?]]&amp;LineupsData[[#Headers],[Jammer]],LineupsSearch[Home?]&amp;LineupsSearch[Item],1),3)&amp;LineupsData[[#This Row],[RefRow]])</f>
        <v>26</v>
      </c>
      <c r="G59" s="1219" t="str">
        <f t="array" aca="1" ref="G5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59" s="1219">
        <f ca="1">IFERROR(LEN(IF(OR(LEFT(LineupsData[[#This Row],[J_Box]],1)="$",LEFT(LineupsData[[#This Row],[J_Box]],1)="S"),RIGHT(LineupsData[[#This Row],[J_Box]],LEN(LineupsData[[#This Row],[J_Box]])-1),LineupsData[[#This Row],[J_Box]])),"")</f>
        <v>0</v>
      </c>
      <c r="I59" s="1219">
        <f t="array" aca="1" ref="I59" ca="1">INDIRECT($AA$24&amp;INDEX(LineupsSearch[],MATCH(LineupsData[[#This Row],[Home?]]&amp;LineupsData[[#Headers],[Pivot]],LineupsSearch[Home?]&amp;LineupsSearch[Item],1),3)&amp;LineupsData[[#This Row],[RefRow]])</f>
        <v>0</v>
      </c>
      <c r="J59" s="1219" t="str">
        <f t="array" aca="1" ref="J5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59" s="1219">
        <f ca="1">IFERROR(LEN(IF(OR(LEFT(LineupsData[[#This Row],[P_Box]],1)="$",LEFT(LineupsData[[#This Row],[P_Box]],1)="S"),RIGHT(LineupsData[[#This Row],[P_Box]],LEN(LineupsData[[#This Row],[P_Box]])-1),LineupsData[[#This Row],[P_Box]])),"")</f>
        <v>0</v>
      </c>
      <c r="L59" s="1219">
        <f t="array" aca="1" ref="L59" ca="1">INDIRECT($AA$24&amp;INDEX(LineupsSearch[],MATCH(LineupsData[[#This Row],[Home?]]&amp;LineupsData[[#Headers],[B1]],LineupsSearch[Home?]&amp;LineupsSearch[Item],1),3)&amp;LineupsData[[#This Row],[RefRow]])</f>
        <v>0</v>
      </c>
      <c r="M59" s="1219" t="str">
        <f t="array" aca="1" ref="M5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59" s="1219">
        <f ca="1">IFERROR(LEN(IF(OR(LEFT(LineupsData[[#This Row],[B1_Box]],1)="$",LEFT(LineupsData[[#This Row],[B1_Box]],1)="S"),RIGHT(LineupsData[[#This Row],[B1_Box]],LEN(LineupsData[[#This Row],[B1_Box]])-1),LineupsData[[#This Row],[B1_Box]])),"")</f>
        <v>0</v>
      </c>
      <c r="O59" s="1219">
        <f t="array" aca="1" ref="O59" ca="1">INDIRECT($AA$24&amp;INDEX(LineupsSearch[],MATCH(LineupsData[[#This Row],[Home?]]&amp;LineupsData[[#Headers],[B2]],LineupsSearch[Home?]&amp;LineupsSearch[Item],1),3)&amp;LineupsData[[#This Row],[RefRow]])</f>
        <v>0</v>
      </c>
      <c r="P59" s="1219" t="str">
        <f t="array" aca="1" ref="P5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59" s="1219">
        <f ca="1">IFERROR(LEN(IF(OR(LEFT(LineupsData[[#This Row],[B2_Box]],1)="$",LEFT(LineupsData[[#This Row],[B2_Box]],1)="S"),RIGHT(LineupsData[[#This Row],[B2_Box]],LEN(LineupsData[[#This Row],[B2_Box]])-1),LineupsData[[#This Row],[B2_Box]])),"")</f>
        <v>0</v>
      </c>
      <c r="R59" s="1219">
        <f t="array" aca="1" ref="R59" ca="1">INDIRECT($AA$24&amp;INDEX(LineupsSearch[],MATCH(LineupsData[[#This Row],[Home?]]&amp;LineupsData[[#Headers],[B3]],LineupsSearch[Home?]&amp;LineupsSearch[Item],1),3)&amp;LineupsData[[#This Row],[RefRow]])</f>
        <v>0</v>
      </c>
      <c r="S59" s="1219" t="str">
        <f t="array" aca="1" ref="S5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59" s="1219">
        <f ca="1">IFERROR(LEN(IF(OR(LEFT(LineupsData[[#This Row],[B3_Box]],1)="$",LEFT(LineupsData[[#This Row],[B3_Box]],1)="S"),RIGHT(LineupsData[[#This Row],[B3_Box]],LEN(LineupsData[[#This Row],[B3_Box]])-1),LineupsData[[#This Row],[B3_Box]])),"")</f>
        <v>0</v>
      </c>
      <c r="U59" s="1219" t="b">
        <f t="array" aca="1" ref="U5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59" s="1219" t="b">
        <v>0</v>
      </c>
      <c r="W59" s="1219">
        <v>23</v>
      </c>
    </row>
    <row r="60" spans="1:23" x14ac:dyDescent="0.25">
      <c r="A60" s="1218">
        <f>[1]IBRF!$B$5</f>
        <v>41734</v>
      </c>
      <c r="B60" s="1221">
        <f t="shared" si="0"/>
        <v>0.83333333333333337</v>
      </c>
      <c r="C60" s="1219">
        <v>1</v>
      </c>
      <c r="D60" s="1219">
        <f t="array" aca="1" ref="D60" ca="1">IF(LineupsData[[#This Row],[Passed?]],D59,IF(INDIRECT($AA$24&amp;INDEX(LineupsSearch[],MATCH(LineupsData[[#This Row],[Home?]]&amp;"Jam",LineupsSearch[Home?]&amp;LineupsSearch[Item],1),3)&amp;LineupsData[[#This Row],[RefRow]])="",0,INDIRECT($AA$24&amp;INDEX(LineupsSearch[],MATCH(LineupsData[[#This Row],[Home?]]&amp;"Jam",LineupsSearch[Home?]&amp;LineupsSearch[Item],1),3)&amp;LineupsData[[#This Row],[RefRow]])))</f>
        <v>19</v>
      </c>
      <c r="E60" s="1219" t="str">
        <f t="shared" si="2"/>
        <v>Harlots</v>
      </c>
      <c r="F60" s="1219" t="str">
        <f t="array" aca="1" ref="F60" ca="1">INDIRECT($AA$24&amp;INDEX(LineupsSearch[],MATCH(LineupsData[[#This Row],[Home?]]&amp;LineupsData[[#Headers],[Jammer]],LineupsSearch[Home?]&amp;LineupsSearch[Item],1),3)&amp;LineupsData[[#This Row],[RefRow]])</f>
        <v>K9</v>
      </c>
      <c r="G60" s="1219" t="str">
        <f t="array" aca="1" ref="G6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60" s="1219">
        <f ca="1">IFERROR(LEN(IF(OR(LEFT(LineupsData[[#This Row],[J_Box]],1)="$",LEFT(LineupsData[[#This Row],[J_Box]],1)="S"),RIGHT(LineupsData[[#This Row],[J_Box]],LEN(LineupsData[[#This Row],[J_Box]])-1),LineupsData[[#This Row],[J_Box]])),"")</f>
        <v>0</v>
      </c>
      <c r="I60" s="1219" t="str">
        <f t="array" aca="1" ref="I60" ca="1">INDIRECT($AA$24&amp;INDEX(LineupsSearch[],MATCH(LineupsData[[#This Row],[Home?]]&amp;LineupsData[[#Headers],[Pivot]],LineupsSearch[Home?]&amp;LineupsSearch[Item],1),3)&amp;LineupsData[[#This Row],[RefRow]])</f>
        <v>45</v>
      </c>
      <c r="J60" s="1219" t="str">
        <f t="array" aca="1" ref="J6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60" s="1219">
        <f ca="1">IFERROR(LEN(IF(OR(LEFT(LineupsData[[#This Row],[P_Box]],1)="$",LEFT(LineupsData[[#This Row],[P_Box]],1)="S"),RIGHT(LineupsData[[#This Row],[P_Box]],LEN(LineupsData[[#This Row],[P_Box]])-1),LineupsData[[#This Row],[P_Box]])),"")</f>
        <v>0</v>
      </c>
      <c r="L60" s="1219" t="str">
        <f t="array" aca="1" ref="L60" ca="1">INDIRECT($AA$24&amp;INDEX(LineupsSearch[],MATCH(LineupsData[[#This Row],[Home?]]&amp;LineupsData[[#Headers],[B1]],LineupsSearch[Home?]&amp;LineupsSearch[Item],1),3)&amp;LineupsData[[#This Row],[RefRow]])</f>
        <v>237</v>
      </c>
      <c r="M60" s="1219" t="str">
        <f t="array" aca="1" ref="M6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60" s="1219">
        <f ca="1">IFERROR(LEN(IF(OR(LEFT(LineupsData[[#This Row],[B1_Box]],1)="$",LEFT(LineupsData[[#This Row],[B1_Box]],1)="S"),RIGHT(LineupsData[[#This Row],[B1_Box]],LEN(LineupsData[[#This Row],[B1_Box]])-1),LineupsData[[#This Row],[B1_Box]])),"")</f>
        <v>0</v>
      </c>
      <c r="O60" s="1219" t="str">
        <f t="array" aca="1" ref="O60" ca="1">INDIRECT($AA$24&amp;INDEX(LineupsSearch[],MATCH(LineupsData[[#This Row],[Home?]]&amp;LineupsData[[#Headers],[B2]],LineupsSearch[Home?]&amp;LineupsSearch[Item],1),3)&amp;LineupsData[[#This Row],[RefRow]])</f>
        <v>932</v>
      </c>
      <c r="P60" s="1219" t="str">
        <f t="array" aca="1" ref="P6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60" s="1219">
        <f ca="1">IFERROR(LEN(IF(OR(LEFT(LineupsData[[#This Row],[B2_Box]],1)="$",LEFT(LineupsData[[#This Row],[B2_Box]],1)="S"),RIGHT(LineupsData[[#This Row],[B2_Box]],LEN(LineupsData[[#This Row],[B2_Box]])-1),LineupsData[[#This Row],[B2_Box]])),"")</f>
        <v>0</v>
      </c>
      <c r="R60" s="1219" t="str">
        <f t="array" aca="1" ref="R60" ca="1">INDIRECT($AA$24&amp;INDEX(LineupsSearch[],MATCH(LineupsData[[#This Row],[Home?]]&amp;LineupsData[[#Headers],[B3]],LineupsSearch[Home?]&amp;LineupsSearch[Item],1),3)&amp;LineupsData[[#This Row],[RefRow]])</f>
        <v>2611</v>
      </c>
      <c r="S60" s="1219" t="str">
        <f t="array" aca="1" ref="S6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60" s="1219">
        <f ca="1">IFERROR(LEN(IF(OR(LEFT(LineupsData[[#This Row],[B3_Box]],1)="$",LEFT(LineupsData[[#This Row],[B3_Box]],1)="S"),RIGHT(LineupsData[[#This Row],[B3_Box]],LEN(LineupsData[[#This Row],[B3_Box]])-1),LineupsData[[#This Row],[B3_Box]])),"")</f>
        <v>0</v>
      </c>
      <c r="U60" s="1219" t="b">
        <f t="array" aca="1" ref="U6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60" s="1219" t="b">
        <v>0</v>
      </c>
      <c r="W60" s="1219">
        <v>24</v>
      </c>
    </row>
    <row r="61" spans="1:23" x14ac:dyDescent="0.25">
      <c r="A61" s="1218">
        <f>[1]IBRF!$B$5</f>
        <v>41734</v>
      </c>
      <c r="B61" s="1221">
        <f t="shared" si="0"/>
        <v>0.83333333333333337</v>
      </c>
      <c r="C61" s="1219">
        <v>1</v>
      </c>
      <c r="D61" s="1219">
        <f t="array" aca="1" ref="D61" ca="1">IF(LineupsData[[#This Row],[Passed?]],D60,IF(INDIRECT($AA$24&amp;INDEX(LineupsSearch[],MATCH(LineupsData[[#This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61" s="1219" t="str">
        <f t="shared" si="2"/>
        <v>Harlots</v>
      </c>
      <c r="F61" s="1219" t="str">
        <f t="array" aca="1" ref="F61" ca="1">INDIRECT($AA$24&amp;INDEX(LineupsSearch[],MATCH(LineupsData[[#This Row],[Home?]]&amp;LineupsData[[#Headers],[Jammer]],LineupsSearch[Home?]&amp;LineupsSearch[Item],1),3)&amp;LineupsData[[#This Row],[RefRow]])</f>
        <v/>
      </c>
      <c r="G61" s="1219" t="str">
        <f t="array" aca="1" ref="G6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61" s="1219">
        <f ca="1">IFERROR(LEN(IF(OR(LEFT(LineupsData[[#This Row],[J_Box]],1)="$",LEFT(LineupsData[[#This Row],[J_Box]],1)="S"),RIGHT(LineupsData[[#This Row],[J_Box]],LEN(LineupsData[[#This Row],[J_Box]])-1),LineupsData[[#This Row],[J_Box]])),"")</f>
        <v>0</v>
      </c>
      <c r="I61" s="1219">
        <f t="array" aca="1" ref="I61" ca="1">INDIRECT($AA$24&amp;INDEX(LineupsSearch[],MATCH(LineupsData[[#This Row],[Home?]]&amp;LineupsData[[#Headers],[Pivot]],LineupsSearch[Home?]&amp;LineupsSearch[Item],1),3)&amp;LineupsData[[#This Row],[RefRow]])</f>
        <v>0</v>
      </c>
      <c r="J61" s="1219" t="str">
        <f t="array" aca="1" ref="J6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61" s="1219">
        <f ca="1">IFERROR(LEN(IF(OR(LEFT(LineupsData[[#This Row],[P_Box]],1)="$",LEFT(LineupsData[[#This Row],[P_Box]],1)="S"),RIGHT(LineupsData[[#This Row],[P_Box]],LEN(LineupsData[[#This Row],[P_Box]])-1),LineupsData[[#This Row],[P_Box]])),"")</f>
        <v>0</v>
      </c>
      <c r="L61" s="1219">
        <f t="array" aca="1" ref="L61" ca="1">INDIRECT($AA$24&amp;INDEX(LineupsSearch[],MATCH(LineupsData[[#This Row],[Home?]]&amp;LineupsData[[#Headers],[B1]],LineupsSearch[Home?]&amp;LineupsSearch[Item],1),3)&amp;LineupsData[[#This Row],[RefRow]])</f>
        <v>0</v>
      </c>
      <c r="M61" s="1219" t="str">
        <f t="array" aca="1" ref="M6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61" s="1219">
        <f ca="1">IFERROR(LEN(IF(OR(LEFT(LineupsData[[#This Row],[B1_Box]],1)="$",LEFT(LineupsData[[#This Row],[B1_Box]],1)="S"),RIGHT(LineupsData[[#This Row],[B1_Box]],LEN(LineupsData[[#This Row],[B1_Box]])-1),LineupsData[[#This Row],[B1_Box]])),"")</f>
        <v>0</v>
      </c>
      <c r="O61" s="1219">
        <f t="array" aca="1" ref="O61" ca="1">INDIRECT($AA$24&amp;INDEX(LineupsSearch[],MATCH(LineupsData[[#This Row],[Home?]]&amp;LineupsData[[#Headers],[B2]],LineupsSearch[Home?]&amp;LineupsSearch[Item],1),3)&amp;LineupsData[[#This Row],[RefRow]])</f>
        <v>0</v>
      </c>
      <c r="P61" s="1219" t="str">
        <f t="array" aca="1" ref="P6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61" s="1219">
        <f ca="1">IFERROR(LEN(IF(OR(LEFT(LineupsData[[#This Row],[B2_Box]],1)="$",LEFT(LineupsData[[#This Row],[B2_Box]],1)="S"),RIGHT(LineupsData[[#This Row],[B2_Box]],LEN(LineupsData[[#This Row],[B2_Box]])-1),LineupsData[[#This Row],[B2_Box]])),"")</f>
        <v>0</v>
      </c>
      <c r="R61" s="1219">
        <f t="array" aca="1" ref="R61" ca="1">INDIRECT($AA$24&amp;INDEX(LineupsSearch[],MATCH(LineupsData[[#This Row],[Home?]]&amp;LineupsData[[#Headers],[B3]],LineupsSearch[Home?]&amp;LineupsSearch[Item],1),3)&amp;LineupsData[[#This Row],[RefRow]])</f>
        <v>0</v>
      </c>
      <c r="S61" s="1219" t="str">
        <f t="array" aca="1" ref="S6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61" s="1219">
        <f ca="1">IFERROR(LEN(IF(OR(LEFT(LineupsData[[#This Row],[B3_Box]],1)="$",LEFT(LineupsData[[#This Row],[B3_Box]],1)="S"),RIGHT(LineupsData[[#This Row],[B3_Box]],LEN(LineupsData[[#This Row],[B3_Box]])-1),LineupsData[[#This Row],[B3_Box]])),"")</f>
        <v>0</v>
      </c>
      <c r="U61" s="1219" t="b">
        <f t="array" aca="1" ref="U6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61" s="1219" t="b">
        <v>0</v>
      </c>
      <c r="W61" s="1219">
        <v>25</v>
      </c>
    </row>
    <row r="62" spans="1:23" x14ac:dyDescent="0.25">
      <c r="A62" s="1218">
        <f>[1]IBRF!$B$5</f>
        <v>41734</v>
      </c>
      <c r="B62" s="1221">
        <f t="shared" si="0"/>
        <v>0.83333333333333337</v>
      </c>
      <c r="C62" s="1219">
        <v>1</v>
      </c>
      <c r="D62" s="1219">
        <f t="array" aca="1" ref="D62" ca="1">IF(LineupsData[[#This Row],[Passed?]],D61,IF(INDIRECT($AA$24&amp;INDEX(LineupsSearch[],MATCH(LineupsData[[#This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62" s="1219" t="str">
        <f t="shared" si="2"/>
        <v>Harlots</v>
      </c>
      <c r="F62" s="1219" t="str">
        <f t="array" aca="1" ref="F62" ca="1">INDIRECT($AA$24&amp;INDEX(LineupsSearch[],MATCH(LineupsData[[#This Row],[Home?]]&amp;LineupsData[[#Headers],[Jammer]],LineupsSearch[Home?]&amp;LineupsSearch[Item],1),3)&amp;LineupsData[[#This Row],[RefRow]])</f>
        <v/>
      </c>
      <c r="G62" s="1219" t="str">
        <f t="array" aca="1" ref="G6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62" s="1219">
        <f ca="1">IFERROR(LEN(IF(OR(LEFT(LineupsData[[#This Row],[J_Box]],1)="$",LEFT(LineupsData[[#This Row],[J_Box]],1)="S"),RIGHT(LineupsData[[#This Row],[J_Box]],LEN(LineupsData[[#This Row],[J_Box]])-1),LineupsData[[#This Row],[J_Box]])),"")</f>
        <v>0</v>
      </c>
      <c r="I62" s="1219">
        <f t="array" aca="1" ref="I62" ca="1">INDIRECT($AA$24&amp;INDEX(LineupsSearch[],MATCH(LineupsData[[#This Row],[Home?]]&amp;LineupsData[[#Headers],[Pivot]],LineupsSearch[Home?]&amp;LineupsSearch[Item],1),3)&amp;LineupsData[[#This Row],[RefRow]])</f>
        <v>0</v>
      </c>
      <c r="J62" s="1219" t="str">
        <f t="array" aca="1" ref="J6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62" s="1219">
        <f ca="1">IFERROR(LEN(IF(OR(LEFT(LineupsData[[#This Row],[P_Box]],1)="$",LEFT(LineupsData[[#This Row],[P_Box]],1)="S"),RIGHT(LineupsData[[#This Row],[P_Box]],LEN(LineupsData[[#This Row],[P_Box]])-1),LineupsData[[#This Row],[P_Box]])),"")</f>
        <v>0</v>
      </c>
      <c r="L62" s="1219">
        <f t="array" aca="1" ref="L62" ca="1">INDIRECT($AA$24&amp;INDEX(LineupsSearch[],MATCH(LineupsData[[#This Row],[Home?]]&amp;LineupsData[[#Headers],[B1]],LineupsSearch[Home?]&amp;LineupsSearch[Item],1),3)&amp;LineupsData[[#This Row],[RefRow]])</f>
        <v>0</v>
      </c>
      <c r="M62" s="1219" t="str">
        <f t="array" aca="1" ref="M6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62" s="1219">
        <f ca="1">IFERROR(LEN(IF(OR(LEFT(LineupsData[[#This Row],[B1_Box]],1)="$",LEFT(LineupsData[[#This Row],[B1_Box]],1)="S"),RIGHT(LineupsData[[#This Row],[B1_Box]],LEN(LineupsData[[#This Row],[B1_Box]])-1),LineupsData[[#This Row],[B1_Box]])),"")</f>
        <v>0</v>
      </c>
      <c r="O62" s="1219">
        <f t="array" aca="1" ref="O62" ca="1">INDIRECT($AA$24&amp;INDEX(LineupsSearch[],MATCH(LineupsData[[#This Row],[Home?]]&amp;LineupsData[[#Headers],[B2]],LineupsSearch[Home?]&amp;LineupsSearch[Item],1),3)&amp;LineupsData[[#This Row],[RefRow]])</f>
        <v>0</v>
      </c>
      <c r="P62" s="1219" t="str">
        <f t="array" aca="1" ref="P6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62" s="1219">
        <f ca="1">IFERROR(LEN(IF(OR(LEFT(LineupsData[[#This Row],[B2_Box]],1)="$",LEFT(LineupsData[[#This Row],[B2_Box]],1)="S"),RIGHT(LineupsData[[#This Row],[B2_Box]],LEN(LineupsData[[#This Row],[B2_Box]])-1),LineupsData[[#This Row],[B2_Box]])),"")</f>
        <v>0</v>
      </c>
      <c r="R62" s="1219">
        <f t="array" aca="1" ref="R62" ca="1">INDIRECT($AA$24&amp;INDEX(LineupsSearch[],MATCH(LineupsData[[#This Row],[Home?]]&amp;LineupsData[[#Headers],[B3]],LineupsSearch[Home?]&amp;LineupsSearch[Item],1),3)&amp;LineupsData[[#This Row],[RefRow]])</f>
        <v>0</v>
      </c>
      <c r="S62" s="1219" t="str">
        <f t="array" aca="1" ref="S6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62" s="1219">
        <f ca="1">IFERROR(LEN(IF(OR(LEFT(LineupsData[[#This Row],[B3_Box]],1)="$",LEFT(LineupsData[[#This Row],[B3_Box]],1)="S"),RIGHT(LineupsData[[#This Row],[B3_Box]],LEN(LineupsData[[#This Row],[B3_Box]])-1),LineupsData[[#This Row],[B3_Box]])),"")</f>
        <v>0</v>
      </c>
      <c r="U62" s="1219" t="b">
        <f t="array" aca="1" ref="U6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62" s="1219" t="b">
        <v>0</v>
      </c>
      <c r="W62" s="1219">
        <v>26</v>
      </c>
    </row>
    <row r="63" spans="1:23" x14ac:dyDescent="0.25">
      <c r="A63" s="1218">
        <f>[1]IBRF!$B$5</f>
        <v>41734</v>
      </c>
      <c r="B63" s="1221">
        <f t="shared" si="0"/>
        <v>0.83333333333333337</v>
      </c>
      <c r="C63" s="1219">
        <v>1</v>
      </c>
      <c r="D63" s="1219">
        <f t="array" aca="1" ref="D63" ca="1">IF(LineupsData[[#This Row],[Passed?]],D62,IF(INDIRECT($AA$24&amp;INDEX(LineupsSearch[],MATCH(LineupsData[[#This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63" s="1219" t="str">
        <f t="shared" si="2"/>
        <v>Harlots</v>
      </c>
      <c r="F63" s="1219" t="str">
        <f t="array" aca="1" ref="F63" ca="1">INDIRECT($AA$24&amp;INDEX(LineupsSearch[],MATCH(LineupsData[[#This Row],[Home?]]&amp;LineupsData[[#Headers],[Jammer]],LineupsSearch[Home?]&amp;LineupsSearch[Item],1),3)&amp;LineupsData[[#This Row],[RefRow]])</f>
        <v/>
      </c>
      <c r="G63" s="1219" t="str">
        <f t="array" aca="1" ref="G6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63" s="1219">
        <f ca="1">IFERROR(LEN(IF(OR(LEFT(LineupsData[[#This Row],[J_Box]],1)="$",LEFT(LineupsData[[#This Row],[J_Box]],1)="S"),RIGHT(LineupsData[[#This Row],[J_Box]],LEN(LineupsData[[#This Row],[J_Box]])-1),LineupsData[[#This Row],[J_Box]])),"")</f>
        <v>0</v>
      </c>
      <c r="I63" s="1219">
        <f t="array" aca="1" ref="I63" ca="1">INDIRECT($AA$24&amp;INDEX(LineupsSearch[],MATCH(LineupsData[[#This Row],[Home?]]&amp;LineupsData[[#Headers],[Pivot]],LineupsSearch[Home?]&amp;LineupsSearch[Item],1),3)&amp;LineupsData[[#This Row],[RefRow]])</f>
        <v>0</v>
      </c>
      <c r="J63" s="1219" t="str">
        <f t="array" aca="1" ref="J6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63" s="1219">
        <f ca="1">IFERROR(LEN(IF(OR(LEFT(LineupsData[[#This Row],[P_Box]],1)="$",LEFT(LineupsData[[#This Row],[P_Box]],1)="S"),RIGHT(LineupsData[[#This Row],[P_Box]],LEN(LineupsData[[#This Row],[P_Box]])-1),LineupsData[[#This Row],[P_Box]])),"")</f>
        <v>0</v>
      </c>
      <c r="L63" s="1219">
        <f t="array" aca="1" ref="L63" ca="1">INDIRECT($AA$24&amp;INDEX(LineupsSearch[],MATCH(LineupsData[[#This Row],[Home?]]&amp;LineupsData[[#Headers],[B1]],LineupsSearch[Home?]&amp;LineupsSearch[Item],1),3)&amp;LineupsData[[#This Row],[RefRow]])</f>
        <v>0</v>
      </c>
      <c r="M63" s="1219" t="str">
        <f t="array" aca="1" ref="M6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63" s="1219">
        <f ca="1">IFERROR(LEN(IF(OR(LEFT(LineupsData[[#This Row],[B1_Box]],1)="$",LEFT(LineupsData[[#This Row],[B1_Box]],1)="S"),RIGHT(LineupsData[[#This Row],[B1_Box]],LEN(LineupsData[[#This Row],[B1_Box]])-1),LineupsData[[#This Row],[B1_Box]])),"")</f>
        <v>0</v>
      </c>
      <c r="O63" s="1219">
        <f t="array" aca="1" ref="O63" ca="1">INDIRECT($AA$24&amp;INDEX(LineupsSearch[],MATCH(LineupsData[[#This Row],[Home?]]&amp;LineupsData[[#Headers],[B2]],LineupsSearch[Home?]&amp;LineupsSearch[Item],1),3)&amp;LineupsData[[#This Row],[RefRow]])</f>
        <v>0</v>
      </c>
      <c r="P63" s="1219" t="str">
        <f t="array" aca="1" ref="P6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63" s="1219">
        <f ca="1">IFERROR(LEN(IF(OR(LEFT(LineupsData[[#This Row],[B2_Box]],1)="$",LEFT(LineupsData[[#This Row],[B2_Box]],1)="S"),RIGHT(LineupsData[[#This Row],[B2_Box]],LEN(LineupsData[[#This Row],[B2_Box]])-1),LineupsData[[#This Row],[B2_Box]])),"")</f>
        <v>0</v>
      </c>
      <c r="R63" s="1219">
        <f t="array" aca="1" ref="R63" ca="1">INDIRECT($AA$24&amp;INDEX(LineupsSearch[],MATCH(LineupsData[[#This Row],[Home?]]&amp;LineupsData[[#Headers],[B3]],LineupsSearch[Home?]&amp;LineupsSearch[Item],1),3)&amp;LineupsData[[#This Row],[RefRow]])</f>
        <v>0</v>
      </c>
      <c r="S63" s="1219" t="str">
        <f t="array" aca="1" ref="S6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63" s="1219">
        <f ca="1">IFERROR(LEN(IF(OR(LEFT(LineupsData[[#This Row],[B3_Box]],1)="$",LEFT(LineupsData[[#This Row],[B3_Box]],1)="S"),RIGHT(LineupsData[[#This Row],[B3_Box]],LEN(LineupsData[[#This Row],[B3_Box]])-1),LineupsData[[#This Row],[B3_Box]])),"")</f>
        <v>0</v>
      </c>
      <c r="U63" s="1219" t="b">
        <f t="array" aca="1" ref="U6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63" s="1219" t="b">
        <v>0</v>
      </c>
      <c r="W63" s="1219">
        <v>27</v>
      </c>
    </row>
    <row r="64" spans="1:23" x14ac:dyDescent="0.25">
      <c r="A64" s="1218">
        <f>[1]IBRF!$B$5</f>
        <v>41734</v>
      </c>
      <c r="B64" s="1221">
        <f t="shared" si="0"/>
        <v>0.83333333333333337</v>
      </c>
      <c r="C64" s="1219">
        <v>1</v>
      </c>
      <c r="D64" s="1219">
        <f t="array" aca="1" ref="D64" ca="1">IF(LineupsData[[#This Row],[Passed?]],D63,IF(INDIRECT($AA$24&amp;INDEX(LineupsSearch[],MATCH(LineupsData[[#This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64" s="1219" t="str">
        <f t="shared" si="2"/>
        <v>Harlots</v>
      </c>
      <c r="F64" s="1219" t="str">
        <f t="array" aca="1" ref="F64" ca="1">INDIRECT($AA$24&amp;INDEX(LineupsSearch[],MATCH(LineupsData[[#This Row],[Home?]]&amp;LineupsData[[#Headers],[Jammer]],LineupsSearch[Home?]&amp;LineupsSearch[Item],1),3)&amp;LineupsData[[#This Row],[RefRow]])</f>
        <v/>
      </c>
      <c r="G64" s="1219" t="str">
        <f t="array" aca="1" ref="G6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64" s="1219">
        <f ca="1">IFERROR(LEN(IF(OR(LEFT(LineupsData[[#This Row],[J_Box]],1)="$",LEFT(LineupsData[[#This Row],[J_Box]],1)="S"),RIGHT(LineupsData[[#This Row],[J_Box]],LEN(LineupsData[[#This Row],[J_Box]])-1),LineupsData[[#This Row],[J_Box]])),"")</f>
        <v>0</v>
      </c>
      <c r="I64" s="1219">
        <f t="array" aca="1" ref="I64" ca="1">INDIRECT($AA$24&amp;INDEX(LineupsSearch[],MATCH(LineupsData[[#This Row],[Home?]]&amp;LineupsData[[#Headers],[Pivot]],LineupsSearch[Home?]&amp;LineupsSearch[Item],1),3)&amp;LineupsData[[#This Row],[RefRow]])</f>
        <v>0</v>
      </c>
      <c r="J64" s="1219" t="str">
        <f t="array" aca="1" ref="J6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64" s="1219">
        <f ca="1">IFERROR(LEN(IF(OR(LEFT(LineupsData[[#This Row],[P_Box]],1)="$",LEFT(LineupsData[[#This Row],[P_Box]],1)="S"),RIGHT(LineupsData[[#This Row],[P_Box]],LEN(LineupsData[[#This Row],[P_Box]])-1),LineupsData[[#This Row],[P_Box]])),"")</f>
        <v>0</v>
      </c>
      <c r="L64" s="1219">
        <f t="array" aca="1" ref="L64" ca="1">INDIRECT($AA$24&amp;INDEX(LineupsSearch[],MATCH(LineupsData[[#This Row],[Home?]]&amp;LineupsData[[#Headers],[B1]],LineupsSearch[Home?]&amp;LineupsSearch[Item],1),3)&amp;LineupsData[[#This Row],[RefRow]])</f>
        <v>0</v>
      </c>
      <c r="M64" s="1219" t="str">
        <f t="array" aca="1" ref="M6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64" s="1219">
        <f ca="1">IFERROR(LEN(IF(OR(LEFT(LineupsData[[#This Row],[B1_Box]],1)="$",LEFT(LineupsData[[#This Row],[B1_Box]],1)="S"),RIGHT(LineupsData[[#This Row],[B1_Box]],LEN(LineupsData[[#This Row],[B1_Box]])-1),LineupsData[[#This Row],[B1_Box]])),"")</f>
        <v>0</v>
      </c>
      <c r="O64" s="1219">
        <f t="array" aca="1" ref="O64" ca="1">INDIRECT($AA$24&amp;INDEX(LineupsSearch[],MATCH(LineupsData[[#This Row],[Home?]]&amp;LineupsData[[#Headers],[B2]],LineupsSearch[Home?]&amp;LineupsSearch[Item],1),3)&amp;LineupsData[[#This Row],[RefRow]])</f>
        <v>0</v>
      </c>
      <c r="P64" s="1219" t="str">
        <f t="array" aca="1" ref="P6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64" s="1219">
        <f ca="1">IFERROR(LEN(IF(OR(LEFT(LineupsData[[#This Row],[B2_Box]],1)="$",LEFT(LineupsData[[#This Row],[B2_Box]],1)="S"),RIGHT(LineupsData[[#This Row],[B2_Box]],LEN(LineupsData[[#This Row],[B2_Box]])-1),LineupsData[[#This Row],[B2_Box]])),"")</f>
        <v>0</v>
      </c>
      <c r="R64" s="1219">
        <f t="array" aca="1" ref="R64" ca="1">INDIRECT($AA$24&amp;INDEX(LineupsSearch[],MATCH(LineupsData[[#This Row],[Home?]]&amp;LineupsData[[#Headers],[B3]],LineupsSearch[Home?]&amp;LineupsSearch[Item],1),3)&amp;LineupsData[[#This Row],[RefRow]])</f>
        <v>0</v>
      </c>
      <c r="S64" s="1219" t="str">
        <f t="array" aca="1" ref="S6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64" s="1219">
        <f ca="1">IFERROR(LEN(IF(OR(LEFT(LineupsData[[#This Row],[B3_Box]],1)="$",LEFT(LineupsData[[#This Row],[B3_Box]],1)="S"),RIGHT(LineupsData[[#This Row],[B3_Box]],LEN(LineupsData[[#This Row],[B3_Box]])-1),LineupsData[[#This Row],[B3_Box]])),"")</f>
        <v>0</v>
      </c>
      <c r="U64" s="1219" t="b">
        <f t="array" aca="1" ref="U6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64" s="1219" t="b">
        <v>0</v>
      </c>
      <c r="W64" s="1219">
        <v>28</v>
      </c>
    </row>
    <row r="65" spans="1:23" x14ac:dyDescent="0.25">
      <c r="A65" s="1218">
        <f>[1]IBRF!$B$5</f>
        <v>41734</v>
      </c>
      <c r="B65" s="1221">
        <f t="shared" si="0"/>
        <v>0.83333333333333337</v>
      </c>
      <c r="C65" s="1219">
        <v>1</v>
      </c>
      <c r="D65" s="1219">
        <f t="array" aca="1" ref="D65" ca="1">IF(LineupsData[[#This Row],[Passed?]],D64,IF(INDIRECT($AA$24&amp;INDEX(LineupsSearch[],MATCH(LineupsData[[#This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65" s="1219" t="str">
        <f t="shared" si="2"/>
        <v>Harlots</v>
      </c>
      <c r="F65" s="1219" t="str">
        <f t="array" aca="1" ref="F65" ca="1">INDIRECT($AA$24&amp;INDEX(LineupsSearch[],MATCH(LineupsData[[#This Row],[Home?]]&amp;LineupsData[[#Headers],[Jammer]],LineupsSearch[Home?]&amp;LineupsSearch[Item],1),3)&amp;LineupsData[[#This Row],[RefRow]])</f>
        <v/>
      </c>
      <c r="G65" s="1219" t="str">
        <f t="array" aca="1" ref="G6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65" s="1219">
        <f ca="1">IFERROR(LEN(IF(OR(LEFT(LineupsData[[#This Row],[J_Box]],1)="$",LEFT(LineupsData[[#This Row],[J_Box]],1)="S"),RIGHT(LineupsData[[#This Row],[J_Box]],LEN(LineupsData[[#This Row],[J_Box]])-1),LineupsData[[#This Row],[J_Box]])),"")</f>
        <v>0</v>
      </c>
      <c r="I65" s="1219">
        <f t="array" aca="1" ref="I65" ca="1">INDIRECT($AA$24&amp;INDEX(LineupsSearch[],MATCH(LineupsData[[#This Row],[Home?]]&amp;LineupsData[[#Headers],[Pivot]],LineupsSearch[Home?]&amp;LineupsSearch[Item],1),3)&amp;LineupsData[[#This Row],[RefRow]])</f>
        <v>0</v>
      </c>
      <c r="J65" s="1219" t="str">
        <f t="array" aca="1" ref="J6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65" s="1219">
        <f ca="1">IFERROR(LEN(IF(OR(LEFT(LineupsData[[#This Row],[P_Box]],1)="$",LEFT(LineupsData[[#This Row],[P_Box]],1)="S"),RIGHT(LineupsData[[#This Row],[P_Box]],LEN(LineupsData[[#This Row],[P_Box]])-1),LineupsData[[#This Row],[P_Box]])),"")</f>
        <v>0</v>
      </c>
      <c r="L65" s="1219">
        <f t="array" aca="1" ref="L65" ca="1">INDIRECT($AA$24&amp;INDEX(LineupsSearch[],MATCH(LineupsData[[#This Row],[Home?]]&amp;LineupsData[[#Headers],[B1]],LineupsSearch[Home?]&amp;LineupsSearch[Item],1),3)&amp;LineupsData[[#This Row],[RefRow]])</f>
        <v>0</v>
      </c>
      <c r="M65" s="1219" t="str">
        <f t="array" aca="1" ref="M6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65" s="1219">
        <f ca="1">IFERROR(LEN(IF(OR(LEFT(LineupsData[[#This Row],[B1_Box]],1)="$",LEFT(LineupsData[[#This Row],[B1_Box]],1)="S"),RIGHT(LineupsData[[#This Row],[B1_Box]],LEN(LineupsData[[#This Row],[B1_Box]])-1),LineupsData[[#This Row],[B1_Box]])),"")</f>
        <v>0</v>
      </c>
      <c r="O65" s="1219">
        <f t="array" aca="1" ref="O65" ca="1">INDIRECT($AA$24&amp;INDEX(LineupsSearch[],MATCH(LineupsData[[#This Row],[Home?]]&amp;LineupsData[[#Headers],[B2]],LineupsSearch[Home?]&amp;LineupsSearch[Item],1),3)&amp;LineupsData[[#This Row],[RefRow]])</f>
        <v>0</v>
      </c>
      <c r="P65" s="1219" t="str">
        <f t="array" aca="1" ref="P6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65" s="1219">
        <f ca="1">IFERROR(LEN(IF(OR(LEFT(LineupsData[[#This Row],[B2_Box]],1)="$",LEFT(LineupsData[[#This Row],[B2_Box]],1)="S"),RIGHT(LineupsData[[#This Row],[B2_Box]],LEN(LineupsData[[#This Row],[B2_Box]])-1),LineupsData[[#This Row],[B2_Box]])),"")</f>
        <v>0</v>
      </c>
      <c r="R65" s="1219">
        <f t="array" aca="1" ref="R65" ca="1">INDIRECT($AA$24&amp;INDEX(LineupsSearch[],MATCH(LineupsData[[#This Row],[Home?]]&amp;LineupsData[[#Headers],[B3]],LineupsSearch[Home?]&amp;LineupsSearch[Item],1),3)&amp;LineupsData[[#This Row],[RefRow]])</f>
        <v>0</v>
      </c>
      <c r="S65" s="1219" t="str">
        <f t="array" aca="1" ref="S6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65" s="1219">
        <f ca="1">IFERROR(LEN(IF(OR(LEFT(LineupsData[[#This Row],[B3_Box]],1)="$",LEFT(LineupsData[[#This Row],[B3_Box]],1)="S"),RIGHT(LineupsData[[#This Row],[B3_Box]],LEN(LineupsData[[#This Row],[B3_Box]])-1),LineupsData[[#This Row],[B3_Box]])),"")</f>
        <v>0</v>
      </c>
      <c r="U65" s="1219" t="b">
        <f t="array" aca="1" ref="U6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65" s="1219" t="b">
        <v>0</v>
      </c>
      <c r="W65" s="1219">
        <v>29</v>
      </c>
    </row>
    <row r="66" spans="1:23" x14ac:dyDescent="0.25">
      <c r="A66" s="1218">
        <f>[1]IBRF!$B$5</f>
        <v>41734</v>
      </c>
      <c r="B66" s="1221">
        <f t="shared" ref="B66:B129" si="3">$AA$1</f>
        <v>0.83333333333333337</v>
      </c>
      <c r="C66" s="1219">
        <v>1</v>
      </c>
      <c r="D66" s="1219">
        <f t="array" aca="1" ref="D66" ca="1">IF(LineupsData[[#This Row],[Passed?]],D65,IF(INDIRECT($AA$24&amp;INDEX(LineupsSearch[],MATCH(LineupsData[[#This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66" s="1219" t="str">
        <f t="shared" si="2"/>
        <v>Harlots</v>
      </c>
      <c r="F66" s="1219" t="str">
        <f t="array" aca="1" ref="F66" ca="1">INDIRECT($AA$24&amp;INDEX(LineupsSearch[],MATCH(LineupsData[[#This Row],[Home?]]&amp;LineupsData[[#Headers],[Jammer]],LineupsSearch[Home?]&amp;LineupsSearch[Item],1),3)&amp;LineupsData[[#This Row],[RefRow]])</f>
        <v/>
      </c>
      <c r="G66" s="1219" t="str">
        <f t="array" aca="1" ref="G6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66" s="1219">
        <f ca="1">IFERROR(LEN(IF(OR(LEFT(LineupsData[[#This Row],[J_Box]],1)="$",LEFT(LineupsData[[#This Row],[J_Box]],1)="S"),RIGHT(LineupsData[[#This Row],[J_Box]],LEN(LineupsData[[#This Row],[J_Box]])-1),LineupsData[[#This Row],[J_Box]])),"")</f>
        <v>0</v>
      </c>
      <c r="I66" s="1219">
        <f t="array" aca="1" ref="I66" ca="1">INDIRECT($AA$24&amp;INDEX(LineupsSearch[],MATCH(LineupsData[[#This Row],[Home?]]&amp;LineupsData[[#Headers],[Pivot]],LineupsSearch[Home?]&amp;LineupsSearch[Item],1),3)&amp;LineupsData[[#This Row],[RefRow]])</f>
        <v>0</v>
      </c>
      <c r="J66" s="1219" t="str">
        <f t="array" aca="1" ref="J6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66" s="1219">
        <f ca="1">IFERROR(LEN(IF(OR(LEFT(LineupsData[[#This Row],[P_Box]],1)="$",LEFT(LineupsData[[#This Row],[P_Box]],1)="S"),RIGHT(LineupsData[[#This Row],[P_Box]],LEN(LineupsData[[#This Row],[P_Box]])-1),LineupsData[[#This Row],[P_Box]])),"")</f>
        <v>0</v>
      </c>
      <c r="L66" s="1219">
        <f t="array" aca="1" ref="L66" ca="1">INDIRECT($AA$24&amp;INDEX(LineupsSearch[],MATCH(LineupsData[[#This Row],[Home?]]&amp;LineupsData[[#Headers],[B1]],LineupsSearch[Home?]&amp;LineupsSearch[Item],1),3)&amp;LineupsData[[#This Row],[RefRow]])</f>
        <v>0</v>
      </c>
      <c r="M66" s="1219" t="str">
        <f t="array" aca="1" ref="M6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66" s="1219">
        <f ca="1">IFERROR(LEN(IF(OR(LEFT(LineupsData[[#This Row],[B1_Box]],1)="$",LEFT(LineupsData[[#This Row],[B1_Box]],1)="S"),RIGHT(LineupsData[[#This Row],[B1_Box]],LEN(LineupsData[[#This Row],[B1_Box]])-1),LineupsData[[#This Row],[B1_Box]])),"")</f>
        <v>0</v>
      </c>
      <c r="O66" s="1219">
        <f t="array" aca="1" ref="O66" ca="1">INDIRECT($AA$24&amp;INDEX(LineupsSearch[],MATCH(LineupsData[[#This Row],[Home?]]&amp;LineupsData[[#Headers],[B2]],LineupsSearch[Home?]&amp;LineupsSearch[Item],1),3)&amp;LineupsData[[#This Row],[RefRow]])</f>
        <v>0</v>
      </c>
      <c r="P66" s="1219" t="str">
        <f t="array" aca="1" ref="P6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66" s="1219">
        <f ca="1">IFERROR(LEN(IF(OR(LEFT(LineupsData[[#This Row],[B2_Box]],1)="$",LEFT(LineupsData[[#This Row],[B2_Box]],1)="S"),RIGHT(LineupsData[[#This Row],[B2_Box]],LEN(LineupsData[[#This Row],[B2_Box]])-1),LineupsData[[#This Row],[B2_Box]])),"")</f>
        <v>0</v>
      </c>
      <c r="R66" s="1219">
        <f t="array" aca="1" ref="R66" ca="1">INDIRECT($AA$24&amp;INDEX(LineupsSearch[],MATCH(LineupsData[[#This Row],[Home?]]&amp;LineupsData[[#Headers],[B3]],LineupsSearch[Home?]&amp;LineupsSearch[Item],1),3)&amp;LineupsData[[#This Row],[RefRow]])</f>
        <v>0</v>
      </c>
      <c r="S66" s="1219" t="str">
        <f t="array" aca="1" ref="S6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66" s="1219">
        <f ca="1">IFERROR(LEN(IF(OR(LEFT(LineupsData[[#This Row],[B3_Box]],1)="$",LEFT(LineupsData[[#This Row],[B3_Box]],1)="S"),RIGHT(LineupsData[[#This Row],[B3_Box]],LEN(LineupsData[[#This Row],[B3_Box]])-1),LineupsData[[#This Row],[B3_Box]])),"")</f>
        <v>0</v>
      </c>
      <c r="U66" s="1219" t="b">
        <f t="array" aca="1" ref="U6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66" s="1219" t="b">
        <v>0</v>
      </c>
      <c r="W66" s="1219">
        <v>30</v>
      </c>
    </row>
    <row r="67" spans="1:23" x14ac:dyDescent="0.25">
      <c r="A67" s="1218">
        <f>[1]IBRF!$B$5</f>
        <v>41734</v>
      </c>
      <c r="B67" s="1221">
        <f t="shared" si="3"/>
        <v>0.83333333333333337</v>
      </c>
      <c r="C67" s="1219">
        <v>1</v>
      </c>
      <c r="D67" s="1219">
        <f t="array" aca="1" ref="D67" ca="1">IF(LineupsData[[#This Row],[Passed?]],D66,IF(INDIRECT($AA$24&amp;INDEX(LineupsSearch[],MATCH(LineupsData[[#This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67" s="1219" t="str">
        <f t="shared" si="2"/>
        <v>Harlots</v>
      </c>
      <c r="F67" s="1219" t="str">
        <f t="array" aca="1" ref="F67" ca="1">INDIRECT($AA$24&amp;INDEX(LineupsSearch[],MATCH(LineupsData[[#This Row],[Home?]]&amp;LineupsData[[#Headers],[Jammer]],LineupsSearch[Home?]&amp;LineupsSearch[Item],1),3)&amp;LineupsData[[#This Row],[RefRow]])</f>
        <v/>
      </c>
      <c r="G67" s="1219" t="str">
        <f t="array" aca="1" ref="G6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67" s="1219">
        <f ca="1">IFERROR(LEN(IF(OR(LEFT(LineupsData[[#This Row],[J_Box]],1)="$",LEFT(LineupsData[[#This Row],[J_Box]],1)="S"),RIGHT(LineupsData[[#This Row],[J_Box]],LEN(LineupsData[[#This Row],[J_Box]])-1),LineupsData[[#This Row],[J_Box]])),"")</f>
        <v>0</v>
      </c>
      <c r="I67" s="1219">
        <f t="array" aca="1" ref="I67" ca="1">INDIRECT($AA$24&amp;INDEX(LineupsSearch[],MATCH(LineupsData[[#This Row],[Home?]]&amp;LineupsData[[#Headers],[Pivot]],LineupsSearch[Home?]&amp;LineupsSearch[Item],1),3)&amp;LineupsData[[#This Row],[RefRow]])</f>
        <v>0</v>
      </c>
      <c r="J67" s="1219" t="str">
        <f t="array" aca="1" ref="J6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67" s="1219">
        <f ca="1">IFERROR(LEN(IF(OR(LEFT(LineupsData[[#This Row],[P_Box]],1)="$",LEFT(LineupsData[[#This Row],[P_Box]],1)="S"),RIGHT(LineupsData[[#This Row],[P_Box]],LEN(LineupsData[[#This Row],[P_Box]])-1),LineupsData[[#This Row],[P_Box]])),"")</f>
        <v>0</v>
      </c>
      <c r="L67" s="1219">
        <f t="array" aca="1" ref="L67" ca="1">INDIRECT($AA$24&amp;INDEX(LineupsSearch[],MATCH(LineupsData[[#This Row],[Home?]]&amp;LineupsData[[#Headers],[B1]],LineupsSearch[Home?]&amp;LineupsSearch[Item],1),3)&amp;LineupsData[[#This Row],[RefRow]])</f>
        <v>0</v>
      </c>
      <c r="M67" s="1219" t="str">
        <f t="array" aca="1" ref="M6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67" s="1219">
        <f ca="1">IFERROR(LEN(IF(OR(LEFT(LineupsData[[#This Row],[B1_Box]],1)="$",LEFT(LineupsData[[#This Row],[B1_Box]],1)="S"),RIGHT(LineupsData[[#This Row],[B1_Box]],LEN(LineupsData[[#This Row],[B1_Box]])-1),LineupsData[[#This Row],[B1_Box]])),"")</f>
        <v>0</v>
      </c>
      <c r="O67" s="1219">
        <f t="array" aca="1" ref="O67" ca="1">INDIRECT($AA$24&amp;INDEX(LineupsSearch[],MATCH(LineupsData[[#This Row],[Home?]]&amp;LineupsData[[#Headers],[B2]],LineupsSearch[Home?]&amp;LineupsSearch[Item],1),3)&amp;LineupsData[[#This Row],[RefRow]])</f>
        <v>0</v>
      </c>
      <c r="P67" s="1219" t="str">
        <f t="array" aca="1" ref="P6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67" s="1219">
        <f ca="1">IFERROR(LEN(IF(OR(LEFT(LineupsData[[#This Row],[B2_Box]],1)="$",LEFT(LineupsData[[#This Row],[B2_Box]],1)="S"),RIGHT(LineupsData[[#This Row],[B2_Box]],LEN(LineupsData[[#This Row],[B2_Box]])-1),LineupsData[[#This Row],[B2_Box]])),"")</f>
        <v>0</v>
      </c>
      <c r="R67" s="1219">
        <f t="array" aca="1" ref="R67" ca="1">INDIRECT($AA$24&amp;INDEX(LineupsSearch[],MATCH(LineupsData[[#This Row],[Home?]]&amp;LineupsData[[#Headers],[B3]],LineupsSearch[Home?]&amp;LineupsSearch[Item],1),3)&amp;LineupsData[[#This Row],[RefRow]])</f>
        <v>0</v>
      </c>
      <c r="S67" s="1219" t="str">
        <f t="array" aca="1" ref="S6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67" s="1219">
        <f ca="1">IFERROR(LEN(IF(OR(LEFT(LineupsData[[#This Row],[B3_Box]],1)="$",LEFT(LineupsData[[#This Row],[B3_Box]],1)="S"),RIGHT(LineupsData[[#This Row],[B3_Box]],LEN(LineupsData[[#This Row],[B3_Box]])-1),LineupsData[[#This Row],[B3_Box]])),"")</f>
        <v>0</v>
      </c>
      <c r="U67" s="1219" t="b">
        <f t="array" aca="1" ref="U6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67" s="1219" t="b">
        <v>0</v>
      </c>
      <c r="W67" s="1219">
        <v>31</v>
      </c>
    </row>
    <row r="68" spans="1:23" x14ac:dyDescent="0.25">
      <c r="A68" s="1218">
        <f>[1]IBRF!$B$5</f>
        <v>41734</v>
      </c>
      <c r="B68" s="1221">
        <f t="shared" si="3"/>
        <v>0.83333333333333337</v>
      </c>
      <c r="C68" s="1219">
        <v>1</v>
      </c>
      <c r="D68" s="1219">
        <f t="array" aca="1" ref="D68" ca="1">IF(LineupsData[[#This Row],[Passed?]],D67,IF(INDIRECT($AA$24&amp;INDEX(LineupsSearch[],MATCH(LineupsData[[#This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68" s="1219" t="str">
        <f t="shared" si="2"/>
        <v>Harlots</v>
      </c>
      <c r="F68" s="1219" t="str">
        <f t="array" aca="1" ref="F68" ca="1">INDIRECT($AA$24&amp;INDEX(LineupsSearch[],MATCH(LineupsData[[#This Row],[Home?]]&amp;LineupsData[[#Headers],[Jammer]],LineupsSearch[Home?]&amp;LineupsSearch[Item],1),3)&amp;LineupsData[[#This Row],[RefRow]])</f>
        <v/>
      </c>
      <c r="G68" s="1219" t="str">
        <f t="array" aca="1" ref="G6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68" s="1219">
        <f ca="1">IFERROR(LEN(IF(OR(LEFT(LineupsData[[#This Row],[J_Box]],1)="$",LEFT(LineupsData[[#This Row],[J_Box]],1)="S"),RIGHT(LineupsData[[#This Row],[J_Box]],LEN(LineupsData[[#This Row],[J_Box]])-1),LineupsData[[#This Row],[J_Box]])),"")</f>
        <v>0</v>
      </c>
      <c r="I68" s="1219">
        <f t="array" aca="1" ref="I68" ca="1">INDIRECT($AA$24&amp;INDEX(LineupsSearch[],MATCH(LineupsData[[#This Row],[Home?]]&amp;LineupsData[[#Headers],[Pivot]],LineupsSearch[Home?]&amp;LineupsSearch[Item],1),3)&amp;LineupsData[[#This Row],[RefRow]])</f>
        <v>0</v>
      </c>
      <c r="J68" s="1219" t="str">
        <f t="array" aca="1" ref="J6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68" s="1219">
        <f ca="1">IFERROR(LEN(IF(OR(LEFT(LineupsData[[#This Row],[P_Box]],1)="$",LEFT(LineupsData[[#This Row],[P_Box]],1)="S"),RIGHT(LineupsData[[#This Row],[P_Box]],LEN(LineupsData[[#This Row],[P_Box]])-1),LineupsData[[#This Row],[P_Box]])),"")</f>
        <v>0</v>
      </c>
      <c r="L68" s="1219">
        <f t="array" aca="1" ref="L68" ca="1">INDIRECT($AA$24&amp;INDEX(LineupsSearch[],MATCH(LineupsData[[#This Row],[Home?]]&amp;LineupsData[[#Headers],[B1]],LineupsSearch[Home?]&amp;LineupsSearch[Item],1),3)&amp;LineupsData[[#This Row],[RefRow]])</f>
        <v>0</v>
      </c>
      <c r="M68" s="1219" t="str">
        <f t="array" aca="1" ref="M6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68" s="1219">
        <f ca="1">IFERROR(LEN(IF(OR(LEFT(LineupsData[[#This Row],[B1_Box]],1)="$",LEFT(LineupsData[[#This Row],[B1_Box]],1)="S"),RIGHT(LineupsData[[#This Row],[B1_Box]],LEN(LineupsData[[#This Row],[B1_Box]])-1),LineupsData[[#This Row],[B1_Box]])),"")</f>
        <v>0</v>
      </c>
      <c r="O68" s="1219">
        <f t="array" aca="1" ref="O68" ca="1">INDIRECT($AA$24&amp;INDEX(LineupsSearch[],MATCH(LineupsData[[#This Row],[Home?]]&amp;LineupsData[[#Headers],[B2]],LineupsSearch[Home?]&amp;LineupsSearch[Item],1),3)&amp;LineupsData[[#This Row],[RefRow]])</f>
        <v>0</v>
      </c>
      <c r="P68" s="1219" t="str">
        <f t="array" aca="1" ref="P6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68" s="1219">
        <f ca="1">IFERROR(LEN(IF(OR(LEFT(LineupsData[[#This Row],[B2_Box]],1)="$",LEFT(LineupsData[[#This Row],[B2_Box]],1)="S"),RIGHT(LineupsData[[#This Row],[B2_Box]],LEN(LineupsData[[#This Row],[B2_Box]])-1),LineupsData[[#This Row],[B2_Box]])),"")</f>
        <v>0</v>
      </c>
      <c r="R68" s="1219">
        <f t="array" aca="1" ref="R68" ca="1">INDIRECT($AA$24&amp;INDEX(LineupsSearch[],MATCH(LineupsData[[#This Row],[Home?]]&amp;LineupsData[[#Headers],[B3]],LineupsSearch[Home?]&amp;LineupsSearch[Item],1),3)&amp;LineupsData[[#This Row],[RefRow]])</f>
        <v>0</v>
      </c>
      <c r="S68" s="1219" t="str">
        <f t="array" aca="1" ref="S6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68" s="1219">
        <f ca="1">IFERROR(LEN(IF(OR(LEFT(LineupsData[[#This Row],[B3_Box]],1)="$",LEFT(LineupsData[[#This Row],[B3_Box]],1)="S"),RIGHT(LineupsData[[#This Row],[B3_Box]],LEN(LineupsData[[#This Row],[B3_Box]])-1),LineupsData[[#This Row],[B3_Box]])),"")</f>
        <v>0</v>
      </c>
      <c r="U68" s="1219" t="b">
        <f t="array" aca="1" ref="U6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68" s="1219" t="b">
        <v>0</v>
      </c>
      <c r="W68" s="1219">
        <v>32</v>
      </c>
    </row>
    <row r="69" spans="1:23" x14ac:dyDescent="0.25">
      <c r="A69" s="1218">
        <f>[1]IBRF!$B$5</f>
        <v>41734</v>
      </c>
      <c r="B69" s="1221">
        <f t="shared" si="3"/>
        <v>0.83333333333333337</v>
      </c>
      <c r="C69" s="1219">
        <v>1</v>
      </c>
      <c r="D69" s="1219">
        <f t="array" aca="1" ref="D69" ca="1">IF(LineupsData[[#This Row],[Passed?]],D68,IF(INDIRECT($AA$24&amp;INDEX(LineupsSearch[],MATCH(LineupsData[[#This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69" s="1219" t="str">
        <f t="shared" si="2"/>
        <v>Harlots</v>
      </c>
      <c r="F69" s="1219" t="str">
        <f t="array" aca="1" ref="F69" ca="1">INDIRECT($AA$24&amp;INDEX(LineupsSearch[],MATCH(LineupsData[[#This Row],[Home?]]&amp;LineupsData[[#Headers],[Jammer]],LineupsSearch[Home?]&amp;LineupsSearch[Item],1),3)&amp;LineupsData[[#This Row],[RefRow]])</f>
        <v/>
      </c>
      <c r="G69" s="1219" t="str">
        <f t="array" aca="1" ref="G6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69" s="1219">
        <f ca="1">IFERROR(LEN(IF(OR(LEFT(LineupsData[[#This Row],[J_Box]],1)="$",LEFT(LineupsData[[#This Row],[J_Box]],1)="S"),RIGHT(LineupsData[[#This Row],[J_Box]],LEN(LineupsData[[#This Row],[J_Box]])-1),LineupsData[[#This Row],[J_Box]])),"")</f>
        <v>0</v>
      </c>
      <c r="I69" s="1219">
        <f t="array" aca="1" ref="I69" ca="1">INDIRECT($AA$24&amp;INDEX(LineupsSearch[],MATCH(LineupsData[[#This Row],[Home?]]&amp;LineupsData[[#Headers],[Pivot]],LineupsSearch[Home?]&amp;LineupsSearch[Item],1),3)&amp;LineupsData[[#This Row],[RefRow]])</f>
        <v>0</v>
      </c>
      <c r="J69" s="1219" t="str">
        <f t="array" aca="1" ref="J6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69" s="1219">
        <f ca="1">IFERROR(LEN(IF(OR(LEFT(LineupsData[[#This Row],[P_Box]],1)="$",LEFT(LineupsData[[#This Row],[P_Box]],1)="S"),RIGHT(LineupsData[[#This Row],[P_Box]],LEN(LineupsData[[#This Row],[P_Box]])-1),LineupsData[[#This Row],[P_Box]])),"")</f>
        <v>0</v>
      </c>
      <c r="L69" s="1219">
        <f t="array" aca="1" ref="L69" ca="1">INDIRECT($AA$24&amp;INDEX(LineupsSearch[],MATCH(LineupsData[[#This Row],[Home?]]&amp;LineupsData[[#Headers],[B1]],LineupsSearch[Home?]&amp;LineupsSearch[Item],1),3)&amp;LineupsData[[#This Row],[RefRow]])</f>
        <v>0</v>
      </c>
      <c r="M69" s="1219" t="str">
        <f t="array" aca="1" ref="M6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69" s="1219">
        <f ca="1">IFERROR(LEN(IF(OR(LEFT(LineupsData[[#This Row],[B1_Box]],1)="$",LEFT(LineupsData[[#This Row],[B1_Box]],1)="S"),RIGHT(LineupsData[[#This Row],[B1_Box]],LEN(LineupsData[[#This Row],[B1_Box]])-1),LineupsData[[#This Row],[B1_Box]])),"")</f>
        <v>0</v>
      </c>
      <c r="O69" s="1219">
        <f t="array" aca="1" ref="O69" ca="1">INDIRECT($AA$24&amp;INDEX(LineupsSearch[],MATCH(LineupsData[[#This Row],[Home?]]&amp;LineupsData[[#Headers],[B2]],LineupsSearch[Home?]&amp;LineupsSearch[Item],1),3)&amp;LineupsData[[#This Row],[RefRow]])</f>
        <v>0</v>
      </c>
      <c r="P69" s="1219" t="str">
        <f t="array" aca="1" ref="P6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69" s="1219">
        <f ca="1">IFERROR(LEN(IF(OR(LEFT(LineupsData[[#This Row],[B2_Box]],1)="$",LEFT(LineupsData[[#This Row],[B2_Box]],1)="S"),RIGHT(LineupsData[[#This Row],[B2_Box]],LEN(LineupsData[[#This Row],[B2_Box]])-1),LineupsData[[#This Row],[B2_Box]])),"")</f>
        <v>0</v>
      </c>
      <c r="R69" s="1219">
        <f t="array" aca="1" ref="R69" ca="1">INDIRECT($AA$24&amp;INDEX(LineupsSearch[],MATCH(LineupsData[[#This Row],[Home?]]&amp;LineupsData[[#Headers],[B3]],LineupsSearch[Home?]&amp;LineupsSearch[Item],1),3)&amp;LineupsData[[#This Row],[RefRow]])</f>
        <v>0</v>
      </c>
      <c r="S69" s="1219" t="str">
        <f t="array" aca="1" ref="S6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69" s="1219">
        <f ca="1">IFERROR(LEN(IF(OR(LEFT(LineupsData[[#This Row],[B3_Box]],1)="$",LEFT(LineupsData[[#This Row],[B3_Box]],1)="S"),RIGHT(LineupsData[[#This Row],[B3_Box]],LEN(LineupsData[[#This Row],[B3_Box]])-1),LineupsData[[#This Row],[B3_Box]])),"")</f>
        <v>0</v>
      </c>
      <c r="U69" s="1219" t="b">
        <f t="array" aca="1" ref="U6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69" s="1219" t="b">
        <v>0</v>
      </c>
      <c r="W69" s="1219">
        <v>33</v>
      </c>
    </row>
    <row r="70" spans="1:23" x14ac:dyDescent="0.25">
      <c r="A70" s="1218">
        <f>[1]IBRF!$B$5</f>
        <v>41734</v>
      </c>
      <c r="B70" s="1221">
        <f t="shared" si="3"/>
        <v>0.83333333333333337</v>
      </c>
      <c r="C70" s="1219">
        <v>1</v>
      </c>
      <c r="D70" s="1219">
        <f t="array" aca="1" ref="D70" ca="1">IF(LineupsData[[#This Row],[Passed?]],D69,IF(INDIRECT($AA$24&amp;INDEX(LineupsSearch[],MATCH(LineupsData[[#This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70" s="1219" t="str">
        <f t="shared" si="2"/>
        <v>Harlots</v>
      </c>
      <c r="F70" s="1219" t="str">
        <f t="array" aca="1" ref="F70" ca="1">INDIRECT($AA$24&amp;INDEX(LineupsSearch[],MATCH(LineupsData[[#This Row],[Home?]]&amp;LineupsData[[#Headers],[Jammer]],LineupsSearch[Home?]&amp;LineupsSearch[Item],1),3)&amp;LineupsData[[#This Row],[RefRow]])</f>
        <v/>
      </c>
      <c r="G70" s="1219" t="str">
        <f t="array" aca="1" ref="G7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70" s="1219">
        <f ca="1">IFERROR(LEN(IF(OR(LEFT(LineupsData[[#This Row],[J_Box]],1)="$",LEFT(LineupsData[[#This Row],[J_Box]],1)="S"),RIGHT(LineupsData[[#This Row],[J_Box]],LEN(LineupsData[[#This Row],[J_Box]])-1),LineupsData[[#This Row],[J_Box]])),"")</f>
        <v>0</v>
      </c>
      <c r="I70" s="1219">
        <f t="array" aca="1" ref="I70" ca="1">INDIRECT($AA$24&amp;INDEX(LineupsSearch[],MATCH(LineupsData[[#This Row],[Home?]]&amp;LineupsData[[#Headers],[Pivot]],LineupsSearch[Home?]&amp;LineupsSearch[Item],1),3)&amp;LineupsData[[#This Row],[RefRow]])</f>
        <v>0</v>
      </c>
      <c r="J70" s="1219" t="str">
        <f t="array" aca="1" ref="J7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70" s="1219">
        <f ca="1">IFERROR(LEN(IF(OR(LEFT(LineupsData[[#This Row],[P_Box]],1)="$",LEFT(LineupsData[[#This Row],[P_Box]],1)="S"),RIGHT(LineupsData[[#This Row],[P_Box]],LEN(LineupsData[[#This Row],[P_Box]])-1),LineupsData[[#This Row],[P_Box]])),"")</f>
        <v>0</v>
      </c>
      <c r="L70" s="1219">
        <f t="array" aca="1" ref="L70" ca="1">INDIRECT($AA$24&amp;INDEX(LineupsSearch[],MATCH(LineupsData[[#This Row],[Home?]]&amp;LineupsData[[#Headers],[B1]],LineupsSearch[Home?]&amp;LineupsSearch[Item],1),3)&amp;LineupsData[[#This Row],[RefRow]])</f>
        <v>0</v>
      </c>
      <c r="M70" s="1219" t="str">
        <f t="array" aca="1" ref="M7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70" s="1219">
        <f ca="1">IFERROR(LEN(IF(OR(LEFT(LineupsData[[#This Row],[B1_Box]],1)="$",LEFT(LineupsData[[#This Row],[B1_Box]],1)="S"),RIGHT(LineupsData[[#This Row],[B1_Box]],LEN(LineupsData[[#This Row],[B1_Box]])-1),LineupsData[[#This Row],[B1_Box]])),"")</f>
        <v>0</v>
      </c>
      <c r="O70" s="1219">
        <f t="array" aca="1" ref="O70" ca="1">INDIRECT($AA$24&amp;INDEX(LineupsSearch[],MATCH(LineupsData[[#This Row],[Home?]]&amp;LineupsData[[#Headers],[B2]],LineupsSearch[Home?]&amp;LineupsSearch[Item],1),3)&amp;LineupsData[[#This Row],[RefRow]])</f>
        <v>0</v>
      </c>
      <c r="P70" s="1219" t="str">
        <f t="array" aca="1" ref="P7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70" s="1219">
        <f ca="1">IFERROR(LEN(IF(OR(LEFT(LineupsData[[#This Row],[B2_Box]],1)="$",LEFT(LineupsData[[#This Row],[B2_Box]],1)="S"),RIGHT(LineupsData[[#This Row],[B2_Box]],LEN(LineupsData[[#This Row],[B2_Box]])-1),LineupsData[[#This Row],[B2_Box]])),"")</f>
        <v>0</v>
      </c>
      <c r="R70" s="1219">
        <f t="array" aca="1" ref="R70" ca="1">INDIRECT($AA$24&amp;INDEX(LineupsSearch[],MATCH(LineupsData[[#This Row],[Home?]]&amp;LineupsData[[#Headers],[B3]],LineupsSearch[Home?]&amp;LineupsSearch[Item],1),3)&amp;LineupsData[[#This Row],[RefRow]])</f>
        <v>0</v>
      </c>
      <c r="S70" s="1219" t="str">
        <f t="array" aca="1" ref="S7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70" s="1219">
        <f ca="1">IFERROR(LEN(IF(OR(LEFT(LineupsData[[#This Row],[B3_Box]],1)="$",LEFT(LineupsData[[#This Row],[B3_Box]],1)="S"),RIGHT(LineupsData[[#This Row],[B3_Box]],LEN(LineupsData[[#This Row],[B3_Box]])-1),LineupsData[[#This Row],[B3_Box]])),"")</f>
        <v>0</v>
      </c>
      <c r="U70" s="1219" t="b">
        <f t="array" aca="1" ref="U7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70" s="1219" t="b">
        <v>0</v>
      </c>
      <c r="W70" s="1219">
        <v>34</v>
      </c>
    </row>
    <row r="71" spans="1:23" x14ac:dyDescent="0.25">
      <c r="A71" s="1218">
        <f>[1]IBRF!$B$5</f>
        <v>41734</v>
      </c>
      <c r="B71" s="1221">
        <f t="shared" si="3"/>
        <v>0.83333333333333337</v>
      </c>
      <c r="C71" s="1219">
        <v>1</v>
      </c>
      <c r="D71" s="1219">
        <f t="array" aca="1" ref="D71" ca="1">IF(LineupsData[[#This Row],[Passed?]],D70,IF(INDIRECT($AA$24&amp;INDEX(LineupsSearch[],MATCH(LineupsData[[#This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71" s="1219" t="str">
        <f t="shared" si="2"/>
        <v>Harlots</v>
      </c>
      <c r="F71" s="1219" t="str">
        <f t="array" aca="1" ref="F71" ca="1">INDIRECT($AA$24&amp;INDEX(LineupsSearch[],MATCH(LineupsData[[#This Row],[Home?]]&amp;LineupsData[[#Headers],[Jammer]],LineupsSearch[Home?]&amp;LineupsSearch[Item],1),3)&amp;LineupsData[[#This Row],[RefRow]])</f>
        <v/>
      </c>
      <c r="G71" s="1219" t="str">
        <f t="array" aca="1" ref="G7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71" s="1219">
        <f ca="1">IFERROR(LEN(IF(OR(LEFT(LineupsData[[#This Row],[J_Box]],1)="$",LEFT(LineupsData[[#This Row],[J_Box]],1)="S"),RIGHT(LineupsData[[#This Row],[J_Box]],LEN(LineupsData[[#This Row],[J_Box]])-1),LineupsData[[#This Row],[J_Box]])),"")</f>
        <v>0</v>
      </c>
      <c r="I71" s="1219">
        <f t="array" aca="1" ref="I71" ca="1">INDIRECT($AA$24&amp;INDEX(LineupsSearch[],MATCH(LineupsData[[#This Row],[Home?]]&amp;LineupsData[[#Headers],[Pivot]],LineupsSearch[Home?]&amp;LineupsSearch[Item],1),3)&amp;LineupsData[[#This Row],[RefRow]])</f>
        <v>0</v>
      </c>
      <c r="J71" s="1219" t="str">
        <f t="array" aca="1" ref="J7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71" s="1219">
        <f ca="1">IFERROR(LEN(IF(OR(LEFT(LineupsData[[#This Row],[P_Box]],1)="$",LEFT(LineupsData[[#This Row],[P_Box]],1)="S"),RIGHT(LineupsData[[#This Row],[P_Box]],LEN(LineupsData[[#This Row],[P_Box]])-1),LineupsData[[#This Row],[P_Box]])),"")</f>
        <v>0</v>
      </c>
      <c r="L71" s="1219">
        <f t="array" aca="1" ref="L71" ca="1">INDIRECT($AA$24&amp;INDEX(LineupsSearch[],MATCH(LineupsData[[#This Row],[Home?]]&amp;LineupsData[[#Headers],[B1]],LineupsSearch[Home?]&amp;LineupsSearch[Item],1),3)&amp;LineupsData[[#This Row],[RefRow]])</f>
        <v>0</v>
      </c>
      <c r="M71" s="1219" t="str">
        <f t="array" aca="1" ref="M7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71" s="1219">
        <f ca="1">IFERROR(LEN(IF(OR(LEFT(LineupsData[[#This Row],[B1_Box]],1)="$",LEFT(LineupsData[[#This Row],[B1_Box]],1)="S"),RIGHT(LineupsData[[#This Row],[B1_Box]],LEN(LineupsData[[#This Row],[B1_Box]])-1),LineupsData[[#This Row],[B1_Box]])),"")</f>
        <v>0</v>
      </c>
      <c r="O71" s="1219">
        <f t="array" aca="1" ref="O71" ca="1">INDIRECT($AA$24&amp;INDEX(LineupsSearch[],MATCH(LineupsData[[#This Row],[Home?]]&amp;LineupsData[[#Headers],[B2]],LineupsSearch[Home?]&amp;LineupsSearch[Item],1),3)&amp;LineupsData[[#This Row],[RefRow]])</f>
        <v>0</v>
      </c>
      <c r="P71" s="1219" t="str">
        <f t="array" aca="1" ref="P7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71" s="1219">
        <f ca="1">IFERROR(LEN(IF(OR(LEFT(LineupsData[[#This Row],[B2_Box]],1)="$",LEFT(LineupsData[[#This Row],[B2_Box]],1)="S"),RIGHT(LineupsData[[#This Row],[B2_Box]],LEN(LineupsData[[#This Row],[B2_Box]])-1),LineupsData[[#This Row],[B2_Box]])),"")</f>
        <v>0</v>
      </c>
      <c r="R71" s="1219">
        <f t="array" aca="1" ref="R71" ca="1">INDIRECT($AA$24&amp;INDEX(LineupsSearch[],MATCH(LineupsData[[#This Row],[Home?]]&amp;LineupsData[[#Headers],[B3]],LineupsSearch[Home?]&amp;LineupsSearch[Item],1),3)&amp;LineupsData[[#This Row],[RefRow]])</f>
        <v>0</v>
      </c>
      <c r="S71" s="1219" t="str">
        <f t="array" aca="1" ref="S7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71" s="1219">
        <f ca="1">IFERROR(LEN(IF(OR(LEFT(LineupsData[[#This Row],[B3_Box]],1)="$",LEFT(LineupsData[[#This Row],[B3_Box]],1)="S"),RIGHT(LineupsData[[#This Row],[B3_Box]],LEN(LineupsData[[#This Row],[B3_Box]])-1),LineupsData[[#This Row],[B3_Box]])),"")</f>
        <v>0</v>
      </c>
      <c r="U71" s="1219" t="b">
        <f t="array" aca="1" ref="U7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71" s="1219" t="b">
        <v>0</v>
      </c>
      <c r="W71" s="1219">
        <v>35</v>
      </c>
    </row>
    <row r="72" spans="1:23" x14ac:dyDescent="0.25">
      <c r="A72" s="1218">
        <f>[1]IBRF!$B$5</f>
        <v>41734</v>
      </c>
      <c r="B72" s="1221">
        <f t="shared" si="3"/>
        <v>0.83333333333333337</v>
      </c>
      <c r="C72" s="1219">
        <v>1</v>
      </c>
      <c r="D72" s="1219">
        <f t="array" aca="1" ref="D72" ca="1">IF(LineupsData[[#This Row],[Passed?]],D71,IF(INDIRECT($AA$24&amp;INDEX(LineupsSearch[],MATCH(LineupsData[[#This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72" s="1219" t="str">
        <f t="shared" si="2"/>
        <v>Harlots</v>
      </c>
      <c r="F72" s="1219" t="str">
        <f t="array" aca="1" ref="F72" ca="1">INDIRECT($AA$24&amp;INDEX(LineupsSearch[],MATCH(LineupsData[[#This Row],[Home?]]&amp;LineupsData[[#Headers],[Jammer]],LineupsSearch[Home?]&amp;LineupsSearch[Item],1),3)&amp;LineupsData[[#This Row],[RefRow]])</f>
        <v/>
      </c>
      <c r="G72" s="1219" t="str">
        <f t="array" aca="1" ref="G7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72" s="1219">
        <f ca="1">IFERROR(LEN(IF(OR(LEFT(LineupsData[[#This Row],[J_Box]],1)="$",LEFT(LineupsData[[#This Row],[J_Box]],1)="S"),RIGHT(LineupsData[[#This Row],[J_Box]],LEN(LineupsData[[#This Row],[J_Box]])-1),LineupsData[[#This Row],[J_Box]])),"")</f>
        <v>0</v>
      </c>
      <c r="I72" s="1219">
        <f t="array" aca="1" ref="I72" ca="1">INDIRECT($AA$24&amp;INDEX(LineupsSearch[],MATCH(LineupsData[[#This Row],[Home?]]&amp;LineupsData[[#Headers],[Pivot]],LineupsSearch[Home?]&amp;LineupsSearch[Item],1),3)&amp;LineupsData[[#This Row],[RefRow]])</f>
        <v>0</v>
      </c>
      <c r="J72" s="1219" t="str">
        <f t="array" aca="1" ref="J7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72" s="1219">
        <f ca="1">IFERROR(LEN(IF(OR(LEFT(LineupsData[[#This Row],[P_Box]],1)="$",LEFT(LineupsData[[#This Row],[P_Box]],1)="S"),RIGHT(LineupsData[[#This Row],[P_Box]],LEN(LineupsData[[#This Row],[P_Box]])-1),LineupsData[[#This Row],[P_Box]])),"")</f>
        <v>0</v>
      </c>
      <c r="L72" s="1219">
        <f t="array" aca="1" ref="L72" ca="1">INDIRECT($AA$24&amp;INDEX(LineupsSearch[],MATCH(LineupsData[[#This Row],[Home?]]&amp;LineupsData[[#Headers],[B1]],LineupsSearch[Home?]&amp;LineupsSearch[Item],1),3)&amp;LineupsData[[#This Row],[RefRow]])</f>
        <v>0</v>
      </c>
      <c r="M72" s="1219" t="str">
        <f t="array" aca="1" ref="M7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72" s="1219">
        <f ca="1">IFERROR(LEN(IF(OR(LEFT(LineupsData[[#This Row],[B1_Box]],1)="$",LEFT(LineupsData[[#This Row],[B1_Box]],1)="S"),RIGHT(LineupsData[[#This Row],[B1_Box]],LEN(LineupsData[[#This Row],[B1_Box]])-1),LineupsData[[#This Row],[B1_Box]])),"")</f>
        <v>0</v>
      </c>
      <c r="O72" s="1219">
        <f t="array" aca="1" ref="O72" ca="1">INDIRECT($AA$24&amp;INDEX(LineupsSearch[],MATCH(LineupsData[[#This Row],[Home?]]&amp;LineupsData[[#Headers],[B2]],LineupsSearch[Home?]&amp;LineupsSearch[Item],1),3)&amp;LineupsData[[#This Row],[RefRow]])</f>
        <v>0</v>
      </c>
      <c r="P72" s="1219" t="str">
        <f t="array" aca="1" ref="P7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72" s="1219">
        <f ca="1">IFERROR(LEN(IF(OR(LEFT(LineupsData[[#This Row],[B2_Box]],1)="$",LEFT(LineupsData[[#This Row],[B2_Box]],1)="S"),RIGHT(LineupsData[[#This Row],[B2_Box]],LEN(LineupsData[[#This Row],[B2_Box]])-1),LineupsData[[#This Row],[B2_Box]])),"")</f>
        <v>0</v>
      </c>
      <c r="R72" s="1219">
        <f t="array" aca="1" ref="R72" ca="1">INDIRECT($AA$24&amp;INDEX(LineupsSearch[],MATCH(LineupsData[[#This Row],[Home?]]&amp;LineupsData[[#Headers],[B3]],LineupsSearch[Home?]&amp;LineupsSearch[Item],1),3)&amp;LineupsData[[#This Row],[RefRow]])</f>
        <v>0</v>
      </c>
      <c r="S72" s="1219" t="str">
        <f t="array" aca="1" ref="S7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72" s="1219">
        <f ca="1">IFERROR(LEN(IF(OR(LEFT(LineupsData[[#This Row],[B3_Box]],1)="$",LEFT(LineupsData[[#This Row],[B3_Box]],1)="S"),RIGHT(LineupsData[[#This Row],[B3_Box]],LEN(LineupsData[[#This Row],[B3_Box]])-1),LineupsData[[#This Row],[B3_Box]])),"")</f>
        <v>0</v>
      </c>
      <c r="U72" s="1219" t="b">
        <f t="array" aca="1" ref="U7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72" s="1219" t="b">
        <v>0</v>
      </c>
      <c r="W72" s="1219">
        <v>36</v>
      </c>
    </row>
    <row r="73" spans="1:23" x14ac:dyDescent="0.25">
      <c r="A73" s="1218">
        <f>[1]IBRF!$B$5</f>
        <v>41734</v>
      </c>
      <c r="B73" s="1221">
        <f t="shared" si="3"/>
        <v>0.83333333333333337</v>
      </c>
      <c r="C73" s="1219">
        <v>1</v>
      </c>
      <c r="D73" s="1219">
        <f t="array" aca="1" ref="D73" ca="1">IF(LineupsData[[#This Row],[Passed?]],D72,IF(INDIRECT($AA$24&amp;INDEX(LineupsSearch[],MATCH(LineupsData[[#This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73" s="1219" t="str">
        <f t="shared" si="2"/>
        <v>Harlots</v>
      </c>
      <c r="F73" s="1219" t="str">
        <f t="array" aca="1" ref="F73" ca="1">INDIRECT($AA$24&amp;INDEX(LineupsSearch[],MATCH(LineupsData[[#This Row],[Home?]]&amp;LineupsData[[#Headers],[Jammer]],LineupsSearch[Home?]&amp;LineupsSearch[Item],1),3)&amp;LineupsData[[#This Row],[RefRow]])</f>
        <v/>
      </c>
      <c r="G73" s="1219" t="str">
        <f t="array" aca="1" ref="G7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73" s="1219">
        <f ca="1">IFERROR(LEN(IF(OR(LEFT(LineupsData[[#This Row],[J_Box]],1)="$",LEFT(LineupsData[[#This Row],[J_Box]],1)="S"),RIGHT(LineupsData[[#This Row],[J_Box]],LEN(LineupsData[[#This Row],[J_Box]])-1),LineupsData[[#This Row],[J_Box]])),"")</f>
        <v>0</v>
      </c>
      <c r="I73" s="1219">
        <f t="array" aca="1" ref="I73" ca="1">INDIRECT($AA$24&amp;INDEX(LineupsSearch[],MATCH(LineupsData[[#This Row],[Home?]]&amp;LineupsData[[#Headers],[Pivot]],LineupsSearch[Home?]&amp;LineupsSearch[Item],1),3)&amp;LineupsData[[#This Row],[RefRow]])</f>
        <v>0</v>
      </c>
      <c r="J73" s="1219" t="str">
        <f t="array" aca="1" ref="J7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73" s="1219">
        <f ca="1">IFERROR(LEN(IF(OR(LEFT(LineupsData[[#This Row],[P_Box]],1)="$",LEFT(LineupsData[[#This Row],[P_Box]],1)="S"),RIGHT(LineupsData[[#This Row],[P_Box]],LEN(LineupsData[[#This Row],[P_Box]])-1),LineupsData[[#This Row],[P_Box]])),"")</f>
        <v>0</v>
      </c>
      <c r="L73" s="1219">
        <f t="array" aca="1" ref="L73" ca="1">INDIRECT($AA$24&amp;INDEX(LineupsSearch[],MATCH(LineupsData[[#This Row],[Home?]]&amp;LineupsData[[#Headers],[B1]],LineupsSearch[Home?]&amp;LineupsSearch[Item],1),3)&amp;LineupsData[[#This Row],[RefRow]])</f>
        <v>0</v>
      </c>
      <c r="M73" s="1219" t="str">
        <f t="array" aca="1" ref="M7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73" s="1219">
        <f ca="1">IFERROR(LEN(IF(OR(LEFT(LineupsData[[#This Row],[B1_Box]],1)="$",LEFT(LineupsData[[#This Row],[B1_Box]],1)="S"),RIGHT(LineupsData[[#This Row],[B1_Box]],LEN(LineupsData[[#This Row],[B1_Box]])-1),LineupsData[[#This Row],[B1_Box]])),"")</f>
        <v>0</v>
      </c>
      <c r="O73" s="1219">
        <f t="array" aca="1" ref="O73" ca="1">INDIRECT($AA$24&amp;INDEX(LineupsSearch[],MATCH(LineupsData[[#This Row],[Home?]]&amp;LineupsData[[#Headers],[B2]],LineupsSearch[Home?]&amp;LineupsSearch[Item],1),3)&amp;LineupsData[[#This Row],[RefRow]])</f>
        <v>0</v>
      </c>
      <c r="P73" s="1219" t="str">
        <f t="array" aca="1" ref="P7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73" s="1219">
        <f ca="1">IFERROR(LEN(IF(OR(LEFT(LineupsData[[#This Row],[B2_Box]],1)="$",LEFT(LineupsData[[#This Row],[B2_Box]],1)="S"),RIGHT(LineupsData[[#This Row],[B2_Box]],LEN(LineupsData[[#This Row],[B2_Box]])-1),LineupsData[[#This Row],[B2_Box]])),"")</f>
        <v>0</v>
      </c>
      <c r="R73" s="1219">
        <f t="array" aca="1" ref="R73" ca="1">INDIRECT($AA$24&amp;INDEX(LineupsSearch[],MATCH(LineupsData[[#This Row],[Home?]]&amp;LineupsData[[#Headers],[B3]],LineupsSearch[Home?]&amp;LineupsSearch[Item],1),3)&amp;LineupsData[[#This Row],[RefRow]])</f>
        <v>0</v>
      </c>
      <c r="S73" s="1219" t="str">
        <f t="array" aca="1" ref="S7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73" s="1219">
        <f ca="1">IFERROR(LEN(IF(OR(LEFT(LineupsData[[#This Row],[B3_Box]],1)="$",LEFT(LineupsData[[#This Row],[B3_Box]],1)="S"),RIGHT(LineupsData[[#This Row],[B3_Box]],LEN(LineupsData[[#This Row],[B3_Box]])-1),LineupsData[[#This Row],[B3_Box]])),"")</f>
        <v>0</v>
      </c>
      <c r="U73" s="1219" t="b">
        <f t="array" aca="1" ref="U7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73" s="1219" t="b">
        <v>0</v>
      </c>
      <c r="W73" s="1219">
        <v>37</v>
      </c>
    </row>
    <row r="74" spans="1:23" x14ac:dyDescent="0.25">
      <c r="A74" s="1218">
        <f>[1]IBRF!$B$5</f>
        <v>41734</v>
      </c>
      <c r="B74" s="1221">
        <f t="shared" si="3"/>
        <v>0.83333333333333337</v>
      </c>
      <c r="C74" s="1219">
        <v>1</v>
      </c>
      <c r="D74" s="1219">
        <f t="array" aca="1" ref="D74" ca="1">IF(LineupsData[[#This Row],[Passed?]],D73,IF(INDIRECT($AA$24&amp;INDEX(LineupsSearch[],MATCH(LineupsData[[#This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74" s="1219" t="str">
        <f t="shared" si="2"/>
        <v>Harlots</v>
      </c>
      <c r="F74" s="1219" t="str">
        <f t="array" aca="1" ref="F74" ca="1">INDIRECT($AA$24&amp;INDEX(LineupsSearch[],MATCH(LineupsData[[#This Row],[Home?]]&amp;LineupsData[[#Headers],[Jammer]],LineupsSearch[Home?]&amp;LineupsSearch[Item],1),3)&amp;LineupsData[[#This Row],[RefRow]])</f>
        <v/>
      </c>
      <c r="G74" s="1219" t="str">
        <f t="array" aca="1" ref="G7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74" s="1219">
        <f ca="1">IFERROR(LEN(IF(OR(LEFT(LineupsData[[#This Row],[J_Box]],1)="$",LEFT(LineupsData[[#This Row],[J_Box]],1)="S"),RIGHT(LineupsData[[#This Row],[J_Box]],LEN(LineupsData[[#This Row],[J_Box]])-1),LineupsData[[#This Row],[J_Box]])),"")</f>
        <v>0</v>
      </c>
      <c r="I74" s="1219">
        <f t="array" aca="1" ref="I74" ca="1">INDIRECT($AA$24&amp;INDEX(LineupsSearch[],MATCH(LineupsData[[#This Row],[Home?]]&amp;LineupsData[[#Headers],[Pivot]],LineupsSearch[Home?]&amp;LineupsSearch[Item],1),3)&amp;LineupsData[[#This Row],[RefRow]])</f>
        <v>0</v>
      </c>
      <c r="J74" s="1219" t="str">
        <f t="array" aca="1" ref="J7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74" s="1219">
        <f ca="1">IFERROR(LEN(IF(OR(LEFT(LineupsData[[#This Row],[P_Box]],1)="$",LEFT(LineupsData[[#This Row],[P_Box]],1)="S"),RIGHT(LineupsData[[#This Row],[P_Box]],LEN(LineupsData[[#This Row],[P_Box]])-1),LineupsData[[#This Row],[P_Box]])),"")</f>
        <v>0</v>
      </c>
      <c r="L74" s="1219">
        <f t="array" aca="1" ref="L74" ca="1">INDIRECT($AA$24&amp;INDEX(LineupsSearch[],MATCH(LineupsData[[#This Row],[Home?]]&amp;LineupsData[[#Headers],[B1]],LineupsSearch[Home?]&amp;LineupsSearch[Item],1),3)&amp;LineupsData[[#This Row],[RefRow]])</f>
        <v>0</v>
      </c>
      <c r="M74" s="1219" t="str">
        <f t="array" aca="1" ref="M7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74" s="1219">
        <f ca="1">IFERROR(LEN(IF(OR(LEFT(LineupsData[[#This Row],[B1_Box]],1)="$",LEFT(LineupsData[[#This Row],[B1_Box]],1)="S"),RIGHT(LineupsData[[#This Row],[B1_Box]],LEN(LineupsData[[#This Row],[B1_Box]])-1),LineupsData[[#This Row],[B1_Box]])),"")</f>
        <v>0</v>
      </c>
      <c r="O74" s="1219">
        <f t="array" aca="1" ref="O74" ca="1">INDIRECT($AA$24&amp;INDEX(LineupsSearch[],MATCH(LineupsData[[#This Row],[Home?]]&amp;LineupsData[[#Headers],[B2]],LineupsSearch[Home?]&amp;LineupsSearch[Item],1),3)&amp;LineupsData[[#This Row],[RefRow]])</f>
        <v>0</v>
      </c>
      <c r="P74" s="1219" t="str">
        <f t="array" aca="1" ref="P7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74" s="1219">
        <f ca="1">IFERROR(LEN(IF(OR(LEFT(LineupsData[[#This Row],[B2_Box]],1)="$",LEFT(LineupsData[[#This Row],[B2_Box]],1)="S"),RIGHT(LineupsData[[#This Row],[B2_Box]],LEN(LineupsData[[#This Row],[B2_Box]])-1),LineupsData[[#This Row],[B2_Box]])),"")</f>
        <v>0</v>
      </c>
      <c r="R74" s="1219">
        <f t="array" aca="1" ref="R74" ca="1">INDIRECT($AA$24&amp;INDEX(LineupsSearch[],MATCH(LineupsData[[#This Row],[Home?]]&amp;LineupsData[[#Headers],[B3]],LineupsSearch[Home?]&amp;LineupsSearch[Item],1),3)&amp;LineupsData[[#This Row],[RefRow]])</f>
        <v>0</v>
      </c>
      <c r="S74" s="1219" t="str">
        <f t="array" aca="1" ref="S7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74" s="1219">
        <f ca="1">IFERROR(LEN(IF(OR(LEFT(LineupsData[[#This Row],[B3_Box]],1)="$",LEFT(LineupsData[[#This Row],[B3_Box]],1)="S"),RIGHT(LineupsData[[#This Row],[B3_Box]],LEN(LineupsData[[#This Row],[B3_Box]])-1),LineupsData[[#This Row],[B3_Box]])),"")</f>
        <v>0</v>
      </c>
      <c r="U74" s="1219" t="b">
        <f t="array" aca="1" ref="U7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74" s="1219" t="b">
        <v>0</v>
      </c>
      <c r="W74" s="1219">
        <v>38</v>
      </c>
    </row>
    <row r="75" spans="1:23" x14ac:dyDescent="0.25">
      <c r="A75" s="1218">
        <f>[1]IBRF!$B$5</f>
        <v>41734</v>
      </c>
      <c r="B75" s="1221">
        <f t="shared" si="3"/>
        <v>0.83333333333333337</v>
      </c>
      <c r="C75" s="1219">
        <v>1</v>
      </c>
      <c r="D75" s="1219">
        <f t="array" aca="1" ref="D75" ca="1">IF(LineupsData[[#This Row],[Passed?]],D74,IF(INDIRECT($AA$24&amp;INDEX(LineupsSearch[],MATCH(LineupsData[[#This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75" s="1219" t="str">
        <f t="shared" si="2"/>
        <v>Harlots</v>
      </c>
      <c r="F75" s="1219" t="str">
        <f t="array" aca="1" ref="F75" ca="1">INDIRECT($AA$24&amp;INDEX(LineupsSearch[],MATCH(LineupsData[[#This Row],[Home?]]&amp;LineupsData[[#Headers],[Jammer]],LineupsSearch[Home?]&amp;LineupsSearch[Item],1),3)&amp;LineupsData[[#This Row],[RefRow]])</f>
        <v/>
      </c>
      <c r="G75" s="1219" t="str">
        <f t="array" aca="1" ref="G7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75" s="1219">
        <f ca="1">IFERROR(LEN(IF(OR(LEFT(LineupsData[[#This Row],[J_Box]],1)="$",LEFT(LineupsData[[#This Row],[J_Box]],1)="S"),RIGHT(LineupsData[[#This Row],[J_Box]],LEN(LineupsData[[#This Row],[J_Box]])-1),LineupsData[[#This Row],[J_Box]])),"")</f>
        <v>0</v>
      </c>
      <c r="I75" s="1219">
        <f t="array" aca="1" ref="I75" ca="1">INDIRECT($AA$24&amp;INDEX(LineupsSearch[],MATCH(LineupsData[[#This Row],[Home?]]&amp;LineupsData[[#Headers],[Pivot]],LineupsSearch[Home?]&amp;LineupsSearch[Item],1),3)&amp;LineupsData[[#This Row],[RefRow]])</f>
        <v>0</v>
      </c>
      <c r="J75" s="1219" t="str">
        <f t="array" aca="1" ref="J7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75" s="1219">
        <f ca="1">IFERROR(LEN(IF(OR(LEFT(LineupsData[[#This Row],[P_Box]],1)="$",LEFT(LineupsData[[#This Row],[P_Box]],1)="S"),RIGHT(LineupsData[[#This Row],[P_Box]],LEN(LineupsData[[#This Row],[P_Box]])-1),LineupsData[[#This Row],[P_Box]])),"")</f>
        <v>0</v>
      </c>
      <c r="L75" s="1219">
        <f t="array" aca="1" ref="L75" ca="1">INDIRECT($AA$24&amp;INDEX(LineupsSearch[],MATCH(LineupsData[[#This Row],[Home?]]&amp;LineupsData[[#Headers],[B1]],LineupsSearch[Home?]&amp;LineupsSearch[Item],1),3)&amp;LineupsData[[#This Row],[RefRow]])</f>
        <v>0</v>
      </c>
      <c r="M75" s="1219" t="str">
        <f t="array" aca="1" ref="M7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75" s="1219">
        <f ca="1">IFERROR(LEN(IF(OR(LEFT(LineupsData[[#This Row],[B1_Box]],1)="$",LEFT(LineupsData[[#This Row],[B1_Box]],1)="S"),RIGHT(LineupsData[[#This Row],[B1_Box]],LEN(LineupsData[[#This Row],[B1_Box]])-1),LineupsData[[#This Row],[B1_Box]])),"")</f>
        <v>0</v>
      </c>
      <c r="O75" s="1219">
        <f t="array" aca="1" ref="O75" ca="1">INDIRECT($AA$24&amp;INDEX(LineupsSearch[],MATCH(LineupsData[[#This Row],[Home?]]&amp;LineupsData[[#Headers],[B2]],LineupsSearch[Home?]&amp;LineupsSearch[Item],1),3)&amp;LineupsData[[#This Row],[RefRow]])</f>
        <v>0</v>
      </c>
      <c r="P75" s="1219" t="str">
        <f t="array" aca="1" ref="P7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75" s="1219">
        <f ca="1">IFERROR(LEN(IF(OR(LEFT(LineupsData[[#This Row],[B2_Box]],1)="$",LEFT(LineupsData[[#This Row],[B2_Box]],1)="S"),RIGHT(LineupsData[[#This Row],[B2_Box]],LEN(LineupsData[[#This Row],[B2_Box]])-1),LineupsData[[#This Row],[B2_Box]])),"")</f>
        <v>0</v>
      </c>
      <c r="R75" s="1219">
        <f t="array" aca="1" ref="R75" ca="1">INDIRECT($AA$24&amp;INDEX(LineupsSearch[],MATCH(LineupsData[[#This Row],[Home?]]&amp;LineupsData[[#Headers],[B3]],LineupsSearch[Home?]&amp;LineupsSearch[Item],1),3)&amp;LineupsData[[#This Row],[RefRow]])</f>
        <v>0</v>
      </c>
      <c r="S75" s="1219" t="str">
        <f t="array" aca="1" ref="S7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75" s="1219">
        <f ca="1">IFERROR(LEN(IF(OR(LEFT(LineupsData[[#This Row],[B3_Box]],1)="$",LEFT(LineupsData[[#This Row],[B3_Box]],1)="S"),RIGHT(LineupsData[[#This Row],[B3_Box]],LEN(LineupsData[[#This Row],[B3_Box]])-1),LineupsData[[#This Row],[B3_Box]])),"")</f>
        <v>0</v>
      </c>
      <c r="U75" s="1219" t="b">
        <f t="array" aca="1" ref="U7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75" s="1219" t="b">
        <v>0</v>
      </c>
      <c r="W75" s="1219">
        <v>39</v>
      </c>
    </row>
    <row r="76" spans="1:23" x14ac:dyDescent="0.25">
      <c r="A76" s="1218">
        <f>[1]IBRF!$B$5</f>
        <v>41734</v>
      </c>
      <c r="B76" s="1221">
        <f t="shared" si="3"/>
        <v>0.83333333333333337</v>
      </c>
      <c r="C76" s="1219">
        <v>1</v>
      </c>
      <c r="D76" s="1219">
        <f t="array" aca="1" ref="D76" ca="1">IF(LineupsData[[#This Row],[Passed?]],D75,IF(INDIRECT($AA$24&amp;INDEX(LineupsSearch[],MATCH(LineupsData[[#This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76" s="1219" t="str">
        <f t="shared" si="2"/>
        <v>Harlots</v>
      </c>
      <c r="F76" s="1219" t="str">
        <f t="array" aca="1" ref="F76" ca="1">INDIRECT($AA$24&amp;INDEX(LineupsSearch[],MATCH(LineupsData[[#This Row],[Home?]]&amp;LineupsData[[#Headers],[Jammer]],LineupsSearch[Home?]&amp;LineupsSearch[Item],1),3)&amp;LineupsData[[#This Row],[RefRow]])</f>
        <v/>
      </c>
      <c r="G76" s="1219" t="str">
        <f t="array" aca="1" ref="G7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76" s="1219">
        <f ca="1">IFERROR(LEN(IF(OR(LEFT(LineupsData[[#This Row],[J_Box]],1)="$",LEFT(LineupsData[[#This Row],[J_Box]],1)="S"),RIGHT(LineupsData[[#This Row],[J_Box]],LEN(LineupsData[[#This Row],[J_Box]])-1),LineupsData[[#This Row],[J_Box]])),"")</f>
        <v>0</v>
      </c>
      <c r="I76" s="1219">
        <f t="array" aca="1" ref="I76" ca="1">INDIRECT($AA$24&amp;INDEX(LineupsSearch[],MATCH(LineupsData[[#This Row],[Home?]]&amp;LineupsData[[#Headers],[Pivot]],LineupsSearch[Home?]&amp;LineupsSearch[Item],1),3)&amp;LineupsData[[#This Row],[RefRow]])</f>
        <v>0</v>
      </c>
      <c r="J76" s="1219" t="str">
        <f t="array" aca="1" ref="J7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76" s="1219">
        <f ca="1">IFERROR(LEN(IF(OR(LEFT(LineupsData[[#This Row],[P_Box]],1)="$",LEFT(LineupsData[[#This Row],[P_Box]],1)="S"),RIGHT(LineupsData[[#This Row],[P_Box]],LEN(LineupsData[[#This Row],[P_Box]])-1),LineupsData[[#This Row],[P_Box]])),"")</f>
        <v>0</v>
      </c>
      <c r="L76" s="1219">
        <f t="array" aca="1" ref="L76" ca="1">INDIRECT($AA$24&amp;INDEX(LineupsSearch[],MATCH(LineupsData[[#This Row],[Home?]]&amp;LineupsData[[#Headers],[B1]],LineupsSearch[Home?]&amp;LineupsSearch[Item],1),3)&amp;LineupsData[[#This Row],[RefRow]])</f>
        <v>0</v>
      </c>
      <c r="M76" s="1219" t="str">
        <f t="array" aca="1" ref="M7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76" s="1219">
        <f ca="1">IFERROR(LEN(IF(OR(LEFT(LineupsData[[#This Row],[B1_Box]],1)="$",LEFT(LineupsData[[#This Row],[B1_Box]],1)="S"),RIGHT(LineupsData[[#This Row],[B1_Box]],LEN(LineupsData[[#This Row],[B1_Box]])-1),LineupsData[[#This Row],[B1_Box]])),"")</f>
        <v>0</v>
      </c>
      <c r="O76" s="1219">
        <f t="array" aca="1" ref="O76" ca="1">INDIRECT($AA$24&amp;INDEX(LineupsSearch[],MATCH(LineupsData[[#This Row],[Home?]]&amp;LineupsData[[#Headers],[B2]],LineupsSearch[Home?]&amp;LineupsSearch[Item],1),3)&amp;LineupsData[[#This Row],[RefRow]])</f>
        <v>0</v>
      </c>
      <c r="P76" s="1219" t="str">
        <f t="array" aca="1" ref="P7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76" s="1219">
        <f ca="1">IFERROR(LEN(IF(OR(LEFT(LineupsData[[#This Row],[B2_Box]],1)="$",LEFT(LineupsData[[#This Row],[B2_Box]],1)="S"),RIGHT(LineupsData[[#This Row],[B2_Box]],LEN(LineupsData[[#This Row],[B2_Box]])-1),LineupsData[[#This Row],[B2_Box]])),"")</f>
        <v>0</v>
      </c>
      <c r="R76" s="1219">
        <f t="array" aca="1" ref="R76" ca="1">INDIRECT($AA$24&amp;INDEX(LineupsSearch[],MATCH(LineupsData[[#This Row],[Home?]]&amp;LineupsData[[#Headers],[B3]],LineupsSearch[Home?]&amp;LineupsSearch[Item],1),3)&amp;LineupsData[[#This Row],[RefRow]])</f>
        <v>0</v>
      </c>
      <c r="S76" s="1219" t="str">
        <f t="array" aca="1" ref="S7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76" s="1219">
        <f ca="1">IFERROR(LEN(IF(OR(LEFT(LineupsData[[#This Row],[B3_Box]],1)="$",LEFT(LineupsData[[#This Row],[B3_Box]],1)="S"),RIGHT(LineupsData[[#This Row],[B3_Box]],LEN(LineupsData[[#This Row],[B3_Box]])-1),LineupsData[[#This Row],[B3_Box]])),"")</f>
        <v>0</v>
      </c>
      <c r="U76" s="1219" t="b">
        <f t="array" aca="1" ref="U7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76" s="1219" t="b">
        <v>0</v>
      </c>
      <c r="W76" s="1219">
        <v>40</v>
      </c>
    </row>
    <row r="77" spans="1:23" x14ac:dyDescent="0.25">
      <c r="A77" s="1218">
        <f>[1]IBRF!$B$5</f>
        <v>41734</v>
      </c>
      <c r="B77" s="1221">
        <f t="shared" si="3"/>
        <v>0.83333333333333337</v>
      </c>
      <c r="C77" s="1219">
        <v>1</v>
      </c>
      <c r="D77" s="1219">
        <f t="array" aca="1" ref="D77" ca="1">IF(LineupsData[[#This Row],[Passed?]],D76,IF(INDIRECT($AA$24&amp;INDEX(LineupsSearch[],MATCH(LineupsData[[#This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77" s="1219" t="str">
        <f t="shared" si="2"/>
        <v>Harlots</v>
      </c>
      <c r="F77" s="1219" t="str">
        <f t="array" aca="1" ref="F77" ca="1">INDIRECT($AA$24&amp;INDEX(LineupsSearch[],MATCH(LineupsData[[#This Row],[Home?]]&amp;LineupsData[[#Headers],[Jammer]],LineupsSearch[Home?]&amp;LineupsSearch[Item],1),3)&amp;LineupsData[[#This Row],[RefRow]])</f>
        <v/>
      </c>
      <c r="G77" s="1219" t="str">
        <f t="array" aca="1" ref="G7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77" s="1219">
        <f ca="1">IFERROR(LEN(IF(OR(LEFT(LineupsData[[#This Row],[J_Box]],1)="$",LEFT(LineupsData[[#This Row],[J_Box]],1)="S"),RIGHT(LineupsData[[#This Row],[J_Box]],LEN(LineupsData[[#This Row],[J_Box]])-1),LineupsData[[#This Row],[J_Box]])),"")</f>
        <v>0</v>
      </c>
      <c r="I77" s="1219">
        <f t="array" aca="1" ref="I77" ca="1">INDIRECT($AA$24&amp;INDEX(LineupsSearch[],MATCH(LineupsData[[#This Row],[Home?]]&amp;LineupsData[[#Headers],[Pivot]],LineupsSearch[Home?]&amp;LineupsSearch[Item],1),3)&amp;LineupsData[[#This Row],[RefRow]])</f>
        <v>0</v>
      </c>
      <c r="J77" s="1219" t="str">
        <f t="array" aca="1" ref="J7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77" s="1219">
        <f ca="1">IFERROR(LEN(IF(OR(LEFT(LineupsData[[#This Row],[P_Box]],1)="$",LEFT(LineupsData[[#This Row],[P_Box]],1)="S"),RIGHT(LineupsData[[#This Row],[P_Box]],LEN(LineupsData[[#This Row],[P_Box]])-1),LineupsData[[#This Row],[P_Box]])),"")</f>
        <v>0</v>
      </c>
      <c r="L77" s="1219">
        <f t="array" aca="1" ref="L77" ca="1">INDIRECT($AA$24&amp;INDEX(LineupsSearch[],MATCH(LineupsData[[#This Row],[Home?]]&amp;LineupsData[[#Headers],[B1]],LineupsSearch[Home?]&amp;LineupsSearch[Item],1),3)&amp;LineupsData[[#This Row],[RefRow]])</f>
        <v>0</v>
      </c>
      <c r="M77" s="1219" t="str">
        <f t="array" aca="1" ref="M7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77" s="1219">
        <f ca="1">IFERROR(LEN(IF(OR(LEFT(LineupsData[[#This Row],[B1_Box]],1)="$",LEFT(LineupsData[[#This Row],[B1_Box]],1)="S"),RIGHT(LineupsData[[#This Row],[B1_Box]],LEN(LineupsData[[#This Row],[B1_Box]])-1),LineupsData[[#This Row],[B1_Box]])),"")</f>
        <v>0</v>
      </c>
      <c r="O77" s="1219">
        <f t="array" aca="1" ref="O77" ca="1">INDIRECT($AA$24&amp;INDEX(LineupsSearch[],MATCH(LineupsData[[#This Row],[Home?]]&amp;LineupsData[[#Headers],[B2]],LineupsSearch[Home?]&amp;LineupsSearch[Item],1),3)&amp;LineupsData[[#This Row],[RefRow]])</f>
        <v>0</v>
      </c>
      <c r="P77" s="1219" t="str">
        <f t="array" aca="1" ref="P7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77" s="1219">
        <f ca="1">IFERROR(LEN(IF(OR(LEFT(LineupsData[[#This Row],[B2_Box]],1)="$",LEFT(LineupsData[[#This Row],[B2_Box]],1)="S"),RIGHT(LineupsData[[#This Row],[B2_Box]],LEN(LineupsData[[#This Row],[B2_Box]])-1),LineupsData[[#This Row],[B2_Box]])),"")</f>
        <v>0</v>
      </c>
      <c r="R77" s="1219">
        <f t="array" aca="1" ref="R77" ca="1">INDIRECT($AA$24&amp;INDEX(LineupsSearch[],MATCH(LineupsData[[#This Row],[Home?]]&amp;LineupsData[[#Headers],[B3]],LineupsSearch[Home?]&amp;LineupsSearch[Item],1),3)&amp;LineupsData[[#This Row],[RefRow]])</f>
        <v>0</v>
      </c>
      <c r="S77" s="1219" t="str">
        <f t="array" aca="1" ref="S7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77" s="1219">
        <f ca="1">IFERROR(LEN(IF(OR(LEFT(LineupsData[[#This Row],[B3_Box]],1)="$",LEFT(LineupsData[[#This Row],[B3_Box]],1)="S"),RIGHT(LineupsData[[#This Row],[B3_Box]],LEN(LineupsData[[#This Row],[B3_Box]])-1),LineupsData[[#This Row],[B3_Box]])),"")</f>
        <v>0</v>
      </c>
      <c r="U77" s="1219" t="b">
        <f t="array" aca="1" ref="U7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77" s="1219" t="b">
        <v>0</v>
      </c>
      <c r="W77" s="1219">
        <v>41</v>
      </c>
    </row>
    <row r="78" spans="1:23" x14ac:dyDescent="0.25">
      <c r="A78" s="1218">
        <f>[1]IBRF!$B$5</f>
        <v>41734</v>
      </c>
      <c r="B78" s="1221">
        <f t="shared" si="3"/>
        <v>0.83333333333333337</v>
      </c>
      <c r="C78" s="1219">
        <v>2</v>
      </c>
      <c r="D78" s="1219">
        <f t="array" aca="1" ref="D78" ca="1">IF(LineupsData[[#This Row],[Passed?]],D77,IF(INDIRECT($AA$24&amp;INDEX(LineupsSearch[],MATCH(LineupsData[[#This Row],[Home?]]&amp;"Jam",LineupsSearch[Home?]&amp;LineupsSearch[Item],1),3)&amp;LineupsData[[#This Row],[RefRow]])="",0,INDIRECT($AA$24&amp;INDEX(LineupsSearch[],MATCH(LineupsData[[#This Row],[Home?]]&amp;"Jam",LineupsSearch[Home?]&amp;LineupsSearch[Item],1),3)&amp;LineupsData[[#This Row],[RefRow]])))</f>
        <v>1</v>
      </c>
      <c r="E78" s="1219" t="str">
        <f t="shared" ref="E78:E115" si="4">$AA$2</f>
        <v>Plan B</v>
      </c>
      <c r="F78" s="1219" t="str">
        <f t="array" aca="1" ref="F78" ca="1">INDIRECT($AA$24&amp;INDEX(LineupsSearch[],MATCH(LineupsData[[#This Row],[Home?]]&amp;LineupsData[[#Headers],[Jammer]],LineupsSearch[Home?]&amp;LineupsSearch[Item],1),3)&amp;LineupsData[[#This Row],[RefRow]])</f>
        <v>4</v>
      </c>
      <c r="G78" s="1219" t="str">
        <f t="array" aca="1" ref="G7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78" s="1219">
        <f ca="1">IFERROR(LEN(IF(OR(LEFT(LineupsData[[#This Row],[J_Box]],1)="$",LEFT(LineupsData[[#This Row],[J_Box]],1)="S"),RIGHT(LineupsData[[#This Row],[J_Box]],LEN(LineupsData[[#This Row],[J_Box]])-1),LineupsData[[#This Row],[J_Box]])),"")</f>
        <v>0</v>
      </c>
      <c r="I78" s="1219" t="str">
        <f t="array" aca="1" ref="I78" ca="1">INDIRECT($AA$24&amp;INDEX(LineupsSearch[],MATCH(LineupsData[[#This Row],[Home?]]&amp;LineupsData[[#Headers],[Pivot]],LineupsSearch[Home?]&amp;LineupsSearch[Item],1),3)&amp;LineupsData[[#This Row],[RefRow]])</f>
        <v>0</v>
      </c>
      <c r="J78" s="1219" t="str">
        <f t="array" aca="1" ref="J7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78" s="1219">
        <f ca="1">IFERROR(LEN(IF(OR(LEFT(LineupsData[[#This Row],[P_Box]],1)="$",LEFT(LineupsData[[#This Row],[P_Box]],1)="S"),RIGHT(LineupsData[[#This Row],[P_Box]],LEN(LineupsData[[#This Row],[P_Box]])-1),LineupsData[[#This Row],[P_Box]])),"")</f>
        <v>0</v>
      </c>
      <c r="L78" s="1219" t="str">
        <f t="array" aca="1" ref="L78" ca="1">INDIRECT($AA$24&amp;INDEX(LineupsSearch[],MATCH(LineupsData[[#This Row],[Home?]]&amp;LineupsData[[#Headers],[B1]],LineupsSearch[Home?]&amp;LineupsSearch[Item],1),3)&amp;LineupsData[[#This Row],[RefRow]])</f>
        <v>20</v>
      </c>
      <c r="M78" s="1219" t="str">
        <f t="array" aca="1" ref="M7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78" s="1219">
        <f ca="1">IFERROR(LEN(IF(OR(LEFT(LineupsData[[#This Row],[B1_Box]],1)="$",LEFT(LineupsData[[#This Row],[B1_Box]],1)="S"),RIGHT(LineupsData[[#This Row],[B1_Box]],LEN(LineupsData[[#This Row],[B1_Box]])-1),LineupsData[[#This Row],[B1_Box]])),"")</f>
        <v>0</v>
      </c>
      <c r="O78" s="1219" t="str">
        <f t="array" aca="1" ref="O78" ca="1">INDIRECT($AA$24&amp;INDEX(LineupsSearch[],MATCH(LineupsData[[#This Row],[Home?]]&amp;LineupsData[[#Headers],[B2]],LineupsSearch[Home?]&amp;LineupsSearch[Item],1),3)&amp;LineupsData[[#This Row],[RefRow]])</f>
        <v>303</v>
      </c>
      <c r="P78" s="1219" t="str">
        <f t="array" aca="1" ref="P7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78" s="1219">
        <f ca="1">IFERROR(LEN(IF(OR(LEFT(LineupsData[[#This Row],[B2_Box]],1)="$",LEFT(LineupsData[[#This Row],[B2_Box]],1)="S"),RIGHT(LineupsData[[#This Row],[B2_Box]],LEN(LineupsData[[#This Row],[B2_Box]])-1),LineupsData[[#This Row],[B2_Box]])),"")</f>
        <v>0</v>
      </c>
      <c r="R78" s="1219" t="str">
        <f t="array" aca="1" ref="R78" ca="1">INDIRECT($AA$24&amp;INDEX(LineupsSearch[],MATCH(LineupsData[[#This Row],[Home?]]&amp;LineupsData[[#Headers],[B3]],LineupsSearch[Home?]&amp;LineupsSearch[Item],1),3)&amp;LineupsData[[#This Row],[RefRow]])</f>
        <v>64</v>
      </c>
      <c r="S78" s="1219" t="str">
        <f t="array" aca="1" ref="S7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78" s="1219">
        <f ca="1">IFERROR(LEN(IF(OR(LEFT(LineupsData[[#This Row],[B3_Box]],1)="$",LEFT(LineupsData[[#This Row],[B3_Box]],1)="S"),RIGHT(LineupsData[[#This Row],[B3_Box]],LEN(LineupsData[[#This Row],[B3_Box]])-1),LineupsData[[#This Row],[B3_Box]])),"")</f>
        <v>0</v>
      </c>
      <c r="U78" s="1219" t="b">
        <f t="array" aca="1" ref="U7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78" s="1219" t="b">
        <v>1</v>
      </c>
      <c r="W78" s="1219">
        <v>46</v>
      </c>
    </row>
    <row r="79" spans="1:23" x14ac:dyDescent="0.25">
      <c r="A79" s="1218">
        <f>[1]IBRF!$B$5</f>
        <v>41734</v>
      </c>
      <c r="B79" s="1221">
        <f t="shared" si="3"/>
        <v>0.83333333333333337</v>
      </c>
      <c r="C79" s="1219">
        <v>2</v>
      </c>
      <c r="D79" s="1219">
        <f t="array" aca="1" ref="D79" ca="1">IF(LineupsData[[#This Row],[Passed?]],D78,IF(INDIRECT($AA$24&amp;INDEX(LineupsSearch[],MATCH(LineupsData[[#This Row],[Home?]]&amp;"Jam",LineupsSearch[Home?]&amp;LineupsSearch[Item],1),3)&amp;LineupsData[[#This Row],[RefRow]])="",0,INDIRECT($AA$24&amp;INDEX(LineupsSearch[],MATCH(LineupsData[[#This Row],[Home?]]&amp;"Jam",LineupsSearch[Home?]&amp;LineupsSearch[Item],1),3)&amp;LineupsData[[#This Row],[RefRow]])))</f>
        <v>2</v>
      </c>
      <c r="E79" s="1219" t="str">
        <f t="shared" si="4"/>
        <v>Plan B</v>
      </c>
      <c r="F79" s="1219" t="str">
        <f t="array" aca="1" ref="F79" ca="1">INDIRECT($AA$24&amp;INDEX(LineupsSearch[],MATCH(LineupsData[[#This Row],[Home?]]&amp;LineupsData[[#Headers],[Jammer]],LineupsSearch[Home?]&amp;LineupsSearch[Item],1),3)&amp;LineupsData[[#This Row],[RefRow]])</f>
        <v>19</v>
      </c>
      <c r="G79" s="1219" t="str">
        <f t="array" aca="1" ref="G7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79" s="1219">
        <f ca="1">IFERROR(LEN(IF(OR(LEFT(LineupsData[[#This Row],[J_Box]],1)="$",LEFT(LineupsData[[#This Row],[J_Box]],1)="S"),RIGHT(LineupsData[[#This Row],[J_Box]],LEN(LineupsData[[#This Row],[J_Box]])-1),LineupsData[[#This Row],[J_Box]])),"")</f>
        <v>0</v>
      </c>
      <c r="I79" s="1219" t="str">
        <f t="array" aca="1" ref="I79" ca="1">INDIRECT($AA$24&amp;INDEX(LineupsSearch[],MATCH(LineupsData[[#This Row],[Home?]]&amp;LineupsData[[#Headers],[Pivot]],LineupsSearch[Home?]&amp;LineupsSearch[Item],1),3)&amp;LineupsData[[#This Row],[RefRow]])</f>
        <v>N01</v>
      </c>
      <c r="J79" s="1219" t="str">
        <f t="array" aca="1" ref="J7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79" s="1219">
        <f ca="1">IFERROR(LEN(IF(OR(LEFT(LineupsData[[#This Row],[P_Box]],1)="$",LEFT(LineupsData[[#This Row],[P_Box]],1)="S"),RIGHT(LineupsData[[#This Row],[P_Box]],LEN(LineupsData[[#This Row],[P_Box]])-1),LineupsData[[#This Row],[P_Box]])),"")</f>
        <v>0</v>
      </c>
      <c r="L79" s="1219" t="str">
        <f t="array" aca="1" ref="L79" ca="1">INDIRECT($AA$24&amp;INDEX(LineupsSearch[],MATCH(LineupsData[[#This Row],[Home?]]&amp;LineupsData[[#Headers],[B1]],LineupsSearch[Home?]&amp;LineupsSearch[Item],1),3)&amp;LineupsData[[#This Row],[RefRow]])</f>
        <v>33</v>
      </c>
      <c r="M79" s="1219" t="str">
        <f t="array" aca="1" ref="M7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79" s="1219">
        <f ca="1">IFERROR(LEN(IF(OR(LEFT(LineupsData[[#This Row],[B1_Box]],1)="$",LEFT(LineupsData[[#This Row],[B1_Box]],1)="S"),RIGHT(LineupsData[[#This Row],[B1_Box]],LEN(LineupsData[[#This Row],[B1_Box]])-1),LineupsData[[#This Row],[B1_Box]])),"")</f>
        <v>0</v>
      </c>
      <c r="O79" s="1219" t="str">
        <f t="array" aca="1" ref="O79" ca="1">INDIRECT($AA$24&amp;INDEX(LineupsSearch[],MATCH(LineupsData[[#This Row],[Home?]]&amp;LineupsData[[#Headers],[B2]],LineupsSearch[Home?]&amp;LineupsSearch[Item],1),3)&amp;LineupsData[[#This Row],[RefRow]])</f>
        <v>480</v>
      </c>
      <c r="P79" s="1219" t="str">
        <f t="array" aca="1" ref="P7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79" s="1219">
        <f ca="1">IFERROR(LEN(IF(OR(LEFT(LineupsData[[#This Row],[B2_Box]],1)="$",LEFT(LineupsData[[#This Row],[B2_Box]],1)="S"),RIGHT(LineupsData[[#This Row],[B2_Box]],LEN(LineupsData[[#This Row],[B2_Box]])-1),LineupsData[[#This Row],[B2_Box]])),"")</f>
        <v>0</v>
      </c>
      <c r="R79" s="1219" t="str">
        <f t="array" aca="1" ref="R79" ca="1">INDIRECT($AA$24&amp;INDEX(LineupsSearch[],MATCH(LineupsData[[#This Row],[Home?]]&amp;LineupsData[[#Headers],[B3]],LineupsSearch[Home?]&amp;LineupsSearch[Item],1),3)&amp;LineupsData[[#This Row],[RefRow]])</f>
        <v>17</v>
      </c>
      <c r="S79" s="1219" t="str">
        <f t="array" aca="1" ref="S7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79" s="1219">
        <f ca="1">IFERROR(LEN(IF(OR(LEFT(LineupsData[[#This Row],[B3_Box]],1)="$",LEFT(LineupsData[[#This Row],[B3_Box]],1)="S"),RIGHT(LineupsData[[#This Row],[B3_Box]],LEN(LineupsData[[#This Row],[B3_Box]])-1),LineupsData[[#This Row],[B3_Box]])),"")</f>
        <v>0</v>
      </c>
      <c r="U79" s="1223" t="b">
        <f t="array" aca="1" ref="U7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79" s="1219" t="b">
        <v>1</v>
      </c>
      <c r="W79" s="1219">
        <v>47</v>
      </c>
    </row>
    <row r="80" spans="1:23" x14ac:dyDescent="0.25">
      <c r="A80" s="1218">
        <f>[1]IBRF!$B$5</f>
        <v>41734</v>
      </c>
      <c r="B80" s="1221">
        <f t="shared" si="3"/>
        <v>0.83333333333333337</v>
      </c>
      <c r="C80" s="1219">
        <v>2</v>
      </c>
      <c r="D80" s="1219">
        <f t="array" aca="1" ref="D80" ca="1">IF(LineupsData[[#This Row],[Passed?]],D79,IF(INDIRECT($AA$24&amp;INDEX(LineupsSearch[],MATCH(LineupsData[[#This Row],[Home?]]&amp;"Jam",LineupsSearch[Home?]&amp;LineupsSearch[Item],1),3)&amp;LineupsData[[#This Row],[RefRow]])="",0,INDIRECT($AA$24&amp;INDEX(LineupsSearch[],MATCH(LineupsData[[#This Row],[Home?]]&amp;"Jam",LineupsSearch[Home?]&amp;LineupsSearch[Item],1),3)&amp;LineupsData[[#This Row],[RefRow]])))</f>
        <v>3</v>
      </c>
      <c r="E80" s="1219" t="str">
        <f t="shared" si="4"/>
        <v>Plan B</v>
      </c>
      <c r="F80" s="1219" t="str">
        <f t="array" aca="1" ref="F80" ca="1">INDIRECT($AA$24&amp;INDEX(LineupsSearch[],MATCH(LineupsData[[#This Row],[Home?]]&amp;LineupsData[[#Headers],[Jammer]],LineupsSearch[Home?]&amp;LineupsSearch[Item],1),3)&amp;LineupsData[[#This Row],[RefRow]])</f>
        <v>84</v>
      </c>
      <c r="G80" s="1219" t="str">
        <f t="array" aca="1" ref="G8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80" s="1219">
        <f ca="1">IFERROR(LEN(IF(OR(LEFT(LineupsData[[#This Row],[J_Box]],1)="$",LEFT(LineupsData[[#This Row],[J_Box]],1)="S"),RIGHT(LineupsData[[#This Row],[J_Box]],LEN(LineupsData[[#This Row],[J_Box]])-1),LineupsData[[#This Row],[J_Box]])),"")</f>
        <v>1</v>
      </c>
      <c r="I80" s="1219" t="str">
        <f t="array" aca="1" ref="I80" ca="1">INDIRECT($AA$24&amp;INDEX(LineupsSearch[],MATCH(LineupsData[[#This Row],[Home?]]&amp;LineupsData[[#Headers],[Pivot]],LineupsSearch[Home?]&amp;LineupsSearch[Item],1),3)&amp;LineupsData[[#This Row],[RefRow]])</f>
        <v>0</v>
      </c>
      <c r="J80" s="1219" t="str">
        <f t="array" aca="1" ref="J8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80" s="1219">
        <f ca="1">IFERROR(LEN(IF(OR(LEFT(LineupsData[[#This Row],[P_Box]],1)="$",LEFT(LineupsData[[#This Row],[P_Box]],1)="S"),RIGHT(LineupsData[[#This Row],[P_Box]],LEN(LineupsData[[#This Row],[P_Box]])-1),LineupsData[[#This Row],[P_Box]])),"")</f>
        <v>0</v>
      </c>
      <c r="L80" s="1219" t="str">
        <f t="array" aca="1" ref="L80" ca="1">INDIRECT($AA$24&amp;INDEX(LineupsSearch[],MATCH(LineupsData[[#This Row],[Home?]]&amp;LineupsData[[#Headers],[B1]],LineupsSearch[Home?]&amp;LineupsSearch[Item],1),3)&amp;LineupsData[[#This Row],[RefRow]])</f>
        <v>64</v>
      </c>
      <c r="M80" s="1219" t="str">
        <f t="array" aca="1" ref="M8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X</v>
      </c>
      <c r="N80" s="1219">
        <f ca="1">IFERROR(LEN(IF(OR(LEFT(LineupsData[[#This Row],[B1_Box]],1)="$",LEFT(LineupsData[[#This Row],[B1_Box]],1)="S"),RIGHT(LineupsData[[#This Row],[B1_Box]],LEN(LineupsData[[#This Row],[B1_Box]])-1),LineupsData[[#This Row],[B1_Box]])),"")</f>
        <v>1</v>
      </c>
      <c r="O80" s="1219" t="str">
        <f t="array" aca="1" ref="O80" ca="1">INDIRECT($AA$24&amp;INDEX(LineupsSearch[],MATCH(LineupsData[[#This Row],[Home?]]&amp;LineupsData[[#Headers],[B2]],LineupsSearch[Home?]&amp;LineupsSearch[Item],1),3)&amp;LineupsData[[#This Row],[RefRow]])</f>
        <v>44</v>
      </c>
      <c r="P80" s="1219" t="str">
        <f t="array" aca="1" ref="P8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80" s="1219">
        <f ca="1">IFERROR(LEN(IF(OR(LEFT(LineupsData[[#This Row],[B2_Box]],1)="$",LEFT(LineupsData[[#This Row],[B2_Box]],1)="S"),RIGHT(LineupsData[[#This Row],[B2_Box]],LEN(LineupsData[[#This Row],[B2_Box]])-1),LineupsData[[#This Row],[B2_Box]])),"")</f>
        <v>0</v>
      </c>
      <c r="R80" s="1219" t="str">
        <f t="array" aca="1" ref="R80" ca="1">INDIRECT($AA$24&amp;INDEX(LineupsSearch[],MATCH(LineupsData[[#This Row],[Home?]]&amp;LineupsData[[#Headers],[B3]],LineupsSearch[Home?]&amp;LineupsSearch[Item],1),3)&amp;LineupsData[[#This Row],[RefRow]])</f>
        <v>20</v>
      </c>
      <c r="S80" s="1219" t="str">
        <f t="array" aca="1" ref="S8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X</v>
      </c>
      <c r="T80" s="1219">
        <f ca="1">IFERROR(LEN(IF(OR(LEFT(LineupsData[[#This Row],[B3_Box]],1)="$",LEFT(LineupsData[[#This Row],[B3_Box]],1)="S"),RIGHT(LineupsData[[#This Row],[B3_Box]],LEN(LineupsData[[#This Row],[B3_Box]])-1),LineupsData[[#This Row],[B3_Box]])),"")</f>
        <v>1</v>
      </c>
      <c r="U80" s="1219" t="b">
        <f t="array" aca="1" ref="U8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80" s="1219" t="b">
        <v>1</v>
      </c>
      <c r="W80" s="1219">
        <v>48</v>
      </c>
    </row>
    <row r="81" spans="1:23" x14ac:dyDescent="0.25">
      <c r="A81" s="1218">
        <f>[1]IBRF!$B$5</f>
        <v>41734</v>
      </c>
      <c r="B81" s="1221">
        <f t="shared" si="3"/>
        <v>0.83333333333333337</v>
      </c>
      <c r="C81" s="1219">
        <v>2</v>
      </c>
      <c r="D81" s="1219">
        <f t="array" aca="1" ref="D81" ca="1">IF(LineupsData[[#This Row],[Passed?]],D80,IF(INDIRECT($AA$24&amp;INDEX(LineupsSearch[],MATCH(LineupsData[[#This Row],[Home?]]&amp;"Jam",LineupsSearch[Home?]&amp;LineupsSearch[Item],1),3)&amp;LineupsData[[#This Row],[RefRow]])="",0,INDIRECT($AA$24&amp;INDEX(LineupsSearch[],MATCH(LineupsData[[#This Row],[Home?]]&amp;"Jam",LineupsSearch[Home?]&amp;LineupsSearch[Item],1),3)&amp;LineupsData[[#This Row],[RefRow]])))</f>
        <v>4</v>
      </c>
      <c r="E81" s="1219" t="str">
        <f t="shared" si="4"/>
        <v>Plan B</v>
      </c>
      <c r="F81" s="1219" t="str">
        <f t="array" aca="1" ref="F81" ca="1">INDIRECT($AA$24&amp;INDEX(LineupsSearch[],MATCH(LineupsData[[#This Row],[Home?]]&amp;LineupsData[[#Headers],[Jammer]],LineupsSearch[Home?]&amp;LineupsSearch[Item],1),3)&amp;LineupsData[[#This Row],[RefRow]])</f>
        <v>4</v>
      </c>
      <c r="G81" s="1219" t="str">
        <f t="array" aca="1" ref="G8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81" s="1219">
        <f ca="1">IFERROR(LEN(IF(OR(LEFT(LineupsData[[#This Row],[J_Box]],1)="$",LEFT(LineupsData[[#This Row],[J_Box]],1)="S"),RIGHT(LineupsData[[#This Row],[J_Box]],LEN(LineupsData[[#This Row],[J_Box]])-1),LineupsData[[#This Row],[J_Box]])),"")</f>
        <v>0</v>
      </c>
      <c r="I81" s="1219" t="str">
        <f t="array" aca="1" ref="I81" ca="1">INDIRECT($AA$24&amp;INDEX(LineupsSearch[],MATCH(LineupsData[[#This Row],[Home?]]&amp;LineupsData[[#Headers],[Pivot]],LineupsSearch[Home?]&amp;LineupsSearch[Item],1),3)&amp;LineupsData[[#This Row],[RefRow]])</f>
        <v>N01</v>
      </c>
      <c r="J81" s="1219" t="str">
        <f t="array" aca="1" ref="J8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81" s="1219">
        <f ca="1">IFERROR(LEN(IF(OR(LEFT(LineupsData[[#This Row],[P_Box]],1)="$",LEFT(LineupsData[[#This Row],[P_Box]],1)="S"),RIGHT(LineupsData[[#This Row],[P_Box]],LEN(LineupsData[[#This Row],[P_Box]])-1),LineupsData[[#This Row],[P_Box]])),"")</f>
        <v>0</v>
      </c>
      <c r="L81" s="1219" t="str">
        <f t="array" aca="1" ref="L81" ca="1">INDIRECT($AA$24&amp;INDEX(LineupsSearch[],MATCH(LineupsData[[#This Row],[Home?]]&amp;LineupsData[[#Headers],[B1]],LineupsSearch[Home?]&amp;LineupsSearch[Item],1),3)&amp;LineupsData[[#This Row],[RefRow]])</f>
        <v>33</v>
      </c>
      <c r="M81" s="1219" t="str">
        <f t="array" aca="1" ref="M8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X</v>
      </c>
      <c r="N81" s="1219">
        <f ca="1">IFERROR(LEN(IF(OR(LEFT(LineupsData[[#This Row],[B1_Box]],1)="$",LEFT(LineupsData[[#This Row],[B1_Box]],1)="S"),RIGHT(LineupsData[[#This Row],[B1_Box]],LEN(LineupsData[[#This Row],[B1_Box]])-1),LineupsData[[#This Row],[B1_Box]])),"")</f>
        <v>1</v>
      </c>
      <c r="O81" s="1219" t="str">
        <f t="array" aca="1" ref="O81" ca="1">INDIRECT($AA$24&amp;INDEX(LineupsSearch[],MATCH(LineupsData[[#This Row],[Home?]]&amp;LineupsData[[#Headers],[B2]],LineupsSearch[Home?]&amp;LineupsSearch[Item],1),3)&amp;LineupsData[[#This Row],[RefRow]])</f>
        <v>480</v>
      </c>
      <c r="P81" s="1219" t="str">
        <f t="array" aca="1" ref="P8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81" s="1219">
        <f ca="1">IFERROR(LEN(IF(OR(LEFT(LineupsData[[#This Row],[B2_Box]],1)="$",LEFT(LineupsData[[#This Row],[B2_Box]],1)="S"),RIGHT(LineupsData[[#This Row],[B2_Box]],LEN(LineupsData[[#This Row],[B2_Box]])-1),LineupsData[[#This Row],[B2_Box]])),"")</f>
        <v>0</v>
      </c>
      <c r="R81" s="1219" t="str">
        <f t="array" aca="1" ref="R81" ca="1">INDIRECT($AA$24&amp;INDEX(LineupsSearch[],MATCH(LineupsData[[#This Row],[Home?]]&amp;LineupsData[[#Headers],[B3]],LineupsSearch[Home?]&amp;LineupsSearch[Item],1),3)&amp;LineupsData[[#This Row],[RefRow]])</f>
        <v>42</v>
      </c>
      <c r="S81" s="1219" t="str">
        <f t="array" aca="1" ref="S8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81" s="1219">
        <f ca="1">IFERROR(LEN(IF(OR(LEFT(LineupsData[[#This Row],[B3_Box]],1)="$",LEFT(LineupsData[[#This Row],[B3_Box]],1)="S"),RIGHT(LineupsData[[#This Row],[B3_Box]],LEN(LineupsData[[#This Row],[B3_Box]])-1),LineupsData[[#This Row],[B3_Box]])),"")</f>
        <v>0</v>
      </c>
      <c r="U81" s="1219" t="b">
        <f t="array" aca="1" ref="U8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81" s="1219" t="b">
        <v>1</v>
      </c>
      <c r="W81" s="1219">
        <v>49</v>
      </c>
    </row>
    <row r="82" spans="1:23" x14ac:dyDescent="0.25">
      <c r="A82" s="1218">
        <f>[1]IBRF!$B$5</f>
        <v>41734</v>
      </c>
      <c r="B82" s="1221">
        <f t="shared" si="3"/>
        <v>0.83333333333333337</v>
      </c>
      <c r="C82" s="1219">
        <v>2</v>
      </c>
      <c r="D82" s="1219">
        <f t="array" aca="1" ref="D82" ca="1">IF(LineupsData[[#This Row],[Passed?]],D81,IF(INDIRECT($AA$24&amp;INDEX(LineupsSearch[],MATCH(LineupsData[[#This Row],[Home?]]&amp;"Jam",LineupsSearch[Home?]&amp;LineupsSearch[Item],1),3)&amp;LineupsData[[#This Row],[RefRow]])="",0,INDIRECT($AA$24&amp;INDEX(LineupsSearch[],MATCH(LineupsData[[#This Row],[Home?]]&amp;"Jam",LineupsSearch[Home?]&amp;LineupsSearch[Item],1),3)&amp;LineupsData[[#This Row],[RefRow]])))</f>
        <v>5</v>
      </c>
      <c r="E82" s="1219" t="str">
        <f t="shared" si="4"/>
        <v>Plan B</v>
      </c>
      <c r="F82" s="1219" t="str">
        <f t="array" aca="1" ref="F82" ca="1">INDIRECT($AA$24&amp;INDEX(LineupsSearch[],MATCH(LineupsData[[#This Row],[Home?]]&amp;LineupsData[[#Headers],[Jammer]],LineupsSearch[Home?]&amp;LineupsSearch[Item],1),3)&amp;LineupsData[[#This Row],[RefRow]])</f>
        <v>19</v>
      </c>
      <c r="G82" s="1219" t="str">
        <f t="array" aca="1" ref="G8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82" s="1219">
        <f ca="1">IFERROR(LEN(IF(OR(LEFT(LineupsData[[#This Row],[J_Box]],1)="$",LEFT(LineupsData[[#This Row],[J_Box]],1)="S"),RIGHT(LineupsData[[#This Row],[J_Box]],LEN(LineupsData[[#This Row],[J_Box]])-1),LineupsData[[#This Row],[J_Box]])),"")</f>
        <v>0</v>
      </c>
      <c r="I82" s="1219" t="str">
        <f t="array" aca="1" ref="I82" ca="1">INDIRECT($AA$24&amp;INDEX(LineupsSearch[],MATCH(LineupsData[[#This Row],[Home?]]&amp;LineupsData[[#Headers],[Pivot]],LineupsSearch[Home?]&amp;LineupsSearch[Item],1),3)&amp;LineupsData[[#This Row],[RefRow]])</f>
        <v>0</v>
      </c>
      <c r="J82" s="1219" t="str">
        <f t="array" aca="1" ref="J8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82" s="1219">
        <f ca="1">IFERROR(LEN(IF(OR(LEFT(LineupsData[[#This Row],[P_Box]],1)="$",LEFT(LineupsData[[#This Row],[P_Box]],1)="S"),RIGHT(LineupsData[[#This Row],[P_Box]],LEN(LineupsData[[#This Row],[P_Box]])-1),LineupsData[[#This Row],[P_Box]])),"")</f>
        <v>0</v>
      </c>
      <c r="L82" s="1219" t="str">
        <f t="array" aca="1" ref="L82" ca="1">INDIRECT($AA$24&amp;INDEX(LineupsSearch[],MATCH(LineupsData[[#This Row],[Home?]]&amp;LineupsData[[#Headers],[B1]],LineupsSearch[Home?]&amp;LineupsSearch[Item],1),3)&amp;LineupsData[[#This Row],[RefRow]])</f>
        <v>303</v>
      </c>
      <c r="M82" s="1219" t="str">
        <f t="array" aca="1" ref="M8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X</v>
      </c>
      <c r="N82" s="1219">
        <f ca="1">IFERROR(LEN(IF(OR(LEFT(LineupsData[[#This Row],[B1_Box]],1)="$",LEFT(LineupsData[[#This Row],[B1_Box]],1)="S"),RIGHT(LineupsData[[#This Row],[B1_Box]],LEN(LineupsData[[#This Row],[B1_Box]])-1),LineupsData[[#This Row],[B1_Box]])),"")</f>
        <v>1</v>
      </c>
      <c r="O82" s="1219" t="str">
        <f t="array" aca="1" ref="O82" ca="1">INDIRECT($AA$24&amp;INDEX(LineupsSearch[],MATCH(LineupsData[[#This Row],[Home?]]&amp;LineupsData[[#Headers],[B2]],LineupsSearch[Home?]&amp;LineupsSearch[Item],1),3)&amp;LineupsData[[#This Row],[RefRow]])</f>
        <v>44</v>
      </c>
      <c r="P82" s="1219" t="str">
        <f t="array" aca="1" ref="P8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82" s="1219">
        <f ca="1">IFERROR(LEN(IF(OR(LEFT(LineupsData[[#This Row],[B2_Box]],1)="$",LEFT(LineupsData[[#This Row],[B2_Box]],1)="S"),RIGHT(LineupsData[[#This Row],[B2_Box]],LEN(LineupsData[[#This Row],[B2_Box]])-1),LineupsData[[#This Row],[B2_Box]])),"")</f>
        <v>0</v>
      </c>
      <c r="R82" s="1219" t="str">
        <f t="array" aca="1" ref="R82" ca="1">INDIRECT($AA$24&amp;INDEX(LineupsSearch[],MATCH(LineupsData[[#This Row],[Home?]]&amp;LineupsData[[#Headers],[B3]],LineupsSearch[Home?]&amp;LineupsSearch[Item],1),3)&amp;LineupsData[[#This Row],[RefRow]])</f>
        <v>64</v>
      </c>
      <c r="S82" s="1219" t="str">
        <f t="array" aca="1" ref="S8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X</v>
      </c>
      <c r="T82" s="1219">
        <f ca="1">IFERROR(LEN(IF(OR(LEFT(LineupsData[[#This Row],[B3_Box]],1)="$",LEFT(LineupsData[[#This Row],[B3_Box]],1)="S"),RIGHT(LineupsData[[#This Row],[B3_Box]],LEN(LineupsData[[#This Row],[B3_Box]])-1),LineupsData[[#This Row],[B3_Box]])),"")</f>
        <v>1</v>
      </c>
      <c r="U82" s="1219" t="b">
        <f t="array" aca="1" ref="U8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82" s="1219" t="b">
        <v>1</v>
      </c>
      <c r="W82" s="1219">
        <v>50</v>
      </c>
    </row>
    <row r="83" spans="1:23" x14ac:dyDescent="0.25">
      <c r="A83" s="1218">
        <f>[1]IBRF!$B$5</f>
        <v>41734</v>
      </c>
      <c r="B83" s="1221">
        <f t="shared" si="3"/>
        <v>0.83333333333333337</v>
      </c>
      <c r="C83" s="1219">
        <v>2</v>
      </c>
      <c r="D83" s="1219">
        <f t="array" aca="1" ref="D83" ca="1">IF(LineupsData[[#This Row],[Passed?]],D82,IF(INDIRECT($AA$24&amp;INDEX(LineupsSearch[],MATCH(LineupsData[[#This Row],[Home?]]&amp;"Jam",LineupsSearch[Home?]&amp;LineupsSearch[Item],1),3)&amp;LineupsData[[#This Row],[RefRow]])="",0,INDIRECT($AA$24&amp;INDEX(LineupsSearch[],MATCH(LineupsData[[#This Row],[Home?]]&amp;"Jam",LineupsSearch[Home?]&amp;LineupsSearch[Item],1),3)&amp;LineupsData[[#This Row],[RefRow]])))</f>
        <v>5</v>
      </c>
      <c r="E83" s="1219" t="str">
        <f t="shared" si="4"/>
        <v>Plan B</v>
      </c>
      <c r="F83" s="1219" t="str">
        <f t="array" aca="1" ref="F83" ca="1">INDIRECT($AA$24&amp;INDEX(LineupsSearch[],MATCH(LineupsData[[#This Row],[Home?]]&amp;LineupsData[[#Headers],[Jammer]],LineupsSearch[Home?]&amp;LineupsSearch[Item],1),3)&amp;LineupsData[[#This Row],[RefRow]])</f>
        <v/>
      </c>
      <c r="G83" s="1219" t="str">
        <f t="array" aca="1" ref="G8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83" s="1219">
        <f ca="1">IFERROR(LEN(IF(OR(LEFT(LineupsData[[#This Row],[J_Box]],1)="$",LEFT(LineupsData[[#This Row],[J_Box]],1)="S"),RIGHT(LineupsData[[#This Row],[J_Box]],LEN(LineupsData[[#This Row],[J_Box]])-1),LineupsData[[#This Row],[J_Box]])),"")</f>
        <v>0</v>
      </c>
      <c r="I83" s="1219">
        <f t="array" aca="1" ref="I83" ca="1">INDIRECT($AA$24&amp;INDEX(LineupsSearch[],MATCH(LineupsData[[#This Row],[Home?]]&amp;LineupsData[[#Headers],[Pivot]],LineupsSearch[Home?]&amp;LineupsSearch[Item],1),3)&amp;LineupsData[[#This Row],[RefRow]])</f>
        <v>0</v>
      </c>
      <c r="J83" s="1219" t="str">
        <f t="array" aca="1" ref="J8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83" s="1219">
        <f ca="1">IFERROR(LEN(IF(OR(LEFT(LineupsData[[#This Row],[P_Box]],1)="$",LEFT(LineupsData[[#This Row],[P_Box]],1)="S"),RIGHT(LineupsData[[#This Row],[P_Box]],LEN(LineupsData[[#This Row],[P_Box]])-1),LineupsData[[#This Row],[P_Box]])),"")</f>
        <v>0</v>
      </c>
      <c r="L83" s="1219">
        <f t="array" aca="1" ref="L83" ca="1">INDIRECT($AA$24&amp;INDEX(LineupsSearch[],MATCH(LineupsData[[#This Row],[Home?]]&amp;LineupsData[[#Headers],[B1]],LineupsSearch[Home?]&amp;LineupsSearch[Item],1),3)&amp;LineupsData[[#This Row],[RefRow]])</f>
        <v>0</v>
      </c>
      <c r="M83" s="1219" t="str">
        <f t="array" aca="1" ref="M8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83" s="1219">
        <f ca="1">IFERROR(LEN(IF(OR(LEFT(LineupsData[[#This Row],[B1_Box]],1)="$",LEFT(LineupsData[[#This Row],[B1_Box]],1)="S"),RIGHT(LineupsData[[#This Row],[B1_Box]],LEN(LineupsData[[#This Row],[B1_Box]])-1),LineupsData[[#This Row],[B1_Box]])),"")</f>
        <v>0</v>
      </c>
      <c r="O83" s="1219">
        <f t="array" aca="1" ref="O83" ca="1">INDIRECT($AA$24&amp;INDEX(LineupsSearch[],MATCH(LineupsData[[#This Row],[Home?]]&amp;LineupsData[[#Headers],[B2]],LineupsSearch[Home?]&amp;LineupsSearch[Item],1),3)&amp;LineupsData[[#This Row],[RefRow]])</f>
        <v>0</v>
      </c>
      <c r="P83" s="1219" t="str">
        <f t="array" aca="1" ref="P8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83" s="1219">
        <f ca="1">IFERROR(LEN(IF(OR(LEFT(LineupsData[[#This Row],[B2_Box]],1)="$",LEFT(LineupsData[[#This Row],[B2_Box]],1)="S"),RIGHT(LineupsData[[#This Row],[B2_Box]],LEN(LineupsData[[#This Row],[B2_Box]])-1),LineupsData[[#This Row],[B2_Box]])),"")</f>
        <v>0</v>
      </c>
      <c r="R83" s="1219">
        <f t="array" aca="1" ref="R83" ca="1">INDIRECT($AA$24&amp;INDEX(LineupsSearch[],MATCH(LineupsData[[#This Row],[Home?]]&amp;LineupsData[[#Headers],[B3]],LineupsSearch[Home?]&amp;LineupsSearch[Item],1),3)&amp;LineupsData[[#This Row],[RefRow]])</f>
        <v>0</v>
      </c>
      <c r="S83" s="1219" t="str">
        <f t="array" aca="1" ref="S8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83" s="1219">
        <f ca="1">IFERROR(LEN(IF(OR(LEFT(LineupsData[[#This Row],[B3_Box]],1)="$",LEFT(LineupsData[[#This Row],[B3_Box]],1)="S"),RIGHT(LineupsData[[#This Row],[B3_Box]],LEN(LineupsData[[#This Row],[B3_Box]])-1),LineupsData[[#This Row],[B3_Box]])),"")</f>
        <v>0</v>
      </c>
      <c r="U83" s="1219" t="b">
        <f t="array" aca="1" ref="U8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83" s="1219" t="b">
        <v>1</v>
      </c>
      <c r="W83" s="1219">
        <v>51</v>
      </c>
    </row>
    <row r="84" spans="1:23" x14ac:dyDescent="0.25">
      <c r="A84" s="1218">
        <f>[1]IBRF!$B$5</f>
        <v>41734</v>
      </c>
      <c r="B84" s="1221">
        <f t="shared" si="3"/>
        <v>0.83333333333333337</v>
      </c>
      <c r="C84" s="1219">
        <v>2</v>
      </c>
      <c r="D84" s="1219">
        <f t="array" aca="1" ref="D84" ca="1">IF(LineupsData[[#This Row],[Passed?]],D83,IF(INDIRECT($AA$24&amp;INDEX(LineupsSearch[],MATCH(LineupsData[[#This Row],[Home?]]&amp;"Jam",LineupsSearch[Home?]&amp;LineupsSearch[Item],1),3)&amp;LineupsData[[#This Row],[RefRow]])="",0,INDIRECT($AA$24&amp;INDEX(LineupsSearch[],MATCH(LineupsData[[#This Row],[Home?]]&amp;"Jam",LineupsSearch[Home?]&amp;LineupsSearch[Item],1),3)&amp;LineupsData[[#This Row],[RefRow]])))</f>
        <v>6</v>
      </c>
      <c r="E84" s="1219" t="str">
        <f t="shared" si="4"/>
        <v>Plan B</v>
      </c>
      <c r="F84" s="1219" t="str">
        <f t="array" aca="1" ref="F84" ca="1">INDIRECT($AA$24&amp;INDEX(LineupsSearch[],MATCH(LineupsData[[#This Row],[Home?]]&amp;LineupsData[[#Headers],[Jammer]],LineupsSearch[Home?]&amp;LineupsSearch[Item],1),3)&amp;LineupsData[[#This Row],[RefRow]])</f>
        <v>20</v>
      </c>
      <c r="G84" s="1219" t="str">
        <f t="array" aca="1" ref="G8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84" s="1219">
        <f ca="1">IFERROR(LEN(IF(OR(LEFT(LineupsData[[#This Row],[J_Box]],1)="$",LEFT(LineupsData[[#This Row],[J_Box]],1)="S"),RIGHT(LineupsData[[#This Row],[J_Box]],LEN(LineupsData[[#This Row],[J_Box]])-1),LineupsData[[#This Row],[J_Box]])),"")</f>
        <v>0</v>
      </c>
      <c r="I84" s="1219" t="str">
        <f t="array" aca="1" ref="I84" ca="1">INDIRECT($AA$24&amp;INDEX(LineupsSearch[],MATCH(LineupsData[[#This Row],[Home?]]&amp;LineupsData[[#Headers],[Pivot]],LineupsSearch[Home?]&amp;LineupsSearch[Item],1),3)&amp;LineupsData[[#This Row],[RefRow]])</f>
        <v>N01</v>
      </c>
      <c r="J84" s="1219" t="str">
        <f t="array" aca="1" ref="J8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84" s="1219">
        <f ca="1">IFERROR(LEN(IF(OR(LEFT(LineupsData[[#This Row],[P_Box]],1)="$",LEFT(LineupsData[[#This Row],[P_Box]],1)="S"),RIGHT(LineupsData[[#This Row],[P_Box]],LEN(LineupsData[[#This Row],[P_Box]])-1),LineupsData[[#This Row],[P_Box]])),"")</f>
        <v>0</v>
      </c>
      <c r="L84" s="1219" t="str">
        <f t="array" aca="1" ref="L84" ca="1">INDIRECT($AA$24&amp;INDEX(LineupsSearch[],MATCH(LineupsData[[#This Row],[Home?]]&amp;LineupsData[[#Headers],[B1]],LineupsSearch[Home?]&amp;LineupsSearch[Item],1),3)&amp;LineupsData[[#This Row],[RefRow]])</f>
        <v>33</v>
      </c>
      <c r="M84" s="1219" t="str">
        <f t="array" aca="1" ref="M8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84" s="1219">
        <f ca="1">IFERROR(LEN(IF(OR(LEFT(LineupsData[[#This Row],[B1_Box]],1)="$",LEFT(LineupsData[[#This Row],[B1_Box]],1)="S"),RIGHT(LineupsData[[#This Row],[B1_Box]],LEN(LineupsData[[#This Row],[B1_Box]])-1),LineupsData[[#This Row],[B1_Box]])),"")</f>
        <v>0</v>
      </c>
      <c r="O84" s="1219" t="str">
        <f t="array" aca="1" ref="O84" ca="1">INDIRECT($AA$24&amp;INDEX(LineupsSearch[],MATCH(LineupsData[[#This Row],[Home?]]&amp;LineupsData[[#Headers],[B2]],LineupsSearch[Home?]&amp;LineupsSearch[Item],1),3)&amp;LineupsData[[#This Row],[RefRow]])</f>
        <v>42</v>
      </c>
      <c r="P84" s="1219" t="str">
        <f t="array" aca="1" ref="P8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84" s="1219">
        <f ca="1">IFERROR(LEN(IF(OR(LEFT(LineupsData[[#This Row],[B2_Box]],1)="$",LEFT(LineupsData[[#This Row],[B2_Box]],1)="S"),RIGHT(LineupsData[[#This Row],[B2_Box]],LEN(LineupsData[[#This Row],[B2_Box]])-1),LineupsData[[#This Row],[B2_Box]])),"")</f>
        <v>0</v>
      </c>
      <c r="R84" s="1219" t="str">
        <f t="array" aca="1" ref="R84" ca="1">INDIRECT($AA$24&amp;INDEX(LineupsSearch[],MATCH(LineupsData[[#This Row],[Home?]]&amp;LineupsData[[#Headers],[B3]],LineupsSearch[Home?]&amp;LineupsSearch[Item],1),3)&amp;LineupsData[[#This Row],[RefRow]])</f>
        <v>480</v>
      </c>
      <c r="S84" s="1219" t="str">
        <f t="array" aca="1" ref="S8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84" s="1219">
        <f ca="1">IFERROR(LEN(IF(OR(LEFT(LineupsData[[#This Row],[B3_Box]],1)="$",LEFT(LineupsData[[#This Row],[B3_Box]],1)="S"),RIGHT(LineupsData[[#This Row],[B3_Box]],LEN(LineupsData[[#This Row],[B3_Box]])-1),LineupsData[[#This Row],[B3_Box]])),"")</f>
        <v>0</v>
      </c>
      <c r="U84" s="1219" t="b">
        <f t="array" aca="1" ref="U8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84" s="1219" t="b">
        <v>1</v>
      </c>
      <c r="W84" s="1219">
        <v>52</v>
      </c>
    </row>
    <row r="85" spans="1:23" x14ac:dyDescent="0.25">
      <c r="A85" s="1218">
        <f>[1]IBRF!$B$5</f>
        <v>41734</v>
      </c>
      <c r="B85" s="1221">
        <f t="shared" si="3"/>
        <v>0.83333333333333337</v>
      </c>
      <c r="C85" s="1219">
        <v>2</v>
      </c>
      <c r="D85" s="1219">
        <f t="array" aca="1" ref="D85" ca="1">IF(LineupsData[[#This Row],[Passed?]],D84,IF(INDIRECT($AA$24&amp;INDEX(LineupsSearch[],MATCH(LineupsData[[#This Row],[Home?]]&amp;"Jam",LineupsSearch[Home?]&amp;LineupsSearch[Item],1),3)&amp;LineupsData[[#This Row],[RefRow]])="",0,INDIRECT($AA$24&amp;INDEX(LineupsSearch[],MATCH(LineupsData[[#This Row],[Home?]]&amp;"Jam",LineupsSearch[Home?]&amp;LineupsSearch[Item],1),3)&amp;LineupsData[[#This Row],[RefRow]])))</f>
        <v>6</v>
      </c>
      <c r="E85" s="1219" t="str">
        <f t="shared" si="4"/>
        <v>Plan B</v>
      </c>
      <c r="F85" s="1219" t="str">
        <f t="array" aca="1" ref="F85" ca="1">INDIRECT($AA$24&amp;INDEX(LineupsSearch[],MATCH(LineupsData[[#This Row],[Home?]]&amp;LineupsData[[#Headers],[Jammer]],LineupsSearch[Home?]&amp;LineupsSearch[Item],1),3)&amp;LineupsData[[#This Row],[RefRow]])</f>
        <v/>
      </c>
      <c r="G85" s="1219" t="str">
        <f t="array" aca="1" ref="G8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85" s="1219">
        <f ca="1">IFERROR(LEN(IF(OR(LEFT(LineupsData[[#This Row],[J_Box]],1)="$",LEFT(LineupsData[[#This Row],[J_Box]],1)="S"),RIGHT(LineupsData[[#This Row],[J_Box]],LEN(LineupsData[[#This Row],[J_Box]])-1),LineupsData[[#This Row],[J_Box]])),"")</f>
        <v>0</v>
      </c>
      <c r="I85" s="1219">
        <f t="array" aca="1" ref="I85" ca="1">INDIRECT($AA$24&amp;INDEX(LineupsSearch[],MATCH(LineupsData[[#This Row],[Home?]]&amp;LineupsData[[#Headers],[Pivot]],LineupsSearch[Home?]&amp;LineupsSearch[Item],1),3)&amp;LineupsData[[#This Row],[RefRow]])</f>
        <v>0</v>
      </c>
      <c r="J85" s="1219" t="str">
        <f t="array" aca="1" ref="J8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85" s="1219">
        <f ca="1">IFERROR(LEN(IF(OR(LEFT(LineupsData[[#This Row],[P_Box]],1)="$",LEFT(LineupsData[[#This Row],[P_Box]],1)="S"),RIGHT(LineupsData[[#This Row],[P_Box]],LEN(LineupsData[[#This Row],[P_Box]])-1),LineupsData[[#This Row],[P_Box]])),"")</f>
        <v>0</v>
      </c>
      <c r="L85" s="1219">
        <f t="array" aca="1" ref="L85" ca="1">INDIRECT($AA$24&amp;INDEX(LineupsSearch[],MATCH(LineupsData[[#This Row],[Home?]]&amp;LineupsData[[#Headers],[B1]],LineupsSearch[Home?]&amp;LineupsSearch[Item],1),3)&amp;LineupsData[[#This Row],[RefRow]])</f>
        <v>0</v>
      </c>
      <c r="M85" s="1219" t="str">
        <f t="array" aca="1" ref="M8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85" s="1219">
        <f ca="1">IFERROR(LEN(IF(OR(LEFT(LineupsData[[#This Row],[B1_Box]],1)="$",LEFT(LineupsData[[#This Row],[B1_Box]],1)="S"),RIGHT(LineupsData[[#This Row],[B1_Box]],LEN(LineupsData[[#This Row],[B1_Box]])-1),LineupsData[[#This Row],[B1_Box]])),"")</f>
        <v>0</v>
      </c>
      <c r="O85" s="1219">
        <f t="array" aca="1" ref="O85" ca="1">INDIRECT($AA$24&amp;INDEX(LineupsSearch[],MATCH(LineupsData[[#This Row],[Home?]]&amp;LineupsData[[#Headers],[B2]],LineupsSearch[Home?]&amp;LineupsSearch[Item],1),3)&amp;LineupsData[[#This Row],[RefRow]])</f>
        <v>0</v>
      </c>
      <c r="P85" s="1219" t="str">
        <f t="array" aca="1" ref="P8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85" s="1219">
        <f ca="1">IFERROR(LEN(IF(OR(LEFT(LineupsData[[#This Row],[B2_Box]],1)="$",LEFT(LineupsData[[#This Row],[B2_Box]],1)="S"),RIGHT(LineupsData[[#This Row],[B2_Box]],LEN(LineupsData[[#This Row],[B2_Box]])-1),LineupsData[[#This Row],[B2_Box]])),"")</f>
        <v>0</v>
      </c>
      <c r="R85" s="1219">
        <f t="array" aca="1" ref="R85" ca="1">INDIRECT($AA$24&amp;INDEX(LineupsSearch[],MATCH(LineupsData[[#This Row],[Home?]]&amp;LineupsData[[#Headers],[B3]],LineupsSearch[Home?]&amp;LineupsSearch[Item],1),3)&amp;LineupsData[[#This Row],[RefRow]])</f>
        <v>0</v>
      </c>
      <c r="S85" s="1219" t="str">
        <f t="array" aca="1" ref="S8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85" s="1219">
        <f ca="1">IFERROR(LEN(IF(OR(LEFT(LineupsData[[#This Row],[B3_Box]],1)="$",LEFT(LineupsData[[#This Row],[B3_Box]],1)="S"),RIGHT(LineupsData[[#This Row],[B3_Box]],LEN(LineupsData[[#This Row],[B3_Box]])-1),LineupsData[[#This Row],[B3_Box]])),"")</f>
        <v>0</v>
      </c>
      <c r="U85" s="1219" t="b">
        <f t="array" aca="1" ref="U8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85" s="1219" t="b">
        <v>1</v>
      </c>
      <c r="W85" s="1219">
        <v>53</v>
      </c>
    </row>
    <row r="86" spans="1:23" x14ac:dyDescent="0.25">
      <c r="A86" s="1218">
        <f>[1]IBRF!$B$5</f>
        <v>41734</v>
      </c>
      <c r="B86" s="1221">
        <f t="shared" si="3"/>
        <v>0.83333333333333337</v>
      </c>
      <c r="C86" s="1219">
        <v>2</v>
      </c>
      <c r="D86" s="1219">
        <f t="array" aca="1" ref="D86" ca="1">IF(LineupsData[[#This Row],[Passed?]],D85,IF(INDIRECT($AA$24&amp;INDEX(LineupsSearch[],MATCH(LineupsData[[#This Row],[Home?]]&amp;"Jam",LineupsSearch[Home?]&amp;LineupsSearch[Item],1),3)&amp;LineupsData[[#This Row],[RefRow]])="",0,INDIRECT($AA$24&amp;INDEX(LineupsSearch[],MATCH(LineupsData[[#This Row],[Home?]]&amp;"Jam",LineupsSearch[Home?]&amp;LineupsSearch[Item],1),3)&amp;LineupsData[[#This Row],[RefRow]])))</f>
        <v>7</v>
      </c>
      <c r="E86" s="1219" t="str">
        <f t="shared" si="4"/>
        <v>Plan B</v>
      </c>
      <c r="F86" s="1219" t="str">
        <f t="array" aca="1" ref="F86" ca="1">INDIRECT($AA$24&amp;INDEX(LineupsSearch[],MATCH(LineupsData[[#This Row],[Home?]]&amp;LineupsData[[#Headers],[Jammer]],LineupsSearch[Home?]&amp;LineupsSearch[Item],1),3)&amp;LineupsData[[#This Row],[RefRow]])</f>
        <v>84</v>
      </c>
      <c r="G86" s="1219" t="str">
        <f t="array" aca="1" ref="G8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86" s="1219">
        <f ca="1">IFERROR(LEN(IF(OR(LEFT(LineupsData[[#This Row],[J_Box]],1)="$",LEFT(LineupsData[[#This Row],[J_Box]],1)="S"),RIGHT(LineupsData[[#This Row],[J_Box]],LEN(LineupsData[[#This Row],[J_Box]])-1),LineupsData[[#This Row],[J_Box]])),"")</f>
        <v>0</v>
      </c>
      <c r="I86" s="1219" t="str">
        <f t="array" aca="1" ref="I86" ca="1">INDIRECT($AA$24&amp;INDEX(LineupsSearch[],MATCH(LineupsData[[#This Row],[Home?]]&amp;LineupsData[[#Headers],[Pivot]],LineupsSearch[Home?]&amp;LineupsSearch[Item],1),3)&amp;LineupsData[[#This Row],[RefRow]])</f>
        <v>0</v>
      </c>
      <c r="J86" s="1219" t="str">
        <f t="array" aca="1" ref="J8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86" s="1219">
        <f ca="1">IFERROR(LEN(IF(OR(LEFT(LineupsData[[#This Row],[P_Box]],1)="$",LEFT(LineupsData[[#This Row],[P_Box]],1)="S"),RIGHT(LineupsData[[#This Row],[P_Box]],LEN(LineupsData[[#This Row],[P_Box]])-1),LineupsData[[#This Row],[P_Box]])),"")</f>
        <v>0</v>
      </c>
      <c r="L86" s="1219" t="str">
        <f t="array" aca="1" ref="L86" ca="1">INDIRECT($AA$24&amp;INDEX(LineupsSearch[],MATCH(LineupsData[[#This Row],[Home?]]&amp;LineupsData[[#Headers],[B1]],LineupsSearch[Home?]&amp;LineupsSearch[Item],1),3)&amp;LineupsData[[#This Row],[RefRow]])</f>
        <v>303</v>
      </c>
      <c r="M86" s="1219" t="str">
        <f t="array" aca="1" ref="M8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86" s="1219">
        <f ca="1">IFERROR(LEN(IF(OR(LEFT(LineupsData[[#This Row],[B1_Box]],1)="$",LEFT(LineupsData[[#This Row],[B1_Box]],1)="S"),RIGHT(LineupsData[[#This Row],[B1_Box]],LEN(LineupsData[[#This Row],[B1_Box]])-1),LineupsData[[#This Row],[B1_Box]])),"")</f>
        <v>0</v>
      </c>
      <c r="O86" s="1219" t="str">
        <f t="array" aca="1" ref="O86" ca="1">INDIRECT($AA$24&amp;INDEX(LineupsSearch[],MATCH(LineupsData[[#This Row],[Home?]]&amp;LineupsData[[#Headers],[B2]],LineupsSearch[Home?]&amp;LineupsSearch[Item],1),3)&amp;LineupsData[[#This Row],[RefRow]])</f>
        <v>44</v>
      </c>
      <c r="P86" s="1219" t="str">
        <f t="array" aca="1" ref="P8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86" s="1219">
        <f ca="1">IFERROR(LEN(IF(OR(LEFT(LineupsData[[#This Row],[B2_Box]],1)="$",LEFT(LineupsData[[#This Row],[B2_Box]],1)="S"),RIGHT(LineupsData[[#This Row],[B2_Box]],LEN(LineupsData[[#This Row],[B2_Box]])-1),LineupsData[[#This Row],[B2_Box]])),"")</f>
        <v>0</v>
      </c>
      <c r="R86" s="1219" t="str">
        <f t="array" aca="1" ref="R86" ca="1">INDIRECT($AA$24&amp;INDEX(LineupsSearch[],MATCH(LineupsData[[#This Row],[Home?]]&amp;LineupsData[[#Headers],[B3]],LineupsSearch[Home?]&amp;LineupsSearch[Item],1),3)&amp;LineupsData[[#This Row],[RefRow]])</f>
        <v>64</v>
      </c>
      <c r="S86" s="1219" t="str">
        <f t="array" aca="1" ref="S8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86" s="1219">
        <f ca="1">IFERROR(LEN(IF(OR(LEFT(LineupsData[[#This Row],[B3_Box]],1)="$",LEFT(LineupsData[[#This Row],[B3_Box]],1)="S"),RIGHT(LineupsData[[#This Row],[B3_Box]],LEN(LineupsData[[#This Row],[B3_Box]])-1),LineupsData[[#This Row],[B3_Box]])),"")</f>
        <v>0</v>
      </c>
      <c r="U86" s="1219" t="b">
        <f t="array" aca="1" ref="U8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86" s="1219" t="b">
        <v>1</v>
      </c>
      <c r="W86" s="1219">
        <v>54</v>
      </c>
    </row>
    <row r="87" spans="1:23" x14ac:dyDescent="0.25">
      <c r="A87" s="1218">
        <f>[1]IBRF!$B$5</f>
        <v>41734</v>
      </c>
      <c r="B87" s="1221">
        <f t="shared" si="3"/>
        <v>0.83333333333333337</v>
      </c>
      <c r="C87" s="1219">
        <v>2</v>
      </c>
      <c r="D87" s="1219">
        <f t="array" aca="1" ref="D87" ca="1">IF(LineupsData[[#This Row],[Passed?]],D86,IF(INDIRECT($AA$24&amp;INDEX(LineupsSearch[],MATCH(LineupsData[[#This Row],[Home?]]&amp;"Jam",LineupsSearch[Home?]&amp;LineupsSearch[Item],1),3)&amp;LineupsData[[#This Row],[RefRow]])="",0,INDIRECT($AA$24&amp;INDEX(LineupsSearch[],MATCH(LineupsData[[#This Row],[Home?]]&amp;"Jam",LineupsSearch[Home?]&amp;LineupsSearch[Item],1),3)&amp;LineupsData[[#This Row],[RefRow]])))</f>
        <v>7</v>
      </c>
      <c r="E87" s="1219" t="str">
        <f t="shared" si="4"/>
        <v>Plan B</v>
      </c>
      <c r="F87" s="1219" t="str">
        <f t="array" aca="1" ref="F87" ca="1">INDIRECT($AA$24&amp;INDEX(LineupsSearch[],MATCH(LineupsData[[#This Row],[Home?]]&amp;LineupsData[[#Headers],[Jammer]],LineupsSearch[Home?]&amp;LineupsSearch[Item],1),3)&amp;LineupsData[[#This Row],[RefRow]])</f>
        <v/>
      </c>
      <c r="G87" s="1219" t="str">
        <f t="array" aca="1" ref="G8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87" s="1219">
        <f ca="1">IFERROR(LEN(IF(OR(LEFT(LineupsData[[#This Row],[J_Box]],1)="$",LEFT(LineupsData[[#This Row],[J_Box]],1)="S"),RIGHT(LineupsData[[#This Row],[J_Box]],LEN(LineupsData[[#This Row],[J_Box]])-1),LineupsData[[#This Row],[J_Box]])),"")</f>
        <v>0</v>
      </c>
      <c r="I87" s="1219">
        <f t="array" aca="1" ref="I87" ca="1">INDIRECT($AA$24&amp;INDEX(LineupsSearch[],MATCH(LineupsData[[#This Row],[Home?]]&amp;LineupsData[[#Headers],[Pivot]],LineupsSearch[Home?]&amp;LineupsSearch[Item],1),3)&amp;LineupsData[[#This Row],[RefRow]])</f>
        <v>0</v>
      </c>
      <c r="J87" s="1219" t="str">
        <f t="array" aca="1" ref="J8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87" s="1219">
        <f ca="1">IFERROR(LEN(IF(OR(LEFT(LineupsData[[#This Row],[P_Box]],1)="$",LEFT(LineupsData[[#This Row],[P_Box]],1)="S"),RIGHT(LineupsData[[#This Row],[P_Box]],LEN(LineupsData[[#This Row],[P_Box]])-1),LineupsData[[#This Row],[P_Box]])),"")</f>
        <v>0</v>
      </c>
      <c r="L87" s="1219">
        <f t="array" aca="1" ref="L87" ca="1">INDIRECT($AA$24&amp;INDEX(LineupsSearch[],MATCH(LineupsData[[#This Row],[Home?]]&amp;LineupsData[[#Headers],[B1]],LineupsSearch[Home?]&amp;LineupsSearch[Item],1),3)&amp;LineupsData[[#This Row],[RefRow]])</f>
        <v>0</v>
      </c>
      <c r="M87" s="1219" t="str">
        <f t="array" aca="1" ref="M8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87" s="1219">
        <f ca="1">IFERROR(LEN(IF(OR(LEFT(LineupsData[[#This Row],[B1_Box]],1)="$",LEFT(LineupsData[[#This Row],[B1_Box]],1)="S"),RIGHT(LineupsData[[#This Row],[B1_Box]],LEN(LineupsData[[#This Row],[B1_Box]])-1),LineupsData[[#This Row],[B1_Box]])),"")</f>
        <v>0</v>
      </c>
      <c r="O87" s="1219">
        <f t="array" aca="1" ref="O87" ca="1">INDIRECT($AA$24&amp;INDEX(LineupsSearch[],MATCH(LineupsData[[#This Row],[Home?]]&amp;LineupsData[[#Headers],[B2]],LineupsSearch[Home?]&amp;LineupsSearch[Item],1),3)&amp;LineupsData[[#This Row],[RefRow]])</f>
        <v>0</v>
      </c>
      <c r="P87" s="1219" t="str">
        <f t="array" aca="1" ref="P8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87" s="1219">
        <f ca="1">IFERROR(LEN(IF(OR(LEFT(LineupsData[[#This Row],[B2_Box]],1)="$",LEFT(LineupsData[[#This Row],[B2_Box]],1)="S"),RIGHT(LineupsData[[#This Row],[B2_Box]],LEN(LineupsData[[#This Row],[B2_Box]])-1),LineupsData[[#This Row],[B2_Box]])),"")</f>
        <v>0</v>
      </c>
      <c r="R87" s="1219">
        <f t="array" aca="1" ref="R87" ca="1">INDIRECT($AA$24&amp;INDEX(LineupsSearch[],MATCH(LineupsData[[#This Row],[Home?]]&amp;LineupsData[[#Headers],[B3]],LineupsSearch[Home?]&amp;LineupsSearch[Item],1),3)&amp;LineupsData[[#This Row],[RefRow]])</f>
        <v>0</v>
      </c>
      <c r="S87" s="1219" t="str">
        <f t="array" aca="1" ref="S8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87" s="1219">
        <f ca="1">IFERROR(LEN(IF(OR(LEFT(LineupsData[[#This Row],[B3_Box]],1)="$",LEFT(LineupsData[[#This Row],[B3_Box]],1)="S"),RIGHT(LineupsData[[#This Row],[B3_Box]],LEN(LineupsData[[#This Row],[B3_Box]])-1),LineupsData[[#This Row],[B3_Box]])),"")</f>
        <v>0</v>
      </c>
      <c r="U87" s="1219" t="b">
        <f t="array" aca="1" ref="U8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87" s="1219" t="b">
        <v>1</v>
      </c>
      <c r="W87" s="1219">
        <v>55</v>
      </c>
    </row>
    <row r="88" spans="1:23" x14ac:dyDescent="0.25">
      <c r="A88" s="1218">
        <f>[1]IBRF!$B$5</f>
        <v>41734</v>
      </c>
      <c r="B88" s="1221">
        <f t="shared" si="3"/>
        <v>0.83333333333333337</v>
      </c>
      <c r="C88" s="1219">
        <v>2</v>
      </c>
      <c r="D88" s="1219">
        <f t="array" aca="1" ref="D88" ca="1">IF(LineupsData[[#This Row],[Passed?]],D87,IF(INDIRECT($AA$24&amp;INDEX(LineupsSearch[],MATCH(LineupsData[[#This Row],[Home?]]&amp;"Jam",LineupsSearch[Home?]&amp;LineupsSearch[Item],1),3)&amp;LineupsData[[#This Row],[RefRow]])="",0,INDIRECT($AA$24&amp;INDEX(LineupsSearch[],MATCH(LineupsData[[#This Row],[Home?]]&amp;"Jam",LineupsSearch[Home?]&amp;LineupsSearch[Item],1),3)&amp;LineupsData[[#This Row],[RefRow]])))</f>
        <v>8</v>
      </c>
      <c r="E88" s="1219" t="str">
        <f t="shared" si="4"/>
        <v>Plan B</v>
      </c>
      <c r="F88" s="1219" t="str">
        <f t="array" aca="1" ref="F88" ca="1">INDIRECT($AA$24&amp;INDEX(LineupsSearch[],MATCH(LineupsData[[#This Row],[Home?]]&amp;LineupsData[[#Headers],[Jammer]],LineupsSearch[Home?]&amp;LineupsSearch[Item],1),3)&amp;LineupsData[[#This Row],[RefRow]])</f>
        <v>4</v>
      </c>
      <c r="G88" s="1219" t="str">
        <f t="array" aca="1" ref="G8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88" s="1219">
        <f ca="1">IFERROR(LEN(IF(OR(LEFT(LineupsData[[#This Row],[J_Box]],1)="$",LEFT(LineupsData[[#This Row],[J_Box]],1)="S"),RIGHT(LineupsData[[#This Row],[J_Box]],LEN(LineupsData[[#This Row],[J_Box]])-1),LineupsData[[#This Row],[J_Box]])),"")</f>
        <v>0</v>
      </c>
      <c r="I88" s="1219" t="str">
        <f t="array" aca="1" ref="I88" ca="1">INDIRECT($AA$24&amp;INDEX(LineupsSearch[],MATCH(LineupsData[[#This Row],[Home?]]&amp;LineupsData[[#Headers],[Pivot]],LineupsSearch[Home?]&amp;LineupsSearch[Item],1),3)&amp;LineupsData[[#This Row],[RefRow]])</f>
        <v>N01</v>
      </c>
      <c r="J88" s="1219" t="str">
        <f t="array" aca="1" ref="J8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v>
      </c>
      <c r="K88" s="1219">
        <f ca="1">IFERROR(LEN(IF(OR(LEFT(LineupsData[[#This Row],[P_Box]],1)="$",LEFT(LineupsData[[#This Row],[P_Box]],1)="S"),RIGHT(LineupsData[[#This Row],[P_Box]],LEN(LineupsData[[#This Row],[P_Box]])-1),LineupsData[[#This Row],[P_Box]])),"")</f>
        <v>1</v>
      </c>
      <c r="L88" s="1219" t="str">
        <f t="array" aca="1" ref="L88" ca="1">INDIRECT($AA$24&amp;INDEX(LineupsSearch[],MATCH(LineupsData[[#This Row],[Home?]]&amp;LineupsData[[#Headers],[B1]],LineupsSearch[Home?]&amp;LineupsSearch[Item],1),3)&amp;LineupsData[[#This Row],[RefRow]])</f>
        <v>480</v>
      </c>
      <c r="M88" s="1219" t="str">
        <f t="array" aca="1" ref="M8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88" s="1219">
        <f ca="1">IFERROR(LEN(IF(OR(LEFT(LineupsData[[#This Row],[B1_Box]],1)="$",LEFT(LineupsData[[#This Row],[B1_Box]],1)="S"),RIGHT(LineupsData[[#This Row],[B1_Box]],LEN(LineupsData[[#This Row],[B1_Box]])-1),LineupsData[[#This Row],[B1_Box]])),"")</f>
        <v>0</v>
      </c>
      <c r="O88" s="1219" t="str">
        <f t="array" aca="1" ref="O88" ca="1">INDIRECT($AA$24&amp;INDEX(LineupsSearch[],MATCH(LineupsData[[#This Row],[Home?]]&amp;LineupsData[[#Headers],[B2]],LineupsSearch[Home?]&amp;LineupsSearch[Item],1),3)&amp;LineupsData[[#This Row],[RefRow]])</f>
        <v>17</v>
      </c>
      <c r="P88" s="1219" t="str">
        <f t="array" aca="1" ref="P8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88" s="1219">
        <f ca="1">IFERROR(LEN(IF(OR(LEFT(LineupsData[[#This Row],[B2_Box]],1)="$",LEFT(LineupsData[[#This Row],[B2_Box]],1)="S"),RIGHT(LineupsData[[#This Row],[B2_Box]],LEN(LineupsData[[#This Row],[B2_Box]])-1),LineupsData[[#This Row],[B2_Box]])),"")</f>
        <v>0</v>
      </c>
      <c r="R88" s="1219" t="str">
        <f t="array" aca="1" ref="R88" ca="1">INDIRECT($AA$24&amp;INDEX(LineupsSearch[],MATCH(LineupsData[[#This Row],[Home?]]&amp;LineupsData[[#Headers],[B3]],LineupsSearch[Home?]&amp;LineupsSearch[Item],1),3)&amp;LineupsData[[#This Row],[RefRow]])</f>
        <v>33</v>
      </c>
      <c r="S88" s="1219" t="str">
        <f t="array" aca="1" ref="S8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88" s="1219">
        <f ca="1">IFERROR(LEN(IF(OR(LEFT(LineupsData[[#This Row],[B3_Box]],1)="$",LEFT(LineupsData[[#This Row],[B3_Box]],1)="S"),RIGHT(LineupsData[[#This Row],[B3_Box]],LEN(LineupsData[[#This Row],[B3_Box]])-1),LineupsData[[#This Row],[B3_Box]])),"")</f>
        <v>0</v>
      </c>
      <c r="U88" s="1219" t="b">
        <f t="array" aca="1" ref="U8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88" s="1219" t="b">
        <v>1</v>
      </c>
      <c r="W88" s="1219">
        <v>56</v>
      </c>
    </row>
    <row r="89" spans="1:23" x14ac:dyDescent="0.25">
      <c r="A89" s="1218">
        <f>[1]IBRF!$B$5</f>
        <v>41734</v>
      </c>
      <c r="B89" s="1221">
        <f t="shared" si="3"/>
        <v>0.83333333333333337</v>
      </c>
      <c r="C89" s="1219">
        <v>2</v>
      </c>
      <c r="D89" s="1219">
        <f t="array" aca="1" ref="D89" ca="1">IF(LineupsData[[#This Row],[Passed?]],D88,IF(INDIRECT($AA$24&amp;INDEX(LineupsSearch[],MATCH(LineupsData[[#This Row],[Home?]]&amp;"Jam",LineupsSearch[Home?]&amp;LineupsSearch[Item],1),3)&amp;LineupsData[[#This Row],[RefRow]])="",0,INDIRECT($AA$24&amp;INDEX(LineupsSearch[],MATCH(LineupsData[[#This Row],[Home?]]&amp;"Jam",LineupsSearch[Home?]&amp;LineupsSearch[Item],1),3)&amp;LineupsData[[#This Row],[RefRow]])))</f>
        <v>9</v>
      </c>
      <c r="E89" s="1219" t="str">
        <f t="shared" si="4"/>
        <v>Plan B</v>
      </c>
      <c r="F89" s="1219" t="str">
        <f t="array" aca="1" ref="F89" ca="1">INDIRECT($AA$24&amp;INDEX(LineupsSearch[],MATCH(LineupsData[[#This Row],[Home?]]&amp;LineupsData[[#Headers],[Jammer]],LineupsSearch[Home?]&amp;LineupsSearch[Item],1),3)&amp;LineupsData[[#This Row],[RefRow]])</f>
        <v>19</v>
      </c>
      <c r="G89" s="1219" t="str">
        <f t="array" aca="1" ref="G8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89" s="1219">
        <f ca="1">IFERROR(LEN(IF(OR(LEFT(LineupsData[[#This Row],[J_Box]],1)="$",LEFT(LineupsData[[#This Row],[J_Box]],1)="S"),RIGHT(LineupsData[[#This Row],[J_Box]],LEN(LineupsData[[#This Row],[J_Box]])-1),LineupsData[[#This Row],[J_Box]])),"")</f>
        <v>0</v>
      </c>
      <c r="I89" s="1219" t="str">
        <f t="array" aca="1" ref="I89" ca="1">INDIRECT($AA$24&amp;INDEX(LineupsSearch[],MATCH(LineupsData[[#This Row],[Home?]]&amp;LineupsData[[#Headers],[Pivot]],LineupsSearch[Home?]&amp;LineupsSearch[Item],1),3)&amp;LineupsData[[#This Row],[RefRow]])</f>
        <v>N01</v>
      </c>
      <c r="J89" s="1219" t="str">
        <f t="array" aca="1" ref="J8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X</v>
      </c>
      <c r="K89" s="1219">
        <f ca="1">IFERROR(LEN(IF(OR(LEFT(LineupsData[[#This Row],[P_Box]],1)="$",LEFT(LineupsData[[#This Row],[P_Box]],1)="S"),RIGHT(LineupsData[[#This Row],[P_Box]],LEN(LineupsData[[#This Row],[P_Box]])-1),LineupsData[[#This Row],[P_Box]])),"")</f>
        <v>1</v>
      </c>
      <c r="L89" s="1219" t="str">
        <f t="array" aca="1" ref="L89" ca="1">INDIRECT($AA$24&amp;INDEX(LineupsSearch[],MATCH(LineupsData[[#This Row],[Home?]]&amp;LineupsData[[#Headers],[B1]],LineupsSearch[Home?]&amp;LineupsSearch[Item],1),3)&amp;LineupsData[[#This Row],[RefRow]])</f>
        <v>303</v>
      </c>
      <c r="M89" s="1219" t="str">
        <f t="array" aca="1" ref="M8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89" s="1219">
        <f ca="1">IFERROR(LEN(IF(OR(LEFT(LineupsData[[#This Row],[B1_Box]],1)="$",LEFT(LineupsData[[#This Row],[B1_Box]],1)="S"),RIGHT(LineupsData[[#This Row],[B1_Box]],LEN(LineupsData[[#This Row],[B1_Box]])-1),LineupsData[[#This Row],[B1_Box]])),"")</f>
        <v>0</v>
      </c>
      <c r="O89" s="1219" t="str">
        <f t="array" aca="1" ref="O89" ca="1">INDIRECT($AA$24&amp;INDEX(LineupsSearch[],MATCH(LineupsData[[#This Row],[Home?]]&amp;LineupsData[[#Headers],[B2]],LineupsSearch[Home?]&amp;LineupsSearch[Item],1),3)&amp;LineupsData[[#This Row],[RefRow]])</f>
        <v>0</v>
      </c>
      <c r="P89" s="1219" t="str">
        <f t="array" aca="1" ref="P8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89" s="1219">
        <f ca="1">IFERROR(LEN(IF(OR(LEFT(LineupsData[[#This Row],[B2_Box]],1)="$",LEFT(LineupsData[[#This Row],[B2_Box]],1)="S"),RIGHT(LineupsData[[#This Row],[B2_Box]],LEN(LineupsData[[#This Row],[B2_Box]])-1),LineupsData[[#This Row],[B2_Box]])),"")</f>
        <v>0</v>
      </c>
      <c r="R89" s="1219" t="str">
        <f t="array" aca="1" ref="R89" ca="1">INDIRECT($AA$24&amp;INDEX(LineupsSearch[],MATCH(LineupsData[[#This Row],[Home?]]&amp;LineupsData[[#Headers],[B3]],LineupsSearch[Home?]&amp;LineupsSearch[Item],1),3)&amp;LineupsData[[#This Row],[RefRow]])</f>
        <v>64</v>
      </c>
      <c r="S89" s="1219" t="str">
        <f t="array" aca="1" ref="S8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89" s="1219">
        <f ca="1">IFERROR(LEN(IF(OR(LEFT(LineupsData[[#This Row],[B3_Box]],1)="$",LEFT(LineupsData[[#This Row],[B3_Box]],1)="S"),RIGHT(LineupsData[[#This Row],[B3_Box]],LEN(LineupsData[[#This Row],[B3_Box]])-1),LineupsData[[#This Row],[B3_Box]])),"")</f>
        <v>0</v>
      </c>
      <c r="U89" s="1219" t="b">
        <f t="array" aca="1" ref="U8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89" s="1219" t="b">
        <v>1</v>
      </c>
      <c r="W89" s="1219">
        <v>57</v>
      </c>
    </row>
    <row r="90" spans="1:23" x14ac:dyDescent="0.25">
      <c r="A90" s="1218">
        <f>[1]IBRF!$B$5</f>
        <v>41734</v>
      </c>
      <c r="B90" s="1221">
        <f t="shared" si="3"/>
        <v>0.83333333333333337</v>
      </c>
      <c r="C90" s="1219">
        <v>2</v>
      </c>
      <c r="D90" s="1219">
        <f t="array" aca="1" ref="D90" ca="1">IF(LineupsData[[#This Row],[Passed?]],D89,IF(INDIRECT($AA$24&amp;INDEX(LineupsSearch[],MATCH(LineupsData[[#This Row],[Home?]]&amp;"Jam",LineupsSearch[Home?]&amp;LineupsSearch[Item],1),3)&amp;LineupsData[[#This Row],[RefRow]])="",0,INDIRECT($AA$24&amp;INDEX(LineupsSearch[],MATCH(LineupsData[[#This Row],[Home?]]&amp;"Jam",LineupsSearch[Home?]&amp;LineupsSearch[Item],1),3)&amp;LineupsData[[#This Row],[RefRow]])))</f>
        <v>10</v>
      </c>
      <c r="E90" s="1219" t="str">
        <f t="shared" si="4"/>
        <v>Plan B</v>
      </c>
      <c r="F90" s="1219" t="str">
        <f t="array" aca="1" ref="F90" ca="1">INDIRECT($AA$24&amp;INDEX(LineupsSearch[],MATCH(LineupsData[[#This Row],[Home?]]&amp;LineupsData[[#Headers],[Jammer]],LineupsSearch[Home?]&amp;LineupsSearch[Item],1),3)&amp;LineupsData[[#This Row],[RefRow]])</f>
        <v>20</v>
      </c>
      <c r="G90" s="1219" t="str">
        <f t="array" aca="1" ref="G9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90" s="1219">
        <f ca="1">IFERROR(LEN(IF(OR(LEFT(LineupsData[[#This Row],[J_Box]],1)="$",LEFT(LineupsData[[#This Row],[J_Box]],1)="S"),RIGHT(LineupsData[[#This Row],[J_Box]],LEN(LineupsData[[#This Row],[J_Box]])-1),LineupsData[[#This Row],[J_Box]])),"")</f>
        <v>0</v>
      </c>
      <c r="I90" s="1219" t="str">
        <f t="array" aca="1" ref="I90" ca="1">INDIRECT($AA$24&amp;INDEX(LineupsSearch[],MATCH(LineupsData[[#This Row],[Home?]]&amp;LineupsData[[#Headers],[Pivot]],LineupsSearch[Home?]&amp;LineupsSearch[Item],1),3)&amp;LineupsData[[#This Row],[RefRow]])</f>
        <v>84</v>
      </c>
      <c r="J90" s="1219" t="str">
        <f t="array" aca="1" ref="J9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90" s="1219">
        <f ca="1">IFERROR(LEN(IF(OR(LEFT(LineupsData[[#This Row],[P_Box]],1)="$",LEFT(LineupsData[[#This Row],[P_Box]],1)="S"),RIGHT(LineupsData[[#This Row],[P_Box]],LEN(LineupsData[[#This Row],[P_Box]])-1),LineupsData[[#This Row],[P_Box]])),"")</f>
        <v>0</v>
      </c>
      <c r="L90" s="1219" t="str">
        <f t="array" aca="1" ref="L90" ca="1">INDIRECT($AA$24&amp;INDEX(LineupsSearch[],MATCH(LineupsData[[#This Row],[Home?]]&amp;LineupsData[[#Headers],[B1]],LineupsSearch[Home?]&amp;LineupsSearch[Item],1),3)&amp;LineupsData[[#This Row],[RefRow]])</f>
        <v>33</v>
      </c>
      <c r="M90" s="1219" t="str">
        <f t="array" aca="1" ref="M9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90" s="1219">
        <f ca="1">IFERROR(LEN(IF(OR(LEFT(LineupsData[[#This Row],[B1_Box]],1)="$",LEFT(LineupsData[[#This Row],[B1_Box]],1)="S"),RIGHT(LineupsData[[#This Row],[B1_Box]],LEN(LineupsData[[#This Row],[B1_Box]])-1),LineupsData[[#This Row],[B1_Box]])),"")</f>
        <v>0</v>
      </c>
      <c r="O90" s="1219" t="str">
        <f t="array" aca="1" ref="O90" ca="1">INDIRECT($AA$24&amp;INDEX(LineupsSearch[],MATCH(LineupsData[[#This Row],[Home?]]&amp;LineupsData[[#Headers],[B2]],LineupsSearch[Home?]&amp;LineupsSearch[Item],1),3)&amp;LineupsData[[#This Row],[RefRow]])</f>
        <v>480</v>
      </c>
      <c r="P90" s="1219" t="str">
        <f t="array" aca="1" ref="P9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90" s="1219">
        <f ca="1">IFERROR(LEN(IF(OR(LEFT(LineupsData[[#This Row],[B2_Box]],1)="$",LEFT(LineupsData[[#This Row],[B2_Box]],1)="S"),RIGHT(LineupsData[[#This Row],[B2_Box]],LEN(LineupsData[[#This Row],[B2_Box]])-1),LineupsData[[#This Row],[B2_Box]])),"")</f>
        <v>0</v>
      </c>
      <c r="R90" s="1219" t="str">
        <f t="array" aca="1" ref="R90" ca="1">INDIRECT($AA$24&amp;INDEX(LineupsSearch[],MATCH(LineupsData[[#This Row],[Home?]]&amp;LineupsData[[#Headers],[B3]],LineupsSearch[Home?]&amp;LineupsSearch[Item],1),3)&amp;LineupsData[[#This Row],[RefRow]])</f>
        <v>N01</v>
      </c>
      <c r="S90" s="1219" t="str">
        <f t="array" aca="1" ref="S9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90" s="1219">
        <f ca="1">IFERROR(LEN(IF(OR(LEFT(LineupsData[[#This Row],[B3_Box]],1)="$",LEFT(LineupsData[[#This Row],[B3_Box]],1)="S"),RIGHT(LineupsData[[#This Row],[B3_Box]],LEN(LineupsData[[#This Row],[B3_Box]])-1),LineupsData[[#This Row],[B3_Box]])),"")</f>
        <v>0</v>
      </c>
      <c r="U90" s="1219" t="b">
        <f t="array" aca="1" ref="U9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90" s="1219" t="b">
        <v>1</v>
      </c>
      <c r="W90" s="1219">
        <v>58</v>
      </c>
    </row>
    <row r="91" spans="1:23" x14ac:dyDescent="0.25">
      <c r="A91" s="1218">
        <f>[1]IBRF!$B$5</f>
        <v>41734</v>
      </c>
      <c r="B91" s="1221">
        <f t="shared" si="3"/>
        <v>0.83333333333333337</v>
      </c>
      <c r="C91" s="1219">
        <v>2</v>
      </c>
      <c r="D91" s="1219">
        <f t="array" aca="1" ref="D91" ca="1">IF(LineupsData[[#This Row],[Passed?]],D90,IF(INDIRECT($AA$24&amp;INDEX(LineupsSearch[],MATCH(LineupsData[[#This Row],[Home?]]&amp;"Jam",LineupsSearch[Home?]&amp;LineupsSearch[Item],1),3)&amp;LineupsData[[#This Row],[RefRow]])="",0,INDIRECT($AA$24&amp;INDEX(LineupsSearch[],MATCH(LineupsData[[#This Row],[Home?]]&amp;"Jam",LineupsSearch[Home?]&amp;LineupsSearch[Item],1),3)&amp;LineupsData[[#This Row],[RefRow]])))</f>
        <v>11</v>
      </c>
      <c r="E91" s="1219" t="str">
        <f t="shared" si="4"/>
        <v>Plan B</v>
      </c>
      <c r="F91" s="1219" t="str">
        <f t="array" aca="1" ref="F91" ca="1">INDIRECT($AA$24&amp;INDEX(LineupsSearch[],MATCH(LineupsData[[#This Row],[Home?]]&amp;LineupsData[[#Headers],[Jammer]],LineupsSearch[Home?]&amp;LineupsSearch[Item],1),3)&amp;LineupsData[[#This Row],[RefRow]])</f>
        <v>4</v>
      </c>
      <c r="G91" s="1219" t="str">
        <f t="array" aca="1" ref="G9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91" s="1219">
        <f ca="1">IFERROR(LEN(IF(OR(LEFT(LineupsData[[#This Row],[J_Box]],1)="$",LEFT(LineupsData[[#This Row],[J_Box]],1)="S"),RIGHT(LineupsData[[#This Row],[J_Box]],LEN(LineupsData[[#This Row],[J_Box]])-1),LineupsData[[#This Row],[J_Box]])),"")</f>
        <v>2</v>
      </c>
      <c r="I91" s="1219" t="str">
        <f t="array" aca="1" ref="I91" ca="1">INDIRECT($AA$24&amp;INDEX(LineupsSearch[],MATCH(LineupsData[[#This Row],[Home?]]&amp;LineupsData[[#Headers],[Pivot]],LineupsSearch[Home?]&amp;LineupsSearch[Item],1),3)&amp;LineupsData[[#This Row],[RefRow]])</f>
        <v>0</v>
      </c>
      <c r="J91" s="1219" t="str">
        <f t="array" aca="1" ref="J9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91" s="1219">
        <f ca="1">IFERROR(LEN(IF(OR(LEFT(LineupsData[[#This Row],[P_Box]],1)="$",LEFT(LineupsData[[#This Row],[P_Box]],1)="S"),RIGHT(LineupsData[[#This Row],[P_Box]],LEN(LineupsData[[#This Row],[P_Box]])-1),LineupsData[[#This Row],[P_Box]])),"")</f>
        <v>0</v>
      </c>
      <c r="L91" s="1219" t="str">
        <f t="array" aca="1" ref="L91" ca="1">INDIRECT($AA$24&amp;INDEX(LineupsSearch[],MATCH(LineupsData[[#This Row],[Home?]]&amp;LineupsData[[#Headers],[B1]],LineupsSearch[Home?]&amp;LineupsSearch[Item],1),3)&amp;LineupsData[[#This Row],[RefRow]])</f>
        <v>303</v>
      </c>
      <c r="M91" s="1219" t="str">
        <f t="array" aca="1" ref="M9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X</v>
      </c>
      <c r="N91" s="1219">
        <f ca="1">IFERROR(LEN(IF(OR(LEFT(LineupsData[[#This Row],[B1_Box]],1)="$",LEFT(LineupsData[[#This Row],[B1_Box]],1)="S"),RIGHT(LineupsData[[#This Row],[B1_Box]],LEN(LineupsData[[#This Row],[B1_Box]])-1),LineupsData[[#This Row],[B1_Box]])),"")</f>
        <v>1</v>
      </c>
      <c r="O91" s="1219" t="str">
        <f t="array" aca="1" ref="O91" ca="1">INDIRECT($AA$24&amp;INDEX(LineupsSearch[],MATCH(LineupsData[[#This Row],[Home?]]&amp;LineupsData[[#Headers],[B2]],LineupsSearch[Home?]&amp;LineupsSearch[Item],1),3)&amp;LineupsData[[#This Row],[RefRow]])</f>
        <v>64</v>
      </c>
      <c r="P91" s="1219" t="str">
        <f t="array" aca="1" ref="P9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91" s="1219">
        <f ca="1">IFERROR(LEN(IF(OR(LEFT(LineupsData[[#This Row],[B2_Box]],1)="$",LEFT(LineupsData[[#This Row],[B2_Box]],1)="S"),RIGHT(LineupsData[[#This Row],[B2_Box]],LEN(LineupsData[[#This Row],[B2_Box]])-1),LineupsData[[#This Row],[B2_Box]])),"")</f>
        <v>0</v>
      </c>
      <c r="R91" s="1219" t="str">
        <f t="array" aca="1" ref="R91" ca="1">INDIRECT($AA$24&amp;INDEX(LineupsSearch[],MATCH(LineupsData[[#This Row],[Home?]]&amp;LineupsData[[#Headers],[B3]],LineupsSearch[Home?]&amp;LineupsSearch[Item],1),3)&amp;LineupsData[[#This Row],[RefRow]])</f>
        <v>44</v>
      </c>
      <c r="S91" s="1219" t="str">
        <f t="array" aca="1" ref="S9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91" s="1219">
        <f ca="1">IFERROR(LEN(IF(OR(LEFT(LineupsData[[#This Row],[B3_Box]],1)="$",LEFT(LineupsData[[#This Row],[B3_Box]],1)="S"),RIGHT(LineupsData[[#This Row],[B3_Box]],LEN(LineupsData[[#This Row],[B3_Box]])-1),LineupsData[[#This Row],[B3_Box]])),"")</f>
        <v>0</v>
      </c>
      <c r="U91" s="1219" t="b">
        <f t="array" aca="1" ref="U9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91" s="1219" t="b">
        <v>1</v>
      </c>
      <c r="W91" s="1219">
        <v>59</v>
      </c>
    </row>
    <row r="92" spans="1:23" x14ac:dyDescent="0.25">
      <c r="A92" s="1218">
        <f>[1]IBRF!$B$5</f>
        <v>41734</v>
      </c>
      <c r="B92" s="1221">
        <f t="shared" si="3"/>
        <v>0.83333333333333337</v>
      </c>
      <c r="C92" s="1219">
        <v>2</v>
      </c>
      <c r="D92" s="1219">
        <f t="array" aca="1" ref="D92" ca="1">IF(LineupsData[[#This Row],[Passed?]],D91,IF(INDIRECT($AA$24&amp;INDEX(LineupsSearch[],MATCH(LineupsData[[#This Row],[Home?]]&amp;"Jam",LineupsSearch[Home?]&amp;LineupsSearch[Item],1),3)&amp;LineupsData[[#This Row],[RefRow]])="",0,INDIRECT($AA$24&amp;INDEX(LineupsSearch[],MATCH(LineupsData[[#This Row],[Home?]]&amp;"Jam",LineupsSearch[Home?]&amp;LineupsSearch[Item],1),3)&amp;LineupsData[[#This Row],[RefRow]])))</f>
        <v>11</v>
      </c>
      <c r="E92" s="1219" t="str">
        <f t="shared" si="4"/>
        <v>Plan B</v>
      </c>
      <c r="F92" s="1219" t="str">
        <f t="array" aca="1" ref="F92" ca="1">INDIRECT($AA$24&amp;INDEX(LineupsSearch[],MATCH(LineupsData[[#This Row],[Home?]]&amp;LineupsData[[#Headers],[Jammer]],LineupsSearch[Home?]&amp;LineupsSearch[Item],1),3)&amp;LineupsData[[#This Row],[RefRow]])</f>
        <v/>
      </c>
      <c r="G92" s="1219" t="str">
        <f t="array" aca="1" ref="G9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92" s="1219">
        <f ca="1">IFERROR(LEN(IF(OR(LEFT(LineupsData[[#This Row],[J_Box]],1)="$",LEFT(LineupsData[[#This Row],[J_Box]],1)="S"),RIGHT(LineupsData[[#This Row],[J_Box]],LEN(LineupsData[[#This Row],[J_Box]])-1),LineupsData[[#This Row],[J_Box]])),"")</f>
        <v>0</v>
      </c>
      <c r="I92" s="1219">
        <f t="array" aca="1" ref="I92" ca="1">INDIRECT($AA$24&amp;INDEX(LineupsSearch[],MATCH(LineupsData[[#This Row],[Home?]]&amp;LineupsData[[#Headers],[Pivot]],LineupsSearch[Home?]&amp;LineupsSearch[Item],1),3)&amp;LineupsData[[#This Row],[RefRow]])</f>
        <v>0</v>
      </c>
      <c r="J92" s="1219" t="str">
        <f t="array" aca="1" ref="J9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92" s="1219">
        <f ca="1">IFERROR(LEN(IF(OR(LEFT(LineupsData[[#This Row],[P_Box]],1)="$",LEFT(LineupsData[[#This Row],[P_Box]],1)="S"),RIGHT(LineupsData[[#This Row],[P_Box]],LEN(LineupsData[[#This Row],[P_Box]])-1),LineupsData[[#This Row],[P_Box]])),"")</f>
        <v>0</v>
      </c>
      <c r="L92" s="1219">
        <f t="array" aca="1" ref="L92" ca="1">INDIRECT($AA$24&amp;INDEX(LineupsSearch[],MATCH(LineupsData[[#This Row],[Home?]]&amp;LineupsData[[#Headers],[B1]],LineupsSearch[Home?]&amp;LineupsSearch[Item],1),3)&amp;LineupsData[[#This Row],[RefRow]])</f>
        <v>0</v>
      </c>
      <c r="M92" s="1219" t="str">
        <f t="array" aca="1" ref="M9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92" s="1219">
        <f ca="1">IFERROR(LEN(IF(OR(LEFT(LineupsData[[#This Row],[B1_Box]],1)="$",LEFT(LineupsData[[#This Row],[B1_Box]],1)="S"),RIGHT(LineupsData[[#This Row],[B1_Box]],LEN(LineupsData[[#This Row],[B1_Box]])-1),LineupsData[[#This Row],[B1_Box]])),"")</f>
        <v>0</v>
      </c>
      <c r="O92" s="1219">
        <f t="array" aca="1" ref="O92" ca="1">INDIRECT($AA$24&amp;INDEX(LineupsSearch[],MATCH(LineupsData[[#This Row],[Home?]]&amp;LineupsData[[#Headers],[B2]],LineupsSearch[Home?]&amp;LineupsSearch[Item],1),3)&amp;LineupsData[[#This Row],[RefRow]])</f>
        <v>0</v>
      </c>
      <c r="P92" s="1219" t="str">
        <f t="array" aca="1" ref="P9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92" s="1219">
        <f ca="1">IFERROR(LEN(IF(OR(LEFT(LineupsData[[#This Row],[B2_Box]],1)="$",LEFT(LineupsData[[#This Row],[B2_Box]],1)="S"),RIGHT(LineupsData[[#This Row],[B2_Box]],LEN(LineupsData[[#This Row],[B2_Box]])-1),LineupsData[[#This Row],[B2_Box]])),"")</f>
        <v>0</v>
      </c>
      <c r="R92" s="1219">
        <f t="array" aca="1" ref="R92" ca="1">INDIRECT($AA$24&amp;INDEX(LineupsSearch[],MATCH(LineupsData[[#This Row],[Home?]]&amp;LineupsData[[#Headers],[B3]],LineupsSearch[Home?]&amp;LineupsSearch[Item],1),3)&amp;LineupsData[[#This Row],[RefRow]])</f>
        <v>0</v>
      </c>
      <c r="S92" s="1219" t="str">
        <f t="array" aca="1" ref="S9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92" s="1219">
        <f ca="1">IFERROR(LEN(IF(OR(LEFT(LineupsData[[#This Row],[B3_Box]],1)="$",LEFT(LineupsData[[#This Row],[B3_Box]],1)="S"),RIGHT(LineupsData[[#This Row],[B3_Box]],LEN(LineupsData[[#This Row],[B3_Box]])-1),LineupsData[[#This Row],[B3_Box]])),"")</f>
        <v>0</v>
      </c>
      <c r="U92" s="1219" t="b">
        <f t="array" aca="1" ref="U9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92" s="1219" t="b">
        <v>1</v>
      </c>
      <c r="W92" s="1219">
        <v>60</v>
      </c>
    </row>
    <row r="93" spans="1:23" x14ac:dyDescent="0.25">
      <c r="A93" s="1218">
        <f>[1]IBRF!$B$5</f>
        <v>41734</v>
      </c>
      <c r="B93" s="1221">
        <f t="shared" si="3"/>
        <v>0.83333333333333337</v>
      </c>
      <c r="C93" s="1219">
        <v>2</v>
      </c>
      <c r="D93" s="1219">
        <f t="array" aca="1" ref="D93" ca="1">IF(LineupsData[[#This Row],[Passed?]],D92,IF(INDIRECT($AA$24&amp;INDEX(LineupsSearch[],MATCH(LineupsData[[#This Row],[Home?]]&amp;"Jam",LineupsSearch[Home?]&amp;LineupsSearch[Item],1),3)&amp;LineupsData[[#This Row],[RefRow]])="",0,INDIRECT($AA$24&amp;INDEX(LineupsSearch[],MATCH(LineupsData[[#This Row],[Home?]]&amp;"Jam",LineupsSearch[Home?]&amp;LineupsSearch[Item],1),3)&amp;LineupsData[[#This Row],[RefRow]])))</f>
        <v>12</v>
      </c>
      <c r="E93" s="1219" t="str">
        <f t="shared" si="4"/>
        <v>Plan B</v>
      </c>
      <c r="F93" s="1219" t="str">
        <f t="array" aca="1" ref="F93" ca="1">INDIRECT($AA$24&amp;INDEX(LineupsSearch[],MATCH(LineupsData[[#This Row],[Home?]]&amp;LineupsData[[#Headers],[Jammer]],LineupsSearch[Home?]&amp;LineupsSearch[Item],1),3)&amp;LineupsData[[#This Row],[RefRow]])</f>
        <v>4</v>
      </c>
      <c r="G93" s="1219" t="str">
        <f t="array" aca="1" ref="G9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93" s="1219">
        <f ca="1">IFERROR(LEN(IF(OR(LEFT(LineupsData[[#This Row],[J_Box]],1)="$",LEFT(LineupsData[[#This Row],[J_Box]],1)="S"),RIGHT(LineupsData[[#This Row],[J_Box]],LEN(LineupsData[[#This Row],[J_Box]])-1),LineupsData[[#This Row],[J_Box]])),"")</f>
        <v>1</v>
      </c>
      <c r="I93" s="1219" t="str">
        <f t="array" aca="1" ref="I93" ca="1">INDIRECT($AA$24&amp;INDEX(LineupsSearch[],MATCH(LineupsData[[#This Row],[Home?]]&amp;LineupsData[[#Headers],[Pivot]],LineupsSearch[Home?]&amp;LineupsSearch[Item],1),3)&amp;LineupsData[[#This Row],[RefRow]])</f>
        <v>N01</v>
      </c>
      <c r="J93" s="1219" t="str">
        <f t="array" aca="1" ref="J9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X</v>
      </c>
      <c r="K93" s="1219">
        <f ca="1">IFERROR(LEN(IF(OR(LEFT(LineupsData[[#This Row],[P_Box]],1)="$",LEFT(LineupsData[[#This Row],[P_Box]],1)="S"),RIGHT(LineupsData[[#This Row],[P_Box]],LEN(LineupsData[[#This Row],[P_Box]])-1),LineupsData[[#This Row],[P_Box]])),"")</f>
        <v>1</v>
      </c>
      <c r="L93" s="1219" t="str">
        <f t="array" aca="1" ref="L93" ca="1">INDIRECT($AA$24&amp;INDEX(LineupsSearch[],MATCH(LineupsData[[#This Row],[Home?]]&amp;LineupsData[[#Headers],[B1]],LineupsSearch[Home?]&amp;LineupsSearch[Item],1),3)&amp;LineupsData[[#This Row],[RefRow]])</f>
        <v>480</v>
      </c>
      <c r="M93" s="1219" t="str">
        <f t="array" aca="1" ref="M9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v>
      </c>
      <c r="N93" s="1219">
        <f ca="1">IFERROR(LEN(IF(OR(LEFT(LineupsData[[#This Row],[B1_Box]],1)="$",LEFT(LineupsData[[#This Row],[B1_Box]],1)="S"),RIGHT(LineupsData[[#This Row],[B1_Box]],LEN(LineupsData[[#This Row],[B1_Box]])-1),LineupsData[[#This Row],[B1_Box]])),"")</f>
        <v>1</v>
      </c>
      <c r="O93" s="1219" t="str">
        <f t="array" aca="1" ref="O93" ca="1">INDIRECT($AA$24&amp;INDEX(LineupsSearch[],MATCH(LineupsData[[#This Row],[Home?]]&amp;LineupsData[[#Headers],[B2]],LineupsSearch[Home?]&amp;LineupsSearch[Item],1),3)&amp;LineupsData[[#This Row],[RefRow]])</f>
        <v>42</v>
      </c>
      <c r="P93" s="1219" t="str">
        <f t="array" aca="1" ref="P9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93" s="1219">
        <f ca="1">IFERROR(LEN(IF(OR(LEFT(LineupsData[[#This Row],[B2_Box]],1)="$",LEFT(LineupsData[[#This Row],[B2_Box]],1)="S"),RIGHT(LineupsData[[#This Row],[B2_Box]],LEN(LineupsData[[#This Row],[B2_Box]])-1),LineupsData[[#This Row],[B2_Box]])),"")</f>
        <v>0</v>
      </c>
      <c r="R93" s="1219" t="str">
        <f t="array" aca="1" ref="R93" ca="1">INDIRECT($AA$24&amp;INDEX(LineupsSearch[],MATCH(LineupsData[[#This Row],[Home?]]&amp;LineupsData[[#Headers],[B3]],LineupsSearch[Home?]&amp;LineupsSearch[Item],1),3)&amp;LineupsData[[#This Row],[RefRow]])</f>
        <v>17</v>
      </c>
      <c r="S93" s="1219" t="str">
        <f t="array" aca="1" ref="S9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v>
      </c>
      <c r="T93" s="1219">
        <f ca="1">IFERROR(LEN(IF(OR(LEFT(LineupsData[[#This Row],[B3_Box]],1)="$",LEFT(LineupsData[[#This Row],[B3_Box]],1)="S"),RIGHT(LineupsData[[#This Row],[B3_Box]],LEN(LineupsData[[#This Row],[B3_Box]])-1),LineupsData[[#This Row],[B3_Box]])),"")</f>
        <v>1</v>
      </c>
      <c r="U93" s="1219" t="b">
        <f t="array" aca="1" ref="U9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93" s="1219" t="b">
        <v>1</v>
      </c>
      <c r="W93" s="1219">
        <v>61</v>
      </c>
    </row>
    <row r="94" spans="1:23" x14ac:dyDescent="0.25">
      <c r="A94" s="1218">
        <f>[1]IBRF!$B$5</f>
        <v>41734</v>
      </c>
      <c r="B94" s="1221">
        <f t="shared" si="3"/>
        <v>0.83333333333333337</v>
      </c>
      <c r="C94" s="1219">
        <v>2</v>
      </c>
      <c r="D94" s="1219">
        <f t="array" aca="1" ref="D94" ca="1">IF(LineupsData[[#This Row],[Passed?]],D93,IF(INDIRECT($AA$24&amp;INDEX(LineupsSearch[],MATCH(LineupsData[[#This Row],[Home?]]&amp;"Jam",LineupsSearch[Home?]&amp;LineupsSearch[Item],1),3)&amp;LineupsData[[#This Row],[RefRow]])="",0,INDIRECT($AA$24&amp;INDEX(LineupsSearch[],MATCH(LineupsData[[#This Row],[Home?]]&amp;"Jam",LineupsSearch[Home?]&amp;LineupsSearch[Item],1),3)&amp;LineupsData[[#This Row],[RefRow]])))</f>
        <v>13</v>
      </c>
      <c r="E94" s="1219" t="str">
        <f t="shared" si="4"/>
        <v>Plan B</v>
      </c>
      <c r="F94" s="1219" t="str">
        <f t="array" aca="1" ref="F94" ca="1">INDIRECT($AA$24&amp;INDEX(LineupsSearch[],MATCH(LineupsData[[#This Row],[Home?]]&amp;LineupsData[[#Headers],[Jammer]],LineupsSearch[Home?]&amp;LineupsSearch[Item],1),3)&amp;LineupsData[[#This Row],[RefRow]])</f>
        <v>19</v>
      </c>
      <c r="G94" s="1219" t="str">
        <f t="array" aca="1" ref="G9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94" s="1219">
        <f ca="1">IFERROR(LEN(IF(OR(LEFT(LineupsData[[#This Row],[J_Box]],1)="$",LEFT(LineupsData[[#This Row],[J_Box]],1)="S"),RIGHT(LineupsData[[#This Row],[J_Box]],LEN(LineupsData[[#This Row],[J_Box]])-1),LineupsData[[#This Row],[J_Box]])),"")</f>
        <v>1</v>
      </c>
      <c r="I94" s="1219" t="str">
        <f t="array" aca="1" ref="I94" ca="1">INDIRECT($AA$24&amp;INDEX(LineupsSearch[],MATCH(LineupsData[[#This Row],[Home?]]&amp;LineupsData[[#Headers],[Pivot]],LineupsSearch[Home?]&amp;LineupsSearch[Item],1),3)&amp;LineupsData[[#This Row],[RefRow]])</f>
        <v>0</v>
      </c>
      <c r="J94" s="1219" t="str">
        <f t="array" aca="1" ref="J9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v>
      </c>
      <c r="K94" s="1219">
        <f ca="1">IFERROR(LEN(IF(OR(LEFT(LineupsData[[#This Row],[P_Box]],1)="$",LEFT(LineupsData[[#This Row],[P_Box]],1)="S"),RIGHT(LineupsData[[#This Row],[P_Box]],LEN(LineupsData[[#This Row],[P_Box]])-1),LineupsData[[#This Row],[P_Box]])),"")</f>
        <v>1</v>
      </c>
      <c r="L94" s="1219" t="str">
        <f t="array" aca="1" ref="L94" ca="1">INDIRECT($AA$24&amp;INDEX(LineupsSearch[],MATCH(LineupsData[[#This Row],[Home?]]&amp;LineupsData[[#Headers],[B1]],LineupsSearch[Home?]&amp;LineupsSearch[Item],1),3)&amp;LineupsData[[#This Row],[RefRow]])</f>
        <v>480</v>
      </c>
      <c r="M94" s="1219" t="str">
        <f t="array" aca="1" ref="M9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X</v>
      </c>
      <c r="N94" s="1219">
        <f ca="1">IFERROR(LEN(IF(OR(LEFT(LineupsData[[#This Row],[B1_Box]],1)="$",LEFT(LineupsData[[#This Row],[B1_Box]],1)="S"),RIGHT(LineupsData[[#This Row],[B1_Box]],LEN(LineupsData[[#This Row],[B1_Box]])-1),LineupsData[[#This Row],[B1_Box]])),"")</f>
        <v>1</v>
      </c>
      <c r="O94" s="1219" t="str">
        <f t="array" aca="1" ref="O94" ca="1">INDIRECT($AA$24&amp;INDEX(LineupsSearch[],MATCH(LineupsData[[#This Row],[Home?]]&amp;LineupsData[[#Headers],[B2]],LineupsSearch[Home?]&amp;LineupsSearch[Item],1),3)&amp;LineupsData[[#This Row],[RefRow]])</f>
        <v>42</v>
      </c>
      <c r="P94" s="1219" t="str">
        <f t="array" aca="1" ref="P9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X</v>
      </c>
      <c r="Q94" s="1219">
        <f ca="1">IFERROR(LEN(IF(OR(LEFT(LineupsData[[#This Row],[B2_Box]],1)="$",LEFT(LineupsData[[#This Row],[B2_Box]],1)="S"),RIGHT(LineupsData[[#This Row],[B2_Box]],LEN(LineupsData[[#This Row],[B2_Box]])-1),LineupsData[[#This Row],[B2_Box]])),"")</f>
        <v>1</v>
      </c>
      <c r="R94" s="1219" t="str">
        <f t="array" aca="1" ref="R94" ca="1">INDIRECT($AA$24&amp;INDEX(LineupsSearch[],MATCH(LineupsData[[#This Row],[Home?]]&amp;LineupsData[[#Headers],[B3]],LineupsSearch[Home?]&amp;LineupsSearch[Item],1),3)&amp;LineupsData[[#This Row],[RefRow]])</f>
        <v>17</v>
      </c>
      <c r="S94" s="1219" t="str">
        <f t="array" aca="1" ref="S9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X</v>
      </c>
      <c r="T94" s="1219">
        <f ca="1">IFERROR(LEN(IF(OR(LEFT(LineupsData[[#This Row],[B3_Box]],1)="$",LEFT(LineupsData[[#This Row],[B3_Box]],1)="S"),RIGHT(LineupsData[[#This Row],[B3_Box]],LEN(LineupsData[[#This Row],[B3_Box]])-1),LineupsData[[#This Row],[B3_Box]])),"")</f>
        <v>1</v>
      </c>
      <c r="U94" s="1219" t="b">
        <f t="array" aca="1" ref="U9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94" s="1219" t="b">
        <v>1</v>
      </c>
      <c r="W94" s="1219">
        <v>62</v>
      </c>
    </row>
    <row r="95" spans="1:23" x14ac:dyDescent="0.25">
      <c r="A95" s="1218">
        <f>[1]IBRF!$B$5</f>
        <v>41734</v>
      </c>
      <c r="B95" s="1221">
        <f t="shared" si="3"/>
        <v>0.83333333333333337</v>
      </c>
      <c r="C95" s="1219">
        <v>2</v>
      </c>
      <c r="D95" s="1219">
        <f t="array" aca="1" ref="D95" ca="1">IF(LineupsData[[#This Row],[Passed?]],D94,IF(INDIRECT($AA$24&amp;INDEX(LineupsSearch[],MATCH(LineupsData[[#This Row],[Home?]]&amp;"Jam",LineupsSearch[Home?]&amp;LineupsSearch[Item],1),3)&amp;LineupsData[[#This Row],[RefRow]])="",0,INDIRECT($AA$24&amp;INDEX(LineupsSearch[],MATCH(LineupsData[[#This Row],[Home?]]&amp;"Jam",LineupsSearch[Home?]&amp;LineupsSearch[Item],1),3)&amp;LineupsData[[#This Row],[RefRow]])))</f>
        <v>13</v>
      </c>
      <c r="E95" s="1219" t="str">
        <f t="shared" si="4"/>
        <v>Plan B</v>
      </c>
      <c r="F95" s="1219" t="str">
        <f t="array" aca="1" ref="F95" ca="1">INDIRECT($AA$24&amp;INDEX(LineupsSearch[],MATCH(LineupsData[[#This Row],[Home?]]&amp;LineupsData[[#Headers],[Jammer]],LineupsSearch[Home?]&amp;LineupsSearch[Item],1),3)&amp;LineupsData[[#This Row],[RefRow]])</f>
        <v/>
      </c>
      <c r="G95" s="1219" t="str">
        <f t="array" aca="1" ref="G9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95" s="1219">
        <f ca="1">IFERROR(LEN(IF(OR(LEFT(LineupsData[[#This Row],[J_Box]],1)="$",LEFT(LineupsData[[#This Row],[J_Box]],1)="S"),RIGHT(LineupsData[[#This Row],[J_Box]],LEN(LineupsData[[#This Row],[J_Box]])-1),LineupsData[[#This Row],[J_Box]])),"")</f>
        <v>0</v>
      </c>
      <c r="I95" s="1219">
        <f t="array" aca="1" ref="I95" ca="1">INDIRECT($AA$24&amp;INDEX(LineupsSearch[],MATCH(LineupsData[[#This Row],[Home?]]&amp;LineupsData[[#Headers],[Pivot]],LineupsSearch[Home?]&amp;LineupsSearch[Item],1),3)&amp;LineupsData[[#This Row],[RefRow]])</f>
        <v>0</v>
      </c>
      <c r="J95" s="1219" t="str">
        <f t="array" aca="1" ref="J9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95" s="1219">
        <f ca="1">IFERROR(LEN(IF(OR(LEFT(LineupsData[[#This Row],[P_Box]],1)="$",LEFT(LineupsData[[#This Row],[P_Box]],1)="S"),RIGHT(LineupsData[[#This Row],[P_Box]],LEN(LineupsData[[#This Row],[P_Box]])-1),LineupsData[[#This Row],[P_Box]])),"")</f>
        <v>0</v>
      </c>
      <c r="L95" s="1219">
        <f t="array" aca="1" ref="L95" ca="1">INDIRECT($AA$24&amp;INDEX(LineupsSearch[],MATCH(LineupsData[[#This Row],[Home?]]&amp;LineupsData[[#Headers],[B1]],LineupsSearch[Home?]&amp;LineupsSearch[Item],1),3)&amp;LineupsData[[#This Row],[RefRow]])</f>
        <v>0</v>
      </c>
      <c r="M95" s="1219" t="str">
        <f t="array" aca="1" ref="M9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95" s="1219">
        <f ca="1">IFERROR(LEN(IF(OR(LEFT(LineupsData[[#This Row],[B1_Box]],1)="$",LEFT(LineupsData[[#This Row],[B1_Box]],1)="S"),RIGHT(LineupsData[[#This Row],[B1_Box]],LEN(LineupsData[[#This Row],[B1_Box]])-1),LineupsData[[#This Row],[B1_Box]])),"")</f>
        <v>0</v>
      </c>
      <c r="O95" s="1219">
        <f t="array" aca="1" ref="O95" ca="1">INDIRECT($AA$24&amp;INDEX(LineupsSearch[],MATCH(LineupsData[[#This Row],[Home?]]&amp;LineupsData[[#Headers],[B2]],LineupsSearch[Home?]&amp;LineupsSearch[Item],1),3)&amp;LineupsData[[#This Row],[RefRow]])</f>
        <v>0</v>
      </c>
      <c r="P95" s="1219" t="str">
        <f t="array" aca="1" ref="P9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95" s="1219">
        <f ca="1">IFERROR(LEN(IF(OR(LEFT(LineupsData[[#This Row],[B2_Box]],1)="$",LEFT(LineupsData[[#This Row],[B2_Box]],1)="S"),RIGHT(LineupsData[[#This Row],[B2_Box]],LEN(LineupsData[[#This Row],[B2_Box]])-1),LineupsData[[#This Row],[B2_Box]])),"")</f>
        <v>0</v>
      </c>
      <c r="R95" s="1219">
        <f t="array" aca="1" ref="R95" ca="1">INDIRECT($AA$24&amp;INDEX(LineupsSearch[],MATCH(LineupsData[[#This Row],[Home?]]&amp;LineupsData[[#Headers],[B3]],LineupsSearch[Home?]&amp;LineupsSearch[Item],1),3)&amp;LineupsData[[#This Row],[RefRow]])</f>
        <v>0</v>
      </c>
      <c r="S95" s="1219" t="str">
        <f t="array" aca="1" ref="S9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95" s="1219">
        <f ca="1">IFERROR(LEN(IF(OR(LEFT(LineupsData[[#This Row],[B3_Box]],1)="$",LEFT(LineupsData[[#This Row],[B3_Box]],1)="S"),RIGHT(LineupsData[[#This Row],[B3_Box]],LEN(LineupsData[[#This Row],[B3_Box]])-1),LineupsData[[#This Row],[B3_Box]])),"")</f>
        <v>0</v>
      </c>
      <c r="U95" s="1219" t="b">
        <f t="array" aca="1" ref="U9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95" s="1219" t="b">
        <v>1</v>
      </c>
      <c r="W95" s="1219">
        <v>63</v>
      </c>
    </row>
    <row r="96" spans="1:23" x14ac:dyDescent="0.25">
      <c r="A96" s="1218">
        <f>[1]IBRF!$B$5</f>
        <v>41734</v>
      </c>
      <c r="B96" s="1221">
        <f t="shared" si="3"/>
        <v>0.83333333333333337</v>
      </c>
      <c r="C96" s="1219">
        <v>2</v>
      </c>
      <c r="D96" s="1219">
        <f t="array" aca="1" ref="D96" ca="1">IF(LineupsData[[#This Row],[Passed?]],D95,IF(INDIRECT($AA$24&amp;INDEX(LineupsSearch[],MATCH(LineupsData[[#This Row],[Home?]]&amp;"Jam",LineupsSearch[Home?]&amp;LineupsSearch[Item],1),3)&amp;LineupsData[[#This Row],[RefRow]])="",0,INDIRECT($AA$24&amp;INDEX(LineupsSearch[],MATCH(LineupsData[[#This Row],[Home?]]&amp;"Jam",LineupsSearch[Home?]&amp;LineupsSearch[Item],1),3)&amp;LineupsData[[#This Row],[RefRow]])))</f>
        <v>14</v>
      </c>
      <c r="E96" s="1219" t="str">
        <f t="shared" si="4"/>
        <v>Plan B</v>
      </c>
      <c r="F96" s="1219" t="str">
        <f t="array" aca="1" ref="F96" ca="1">INDIRECT($AA$24&amp;INDEX(LineupsSearch[],MATCH(LineupsData[[#This Row],[Home?]]&amp;LineupsData[[#Headers],[Jammer]],LineupsSearch[Home?]&amp;LineupsSearch[Item],1),3)&amp;LineupsData[[#This Row],[RefRow]])</f>
        <v>84</v>
      </c>
      <c r="G96" s="1219" t="str">
        <f t="array" aca="1" ref="G9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96" s="1219">
        <f ca="1">IFERROR(LEN(IF(OR(LEFT(LineupsData[[#This Row],[J_Box]],1)="$",LEFT(LineupsData[[#This Row],[J_Box]],1)="S"),RIGHT(LineupsData[[#This Row],[J_Box]],LEN(LineupsData[[#This Row],[J_Box]])-1),LineupsData[[#This Row],[J_Box]])),"")</f>
        <v>0</v>
      </c>
      <c r="I96" s="1219" t="str">
        <f t="array" aca="1" ref="I96" ca="1">INDIRECT($AA$24&amp;INDEX(LineupsSearch[],MATCH(LineupsData[[#This Row],[Home?]]&amp;LineupsData[[#Headers],[Pivot]],LineupsSearch[Home?]&amp;LineupsSearch[Item],1),3)&amp;LineupsData[[#This Row],[RefRow]])</f>
        <v>0</v>
      </c>
      <c r="J96" s="1219" t="str">
        <f t="array" aca="1" ref="J9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X</v>
      </c>
      <c r="K96" s="1219">
        <f ca="1">IFERROR(LEN(IF(OR(LEFT(LineupsData[[#This Row],[P_Box]],1)="$",LEFT(LineupsData[[#This Row],[P_Box]],1)="S"),RIGHT(LineupsData[[#This Row],[P_Box]],LEN(LineupsData[[#This Row],[P_Box]])-1),LineupsData[[#This Row],[P_Box]])),"")</f>
        <v>1</v>
      </c>
      <c r="L96" s="1219" t="str">
        <f t="array" aca="1" ref="L96" ca="1">INDIRECT($AA$24&amp;INDEX(LineupsSearch[],MATCH(LineupsData[[#This Row],[Home?]]&amp;LineupsData[[#Headers],[B1]],LineupsSearch[Home?]&amp;LineupsSearch[Item],1),3)&amp;LineupsData[[#This Row],[RefRow]])</f>
        <v>303</v>
      </c>
      <c r="M96" s="1219" t="str">
        <f t="array" aca="1" ref="M9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96" s="1219">
        <f ca="1">IFERROR(LEN(IF(OR(LEFT(LineupsData[[#This Row],[B1_Box]],1)="$",LEFT(LineupsData[[#This Row],[B1_Box]],1)="S"),RIGHT(LineupsData[[#This Row],[B1_Box]],LEN(LineupsData[[#This Row],[B1_Box]])-1),LineupsData[[#This Row],[B1_Box]])),"")</f>
        <v>0</v>
      </c>
      <c r="O96" s="1219" t="str">
        <f t="array" aca="1" ref="O96" ca="1">INDIRECT($AA$24&amp;INDEX(LineupsSearch[],MATCH(LineupsData[[#This Row],[Home?]]&amp;LineupsData[[#Headers],[B2]],LineupsSearch[Home?]&amp;LineupsSearch[Item],1),3)&amp;LineupsData[[#This Row],[RefRow]])</f>
        <v>20</v>
      </c>
      <c r="P96" s="1219" t="str">
        <f t="array" aca="1" ref="P9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96" s="1219">
        <f ca="1">IFERROR(LEN(IF(OR(LEFT(LineupsData[[#This Row],[B2_Box]],1)="$",LEFT(LineupsData[[#This Row],[B2_Box]],1)="S"),RIGHT(LineupsData[[#This Row],[B2_Box]],LEN(LineupsData[[#This Row],[B2_Box]])-1),LineupsData[[#This Row],[B2_Box]])),"")</f>
        <v>0</v>
      </c>
      <c r="R96" s="1219" t="str">
        <f t="array" aca="1" ref="R96" ca="1">INDIRECT($AA$24&amp;INDEX(LineupsSearch[],MATCH(LineupsData[[#This Row],[Home?]]&amp;LineupsData[[#Headers],[B3]],LineupsSearch[Home?]&amp;LineupsSearch[Item],1),3)&amp;LineupsData[[#This Row],[RefRow]])</f>
        <v>64</v>
      </c>
      <c r="S96" s="1219" t="str">
        <f t="array" aca="1" ref="S9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96" s="1219">
        <f ca="1">IFERROR(LEN(IF(OR(LEFT(LineupsData[[#This Row],[B3_Box]],1)="$",LEFT(LineupsData[[#This Row],[B3_Box]],1)="S"),RIGHT(LineupsData[[#This Row],[B3_Box]],LEN(LineupsData[[#This Row],[B3_Box]])-1),LineupsData[[#This Row],[B3_Box]])),"")</f>
        <v>0</v>
      </c>
      <c r="U96" s="1219" t="b">
        <f t="array" aca="1" ref="U9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96" s="1219" t="b">
        <v>1</v>
      </c>
      <c r="W96" s="1219">
        <v>64</v>
      </c>
    </row>
    <row r="97" spans="1:23" x14ac:dyDescent="0.25">
      <c r="A97" s="1218">
        <f>[1]IBRF!$B$5</f>
        <v>41734</v>
      </c>
      <c r="B97" s="1221">
        <f t="shared" si="3"/>
        <v>0.83333333333333337</v>
      </c>
      <c r="C97" s="1219">
        <v>2</v>
      </c>
      <c r="D97" s="1219">
        <f t="array" aca="1" ref="D97" ca="1">IF(LineupsData[[#This Row],[Passed?]],D96,IF(INDIRECT($AA$24&amp;INDEX(LineupsSearch[],MATCH(LineupsData[[#This Row],[Home?]]&amp;"Jam",LineupsSearch[Home?]&amp;LineupsSearch[Item],1),3)&amp;LineupsData[[#This Row],[RefRow]])="",0,INDIRECT($AA$24&amp;INDEX(LineupsSearch[],MATCH(LineupsData[[#This Row],[Home?]]&amp;"Jam",LineupsSearch[Home?]&amp;LineupsSearch[Item],1),3)&amp;LineupsData[[#This Row],[RefRow]])))</f>
        <v>15</v>
      </c>
      <c r="E97" s="1219" t="str">
        <f t="shared" si="4"/>
        <v>Plan B</v>
      </c>
      <c r="F97" s="1219" t="str">
        <f t="array" aca="1" ref="F97" ca="1">INDIRECT($AA$24&amp;INDEX(LineupsSearch[],MATCH(LineupsData[[#This Row],[Home?]]&amp;LineupsData[[#Headers],[Jammer]],LineupsSearch[Home?]&amp;LineupsSearch[Item],1),3)&amp;LineupsData[[#This Row],[RefRow]])</f>
        <v>33</v>
      </c>
      <c r="G97" s="1219" t="str">
        <f t="array" aca="1" ref="G9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97" s="1219">
        <f ca="1">IFERROR(LEN(IF(OR(LEFT(LineupsData[[#This Row],[J_Box]],1)="$",LEFT(LineupsData[[#This Row],[J_Box]],1)="S"),RIGHT(LineupsData[[#This Row],[J_Box]],LEN(LineupsData[[#This Row],[J_Box]])-1),LineupsData[[#This Row],[J_Box]])),"")</f>
        <v>0</v>
      </c>
      <c r="I97" s="1219" t="str">
        <f t="array" aca="1" ref="I97" ca="1">INDIRECT($AA$24&amp;INDEX(LineupsSearch[],MATCH(LineupsData[[#This Row],[Home?]]&amp;LineupsData[[#Headers],[Pivot]],LineupsSearch[Home?]&amp;LineupsSearch[Item],1),3)&amp;LineupsData[[#This Row],[RefRow]])</f>
        <v>N01</v>
      </c>
      <c r="J97" s="1219" t="str">
        <f t="array" aca="1" ref="J9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97" s="1219">
        <f ca="1">IFERROR(LEN(IF(OR(LEFT(LineupsData[[#This Row],[P_Box]],1)="$",LEFT(LineupsData[[#This Row],[P_Box]],1)="S"),RIGHT(LineupsData[[#This Row],[P_Box]],LEN(LineupsData[[#This Row],[P_Box]])-1),LineupsData[[#This Row],[P_Box]])),"")</f>
        <v>0</v>
      </c>
      <c r="L97" s="1219" t="str">
        <f t="array" aca="1" ref="L97" ca="1">INDIRECT($AA$24&amp;INDEX(LineupsSearch[],MATCH(LineupsData[[#This Row],[Home?]]&amp;LineupsData[[#Headers],[B1]],LineupsSearch[Home?]&amp;LineupsSearch[Item],1),3)&amp;LineupsData[[#This Row],[RefRow]])</f>
        <v>19</v>
      </c>
      <c r="M97" s="1219" t="str">
        <f t="array" aca="1" ref="M9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97" s="1219">
        <f ca="1">IFERROR(LEN(IF(OR(LEFT(LineupsData[[#This Row],[B1_Box]],1)="$",LEFT(LineupsData[[#This Row],[B1_Box]],1)="S"),RIGHT(LineupsData[[#This Row],[B1_Box]],LEN(LineupsData[[#This Row],[B1_Box]])-1),LineupsData[[#This Row],[B1_Box]])),"")</f>
        <v>0</v>
      </c>
      <c r="O97" s="1219" t="str">
        <f t="array" aca="1" ref="O97" ca="1">INDIRECT($AA$24&amp;INDEX(LineupsSearch[],MATCH(LineupsData[[#This Row],[Home?]]&amp;LineupsData[[#Headers],[B2]],LineupsSearch[Home?]&amp;LineupsSearch[Item],1),3)&amp;LineupsData[[#This Row],[RefRow]])</f>
        <v>480</v>
      </c>
      <c r="P97" s="1219" t="str">
        <f t="array" aca="1" ref="P9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97" s="1219">
        <f ca="1">IFERROR(LEN(IF(OR(LEFT(LineupsData[[#This Row],[B2_Box]],1)="$",LEFT(LineupsData[[#This Row],[B2_Box]],1)="S"),RIGHT(LineupsData[[#This Row],[B2_Box]],LEN(LineupsData[[#This Row],[B2_Box]])-1),LineupsData[[#This Row],[B2_Box]])),"")</f>
        <v>0</v>
      </c>
      <c r="R97" s="1219" t="str">
        <f t="array" aca="1" ref="R97" ca="1">INDIRECT($AA$24&amp;INDEX(LineupsSearch[],MATCH(LineupsData[[#This Row],[Home?]]&amp;LineupsData[[#Headers],[B3]],LineupsSearch[Home?]&amp;LineupsSearch[Item],1),3)&amp;LineupsData[[#This Row],[RefRow]])</f>
        <v>42</v>
      </c>
      <c r="S97" s="1219" t="str">
        <f t="array" aca="1" ref="S9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97" s="1219">
        <f ca="1">IFERROR(LEN(IF(OR(LEFT(LineupsData[[#This Row],[B3_Box]],1)="$",LEFT(LineupsData[[#This Row],[B3_Box]],1)="S"),RIGHT(LineupsData[[#This Row],[B3_Box]],LEN(LineupsData[[#This Row],[B3_Box]])-1),LineupsData[[#This Row],[B3_Box]])),"")</f>
        <v>0</v>
      </c>
      <c r="U97" s="1219" t="b">
        <f t="array" aca="1" ref="U9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97" s="1219" t="b">
        <v>1</v>
      </c>
      <c r="W97" s="1219">
        <v>65</v>
      </c>
    </row>
    <row r="98" spans="1:23" x14ac:dyDescent="0.25">
      <c r="A98" s="1218">
        <f>[1]IBRF!$B$5</f>
        <v>41734</v>
      </c>
      <c r="B98" s="1221">
        <f t="shared" si="3"/>
        <v>0.83333333333333337</v>
      </c>
      <c r="C98" s="1219">
        <v>2</v>
      </c>
      <c r="D98" s="1219">
        <f t="array" aca="1" ref="D98" ca="1">IF(LineupsData[[#This Row],[Passed?]],D97,IF(INDIRECT($AA$24&amp;INDEX(LineupsSearch[],MATCH(LineupsData[[#This Row],[Home?]]&amp;"Jam",LineupsSearch[Home?]&amp;LineupsSearch[Item],1),3)&amp;LineupsData[[#This Row],[RefRow]])="",0,INDIRECT($AA$24&amp;INDEX(LineupsSearch[],MATCH(LineupsData[[#This Row],[Home?]]&amp;"Jam",LineupsSearch[Home?]&amp;LineupsSearch[Item],1),3)&amp;LineupsData[[#This Row],[RefRow]])))</f>
        <v>15</v>
      </c>
      <c r="E98" s="1219" t="str">
        <f t="shared" si="4"/>
        <v>Plan B</v>
      </c>
      <c r="F98" s="1219" t="str">
        <f t="array" aca="1" ref="F98" ca="1">INDIRECT($AA$24&amp;INDEX(LineupsSearch[],MATCH(LineupsData[[#This Row],[Home?]]&amp;LineupsData[[#Headers],[Jammer]],LineupsSearch[Home?]&amp;LineupsSearch[Item],1),3)&amp;LineupsData[[#This Row],[RefRow]])</f>
        <v/>
      </c>
      <c r="G98" s="1219" t="str">
        <f t="array" aca="1" ref="G9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98" s="1219">
        <f ca="1">IFERROR(LEN(IF(OR(LEFT(LineupsData[[#This Row],[J_Box]],1)="$",LEFT(LineupsData[[#This Row],[J_Box]],1)="S"),RIGHT(LineupsData[[#This Row],[J_Box]],LEN(LineupsData[[#This Row],[J_Box]])-1),LineupsData[[#This Row],[J_Box]])),"")</f>
        <v>0</v>
      </c>
      <c r="I98" s="1219">
        <f t="array" aca="1" ref="I98" ca="1">INDIRECT($AA$24&amp;INDEX(LineupsSearch[],MATCH(LineupsData[[#This Row],[Home?]]&amp;LineupsData[[#Headers],[Pivot]],LineupsSearch[Home?]&amp;LineupsSearch[Item],1),3)&amp;LineupsData[[#This Row],[RefRow]])</f>
        <v>0</v>
      </c>
      <c r="J98" s="1219" t="str">
        <f t="array" aca="1" ref="J9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98" s="1219">
        <f ca="1">IFERROR(LEN(IF(OR(LEFT(LineupsData[[#This Row],[P_Box]],1)="$",LEFT(LineupsData[[#This Row],[P_Box]],1)="S"),RIGHT(LineupsData[[#This Row],[P_Box]],LEN(LineupsData[[#This Row],[P_Box]])-1),LineupsData[[#This Row],[P_Box]])),"")</f>
        <v>0</v>
      </c>
      <c r="L98" s="1219">
        <f t="array" aca="1" ref="L98" ca="1">INDIRECT($AA$24&amp;INDEX(LineupsSearch[],MATCH(LineupsData[[#This Row],[Home?]]&amp;LineupsData[[#Headers],[B1]],LineupsSearch[Home?]&amp;LineupsSearch[Item],1),3)&amp;LineupsData[[#This Row],[RefRow]])</f>
        <v>0</v>
      </c>
      <c r="M98" s="1219" t="str">
        <f t="array" aca="1" ref="M9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98" s="1219">
        <f ca="1">IFERROR(LEN(IF(OR(LEFT(LineupsData[[#This Row],[B1_Box]],1)="$",LEFT(LineupsData[[#This Row],[B1_Box]],1)="S"),RIGHT(LineupsData[[#This Row],[B1_Box]],LEN(LineupsData[[#This Row],[B1_Box]])-1),LineupsData[[#This Row],[B1_Box]])),"")</f>
        <v>0</v>
      </c>
      <c r="O98" s="1219">
        <f t="array" aca="1" ref="O98" ca="1">INDIRECT($AA$24&amp;INDEX(LineupsSearch[],MATCH(LineupsData[[#This Row],[Home?]]&amp;LineupsData[[#Headers],[B2]],LineupsSearch[Home?]&amp;LineupsSearch[Item],1),3)&amp;LineupsData[[#This Row],[RefRow]])</f>
        <v>0</v>
      </c>
      <c r="P98" s="1219" t="str">
        <f t="array" aca="1" ref="P9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98" s="1219">
        <f ca="1">IFERROR(LEN(IF(OR(LEFT(LineupsData[[#This Row],[B2_Box]],1)="$",LEFT(LineupsData[[#This Row],[B2_Box]],1)="S"),RIGHT(LineupsData[[#This Row],[B2_Box]],LEN(LineupsData[[#This Row],[B2_Box]])-1),LineupsData[[#This Row],[B2_Box]])),"")</f>
        <v>0</v>
      </c>
      <c r="R98" s="1219">
        <f t="array" aca="1" ref="R98" ca="1">INDIRECT($AA$24&amp;INDEX(LineupsSearch[],MATCH(LineupsData[[#This Row],[Home?]]&amp;LineupsData[[#Headers],[B3]],LineupsSearch[Home?]&amp;LineupsSearch[Item],1),3)&amp;LineupsData[[#This Row],[RefRow]])</f>
        <v>0</v>
      </c>
      <c r="S98" s="1219" t="str">
        <f t="array" aca="1" ref="S9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98" s="1219">
        <f ca="1">IFERROR(LEN(IF(OR(LEFT(LineupsData[[#This Row],[B3_Box]],1)="$",LEFT(LineupsData[[#This Row],[B3_Box]],1)="S"),RIGHT(LineupsData[[#This Row],[B3_Box]],LEN(LineupsData[[#This Row],[B3_Box]])-1),LineupsData[[#This Row],[B3_Box]])),"")</f>
        <v>0</v>
      </c>
      <c r="U98" s="1219" t="b">
        <f t="array" aca="1" ref="U9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98" s="1219" t="b">
        <v>1</v>
      </c>
      <c r="W98" s="1219">
        <v>66</v>
      </c>
    </row>
    <row r="99" spans="1:23" x14ac:dyDescent="0.25">
      <c r="A99" s="1218">
        <f>[1]IBRF!$B$5</f>
        <v>41734</v>
      </c>
      <c r="B99" s="1221">
        <f t="shared" si="3"/>
        <v>0.83333333333333337</v>
      </c>
      <c r="C99" s="1219">
        <v>2</v>
      </c>
      <c r="D99" s="1219">
        <f t="array" aca="1" ref="D99" ca="1">IF(LineupsData[[#This Row],[Passed?]],D98,IF(INDIRECT($AA$24&amp;INDEX(LineupsSearch[],MATCH(LineupsData[[#This Row],[Home?]]&amp;"Jam",LineupsSearch[Home?]&amp;LineupsSearch[Item],1),3)&amp;LineupsData[[#This Row],[RefRow]])="",0,INDIRECT($AA$24&amp;INDEX(LineupsSearch[],MATCH(LineupsData[[#This Row],[Home?]]&amp;"Jam",LineupsSearch[Home?]&amp;LineupsSearch[Item],1),3)&amp;LineupsData[[#This Row],[RefRow]])))</f>
        <v>16</v>
      </c>
      <c r="E99" s="1219" t="str">
        <f t="shared" si="4"/>
        <v>Plan B</v>
      </c>
      <c r="F99" s="1219" t="str">
        <f t="array" aca="1" ref="F99" ca="1">INDIRECT($AA$24&amp;INDEX(LineupsSearch[],MATCH(LineupsData[[#This Row],[Home?]]&amp;LineupsData[[#Headers],[Jammer]],LineupsSearch[Home?]&amp;LineupsSearch[Item],1),3)&amp;LineupsData[[#This Row],[RefRow]])</f>
        <v>20</v>
      </c>
      <c r="G99" s="1219" t="str">
        <f t="array" aca="1" ref="G9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99" s="1219">
        <f ca="1">IFERROR(LEN(IF(OR(LEFT(LineupsData[[#This Row],[J_Box]],1)="$",LEFT(LineupsData[[#This Row],[J_Box]],1)="S"),RIGHT(LineupsData[[#This Row],[J_Box]],LEN(LineupsData[[#This Row],[J_Box]])-1),LineupsData[[#This Row],[J_Box]])),"")</f>
        <v>0</v>
      </c>
      <c r="I99" s="1219" t="str">
        <f t="array" aca="1" ref="I99" ca="1">INDIRECT($AA$24&amp;INDEX(LineupsSearch[],MATCH(LineupsData[[#This Row],[Home?]]&amp;LineupsData[[#Headers],[Pivot]],LineupsSearch[Home?]&amp;LineupsSearch[Item],1),3)&amp;LineupsData[[#This Row],[RefRow]])</f>
        <v>0</v>
      </c>
      <c r="J99" s="1219" t="str">
        <f t="array" aca="1" ref="J9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99" s="1219">
        <f ca="1">IFERROR(LEN(IF(OR(LEFT(LineupsData[[#This Row],[P_Box]],1)="$",LEFT(LineupsData[[#This Row],[P_Box]],1)="S"),RIGHT(LineupsData[[#This Row],[P_Box]],LEN(LineupsData[[#This Row],[P_Box]])-1),LineupsData[[#This Row],[P_Box]])),"")</f>
        <v>0</v>
      </c>
      <c r="L99" s="1219" t="str">
        <f t="array" aca="1" ref="L99" ca="1">INDIRECT($AA$24&amp;INDEX(LineupsSearch[],MATCH(LineupsData[[#This Row],[Home?]]&amp;LineupsData[[#Headers],[B1]],LineupsSearch[Home?]&amp;LineupsSearch[Item],1),3)&amp;LineupsData[[#This Row],[RefRow]])</f>
        <v>303</v>
      </c>
      <c r="M99" s="1219" t="str">
        <f t="array" aca="1" ref="M9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99" s="1219">
        <f ca="1">IFERROR(LEN(IF(OR(LEFT(LineupsData[[#This Row],[B1_Box]],1)="$",LEFT(LineupsData[[#This Row],[B1_Box]],1)="S"),RIGHT(LineupsData[[#This Row],[B1_Box]],LEN(LineupsData[[#This Row],[B1_Box]])-1),LineupsData[[#This Row],[B1_Box]])),"")</f>
        <v>0</v>
      </c>
      <c r="O99" s="1219" t="str">
        <f t="array" aca="1" ref="O99" ca="1">INDIRECT($AA$24&amp;INDEX(LineupsSearch[],MATCH(LineupsData[[#This Row],[Home?]]&amp;LineupsData[[#Headers],[B2]],LineupsSearch[Home?]&amp;LineupsSearch[Item],1),3)&amp;LineupsData[[#This Row],[RefRow]])</f>
        <v>64</v>
      </c>
      <c r="P99" s="1219" t="str">
        <f t="array" aca="1" ref="P9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99" s="1219">
        <f ca="1">IFERROR(LEN(IF(OR(LEFT(LineupsData[[#This Row],[B2_Box]],1)="$",LEFT(LineupsData[[#This Row],[B2_Box]],1)="S"),RIGHT(LineupsData[[#This Row],[B2_Box]],LEN(LineupsData[[#This Row],[B2_Box]])-1),LineupsData[[#This Row],[B2_Box]])),"")</f>
        <v>0</v>
      </c>
      <c r="R99" s="1219" t="str">
        <f t="array" aca="1" ref="R99" ca="1">INDIRECT($AA$24&amp;INDEX(LineupsSearch[],MATCH(LineupsData[[#This Row],[Home?]]&amp;LineupsData[[#Headers],[B3]],LineupsSearch[Home?]&amp;LineupsSearch[Item],1),3)&amp;LineupsData[[#This Row],[RefRow]])</f>
        <v>44</v>
      </c>
      <c r="S99" s="1219" t="str">
        <f t="array" aca="1" ref="S9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99" s="1219">
        <f ca="1">IFERROR(LEN(IF(OR(LEFT(LineupsData[[#This Row],[B3_Box]],1)="$",LEFT(LineupsData[[#This Row],[B3_Box]],1)="S"),RIGHT(LineupsData[[#This Row],[B3_Box]],LEN(LineupsData[[#This Row],[B3_Box]])-1),LineupsData[[#This Row],[B3_Box]])),"")</f>
        <v>0</v>
      </c>
      <c r="U99" s="1219" t="b">
        <f t="array" aca="1" ref="U9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99" s="1219" t="b">
        <v>1</v>
      </c>
      <c r="W99" s="1219">
        <v>67</v>
      </c>
    </row>
    <row r="100" spans="1:23" x14ac:dyDescent="0.25">
      <c r="A100" s="1218">
        <f>[1]IBRF!$B$5</f>
        <v>41734</v>
      </c>
      <c r="B100" s="1221">
        <f t="shared" si="3"/>
        <v>0.83333333333333337</v>
      </c>
      <c r="C100" s="1219">
        <v>2</v>
      </c>
      <c r="D100" s="1219">
        <f t="array" aca="1" ref="D100" ca="1">IF(LineupsData[[#This Row],[Passed?]],D99,IF(INDIRECT($AA$24&amp;INDEX(LineupsSearch[],MATCH(LineupsData[[#This Row],[Home?]]&amp;"Jam",LineupsSearch[Home?]&amp;LineupsSearch[Item],1),3)&amp;LineupsData[[#This Row],[RefRow]])="",0,INDIRECT($AA$24&amp;INDEX(LineupsSearch[],MATCH(LineupsData[[#This Row],[Home?]]&amp;"Jam",LineupsSearch[Home?]&amp;LineupsSearch[Item],1),3)&amp;LineupsData[[#This Row],[RefRow]])))</f>
        <v>16</v>
      </c>
      <c r="E100" s="1219" t="str">
        <f t="shared" si="4"/>
        <v>Plan B</v>
      </c>
      <c r="F100" s="1219" t="str">
        <f t="array" aca="1" ref="F100" ca="1">INDIRECT($AA$24&amp;INDEX(LineupsSearch[],MATCH(LineupsData[[#This Row],[Home?]]&amp;LineupsData[[#Headers],[Jammer]],LineupsSearch[Home?]&amp;LineupsSearch[Item],1),3)&amp;LineupsData[[#This Row],[RefRow]])</f>
        <v/>
      </c>
      <c r="G100" s="1219" t="str">
        <f t="array" aca="1" ref="G10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00" s="1219">
        <f ca="1">IFERROR(LEN(IF(OR(LEFT(LineupsData[[#This Row],[J_Box]],1)="$",LEFT(LineupsData[[#This Row],[J_Box]],1)="S"),RIGHT(LineupsData[[#This Row],[J_Box]],LEN(LineupsData[[#This Row],[J_Box]])-1),LineupsData[[#This Row],[J_Box]])),"")</f>
        <v>0</v>
      </c>
      <c r="I100" s="1219">
        <f t="array" aca="1" ref="I100" ca="1">INDIRECT($AA$24&amp;INDEX(LineupsSearch[],MATCH(LineupsData[[#This Row],[Home?]]&amp;LineupsData[[#Headers],[Pivot]],LineupsSearch[Home?]&amp;LineupsSearch[Item],1),3)&amp;LineupsData[[#This Row],[RefRow]])</f>
        <v>0</v>
      </c>
      <c r="J100" s="1219" t="str">
        <f t="array" aca="1" ref="J10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00" s="1219">
        <f ca="1">IFERROR(LEN(IF(OR(LEFT(LineupsData[[#This Row],[P_Box]],1)="$",LEFT(LineupsData[[#This Row],[P_Box]],1)="S"),RIGHT(LineupsData[[#This Row],[P_Box]],LEN(LineupsData[[#This Row],[P_Box]])-1),LineupsData[[#This Row],[P_Box]])),"")</f>
        <v>0</v>
      </c>
      <c r="L100" s="1219">
        <f t="array" aca="1" ref="L100" ca="1">INDIRECT($AA$24&amp;INDEX(LineupsSearch[],MATCH(LineupsData[[#This Row],[Home?]]&amp;LineupsData[[#Headers],[B1]],LineupsSearch[Home?]&amp;LineupsSearch[Item],1),3)&amp;LineupsData[[#This Row],[RefRow]])</f>
        <v>0</v>
      </c>
      <c r="M100" s="1219" t="str">
        <f t="array" aca="1" ref="M10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00" s="1219">
        <f ca="1">IFERROR(LEN(IF(OR(LEFT(LineupsData[[#This Row],[B1_Box]],1)="$",LEFT(LineupsData[[#This Row],[B1_Box]],1)="S"),RIGHT(LineupsData[[#This Row],[B1_Box]],LEN(LineupsData[[#This Row],[B1_Box]])-1),LineupsData[[#This Row],[B1_Box]])),"")</f>
        <v>0</v>
      </c>
      <c r="O100" s="1219">
        <f t="array" aca="1" ref="O100" ca="1">INDIRECT($AA$24&amp;INDEX(LineupsSearch[],MATCH(LineupsData[[#This Row],[Home?]]&amp;LineupsData[[#Headers],[B2]],LineupsSearch[Home?]&amp;LineupsSearch[Item],1),3)&amp;LineupsData[[#This Row],[RefRow]])</f>
        <v>0</v>
      </c>
      <c r="P100" s="1219" t="str">
        <f t="array" aca="1" ref="P10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00" s="1219">
        <f ca="1">IFERROR(LEN(IF(OR(LEFT(LineupsData[[#This Row],[B2_Box]],1)="$",LEFT(LineupsData[[#This Row],[B2_Box]],1)="S"),RIGHT(LineupsData[[#This Row],[B2_Box]],LEN(LineupsData[[#This Row],[B2_Box]])-1),LineupsData[[#This Row],[B2_Box]])),"")</f>
        <v>0</v>
      </c>
      <c r="R100" s="1219">
        <f t="array" aca="1" ref="R100" ca="1">INDIRECT($AA$24&amp;INDEX(LineupsSearch[],MATCH(LineupsData[[#This Row],[Home?]]&amp;LineupsData[[#Headers],[B3]],LineupsSearch[Home?]&amp;LineupsSearch[Item],1),3)&amp;LineupsData[[#This Row],[RefRow]])</f>
        <v>0</v>
      </c>
      <c r="S100" s="1219" t="str">
        <f t="array" aca="1" ref="S10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00" s="1219">
        <f ca="1">IFERROR(LEN(IF(OR(LEFT(LineupsData[[#This Row],[B3_Box]],1)="$",LEFT(LineupsData[[#This Row],[B3_Box]],1)="S"),RIGHT(LineupsData[[#This Row],[B3_Box]],LEN(LineupsData[[#This Row],[B3_Box]])-1),LineupsData[[#This Row],[B3_Box]])),"")</f>
        <v>0</v>
      </c>
      <c r="U100" s="1219" t="b">
        <f t="array" aca="1" ref="U10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100" s="1219" t="b">
        <v>1</v>
      </c>
      <c r="W100" s="1219">
        <v>68</v>
      </c>
    </row>
    <row r="101" spans="1:23" x14ac:dyDescent="0.25">
      <c r="A101" s="1218">
        <f>[1]IBRF!$B$5</f>
        <v>41734</v>
      </c>
      <c r="B101" s="1221">
        <f t="shared" si="3"/>
        <v>0.83333333333333337</v>
      </c>
      <c r="C101" s="1219">
        <v>2</v>
      </c>
      <c r="D101" s="1219">
        <f t="array" aca="1" ref="D101" ca="1">IF(LineupsData[[#This Row],[Passed?]],D100,IF(INDIRECT($AA$24&amp;INDEX(LineupsSearch[],MATCH(LineupsData[[#This Row],[Home?]]&amp;"Jam",LineupsSearch[Home?]&amp;LineupsSearch[Item],1),3)&amp;LineupsData[[#This Row],[RefRow]])="",0,INDIRECT($AA$24&amp;INDEX(LineupsSearch[],MATCH(LineupsData[[#This Row],[Home?]]&amp;"Jam",LineupsSearch[Home?]&amp;LineupsSearch[Item],1),3)&amp;LineupsData[[#This Row],[RefRow]])))</f>
        <v>17</v>
      </c>
      <c r="E101" s="1219" t="str">
        <f t="shared" si="4"/>
        <v>Plan B</v>
      </c>
      <c r="F101" s="1219" t="str">
        <f t="array" aca="1" ref="F101" ca="1">INDIRECT($AA$24&amp;INDEX(LineupsSearch[],MATCH(LineupsData[[#This Row],[Home?]]&amp;LineupsData[[#Headers],[Jammer]],LineupsSearch[Home?]&amp;LineupsSearch[Item],1),3)&amp;LineupsData[[#This Row],[RefRow]])</f>
        <v>4</v>
      </c>
      <c r="G101" s="1219" t="str">
        <f t="array" aca="1" ref="G10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01" s="1219">
        <f ca="1">IFERROR(LEN(IF(OR(LEFT(LineupsData[[#This Row],[J_Box]],1)="$",LEFT(LineupsData[[#This Row],[J_Box]],1)="S"),RIGHT(LineupsData[[#This Row],[J_Box]],LEN(LineupsData[[#This Row],[J_Box]])-1),LineupsData[[#This Row],[J_Box]])),"")</f>
        <v>0</v>
      </c>
      <c r="I101" s="1219" t="str">
        <f t="array" aca="1" ref="I101" ca="1">INDIRECT($AA$24&amp;INDEX(LineupsSearch[],MATCH(LineupsData[[#This Row],[Home?]]&amp;LineupsData[[#Headers],[Pivot]],LineupsSearch[Home?]&amp;LineupsSearch[Item],1),3)&amp;LineupsData[[#This Row],[RefRow]])</f>
        <v>N01</v>
      </c>
      <c r="J101" s="1219" t="str">
        <f t="array" aca="1" ref="J10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01" s="1219">
        <f ca="1">IFERROR(LEN(IF(OR(LEFT(LineupsData[[#This Row],[P_Box]],1)="$",LEFT(LineupsData[[#This Row],[P_Box]],1)="S"),RIGHT(LineupsData[[#This Row],[P_Box]],LEN(LineupsData[[#This Row],[P_Box]])-1),LineupsData[[#This Row],[P_Box]])),"")</f>
        <v>0</v>
      </c>
      <c r="L101" s="1219" t="str">
        <f t="array" aca="1" ref="L101" ca="1">INDIRECT($AA$24&amp;INDEX(LineupsSearch[],MATCH(LineupsData[[#This Row],[Home?]]&amp;LineupsData[[#Headers],[B1]],LineupsSearch[Home?]&amp;LineupsSearch[Item],1),3)&amp;LineupsData[[#This Row],[RefRow]])</f>
        <v>480</v>
      </c>
      <c r="M101" s="1219" t="str">
        <f t="array" aca="1" ref="M10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01" s="1219">
        <f ca="1">IFERROR(LEN(IF(OR(LEFT(LineupsData[[#This Row],[B1_Box]],1)="$",LEFT(LineupsData[[#This Row],[B1_Box]],1)="S"),RIGHT(LineupsData[[#This Row],[B1_Box]],LEN(LineupsData[[#This Row],[B1_Box]])-1),LineupsData[[#This Row],[B1_Box]])),"")</f>
        <v>0</v>
      </c>
      <c r="O101" s="1219" t="str">
        <f t="array" aca="1" ref="O101" ca="1">INDIRECT($AA$24&amp;INDEX(LineupsSearch[],MATCH(LineupsData[[#This Row],[Home?]]&amp;LineupsData[[#Headers],[B2]],LineupsSearch[Home?]&amp;LineupsSearch[Item],1),3)&amp;LineupsData[[#This Row],[RefRow]])</f>
        <v>42</v>
      </c>
      <c r="P101" s="1219" t="str">
        <f t="array" aca="1" ref="P10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X</v>
      </c>
      <c r="Q101" s="1219">
        <f ca="1">IFERROR(LEN(IF(OR(LEFT(LineupsData[[#This Row],[B2_Box]],1)="$",LEFT(LineupsData[[#This Row],[B2_Box]],1)="S"),RIGHT(LineupsData[[#This Row],[B2_Box]],LEN(LineupsData[[#This Row],[B2_Box]])-1),LineupsData[[#This Row],[B2_Box]])),"")</f>
        <v>1</v>
      </c>
      <c r="R101" s="1219" t="str">
        <f t="array" aca="1" ref="R101" ca="1">INDIRECT($AA$24&amp;INDEX(LineupsSearch[],MATCH(LineupsData[[#This Row],[Home?]]&amp;LineupsData[[#Headers],[B3]],LineupsSearch[Home?]&amp;LineupsSearch[Item],1),3)&amp;LineupsData[[#This Row],[RefRow]])</f>
        <v>17</v>
      </c>
      <c r="S101" s="1219" t="str">
        <f t="array" aca="1" ref="S10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01" s="1219">
        <f ca="1">IFERROR(LEN(IF(OR(LEFT(LineupsData[[#This Row],[B3_Box]],1)="$",LEFT(LineupsData[[#This Row],[B3_Box]],1)="S"),RIGHT(LineupsData[[#This Row],[B3_Box]],LEN(LineupsData[[#This Row],[B3_Box]])-1),LineupsData[[#This Row],[B3_Box]])),"")</f>
        <v>0</v>
      </c>
      <c r="U101" s="1219" t="b">
        <f t="array" aca="1" ref="U10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01" s="1219" t="b">
        <v>1</v>
      </c>
      <c r="W101" s="1219">
        <v>69</v>
      </c>
    </row>
    <row r="102" spans="1:23" x14ac:dyDescent="0.25">
      <c r="A102" s="1218">
        <f>[1]IBRF!$B$5</f>
        <v>41734</v>
      </c>
      <c r="B102" s="1221">
        <f t="shared" si="3"/>
        <v>0.83333333333333337</v>
      </c>
      <c r="C102" s="1219">
        <v>2</v>
      </c>
      <c r="D102" s="1219">
        <f t="array" aca="1" ref="D102" ca="1">IF(LineupsData[[#This Row],[Passed?]],D101,IF(INDIRECT($AA$24&amp;INDEX(LineupsSearch[],MATCH(LineupsData[[#This Row],[Home?]]&amp;"Jam",LineupsSearch[Home?]&amp;LineupsSearch[Item],1),3)&amp;LineupsData[[#This Row],[RefRow]])="",0,INDIRECT($AA$24&amp;INDEX(LineupsSearch[],MATCH(LineupsData[[#This Row],[Home?]]&amp;"Jam",LineupsSearch[Home?]&amp;LineupsSearch[Item],1),3)&amp;LineupsData[[#This Row],[RefRow]])))</f>
        <v>18</v>
      </c>
      <c r="E102" s="1219" t="str">
        <f t="shared" si="4"/>
        <v>Plan B</v>
      </c>
      <c r="F102" s="1219" t="str">
        <f t="array" aca="1" ref="F102" ca="1">INDIRECT($AA$24&amp;INDEX(LineupsSearch[],MATCH(LineupsData[[#This Row],[Home?]]&amp;LineupsData[[#Headers],[Jammer]],LineupsSearch[Home?]&amp;LineupsSearch[Item],1),3)&amp;LineupsData[[#This Row],[RefRow]])</f>
        <v>19</v>
      </c>
      <c r="G102" s="1219" t="str">
        <f t="array" aca="1" ref="G10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02" s="1219">
        <f ca="1">IFERROR(LEN(IF(OR(LEFT(LineupsData[[#This Row],[J_Box]],1)="$",LEFT(LineupsData[[#This Row],[J_Box]],1)="S"),RIGHT(LineupsData[[#This Row],[J_Box]],LEN(LineupsData[[#This Row],[J_Box]])-1),LineupsData[[#This Row],[J_Box]])),"")</f>
        <v>0</v>
      </c>
      <c r="I102" s="1219" t="str">
        <f t="array" aca="1" ref="I102" ca="1">INDIRECT($AA$24&amp;INDEX(LineupsSearch[],MATCH(LineupsData[[#This Row],[Home?]]&amp;LineupsData[[#Headers],[Pivot]],LineupsSearch[Home?]&amp;LineupsSearch[Item],1),3)&amp;LineupsData[[#This Row],[RefRow]])</f>
        <v>0</v>
      </c>
      <c r="J102" s="1219" t="str">
        <f t="array" aca="1" ref="J10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02" s="1219">
        <f ca="1">IFERROR(LEN(IF(OR(LEFT(LineupsData[[#This Row],[P_Box]],1)="$",LEFT(LineupsData[[#This Row],[P_Box]],1)="S"),RIGHT(LineupsData[[#This Row],[P_Box]],LEN(LineupsData[[#This Row],[P_Box]])-1),LineupsData[[#This Row],[P_Box]])),"")</f>
        <v>0</v>
      </c>
      <c r="L102" s="1219" t="str">
        <f t="array" aca="1" ref="L102" ca="1">INDIRECT($AA$24&amp;INDEX(LineupsSearch[],MATCH(LineupsData[[#This Row],[Home?]]&amp;LineupsData[[#Headers],[B1]],LineupsSearch[Home?]&amp;LineupsSearch[Item],1),3)&amp;LineupsData[[#This Row],[RefRow]])</f>
        <v>20</v>
      </c>
      <c r="M102" s="1219" t="str">
        <f t="array" aca="1" ref="M10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02" s="1219">
        <f ca="1">IFERROR(LEN(IF(OR(LEFT(LineupsData[[#This Row],[B1_Box]],1)="$",LEFT(LineupsData[[#This Row],[B1_Box]],1)="S"),RIGHT(LineupsData[[#This Row],[B1_Box]],LEN(LineupsData[[#This Row],[B1_Box]])-1),LineupsData[[#This Row],[B1_Box]])),"")</f>
        <v>0</v>
      </c>
      <c r="O102" s="1219" t="str">
        <f t="array" aca="1" ref="O102" ca="1">INDIRECT($AA$24&amp;INDEX(LineupsSearch[],MATCH(LineupsData[[#This Row],[Home?]]&amp;LineupsData[[#Headers],[B2]],LineupsSearch[Home?]&amp;LineupsSearch[Item],1),3)&amp;LineupsData[[#This Row],[RefRow]])</f>
        <v>303</v>
      </c>
      <c r="P102" s="1219" t="str">
        <f t="array" aca="1" ref="P10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02" s="1219">
        <f ca="1">IFERROR(LEN(IF(OR(LEFT(LineupsData[[#This Row],[B2_Box]],1)="$",LEFT(LineupsData[[#This Row],[B2_Box]],1)="S"),RIGHT(LineupsData[[#This Row],[B2_Box]],LEN(LineupsData[[#This Row],[B2_Box]])-1),LineupsData[[#This Row],[B2_Box]])),"")</f>
        <v>0</v>
      </c>
      <c r="R102" s="1219" t="str">
        <f t="array" aca="1" ref="R102" ca="1">INDIRECT($AA$24&amp;INDEX(LineupsSearch[],MATCH(LineupsData[[#This Row],[Home?]]&amp;LineupsData[[#Headers],[B3]],LineupsSearch[Home?]&amp;LineupsSearch[Item],1),3)&amp;LineupsData[[#This Row],[RefRow]])</f>
        <v>64</v>
      </c>
      <c r="S102" s="1219" t="str">
        <f t="array" aca="1" ref="S10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v>
      </c>
      <c r="T102" s="1219">
        <f ca="1">IFERROR(LEN(IF(OR(LEFT(LineupsData[[#This Row],[B3_Box]],1)="$",LEFT(LineupsData[[#This Row],[B3_Box]],1)="S"),RIGHT(LineupsData[[#This Row],[B3_Box]],LEN(LineupsData[[#This Row],[B3_Box]])-1),LineupsData[[#This Row],[B3_Box]])),"")</f>
        <v>1</v>
      </c>
      <c r="U102" s="1219" t="b">
        <f t="array" aca="1" ref="U10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02" s="1219" t="b">
        <v>1</v>
      </c>
      <c r="W102" s="1219">
        <v>70</v>
      </c>
    </row>
    <row r="103" spans="1:23" x14ac:dyDescent="0.25">
      <c r="A103" s="1218">
        <f>[1]IBRF!$B$5</f>
        <v>41734</v>
      </c>
      <c r="B103" s="1221">
        <f t="shared" si="3"/>
        <v>0.83333333333333337</v>
      </c>
      <c r="C103" s="1219">
        <v>2</v>
      </c>
      <c r="D103" s="1219">
        <f t="array" aca="1" ref="D103" ca="1">IF(LineupsData[[#This Row],[Passed?]],D102,IF(INDIRECT($AA$24&amp;INDEX(LineupsSearch[],MATCH(LineupsData[[#This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03" s="1219" t="str">
        <f t="shared" si="4"/>
        <v>Plan B</v>
      </c>
      <c r="F103" s="1219" t="str">
        <f t="array" aca="1" ref="F103" ca="1">INDIRECT($AA$24&amp;INDEX(LineupsSearch[],MATCH(LineupsData[[#This Row],[Home?]]&amp;LineupsData[[#Headers],[Jammer]],LineupsSearch[Home?]&amp;LineupsSearch[Item],1),3)&amp;LineupsData[[#This Row],[RefRow]])</f>
        <v/>
      </c>
      <c r="G103" s="1219" t="str">
        <f t="array" aca="1" ref="G10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03" s="1219">
        <f ca="1">IFERROR(LEN(IF(OR(LEFT(LineupsData[[#This Row],[J_Box]],1)="$",LEFT(LineupsData[[#This Row],[J_Box]],1)="S"),RIGHT(LineupsData[[#This Row],[J_Box]],LEN(LineupsData[[#This Row],[J_Box]])-1),LineupsData[[#This Row],[J_Box]])),"")</f>
        <v>0</v>
      </c>
      <c r="I103" s="1219">
        <f t="array" aca="1" ref="I103" ca="1">INDIRECT($AA$24&amp;INDEX(LineupsSearch[],MATCH(LineupsData[[#This Row],[Home?]]&amp;LineupsData[[#Headers],[Pivot]],LineupsSearch[Home?]&amp;LineupsSearch[Item],1),3)&amp;LineupsData[[#This Row],[RefRow]])</f>
        <v>0</v>
      </c>
      <c r="J103" s="1219" t="str">
        <f t="array" aca="1" ref="J10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03" s="1219">
        <f ca="1">IFERROR(LEN(IF(OR(LEFT(LineupsData[[#This Row],[P_Box]],1)="$",LEFT(LineupsData[[#This Row],[P_Box]],1)="S"),RIGHT(LineupsData[[#This Row],[P_Box]],LEN(LineupsData[[#This Row],[P_Box]])-1),LineupsData[[#This Row],[P_Box]])),"")</f>
        <v>0</v>
      </c>
      <c r="L103" s="1219">
        <f t="array" aca="1" ref="L103" ca="1">INDIRECT($AA$24&amp;INDEX(LineupsSearch[],MATCH(LineupsData[[#This Row],[Home?]]&amp;LineupsData[[#Headers],[B1]],LineupsSearch[Home?]&amp;LineupsSearch[Item],1),3)&amp;LineupsData[[#This Row],[RefRow]])</f>
        <v>0</v>
      </c>
      <c r="M103" s="1219" t="str">
        <f t="array" aca="1" ref="M10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03" s="1219">
        <f ca="1">IFERROR(LEN(IF(OR(LEFT(LineupsData[[#This Row],[B1_Box]],1)="$",LEFT(LineupsData[[#This Row],[B1_Box]],1)="S"),RIGHT(LineupsData[[#This Row],[B1_Box]],LEN(LineupsData[[#This Row],[B1_Box]])-1),LineupsData[[#This Row],[B1_Box]])),"")</f>
        <v>0</v>
      </c>
      <c r="O103" s="1219">
        <f t="array" aca="1" ref="O103" ca="1">INDIRECT($AA$24&amp;INDEX(LineupsSearch[],MATCH(LineupsData[[#This Row],[Home?]]&amp;LineupsData[[#Headers],[B2]],LineupsSearch[Home?]&amp;LineupsSearch[Item],1),3)&amp;LineupsData[[#This Row],[RefRow]])</f>
        <v>0</v>
      </c>
      <c r="P103" s="1219" t="str">
        <f t="array" aca="1" ref="P10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03" s="1219">
        <f ca="1">IFERROR(LEN(IF(OR(LEFT(LineupsData[[#This Row],[B2_Box]],1)="$",LEFT(LineupsData[[#This Row],[B2_Box]],1)="S"),RIGHT(LineupsData[[#This Row],[B2_Box]],LEN(LineupsData[[#This Row],[B2_Box]])-1),LineupsData[[#This Row],[B2_Box]])),"")</f>
        <v>0</v>
      </c>
      <c r="R103" s="1219">
        <f t="array" aca="1" ref="R103" ca="1">INDIRECT($AA$24&amp;INDEX(LineupsSearch[],MATCH(LineupsData[[#This Row],[Home?]]&amp;LineupsData[[#Headers],[B3]],LineupsSearch[Home?]&amp;LineupsSearch[Item],1),3)&amp;LineupsData[[#This Row],[RefRow]])</f>
        <v>0</v>
      </c>
      <c r="S103" s="1219" t="str">
        <f t="array" aca="1" ref="S10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03" s="1219">
        <f ca="1">IFERROR(LEN(IF(OR(LEFT(LineupsData[[#This Row],[B3_Box]],1)="$",LEFT(LineupsData[[#This Row],[B3_Box]],1)="S"),RIGHT(LineupsData[[#This Row],[B3_Box]],LEN(LineupsData[[#This Row],[B3_Box]])-1),LineupsData[[#This Row],[B3_Box]])),"")</f>
        <v>0</v>
      </c>
      <c r="U103" s="1219" t="b">
        <f t="array" aca="1" ref="U10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03" s="1219" t="b">
        <v>1</v>
      </c>
      <c r="W103" s="1219">
        <v>71</v>
      </c>
    </row>
    <row r="104" spans="1:23" x14ac:dyDescent="0.25">
      <c r="A104" s="1218">
        <f>[1]IBRF!$B$5</f>
        <v>41734</v>
      </c>
      <c r="B104" s="1221">
        <f t="shared" si="3"/>
        <v>0.83333333333333337</v>
      </c>
      <c r="C104" s="1219">
        <v>2</v>
      </c>
      <c r="D104" s="1219">
        <f t="array" aca="1" ref="D104" ca="1">IF(LineupsData[[#This Row],[Passed?]],D103,IF(INDIRECT($AA$24&amp;INDEX(LineupsSearch[],MATCH(LineupsData[[#This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04" s="1219" t="str">
        <f t="shared" si="4"/>
        <v>Plan B</v>
      </c>
      <c r="F104" s="1219" t="str">
        <f t="array" aca="1" ref="F104" ca="1">INDIRECT($AA$24&amp;INDEX(LineupsSearch[],MATCH(LineupsData[[#This Row],[Home?]]&amp;LineupsData[[#Headers],[Jammer]],LineupsSearch[Home?]&amp;LineupsSearch[Item],1),3)&amp;LineupsData[[#This Row],[RefRow]])</f>
        <v/>
      </c>
      <c r="G104" s="1219" t="str">
        <f t="array" aca="1" ref="G10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04" s="1219">
        <f ca="1">IFERROR(LEN(IF(OR(LEFT(LineupsData[[#This Row],[J_Box]],1)="$",LEFT(LineupsData[[#This Row],[J_Box]],1)="S"),RIGHT(LineupsData[[#This Row],[J_Box]],LEN(LineupsData[[#This Row],[J_Box]])-1),LineupsData[[#This Row],[J_Box]])),"")</f>
        <v>0</v>
      </c>
      <c r="I104" s="1219">
        <f t="array" aca="1" ref="I104" ca="1">INDIRECT($AA$24&amp;INDEX(LineupsSearch[],MATCH(LineupsData[[#This Row],[Home?]]&amp;LineupsData[[#Headers],[Pivot]],LineupsSearch[Home?]&amp;LineupsSearch[Item],1),3)&amp;LineupsData[[#This Row],[RefRow]])</f>
        <v>0</v>
      </c>
      <c r="J104" s="1219" t="str">
        <f t="array" aca="1" ref="J10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04" s="1219">
        <f ca="1">IFERROR(LEN(IF(OR(LEFT(LineupsData[[#This Row],[P_Box]],1)="$",LEFT(LineupsData[[#This Row],[P_Box]],1)="S"),RIGHT(LineupsData[[#This Row],[P_Box]],LEN(LineupsData[[#This Row],[P_Box]])-1),LineupsData[[#This Row],[P_Box]])),"")</f>
        <v>0</v>
      </c>
      <c r="L104" s="1219">
        <f t="array" aca="1" ref="L104" ca="1">INDIRECT($AA$24&amp;INDEX(LineupsSearch[],MATCH(LineupsData[[#This Row],[Home?]]&amp;LineupsData[[#Headers],[B1]],LineupsSearch[Home?]&amp;LineupsSearch[Item],1),3)&amp;LineupsData[[#This Row],[RefRow]])</f>
        <v>0</v>
      </c>
      <c r="M104" s="1219" t="str">
        <f t="array" aca="1" ref="M10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04" s="1219">
        <f ca="1">IFERROR(LEN(IF(OR(LEFT(LineupsData[[#This Row],[B1_Box]],1)="$",LEFT(LineupsData[[#This Row],[B1_Box]],1)="S"),RIGHT(LineupsData[[#This Row],[B1_Box]],LEN(LineupsData[[#This Row],[B1_Box]])-1),LineupsData[[#This Row],[B1_Box]])),"")</f>
        <v>0</v>
      </c>
      <c r="O104" s="1219">
        <f t="array" aca="1" ref="O104" ca="1">INDIRECT($AA$24&amp;INDEX(LineupsSearch[],MATCH(LineupsData[[#This Row],[Home?]]&amp;LineupsData[[#Headers],[B2]],LineupsSearch[Home?]&amp;LineupsSearch[Item],1),3)&amp;LineupsData[[#This Row],[RefRow]])</f>
        <v>0</v>
      </c>
      <c r="P104" s="1219" t="str">
        <f t="array" aca="1" ref="P10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04" s="1219">
        <f ca="1">IFERROR(LEN(IF(OR(LEFT(LineupsData[[#This Row],[B2_Box]],1)="$",LEFT(LineupsData[[#This Row],[B2_Box]],1)="S"),RIGHT(LineupsData[[#This Row],[B2_Box]],LEN(LineupsData[[#This Row],[B2_Box]])-1),LineupsData[[#This Row],[B2_Box]])),"")</f>
        <v>0</v>
      </c>
      <c r="R104" s="1219">
        <f t="array" aca="1" ref="R104" ca="1">INDIRECT($AA$24&amp;INDEX(LineupsSearch[],MATCH(LineupsData[[#This Row],[Home?]]&amp;LineupsData[[#Headers],[B3]],LineupsSearch[Home?]&amp;LineupsSearch[Item],1),3)&amp;LineupsData[[#This Row],[RefRow]])</f>
        <v>0</v>
      </c>
      <c r="S104" s="1219" t="str">
        <f t="array" aca="1" ref="S10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04" s="1219">
        <f ca="1">IFERROR(LEN(IF(OR(LEFT(LineupsData[[#This Row],[B3_Box]],1)="$",LEFT(LineupsData[[#This Row],[B3_Box]],1)="S"),RIGHT(LineupsData[[#This Row],[B3_Box]],LEN(LineupsData[[#This Row],[B3_Box]])-1),LineupsData[[#This Row],[B3_Box]])),"")</f>
        <v>0</v>
      </c>
      <c r="U104" s="1219" t="b">
        <f t="array" aca="1" ref="U10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04" s="1219" t="b">
        <v>1</v>
      </c>
      <c r="W104" s="1219">
        <v>72</v>
      </c>
    </row>
    <row r="105" spans="1:23" x14ac:dyDescent="0.25">
      <c r="A105" s="1218">
        <f>[1]IBRF!$B$5</f>
        <v>41734</v>
      </c>
      <c r="B105" s="1221">
        <f t="shared" si="3"/>
        <v>0.83333333333333337</v>
      </c>
      <c r="C105" s="1219">
        <v>2</v>
      </c>
      <c r="D105" s="1219">
        <f t="array" aca="1" ref="D105" ca="1">IF(LineupsData[[#This Row],[Passed?]],D104,IF(INDIRECT($AA$24&amp;INDEX(LineupsSearch[],MATCH(LineupsData[[#This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05" s="1219" t="str">
        <f t="shared" si="4"/>
        <v>Plan B</v>
      </c>
      <c r="F105" s="1219" t="str">
        <f t="array" aca="1" ref="F105" ca="1">INDIRECT($AA$24&amp;INDEX(LineupsSearch[],MATCH(LineupsData[[#This Row],[Home?]]&amp;LineupsData[[#Headers],[Jammer]],LineupsSearch[Home?]&amp;LineupsSearch[Item],1),3)&amp;LineupsData[[#This Row],[RefRow]])</f>
        <v/>
      </c>
      <c r="G105" s="1219" t="str">
        <f t="array" aca="1" ref="G10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05" s="1219">
        <f ca="1">IFERROR(LEN(IF(OR(LEFT(LineupsData[[#This Row],[J_Box]],1)="$",LEFT(LineupsData[[#This Row],[J_Box]],1)="S"),RIGHT(LineupsData[[#This Row],[J_Box]],LEN(LineupsData[[#This Row],[J_Box]])-1),LineupsData[[#This Row],[J_Box]])),"")</f>
        <v>0</v>
      </c>
      <c r="I105" s="1219">
        <f t="array" aca="1" ref="I105" ca="1">INDIRECT($AA$24&amp;INDEX(LineupsSearch[],MATCH(LineupsData[[#This Row],[Home?]]&amp;LineupsData[[#Headers],[Pivot]],LineupsSearch[Home?]&amp;LineupsSearch[Item],1),3)&amp;LineupsData[[#This Row],[RefRow]])</f>
        <v>0</v>
      </c>
      <c r="J105" s="1219" t="str">
        <f t="array" aca="1" ref="J10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05" s="1219">
        <f ca="1">IFERROR(LEN(IF(OR(LEFT(LineupsData[[#This Row],[P_Box]],1)="$",LEFT(LineupsData[[#This Row],[P_Box]],1)="S"),RIGHT(LineupsData[[#This Row],[P_Box]],LEN(LineupsData[[#This Row],[P_Box]])-1),LineupsData[[#This Row],[P_Box]])),"")</f>
        <v>0</v>
      </c>
      <c r="L105" s="1219">
        <f t="array" aca="1" ref="L105" ca="1">INDIRECT($AA$24&amp;INDEX(LineupsSearch[],MATCH(LineupsData[[#This Row],[Home?]]&amp;LineupsData[[#Headers],[B1]],LineupsSearch[Home?]&amp;LineupsSearch[Item],1),3)&amp;LineupsData[[#This Row],[RefRow]])</f>
        <v>0</v>
      </c>
      <c r="M105" s="1219" t="str">
        <f t="array" aca="1" ref="M10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05" s="1219">
        <f ca="1">IFERROR(LEN(IF(OR(LEFT(LineupsData[[#This Row],[B1_Box]],1)="$",LEFT(LineupsData[[#This Row],[B1_Box]],1)="S"),RIGHT(LineupsData[[#This Row],[B1_Box]],LEN(LineupsData[[#This Row],[B1_Box]])-1),LineupsData[[#This Row],[B1_Box]])),"")</f>
        <v>0</v>
      </c>
      <c r="O105" s="1219">
        <f t="array" aca="1" ref="O105" ca="1">INDIRECT($AA$24&amp;INDEX(LineupsSearch[],MATCH(LineupsData[[#This Row],[Home?]]&amp;LineupsData[[#Headers],[B2]],LineupsSearch[Home?]&amp;LineupsSearch[Item],1),3)&amp;LineupsData[[#This Row],[RefRow]])</f>
        <v>0</v>
      </c>
      <c r="P105" s="1219" t="str">
        <f t="array" aca="1" ref="P10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05" s="1219">
        <f ca="1">IFERROR(LEN(IF(OR(LEFT(LineupsData[[#This Row],[B2_Box]],1)="$",LEFT(LineupsData[[#This Row],[B2_Box]],1)="S"),RIGHT(LineupsData[[#This Row],[B2_Box]],LEN(LineupsData[[#This Row],[B2_Box]])-1),LineupsData[[#This Row],[B2_Box]])),"")</f>
        <v>0</v>
      </c>
      <c r="R105" s="1219">
        <f t="array" aca="1" ref="R105" ca="1">INDIRECT($AA$24&amp;INDEX(LineupsSearch[],MATCH(LineupsData[[#This Row],[Home?]]&amp;LineupsData[[#Headers],[B3]],LineupsSearch[Home?]&amp;LineupsSearch[Item],1),3)&amp;LineupsData[[#This Row],[RefRow]])</f>
        <v>0</v>
      </c>
      <c r="S105" s="1219" t="str">
        <f t="array" aca="1" ref="S10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05" s="1219">
        <f ca="1">IFERROR(LEN(IF(OR(LEFT(LineupsData[[#This Row],[B3_Box]],1)="$",LEFT(LineupsData[[#This Row],[B3_Box]],1)="S"),RIGHT(LineupsData[[#This Row],[B3_Box]],LEN(LineupsData[[#This Row],[B3_Box]])-1),LineupsData[[#This Row],[B3_Box]])),"")</f>
        <v>0</v>
      </c>
      <c r="U105" s="1219" t="b">
        <f t="array" aca="1" ref="U10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05" s="1219" t="b">
        <v>1</v>
      </c>
      <c r="W105" s="1219">
        <v>73</v>
      </c>
    </row>
    <row r="106" spans="1:23" x14ac:dyDescent="0.25">
      <c r="A106" s="1218">
        <f>[1]IBRF!$B$5</f>
        <v>41734</v>
      </c>
      <c r="B106" s="1221">
        <f t="shared" si="3"/>
        <v>0.83333333333333337</v>
      </c>
      <c r="C106" s="1219">
        <v>2</v>
      </c>
      <c r="D106" s="1219">
        <f t="array" aca="1" ref="D106" ca="1">IF(LineupsData[[#This Row],[Passed?]],D105,IF(INDIRECT($AA$24&amp;INDEX(LineupsSearch[],MATCH(LineupsData[[#This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06" s="1219" t="str">
        <f t="shared" si="4"/>
        <v>Plan B</v>
      </c>
      <c r="F106" s="1219" t="str">
        <f t="array" aca="1" ref="F106" ca="1">INDIRECT($AA$24&amp;INDEX(LineupsSearch[],MATCH(LineupsData[[#This Row],[Home?]]&amp;LineupsData[[#Headers],[Jammer]],LineupsSearch[Home?]&amp;LineupsSearch[Item],1),3)&amp;LineupsData[[#This Row],[RefRow]])</f>
        <v/>
      </c>
      <c r="G106" s="1219" t="str">
        <f t="array" aca="1" ref="G10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06" s="1219">
        <f ca="1">IFERROR(LEN(IF(OR(LEFT(LineupsData[[#This Row],[J_Box]],1)="$",LEFT(LineupsData[[#This Row],[J_Box]],1)="S"),RIGHT(LineupsData[[#This Row],[J_Box]],LEN(LineupsData[[#This Row],[J_Box]])-1),LineupsData[[#This Row],[J_Box]])),"")</f>
        <v>0</v>
      </c>
      <c r="I106" s="1219">
        <f t="array" aca="1" ref="I106" ca="1">INDIRECT($AA$24&amp;INDEX(LineupsSearch[],MATCH(LineupsData[[#This Row],[Home?]]&amp;LineupsData[[#Headers],[Pivot]],LineupsSearch[Home?]&amp;LineupsSearch[Item],1),3)&amp;LineupsData[[#This Row],[RefRow]])</f>
        <v>0</v>
      </c>
      <c r="J106" s="1219" t="str">
        <f t="array" aca="1" ref="J10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06" s="1219">
        <f ca="1">IFERROR(LEN(IF(OR(LEFT(LineupsData[[#This Row],[P_Box]],1)="$",LEFT(LineupsData[[#This Row],[P_Box]],1)="S"),RIGHT(LineupsData[[#This Row],[P_Box]],LEN(LineupsData[[#This Row],[P_Box]])-1),LineupsData[[#This Row],[P_Box]])),"")</f>
        <v>0</v>
      </c>
      <c r="L106" s="1219">
        <f t="array" aca="1" ref="L106" ca="1">INDIRECT($AA$24&amp;INDEX(LineupsSearch[],MATCH(LineupsData[[#This Row],[Home?]]&amp;LineupsData[[#Headers],[B1]],LineupsSearch[Home?]&amp;LineupsSearch[Item],1),3)&amp;LineupsData[[#This Row],[RefRow]])</f>
        <v>0</v>
      </c>
      <c r="M106" s="1219" t="str">
        <f t="array" aca="1" ref="M10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06" s="1219">
        <f ca="1">IFERROR(LEN(IF(OR(LEFT(LineupsData[[#This Row],[B1_Box]],1)="$",LEFT(LineupsData[[#This Row],[B1_Box]],1)="S"),RIGHT(LineupsData[[#This Row],[B1_Box]],LEN(LineupsData[[#This Row],[B1_Box]])-1),LineupsData[[#This Row],[B1_Box]])),"")</f>
        <v>0</v>
      </c>
      <c r="O106" s="1219">
        <f t="array" aca="1" ref="O106" ca="1">INDIRECT($AA$24&amp;INDEX(LineupsSearch[],MATCH(LineupsData[[#This Row],[Home?]]&amp;LineupsData[[#Headers],[B2]],LineupsSearch[Home?]&amp;LineupsSearch[Item],1),3)&amp;LineupsData[[#This Row],[RefRow]])</f>
        <v>0</v>
      </c>
      <c r="P106" s="1219" t="str">
        <f t="array" aca="1" ref="P10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06" s="1219">
        <f ca="1">IFERROR(LEN(IF(OR(LEFT(LineupsData[[#This Row],[B2_Box]],1)="$",LEFT(LineupsData[[#This Row],[B2_Box]],1)="S"),RIGHT(LineupsData[[#This Row],[B2_Box]],LEN(LineupsData[[#This Row],[B2_Box]])-1),LineupsData[[#This Row],[B2_Box]])),"")</f>
        <v>0</v>
      </c>
      <c r="R106" s="1219">
        <f t="array" aca="1" ref="R106" ca="1">INDIRECT($AA$24&amp;INDEX(LineupsSearch[],MATCH(LineupsData[[#This Row],[Home?]]&amp;LineupsData[[#Headers],[B3]],LineupsSearch[Home?]&amp;LineupsSearch[Item],1),3)&amp;LineupsData[[#This Row],[RefRow]])</f>
        <v>0</v>
      </c>
      <c r="S106" s="1219" t="str">
        <f t="array" aca="1" ref="S10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06" s="1219">
        <f ca="1">IFERROR(LEN(IF(OR(LEFT(LineupsData[[#This Row],[B3_Box]],1)="$",LEFT(LineupsData[[#This Row],[B3_Box]],1)="S"),RIGHT(LineupsData[[#This Row],[B3_Box]],LEN(LineupsData[[#This Row],[B3_Box]])-1),LineupsData[[#This Row],[B3_Box]])),"")</f>
        <v>0</v>
      </c>
      <c r="U106" s="1219" t="b">
        <f t="array" aca="1" ref="U10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06" s="1219" t="b">
        <v>1</v>
      </c>
      <c r="W106" s="1219">
        <v>74</v>
      </c>
    </row>
    <row r="107" spans="1:23" x14ac:dyDescent="0.25">
      <c r="A107" s="1218">
        <f>[1]IBRF!$B$5</f>
        <v>41734</v>
      </c>
      <c r="B107" s="1221">
        <f t="shared" si="3"/>
        <v>0.83333333333333337</v>
      </c>
      <c r="C107" s="1219">
        <v>2</v>
      </c>
      <c r="D107" s="1219">
        <f t="array" aca="1" ref="D107" ca="1">IF(LineupsData[[#This Row],[Passed?]],D106,IF(INDIRECT($AA$24&amp;INDEX(LineupsSearch[],MATCH(LineupsData[[#This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07" s="1219" t="str">
        <f t="shared" si="4"/>
        <v>Plan B</v>
      </c>
      <c r="F107" s="1219" t="str">
        <f t="array" aca="1" ref="F107" ca="1">INDIRECT($AA$24&amp;INDEX(LineupsSearch[],MATCH(LineupsData[[#This Row],[Home?]]&amp;LineupsData[[#Headers],[Jammer]],LineupsSearch[Home?]&amp;LineupsSearch[Item],1),3)&amp;LineupsData[[#This Row],[RefRow]])</f>
        <v/>
      </c>
      <c r="G107" s="1219" t="str">
        <f t="array" aca="1" ref="G10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07" s="1219">
        <f ca="1">IFERROR(LEN(IF(OR(LEFT(LineupsData[[#This Row],[J_Box]],1)="$",LEFT(LineupsData[[#This Row],[J_Box]],1)="S"),RIGHT(LineupsData[[#This Row],[J_Box]],LEN(LineupsData[[#This Row],[J_Box]])-1),LineupsData[[#This Row],[J_Box]])),"")</f>
        <v>0</v>
      </c>
      <c r="I107" s="1219">
        <f t="array" aca="1" ref="I107" ca="1">INDIRECT($AA$24&amp;INDEX(LineupsSearch[],MATCH(LineupsData[[#This Row],[Home?]]&amp;LineupsData[[#Headers],[Pivot]],LineupsSearch[Home?]&amp;LineupsSearch[Item],1),3)&amp;LineupsData[[#This Row],[RefRow]])</f>
        <v>0</v>
      </c>
      <c r="J107" s="1219" t="str">
        <f t="array" aca="1" ref="J10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07" s="1219">
        <f ca="1">IFERROR(LEN(IF(OR(LEFT(LineupsData[[#This Row],[P_Box]],1)="$",LEFT(LineupsData[[#This Row],[P_Box]],1)="S"),RIGHT(LineupsData[[#This Row],[P_Box]],LEN(LineupsData[[#This Row],[P_Box]])-1),LineupsData[[#This Row],[P_Box]])),"")</f>
        <v>0</v>
      </c>
      <c r="L107" s="1219">
        <f t="array" aca="1" ref="L107" ca="1">INDIRECT($AA$24&amp;INDEX(LineupsSearch[],MATCH(LineupsData[[#This Row],[Home?]]&amp;LineupsData[[#Headers],[B1]],LineupsSearch[Home?]&amp;LineupsSearch[Item],1),3)&amp;LineupsData[[#This Row],[RefRow]])</f>
        <v>0</v>
      </c>
      <c r="M107" s="1219" t="str">
        <f t="array" aca="1" ref="M10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07" s="1219">
        <f ca="1">IFERROR(LEN(IF(OR(LEFT(LineupsData[[#This Row],[B1_Box]],1)="$",LEFT(LineupsData[[#This Row],[B1_Box]],1)="S"),RIGHT(LineupsData[[#This Row],[B1_Box]],LEN(LineupsData[[#This Row],[B1_Box]])-1),LineupsData[[#This Row],[B1_Box]])),"")</f>
        <v>0</v>
      </c>
      <c r="O107" s="1219">
        <f t="array" aca="1" ref="O107" ca="1">INDIRECT($AA$24&amp;INDEX(LineupsSearch[],MATCH(LineupsData[[#This Row],[Home?]]&amp;LineupsData[[#Headers],[B2]],LineupsSearch[Home?]&amp;LineupsSearch[Item],1),3)&amp;LineupsData[[#This Row],[RefRow]])</f>
        <v>0</v>
      </c>
      <c r="P107" s="1219" t="str">
        <f t="array" aca="1" ref="P10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07" s="1219">
        <f ca="1">IFERROR(LEN(IF(OR(LEFT(LineupsData[[#This Row],[B2_Box]],1)="$",LEFT(LineupsData[[#This Row],[B2_Box]],1)="S"),RIGHT(LineupsData[[#This Row],[B2_Box]],LEN(LineupsData[[#This Row],[B2_Box]])-1),LineupsData[[#This Row],[B2_Box]])),"")</f>
        <v>0</v>
      </c>
      <c r="R107" s="1219">
        <f t="array" aca="1" ref="R107" ca="1">INDIRECT($AA$24&amp;INDEX(LineupsSearch[],MATCH(LineupsData[[#This Row],[Home?]]&amp;LineupsData[[#Headers],[B3]],LineupsSearch[Home?]&amp;LineupsSearch[Item],1),3)&amp;LineupsData[[#This Row],[RefRow]])</f>
        <v>0</v>
      </c>
      <c r="S107" s="1219" t="str">
        <f t="array" aca="1" ref="S10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07" s="1219">
        <f ca="1">IFERROR(LEN(IF(OR(LEFT(LineupsData[[#This Row],[B3_Box]],1)="$",LEFT(LineupsData[[#This Row],[B3_Box]],1)="S"),RIGHT(LineupsData[[#This Row],[B3_Box]],LEN(LineupsData[[#This Row],[B3_Box]])-1),LineupsData[[#This Row],[B3_Box]])),"")</f>
        <v>0</v>
      </c>
      <c r="U107" s="1219" t="b">
        <f t="array" aca="1" ref="U10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07" s="1219" t="b">
        <v>1</v>
      </c>
      <c r="W107" s="1219">
        <v>75</v>
      </c>
    </row>
    <row r="108" spans="1:23" x14ac:dyDescent="0.25">
      <c r="A108" s="1218">
        <f>[1]IBRF!$B$5</f>
        <v>41734</v>
      </c>
      <c r="B108" s="1221">
        <f t="shared" si="3"/>
        <v>0.83333333333333337</v>
      </c>
      <c r="C108" s="1219">
        <v>2</v>
      </c>
      <c r="D108" s="1219">
        <f t="array" aca="1" ref="D108" ca="1">IF(LineupsData[[#This Row],[Passed?]],D107,IF(INDIRECT($AA$24&amp;INDEX(LineupsSearch[],MATCH(LineupsData[[#This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08" s="1219" t="str">
        <f t="shared" si="4"/>
        <v>Plan B</v>
      </c>
      <c r="F108" s="1219" t="str">
        <f t="array" aca="1" ref="F108" ca="1">INDIRECT($AA$24&amp;INDEX(LineupsSearch[],MATCH(LineupsData[[#This Row],[Home?]]&amp;LineupsData[[#Headers],[Jammer]],LineupsSearch[Home?]&amp;LineupsSearch[Item],1),3)&amp;LineupsData[[#This Row],[RefRow]])</f>
        <v/>
      </c>
      <c r="G108" s="1219" t="str">
        <f t="array" aca="1" ref="G10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08" s="1219">
        <f ca="1">IFERROR(LEN(IF(OR(LEFT(LineupsData[[#This Row],[J_Box]],1)="$",LEFT(LineupsData[[#This Row],[J_Box]],1)="S"),RIGHT(LineupsData[[#This Row],[J_Box]],LEN(LineupsData[[#This Row],[J_Box]])-1),LineupsData[[#This Row],[J_Box]])),"")</f>
        <v>0</v>
      </c>
      <c r="I108" s="1219">
        <f t="array" aca="1" ref="I108" ca="1">INDIRECT($AA$24&amp;INDEX(LineupsSearch[],MATCH(LineupsData[[#This Row],[Home?]]&amp;LineupsData[[#Headers],[Pivot]],LineupsSearch[Home?]&amp;LineupsSearch[Item],1),3)&amp;LineupsData[[#This Row],[RefRow]])</f>
        <v>0</v>
      </c>
      <c r="J108" s="1219" t="str">
        <f t="array" aca="1" ref="J10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08" s="1219">
        <f ca="1">IFERROR(LEN(IF(OR(LEFT(LineupsData[[#This Row],[P_Box]],1)="$",LEFT(LineupsData[[#This Row],[P_Box]],1)="S"),RIGHT(LineupsData[[#This Row],[P_Box]],LEN(LineupsData[[#This Row],[P_Box]])-1),LineupsData[[#This Row],[P_Box]])),"")</f>
        <v>0</v>
      </c>
      <c r="L108" s="1219">
        <f t="array" aca="1" ref="L108" ca="1">INDIRECT($AA$24&amp;INDEX(LineupsSearch[],MATCH(LineupsData[[#This Row],[Home?]]&amp;LineupsData[[#Headers],[B1]],LineupsSearch[Home?]&amp;LineupsSearch[Item],1),3)&amp;LineupsData[[#This Row],[RefRow]])</f>
        <v>0</v>
      </c>
      <c r="M108" s="1219" t="str">
        <f t="array" aca="1" ref="M10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08" s="1219">
        <f ca="1">IFERROR(LEN(IF(OR(LEFT(LineupsData[[#This Row],[B1_Box]],1)="$",LEFT(LineupsData[[#This Row],[B1_Box]],1)="S"),RIGHT(LineupsData[[#This Row],[B1_Box]],LEN(LineupsData[[#This Row],[B1_Box]])-1),LineupsData[[#This Row],[B1_Box]])),"")</f>
        <v>0</v>
      </c>
      <c r="O108" s="1219">
        <f t="array" aca="1" ref="O108" ca="1">INDIRECT($AA$24&amp;INDEX(LineupsSearch[],MATCH(LineupsData[[#This Row],[Home?]]&amp;LineupsData[[#Headers],[B2]],LineupsSearch[Home?]&amp;LineupsSearch[Item],1),3)&amp;LineupsData[[#This Row],[RefRow]])</f>
        <v>0</v>
      </c>
      <c r="P108" s="1219" t="str">
        <f t="array" aca="1" ref="P10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08" s="1219">
        <f ca="1">IFERROR(LEN(IF(OR(LEFT(LineupsData[[#This Row],[B2_Box]],1)="$",LEFT(LineupsData[[#This Row],[B2_Box]],1)="S"),RIGHT(LineupsData[[#This Row],[B2_Box]],LEN(LineupsData[[#This Row],[B2_Box]])-1),LineupsData[[#This Row],[B2_Box]])),"")</f>
        <v>0</v>
      </c>
      <c r="R108" s="1219">
        <f t="array" aca="1" ref="R108" ca="1">INDIRECT($AA$24&amp;INDEX(LineupsSearch[],MATCH(LineupsData[[#This Row],[Home?]]&amp;LineupsData[[#Headers],[B3]],LineupsSearch[Home?]&amp;LineupsSearch[Item],1),3)&amp;LineupsData[[#This Row],[RefRow]])</f>
        <v>0</v>
      </c>
      <c r="S108" s="1219" t="str">
        <f t="array" aca="1" ref="S10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08" s="1219">
        <f ca="1">IFERROR(LEN(IF(OR(LEFT(LineupsData[[#This Row],[B3_Box]],1)="$",LEFT(LineupsData[[#This Row],[B3_Box]],1)="S"),RIGHT(LineupsData[[#This Row],[B3_Box]],LEN(LineupsData[[#This Row],[B3_Box]])-1),LineupsData[[#This Row],[B3_Box]])),"")</f>
        <v>0</v>
      </c>
      <c r="U108" s="1219" t="b">
        <f t="array" aca="1" ref="U10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08" s="1219" t="b">
        <v>1</v>
      </c>
      <c r="W108" s="1219">
        <v>76</v>
      </c>
    </row>
    <row r="109" spans="1:23" x14ac:dyDescent="0.25">
      <c r="A109" s="1218">
        <f>[1]IBRF!$B$5</f>
        <v>41734</v>
      </c>
      <c r="B109" s="1221">
        <f t="shared" si="3"/>
        <v>0.83333333333333337</v>
      </c>
      <c r="C109" s="1219">
        <v>2</v>
      </c>
      <c r="D109" s="1219">
        <f t="array" aca="1" ref="D109" ca="1">IF(LineupsData[[#This Row],[Passed?]],D108,IF(INDIRECT($AA$24&amp;INDEX(LineupsSearch[],MATCH(LineupsData[[#This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09" s="1219" t="str">
        <f t="shared" si="4"/>
        <v>Plan B</v>
      </c>
      <c r="F109" s="1219" t="str">
        <f t="array" aca="1" ref="F109" ca="1">INDIRECT($AA$24&amp;INDEX(LineupsSearch[],MATCH(LineupsData[[#This Row],[Home?]]&amp;LineupsData[[#Headers],[Jammer]],LineupsSearch[Home?]&amp;LineupsSearch[Item],1),3)&amp;LineupsData[[#This Row],[RefRow]])</f>
        <v/>
      </c>
      <c r="G109" s="1219" t="str">
        <f t="array" aca="1" ref="G10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09" s="1219">
        <f ca="1">IFERROR(LEN(IF(OR(LEFT(LineupsData[[#This Row],[J_Box]],1)="$",LEFT(LineupsData[[#This Row],[J_Box]],1)="S"),RIGHT(LineupsData[[#This Row],[J_Box]],LEN(LineupsData[[#This Row],[J_Box]])-1),LineupsData[[#This Row],[J_Box]])),"")</f>
        <v>0</v>
      </c>
      <c r="I109" s="1219">
        <f t="array" aca="1" ref="I109" ca="1">INDIRECT($AA$24&amp;INDEX(LineupsSearch[],MATCH(LineupsData[[#This Row],[Home?]]&amp;LineupsData[[#Headers],[Pivot]],LineupsSearch[Home?]&amp;LineupsSearch[Item],1),3)&amp;LineupsData[[#This Row],[RefRow]])</f>
        <v>0</v>
      </c>
      <c r="J109" s="1219" t="str">
        <f t="array" aca="1" ref="J10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09" s="1219">
        <f ca="1">IFERROR(LEN(IF(OR(LEFT(LineupsData[[#This Row],[P_Box]],1)="$",LEFT(LineupsData[[#This Row],[P_Box]],1)="S"),RIGHT(LineupsData[[#This Row],[P_Box]],LEN(LineupsData[[#This Row],[P_Box]])-1),LineupsData[[#This Row],[P_Box]])),"")</f>
        <v>0</v>
      </c>
      <c r="L109" s="1219">
        <f t="array" aca="1" ref="L109" ca="1">INDIRECT($AA$24&amp;INDEX(LineupsSearch[],MATCH(LineupsData[[#This Row],[Home?]]&amp;LineupsData[[#Headers],[B1]],LineupsSearch[Home?]&amp;LineupsSearch[Item],1),3)&amp;LineupsData[[#This Row],[RefRow]])</f>
        <v>0</v>
      </c>
      <c r="M109" s="1219" t="str">
        <f t="array" aca="1" ref="M10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09" s="1219">
        <f ca="1">IFERROR(LEN(IF(OR(LEFT(LineupsData[[#This Row],[B1_Box]],1)="$",LEFT(LineupsData[[#This Row],[B1_Box]],1)="S"),RIGHT(LineupsData[[#This Row],[B1_Box]],LEN(LineupsData[[#This Row],[B1_Box]])-1),LineupsData[[#This Row],[B1_Box]])),"")</f>
        <v>0</v>
      </c>
      <c r="O109" s="1219">
        <f t="array" aca="1" ref="O109" ca="1">INDIRECT($AA$24&amp;INDEX(LineupsSearch[],MATCH(LineupsData[[#This Row],[Home?]]&amp;LineupsData[[#Headers],[B2]],LineupsSearch[Home?]&amp;LineupsSearch[Item],1),3)&amp;LineupsData[[#This Row],[RefRow]])</f>
        <v>0</v>
      </c>
      <c r="P109" s="1219" t="str">
        <f t="array" aca="1" ref="P10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09" s="1219">
        <f ca="1">IFERROR(LEN(IF(OR(LEFT(LineupsData[[#This Row],[B2_Box]],1)="$",LEFT(LineupsData[[#This Row],[B2_Box]],1)="S"),RIGHT(LineupsData[[#This Row],[B2_Box]],LEN(LineupsData[[#This Row],[B2_Box]])-1),LineupsData[[#This Row],[B2_Box]])),"")</f>
        <v>0</v>
      </c>
      <c r="R109" s="1219">
        <f t="array" aca="1" ref="R109" ca="1">INDIRECT($AA$24&amp;INDEX(LineupsSearch[],MATCH(LineupsData[[#This Row],[Home?]]&amp;LineupsData[[#Headers],[B3]],LineupsSearch[Home?]&amp;LineupsSearch[Item],1),3)&amp;LineupsData[[#This Row],[RefRow]])</f>
        <v>0</v>
      </c>
      <c r="S109" s="1219" t="str">
        <f t="array" aca="1" ref="S10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09" s="1219">
        <f ca="1">IFERROR(LEN(IF(OR(LEFT(LineupsData[[#This Row],[B3_Box]],1)="$",LEFT(LineupsData[[#This Row],[B3_Box]],1)="S"),RIGHT(LineupsData[[#This Row],[B3_Box]],LEN(LineupsData[[#This Row],[B3_Box]])-1),LineupsData[[#This Row],[B3_Box]])),"")</f>
        <v>0</v>
      </c>
      <c r="U109" s="1219" t="b">
        <f t="array" aca="1" ref="U10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09" s="1219" t="b">
        <v>1</v>
      </c>
      <c r="W109" s="1219">
        <v>77</v>
      </c>
    </row>
    <row r="110" spans="1:23" x14ac:dyDescent="0.25">
      <c r="A110" s="1218">
        <f>[1]IBRF!$B$5</f>
        <v>41734</v>
      </c>
      <c r="B110" s="1221">
        <f t="shared" si="3"/>
        <v>0.83333333333333337</v>
      </c>
      <c r="C110" s="1219">
        <v>2</v>
      </c>
      <c r="D110" s="1219">
        <f t="array" aca="1" ref="D110" ca="1">IF(LineupsData[[#This Row],[Passed?]],D109,IF(INDIRECT($AA$24&amp;INDEX(LineupsSearch[],MATCH(LineupsData[[#This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10" s="1219" t="str">
        <f t="shared" si="4"/>
        <v>Plan B</v>
      </c>
      <c r="F110" s="1219" t="str">
        <f t="array" aca="1" ref="F110" ca="1">INDIRECT($AA$24&amp;INDEX(LineupsSearch[],MATCH(LineupsData[[#This Row],[Home?]]&amp;LineupsData[[#Headers],[Jammer]],LineupsSearch[Home?]&amp;LineupsSearch[Item],1),3)&amp;LineupsData[[#This Row],[RefRow]])</f>
        <v/>
      </c>
      <c r="G110" s="1219" t="str">
        <f t="array" aca="1" ref="G11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10" s="1219">
        <f ca="1">IFERROR(LEN(IF(OR(LEFT(LineupsData[[#This Row],[J_Box]],1)="$",LEFT(LineupsData[[#This Row],[J_Box]],1)="S"),RIGHT(LineupsData[[#This Row],[J_Box]],LEN(LineupsData[[#This Row],[J_Box]])-1),LineupsData[[#This Row],[J_Box]])),"")</f>
        <v>0</v>
      </c>
      <c r="I110" s="1219">
        <f t="array" aca="1" ref="I110" ca="1">INDIRECT($AA$24&amp;INDEX(LineupsSearch[],MATCH(LineupsData[[#This Row],[Home?]]&amp;LineupsData[[#Headers],[Pivot]],LineupsSearch[Home?]&amp;LineupsSearch[Item],1),3)&amp;LineupsData[[#This Row],[RefRow]])</f>
        <v>0</v>
      </c>
      <c r="J110" s="1219" t="str">
        <f t="array" aca="1" ref="J11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10" s="1219">
        <f ca="1">IFERROR(LEN(IF(OR(LEFT(LineupsData[[#This Row],[P_Box]],1)="$",LEFT(LineupsData[[#This Row],[P_Box]],1)="S"),RIGHT(LineupsData[[#This Row],[P_Box]],LEN(LineupsData[[#This Row],[P_Box]])-1),LineupsData[[#This Row],[P_Box]])),"")</f>
        <v>0</v>
      </c>
      <c r="L110" s="1219">
        <f t="array" aca="1" ref="L110" ca="1">INDIRECT($AA$24&amp;INDEX(LineupsSearch[],MATCH(LineupsData[[#This Row],[Home?]]&amp;LineupsData[[#Headers],[B1]],LineupsSearch[Home?]&amp;LineupsSearch[Item],1),3)&amp;LineupsData[[#This Row],[RefRow]])</f>
        <v>0</v>
      </c>
      <c r="M110" s="1219" t="str">
        <f t="array" aca="1" ref="M11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10" s="1219">
        <f ca="1">IFERROR(LEN(IF(OR(LEFT(LineupsData[[#This Row],[B1_Box]],1)="$",LEFT(LineupsData[[#This Row],[B1_Box]],1)="S"),RIGHT(LineupsData[[#This Row],[B1_Box]],LEN(LineupsData[[#This Row],[B1_Box]])-1),LineupsData[[#This Row],[B1_Box]])),"")</f>
        <v>0</v>
      </c>
      <c r="O110" s="1219">
        <f t="array" aca="1" ref="O110" ca="1">INDIRECT($AA$24&amp;INDEX(LineupsSearch[],MATCH(LineupsData[[#This Row],[Home?]]&amp;LineupsData[[#Headers],[B2]],LineupsSearch[Home?]&amp;LineupsSearch[Item],1),3)&amp;LineupsData[[#This Row],[RefRow]])</f>
        <v>0</v>
      </c>
      <c r="P110" s="1219" t="str">
        <f t="array" aca="1" ref="P11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10" s="1219">
        <f ca="1">IFERROR(LEN(IF(OR(LEFT(LineupsData[[#This Row],[B2_Box]],1)="$",LEFT(LineupsData[[#This Row],[B2_Box]],1)="S"),RIGHT(LineupsData[[#This Row],[B2_Box]],LEN(LineupsData[[#This Row],[B2_Box]])-1),LineupsData[[#This Row],[B2_Box]])),"")</f>
        <v>0</v>
      </c>
      <c r="R110" s="1219">
        <f t="array" aca="1" ref="R110" ca="1">INDIRECT($AA$24&amp;INDEX(LineupsSearch[],MATCH(LineupsData[[#This Row],[Home?]]&amp;LineupsData[[#Headers],[B3]],LineupsSearch[Home?]&amp;LineupsSearch[Item],1),3)&amp;LineupsData[[#This Row],[RefRow]])</f>
        <v>0</v>
      </c>
      <c r="S110" s="1219" t="str">
        <f t="array" aca="1" ref="S11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10" s="1219">
        <f ca="1">IFERROR(LEN(IF(OR(LEFT(LineupsData[[#This Row],[B3_Box]],1)="$",LEFT(LineupsData[[#This Row],[B3_Box]],1)="S"),RIGHT(LineupsData[[#This Row],[B3_Box]],LEN(LineupsData[[#This Row],[B3_Box]])-1),LineupsData[[#This Row],[B3_Box]])),"")</f>
        <v>0</v>
      </c>
      <c r="U110" s="1219" t="b">
        <f t="array" aca="1" ref="U11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10" s="1219" t="b">
        <v>1</v>
      </c>
      <c r="W110" s="1219">
        <v>78</v>
      </c>
    </row>
    <row r="111" spans="1:23" x14ac:dyDescent="0.25">
      <c r="A111" s="1218">
        <f>[1]IBRF!$B$5</f>
        <v>41734</v>
      </c>
      <c r="B111" s="1221">
        <f t="shared" si="3"/>
        <v>0.83333333333333337</v>
      </c>
      <c r="C111" s="1219">
        <v>2</v>
      </c>
      <c r="D111" s="1219">
        <f t="array" aca="1" ref="D111" ca="1">IF(LineupsData[[#This Row],[Passed?]],D110,IF(INDIRECT($AA$24&amp;INDEX(LineupsSearch[],MATCH(LineupsData[[#This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11" s="1219" t="str">
        <f t="shared" si="4"/>
        <v>Plan B</v>
      </c>
      <c r="F111" s="1219" t="str">
        <f t="array" aca="1" ref="F111" ca="1">INDIRECT($AA$24&amp;INDEX(LineupsSearch[],MATCH(LineupsData[[#This Row],[Home?]]&amp;LineupsData[[#Headers],[Jammer]],LineupsSearch[Home?]&amp;LineupsSearch[Item],1),3)&amp;LineupsData[[#This Row],[RefRow]])</f>
        <v/>
      </c>
      <c r="G111" s="1219" t="str">
        <f t="array" aca="1" ref="G11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11" s="1219">
        <f ca="1">IFERROR(LEN(IF(OR(LEFT(LineupsData[[#This Row],[J_Box]],1)="$",LEFT(LineupsData[[#This Row],[J_Box]],1)="S"),RIGHT(LineupsData[[#This Row],[J_Box]],LEN(LineupsData[[#This Row],[J_Box]])-1),LineupsData[[#This Row],[J_Box]])),"")</f>
        <v>0</v>
      </c>
      <c r="I111" s="1219">
        <f t="array" aca="1" ref="I111" ca="1">INDIRECT($AA$24&amp;INDEX(LineupsSearch[],MATCH(LineupsData[[#This Row],[Home?]]&amp;LineupsData[[#Headers],[Pivot]],LineupsSearch[Home?]&amp;LineupsSearch[Item],1),3)&amp;LineupsData[[#This Row],[RefRow]])</f>
        <v>0</v>
      </c>
      <c r="J111" s="1219" t="str">
        <f t="array" aca="1" ref="J11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11" s="1219">
        <f ca="1">IFERROR(LEN(IF(OR(LEFT(LineupsData[[#This Row],[P_Box]],1)="$",LEFT(LineupsData[[#This Row],[P_Box]],1)="S"),RIGHT(LineupsData[[#This Row],[P_Box]],LEN(LineupsData[[#This Row],[P_Box]])-1),LineupsData[[#This Row],[P_Box]])),"")</f>
        <v>0</v>
      </c>
      <c r="L111" s="1219">
        <f t="array" aca="1" ref="L111" ca="1">INDIRECT($AA$24&amp;INDEX(LineupsSearch[],MATCH(LineupsData[[#This Row],[Home?]]&amp;LineupsData[[#Headers],[B1]],LineupsSearch[Home?]&amp;LineupsSearch[Item],1),3)&amp;LineupsData[[#This Row],[RefRow]])</f>
        <v>0</v>
      </c>
      <c r="M111" s="1219" t="str">
        <f t="array" aca="1" ref="M11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11" s="1219">
        <f ca="1">IFERROR(LEN(IF(OR(LEFT(LineupsData[[#This Row],[B1_Box]],1)="$",LEFT(LineupsData[[#This Row],[B1_Box]],1)="S"),RIGHT(LineupsData[[#This Row],[B1_Box]],LEN(LineupsData[[#This Row],[B1_Box]])-1),LineupsData[[#This Row],[B1_Box]])),"")</f>
        <v>0</v>
      </c>
      <c r="O111" s="1219">
        <f t="array" aca="1" ref="O111" ca="1">INDIRECT($AA$24&amp;INDEX(LineupsSearch[],MATCH(LineupsData[[#This Row],[Home?]]&amp;LineupsData[[#Headers],[B2]],LineupsSearch[Home?]&amp;LineupsSearch[Item],1),3)&amp;LineupsData[[#This Row],[RefRow]])</f>
        <v>0</v>
      </c>
      <c r="P111" s="1219" t="str">
        <f t="array" aca="1" ref="P11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11" s="1219">
        <f ca="1">IFERROR(LEN(IF(OR(LEFT(LineupsData[[#This Row],[B2_Box]],1)="$",LEFT(LineupsData[[#This Row],[B2_Box]],1)="S"),RIGHT(LineupsData[[#This Row],[B2_Box]],LEN(LineupsData[[#This Row],[B2_Box]])-1),LineupsData[[#This Row],[B2_Box]])),"")</f>
        <v>0</v>
      </c>
      <c r="R111" s="1219">
        <f t="array" aca="1" ref="R111" ca="1">INDIRECT($AA$24&amp;INDEX(LineupsSearch[],MATCH(LineupsData[[#This Row],[Home?]]&amp;LineupsData[[#Headers],[B3]],LineupsSearch[Home?]&amp;LineupsSearch[Item],1),3)&amp;LineupsData[[#This Row],[RefRow]])</f>
        <v>0</v>
      </c>
      <c r="S111" s="1219" t="str">
        <f t="array" aca="1" ref="S11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11" s="1219">
        <f ca="1">IFERROR(LEN(IF(OR(LEFT(LineupsData[[#This Row],[B3_Box]],1)="$",LEFT(LineupsData[[#This Row],[B3_Box]],1)="S"),RIGHT(LineupsData[[#This Row],[B3_Box]],LEN(LineupsData[[#This Row],[B3_Box]])-1),LineupsData[[#This Row],[B3_Box]])),"")</f>
        <v>0</v>
      </c>
      <c r="U111" s="1219" t="b">
        <f t="array" aca="1" ref="U11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11" s="1219" t="b">
        <v>1</v>
      </c>
      <c r="W111" s="1219">
        <v>79</v>
      </c>
    </row>
    <row r="112" spans="1:23" x14ac:dyDescent="0.25">
      <c r="A112" s="1218">
        <f>[1]IBRF!$B$5</f>
        <v>41734</v>
      </c>
      <c r="B112" s="1221">
        <f t="shared" si="3"/>
        <v>0.83333333333333337</v>
      </c>
      <c r="C112" s="1219">
        <v>2</v>
      </c>
      <c r="D112" s="1219">
        <f t="array" aca="1" ref="D112" ca="1">IF(LineupsData[[#This Row],[Passed?]],D111,IF(INDIRECT($AA$24&amp;INDEX(LineupsSearch[],MATCH(LineupsData[[#This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12" s="1219" t="str">
        <f t="shared" si="4"/>
        <v>Plan B</v>
      </c>
      <c r="F112" s="1219" t="str">
        <f t="array" aca="1" ref="F112" ca="1">INDIRECT($AA$24&amp;INDEX(LineupsSearch[],MATCH(LineupsData[[#This Row],[Home?]]&amp;LineupsData[[#Headers],[Jammer]],LineupsSearch[Home?]&amp;LineupsSearch[Item],1),3)&amp;LineupsData[[#This Row],[RefRow]])</f>
        <v/>
      </c>
      <c r="G112" s="1219" t="str">
        <f t="array" aca="1" ref="G11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12" s="1219">
        <f ca="1">IFERROR(LEN(IF(OR(LEFT(LineupsData[[#This Row],[J_Box]],1)="$",LEFT(LineupsData[[#This Row],[J_Box]],1)="S"),RIGHT(LineupsData[[#This Row],[J_Box]],LEN(LineupsData[[#This Row],[J_Box]])-1),LineupsData[[#This Row],[J_Box]])),"")</f>
        <v>0</v>
      </c>
      <c r="I112" s="1219">
        <f t="array" aca="1" ref="I112" ca="1">INDIRECT($AA$24&amp;INDEX(LineupsSearch[],MATCH(LineupsData[[#This Row],[Home?]]&amp;LineupsData[[#Headers],[Pivot]],LineupsSearch[Home?]&amp;LineupsSearch[Item],1),3)&amp;LineupsData[[#This Row],[RefRow]])</f>
        <v>0</v>
      </c>
      <c r="J112" s="1219" t="str">
        <f t="array" aca="1" ref="J11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12" s="1219">
        <f ca="1">IFERROR(LEN(IF(OR(LEFT(LineupsData[[#This Row],[P_Box]],1)="$",LEFT(LineupsData[[#This Row],[P_Box]],1)="S"),RIGHT(LineupsData[[#This Row],[P_Box]],LEN(LineupsData[[#This Row],[P_Box]])-1),LineupsData[[#This Row],[P_Box]])),"")</f>
        <v>0</v>
      </c>
      <c r="L112" s="1219">
        <f t="array" aca="1" ref="L112" ca="1">INDIRECT($AA$24&amp;INDEX(LineupsSearch[],MATCH(LineupsData[[#This Row],[Home?]]&amp;LineupsData[[#Headers],[B1]],LineupsSearch[Home?]&amp;LineupsSearch[Item],1),3)&amp;LineupsData[[#This Row],[RefRow]])</f>
        <v>0</v>
      </c>
      <c r="M112" s="1219" t="str">
        <f t="array" aca="1" ref="M11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12" s="1219">
        <f ca="1">IFERROR(LEN(IF(OR(LEFT(LineupsData[[#This Row],[B1_Box]],1)="$",LEFT(LineupsData[[#This Row],[B1_Box]],1)="S"),RIGHT(LineupsData[[#This Row],[B1_Box]],LEN(LineupsData[[#This Row],[B1_Box]])-1),LineupsData[[#This Row],[B1_Box]])),"")</f>
        <v>0</v>
      </c>
      <c r="O112" s="1219">
        <f t="array" aca="1" ref="O112" ca="1">INDIRECT($AA$24&amp;INDEX(LineupsSearch[],MATCH(LineupsData[[#This Row],[Home?]]&amp;LineupsData[[#Headers],[B2]],LineupsSearch[Home?]&amp;LineupsSearch[Item],1),3)&amp;LineupsData[[#This Row],[RefRow]])</f>
        <v>0</v>
      </c>
      <c r="P112" s="1219" t="str">
        <f t="array" aca="1" ref="P11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12" s="1219">
        <f ca="1">IFERROR(LEN(IF(OR(LEFT(LineupsData[[#This Row],[B2_Box]],1)="$",LEFT(LineupsData[[#This Row],[B2_Box]],1)="S"),RIGHT(LineupsData[[#This Row],[B2_Box]],LEN(LineupsData[[#This Row],[B2_Box]])-1),LineupsData[[#This Row],[B2_Box]])),"")</f>
        <v>0</v>
      </c>
      <c r="R112" s="1219">
        <f t="array" aca="1" ref="R112" ca="1">INDIRECT($AA$24&amp;INDEX(LineupsSearch[],MATCH(LineupsData[[#This Row],[Home?]]&amp;LineupsData[[#Headers],[B3]],LineupsSearch[Home?]&amp;LineupsSearch[Item],1),3)&amp;LineupsData[[#This Row],[RefRow]])</f>
        <v>0</v>
      </c>
      <c r="S112" s="1219" t="str">
        <f t="array" aca="1" ref="S11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12" s="1219">
        <f ca="1">IFERROR(LEN(IF(OR(LEFT(LineupsData[[#This Row],[B3_Box]],1)="$",LEFT(LineupsData[[#This Row],[B3_Box]],1)="S"),RIGHT(LineupsData[[#This Row],[B3_Box]],LEN(LineupsData[[#This Row],[B3_Box]])-1),LineupsData[[#This Row],[B3_Box]])),"")</f>
        <v>0</v>
      </c>
      <c r="U112" s="1219" t="b">
        <f t="array" aca="1" ref="U11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12" s="1219" t="b">
        <v>1</v>
      </c>
      <c r="W112" s="1219">
        <v>80</v>
      </c>
    </row>
    <row r="113" spans="1:23" x14ac:dyDescent="0.25">
      <c r="A113" s="1218">
        <f>[1]IBRF!$B$5</f>
        <v>41734</v>
      </c>
      <c r="B113" s="1221">
        <f t="shared" si="3"/>
        <v>0.83333333333333337</v>
      </c>
      <c r="C113" s="1219">
        <v>2</v>
      </c>
      <c r="D113" s="1219">
        <f t="array" aca="1" ref="D113" ca="1">IF(LineupsData[[#This Row],[Passed?]],D112,IF(INDIRECT($AA$24&amp;INDEX(LineupsSearch[],MATCH(LineupsData[[#This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13" s="1219" t="str">
        <f t="shared" si="4"/>
        <v>Plan B</v>
      </c>
      <c r="F113" s="1219" t="str">
        <f t="array" aca="1" ref="F113" ca="1">INDIRECT($AA$24&amp;INDEX(LineupsSearch[],MATCH(LineupsData[[#This Row],[Home?]]&amp;LineupsData[[#Headers],[Jammer]],LineupsSearch[Home?]&amp;LineupsSearch[Item],1),3)&amp;LineupsData[[#This Row],[RefRow]])</f>
        <v/>
      </c>
      <c r="G113" s="1219" t="str">
        <f t="array" aca="1" ref="G11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13" s="1219">
        <f ca="1">IFERROR(LEN(IF(OR(LEFT(LineupsData[[#This Row],[J_Box]],1)="$",LEFT(LineupsData[[#This Row],[J_Box]],1)="S"),RIGHT(LineupsData[[#This Row],[J_Box]],LEN(LineupsData[[#This Row],[J_Box]])-1),LineupsData[[#This Row],[J_Box]])),"")</f>
        <v>0</v>
      </c>
      <c r="I113" s="1219">
        <f t="array" aca="1" ref="I113" ca="1">INDIRECT($AA$24&amp;INDEX(LineupsSearch[],MATCH(LineupsData[[#This Row],[Home?]]&amp;LineupsData[[#Headers],[Pivot]],LineupsSearch[Home?]&amp;LineupsSearch[Item],1),3)&amp;LineupsData[[#This Row],[RefRow]])</f>
        <v>0</v>
      </c>
      <c r="J113" s="1219" t="str">
        <f t="array" aca="1" ref="J11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13" s="1219">
        <f ca="1">IFERROR(LEN(IF(OR(LEFT(LineupsData[[#This Row],[P_Box]],1)="$",LEFT(LineupsData[[#This Row],[P_Box]],1)="S"),RIGHT(LineupsData[[#This Row],[P_Box]],LEN(LineupsData[[#This Row],[P_Box]])-1),LineupsData[[#This Row],[P_Box]])),"")</f>
        <v>0</v>
      </c>
      <c r="L113" s="1219">
        <f t="array" aca="1" ref="L113" ca="1">INDIRECT($AA$24&amp;INDEX(LineupsSearch[],MATCH(LineupsData[[#This Row],[Home?]]&amp;LineupsData[[#Headers],[B1]],LineupsSearch[Home?]&amp;LineupsSearch[Item],1),3)&amp;LineupsData[[#This Row],[RefRow]])</f>
        <v>0</v>
      </c>
      <c r="M113" s="1219" t="str">
        <f t="array" aca="1" ref="M11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13" s="1219">
        <f ca="1">IFERROR(LEN(IF(OR(LEFT(LineupsData[[#This Row],[B1_Box]],1)="$",LEFT(LineupsData[[#This Row],[B1_Box]],1)="S"),RIGHT(LineupsData[[#This Row],[B1_Box]],LEN(LineupsData[[#This Row],[B1_Box]])-1),LineupsData[[#This Row],[B1_Box]])),"")</f>
        <v>0</v>
      </c>
      <c r="O113" s="1219">
        <f t="array" aca="1" ref="O113" ca="1">INDIRECT($AA$24&amp;INDEX(LineupsSearch[],MATCH(LineupsData[[#This Row],[Home?]]&amp;LineupsData[[#Headers],[B2]],LineupsSearch[Home?]&amp;LineupsSearch[Item],1),3)&amp;LineupsData[[#This Row],[RefRow]])</f>
        <v>0</v>
      </c>
      <c r="P113" s="1219" t="str">
        <f t="array" aca="1" ref="P11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13" s="1219">
        <f ca="1">IFERROR(LEN(IF(OR(LEFT(LineupsData[[#This Row],[B2_Box]],1)="$",LEFT(LineupsData[[#This Row],[B2_Box]],1)="S"),RIGHT(LineupsData[[#This Row],[B2_Box]],LEN(LineupsData[[#This Row],[B2_Box]])-1),LineupsData[[#This Row],[B2_Box]])),"")</f>
        <v>0</v>
      </c>
      <c r="R113" s="1219">
        <f t="array" aca="1" ref="R113" ca="1">INDIRECT($AA$24&amp;INDEX(LineupsSearch[],MATCH(LineupsData[[#This Row],[Home?]]&amp;LineupsData[[#Headers],[B3]],LineupsSearch[Home?]&amp;LineupsSearch[Item],1),3)&amp;LineupsData[[#This Row],[RefRow]])</f>
        <v>0</v>
      </c>
      <c r="S113" s="1219" t="str">
        <f t="array" aca="1" ref="S11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13" s="1219">
        <f ca="1">IFERROR(LEN(IF(OR(LEFT(LineupsData[[#This Row],[B3_Box]],1)="$",LEFT(LineupsData[[#This Row],[B3_Box]],1)="S"),RIGHT(LineupsData[[#This Row],[B3_Box]],LEN(LineupsData[[#This Row],[B3_Box]])-1),LineupsData[[#This Row],[B3_Box]])),"")</f>
        <v>0</v>
      </c>
      <c r="U113" s="1219" t="b">
        <f t="array" aca="1" ref="U11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13" s="1219" t="b">
        <v>1</v>
      </c>
      <c r="W113" s="1219">
        <v>81</v>
      </c>
    </row>
    <row r="114" spans="1:23" x14ac:dyDescent="0.25">
      <c r="A114" s="1218">
        <f>[1]IBRF!$B$5</f>
        <v>41734</v>
      </c>
      <c r="B114" s="1221">
        <f t="shared" si="3"/>
        <v>0.83333333333333337</v>
      </c>
      <c r="C114" s="1219">
        <v>2</v>
      </c>
      <c r="D114" s="1219">
        <f t="array" aca="1" ref="D114" ca="1">IF(LineupsData[[#This Row],[Passed?]],D113,IF(INDIRECT($AA$24&amp;INDEX(LineupsSearch[],MATCH(LineupsData[[#This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14" s="1219" t="str">
        <f t="shared" si="4"/>
        <v>Plan B</v>
      </c>
      <c r="F114" s="1219" t="str">
        <f t="array" aca="1" ref="F114" ca="1">INDIRECT($AA$24&amp;INDEX(LineupsSearch[],MATCH(LineupsData[[#This Row],[Home?]]&amp;LineupsData[[#Headers],[Jammer]],LineupsSearch[Home?]&amp;LineupsSearch[Item],1),3)&amp;LineupsData[[#This Row],[RefRow]])</f>
        <v/>
      </c>
      <c r="G114" s="1219" t="str">
        <f t="array" aca="1" ref="G11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14" s="1219">
        <f ca="1">IFERROR(LEN(IF(OR(LEFT(LineupsData[[#This Row],[J_Box]],1)="$",LEFT(LineupsData[[#This Row],[J_Box]],1)="S"),RIGHT(LineupsData[[#This Row],[J_Box]],LEN(LineupsData[[#This Row],[J_Box]])-1),LineupsData[[#This Row],[J_Box]])),"")</f>
        <v>0</v>
      </c>
      <c r="I114" s="1219">
        <f t="array" aca="1" ref="I114" ca="1">INDIRECT($AA$24&amp;INDEX(LineupsSearch[],MATCH(LineupsData[[#This Row],[Home?]]&amp;LineupsData[[#Headers],[Pivot]],LineupsSearch[Home?]&amp;LineupsSearch[Item],1),3)&amp;LineupsData[[#This Row],[RefRow]])</f>
        <v>0</v>
      </c>
      <c r="J114" s="1219" t="str">
        <f t="array" aca="1" ref="J11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14" s="1219">
        <f ca="1">IFERROR(LEN(IF(OR(LEFT(LineupsData[[#This Row],[P_Box]],1)="$",LEFT(LineupsData[[#This Row],[P_Box]],1)="S"),RIGHT(LineupsData[[#This Row],[P_Box]],LEN(LineupsData[[#This Row],[P_Box]])-1),LineupsData[[#This Row],[P_Box]])),"")</f>
        <v>0</v>
      </c>
      <c r="L114" s="1219">
        <f t="array" aca="1" ref="L114" ca="1">INDIRECT($AA$24&amp;INDEX(LineupsSearch[],MATCH(LineupsData[[#This Row],[Home?]]&amp;LineupsData[[#Headers],[B1]],LineupsSearch[Home?]&amp;LineupsSearch[Item],1),3)&amp;LineupsData[[#This Row],[RefRow]])</f>
        <v>0</v>
      </c>
      <c r="M114" s="1219" t="str">
        <f t="array" aca="1" ref="M11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14" s="1219">
        <f ca="1">IFERROR(LEN(IF(OR(LEFT(LineupsData[[#This Row],[B1_Box]],1)="$",LEFT(LineupsData[[#This Row],[B1_Box]],1)="S"),RIGHT(LineupsData[[#This Row],[B1_Box]],LEN(LineupsData[[#This Row],[B1_Box]])-1),LineupsData[[#This Row],[B1_Box]])),"")</f>
        <v>0</v>
      </c>
      <c r="O114" s="1219">
        <f t="array" aca="1" ref="O114" ca="1">INDIRECT($AA$24&amp;INDEX(LineupsSearch[],MATCH(LineupsData[[#This Row],[Home?]]&amp;LineupsData[[#Headers],[B2]],LineupsSearch[Home?]&amp;LineupsSearch[Item],1),3)&amp;LineupsData[[#This Row],[RefRow]])</f>
        <v>0</v>
      </c>
      <c r="P114" s="1219" t="str">
        <f t="array" aca="1" ref="P11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14" s="1219">
        <f ca="1">IFERROR(LEN(IF(OR(LEFT(LineupsData[[#This Row],[B2_Box]],1)="$",LEFT(LineupsData[[#This Row],[B2_Box]],1)="S"),RIGHT(LineupsData[[#This Row],[B2_Box]],LEN(LineupsData[[#This Row],[B2_Box]])-1),LineupsData[[#This Row],[B2_Box]])),"")</f>
        <v>0</v>
      </c>
      <c r="R114" s="1219">
        <f t="array" aca="1" ref="R114" ca="1">INDIRECT($AA$24&amp;INDEX(LineupsSearch[],MATCH(LineupsData[[#This Row],[Home?]]&amp;LineupsData[[#Headers],[B3]],LineupsSearch[Home?]&amp;LineupsSearch[Item],1),3)&amp;LineupsData[[#This Row],[RefRow]])</f>
        <v>0</v>
      </c>
      <c r="S114" s="1219" t="str">
        <f t="array" aca="1" ref="S11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14" s="1219">
        <f ca="1">IFERROR(LEN(IF(OR(LEFT(LineupsData[[#This Row],[B3_Box]],1)="$",LEFT(LineupsData[[#This Row],[B3_Box]],1)="S"),RIGHT(LineupsData[[#This Row],[B3_Box]],LEN(LineupsData[[#This Row],[B3_Box]])-1),LineupsData[[#This Row],[B3_Box]])),"")</f>
        <v>0</v>
      </c>
      <c r="U114" s="1219" t="b">
        <f t="array" aca="1" ref="U11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14" s="1219" t="b">
        <v>1</v>
      </c>
      <c r="W114" s="1219">
        <v>82</v>
      </c>
    </row>
    <row r="115" spans="1:23" x14ac:dyDescent="0.25">
      <c r="A115" s="1218">
        <f>[1]IBRF!$B$5</f>
        <v>41734</v>
      </c>
      <c r="B115" s="1221">
        <f t="shared" si="3"/>
        <v>0.83333333333333337</v>
      </c>
      <c r="C115" s="1219">
        <v>2</v>
      </c>
      <c r="D115" s="1219">
        <f t="array" aca="1" ref="D115" ca="1">IF(LineupsData[[#This Row],[Passed?]],D114,IF(INDIRECT($AA$24&amp;INDEX(LineupsSearch[],MATCH(LineupsData[[#This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15" s="1219" t="str">
        <f t="shared" si="4"/>
        <v>Plan B</v>
      </c>
      <c r="F115" s="1219" t="str">
        <f t="array" aca="1" ref="F115" ca="1">INDIRECT($AA$24&amp;INDEX(LineupsSearch[],MATCH(LineupsData[[#This Row],[Home?]]&amp;LineupsData[[#Headers],[Jammer]],LineupsSearch[Home?]&amp;LineupsSearch[Item],1),3)&amp;LineupsData[[#This Row],[RefRow]])</f>
        <v/>
      </c>
      <c r="G115" s="1219" t="str">
        <f t="array" aca="1" ref="G11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15" s="1219">
        <f ca="1">IFERROR(LEN(IF(OR(LEFT(LineupsData[[#This Row],[J_Box]],1)="$",LEFT(LineupsData[[#This Row],[J_Box]],1)="S"),RIGHT(LineupsData[[#This Row],[J_Box]],LEN(LineupsData[[#This Row],[J_Box]])-1),LineupsData[[#This Row],[J_Box]])),"")</f>
        <v>0</v>
      </c>
      <c r="I115" s="1219">
        <f t="array" aca="1" ref="I115" ca="1">INDIRECT($AA$24&amp;INDEX(LineupsSearch[],MATCH(LineupsData[[#This Row],[Home?]]&amp;LineupsData[[#Headers],[Pivot]],LineupsSearch[Home?]&amp;LineupsSearch[Item],1),3)&amp;LineupsData[[#This Row],[RefRow]])</f>
        <v>0</v>
      </c>
      <c r="J115" s="1219" t="str">
        <f t="array" aca="1" ref="J11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15" s="1219">
        <f ca="1">IFERROR(LEN(IF(OR(LEFT(LineupsData[[#This Row],[P_Box]],1)="$",LEFT(LineupsData[[#This Row],[P_Box]],1)="S"),RIGHT(LineupsData[[#This Row],[P_Box]],LEN(LineupsData[[#This Row],[P_Box]])-1),LineupsData[[#This Row],[P_Box]])),"")</f>
        <v>0</v>
      </c>
      <c r="L115" s="1219">
        <f t="array" aca="1" ref="L115" ca="1">INDIRECT($AA$24&amp;INDEX(LineupsSearch[],MATCH(LineupsData[[#This Row],[Home?]]&amp;LineupsData[[#Headers],[B1]],LineupsSearch[Home?]&amp;LineupsSearch[Item],1),3)&amp;LineupsData[[#This Row],[RefRow]])</f>
        <v>0</v>
      </c>
      <c r="M115" s="1219" t="str">
        <f t="array" aca="1" ref="M11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15" s="1219">
        <f ca="1">IFERROR(LEN(IF(OR(LEFT(LineupsData[[#This Row],[B1_Box]],1)="$",LEFT(LineupsData[[#This Row],[B1_Box]],1)="S"),RIGHT(LineupsData[[#This Row],[B1_Box]],LEN(LineupsData[[#This Row],[B1_Box]])-1),LineupsData[[#This Row],[B1_Box]])),"")</f>
        <v>0</v>
      </c>
      <c r="O115" s="1219">
        <f t="array" aca="1" ref="O115" ca="1">INDIRECT($AA$24&amp;INDEX(LineupsSearch[],MATCH(LineupsData[[#This Row],[Home?]]&amp;LineupsData[[#Headers],[B2]],LineupsSearch[Home?]&amp;LineupsSearch[Item],1),3)&amp;LineupsData[[#This Row],[RefRow]])</f>
        <v>0</v>
      </c>
      <c r="P115" s="1219" t="str">
        <f t="array" aca="1" ref="P11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15" s="1219">
        <f ca="1">IFERROR(LEN(IF(OR(LEFT(LineupsData[[#This Row],[B2_Box]],1)="$",LEFT(LineupsData[[#This Row],[B2_Box]],1)="S"),RIGHT(LineupsData[[#This Row],[B2_Box]],LEN(LineupsData[[#This Row],[B2_Box]])-1),LineupsData[[#This Row],[B2_Box]])),"")</f>
        <v>0</v>
      </c>
      <c r="R115" s="1219">
        <f t="array" aca="1" ref="R115" ca="1">INDIRECT($AA$24&amp;INDEX(LineupsSearch[],MATCH(LineupsData[[#This Row],[Home?]]&amp;LineupsData[[#Headers],[B3]],LineupsSearch[Home?]&amp;LineupsSearch[Item],1),3)&amp;LineupsData[[#This Row],[RefRow]])</f>
        <v>0</v>
      </c>
      <c r="S115" s="1219" t="str">
        <f t="array" aca="1" ref="S11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15" s="1219">
        <f ca="1">IFERROR(LEN(IF(OR(LEFT(LineupsData[[#This Row],[B3_Box]],1)="$",LEFT(LineupsData[[#This Row],[B3_Box]],1)="S"),RIGHT(LineupsData[[#This Row],[B3_Box]],LEN(LineupsData[[#This Row],[B3_Box]])-1),LineupsData[[#This Row],[B3_Box]])),"")</f>
        <v>0</v>
      </c>
      <c r="U115" s="1219" t="b">
        <f t="array" aca="1" ref="U11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15" s="1219" t="b">
        <v>1</v>
      </c>
      <c r="W115" s="1219">
        <v>83</v>
      </c>
    </row>
    <row r="116" spans="1:23" x14ac:dyDescent="0.25">
      <c r="A116" s="1218">
        <f>[1]IBRF!$B$5</f>
        <v>41734</v>
      </c>
      <c r="B116" s="1221">
        <f t="shared" si="3"/>
        <v>0.83333333333333337</v>
      </c>
      <c r="C116" s="1219">
        <v>2</v>
      </c>
      <c r="D116" s="1219">
        <f t="array" aca="1" ref="D116" ca="1">IF(LineupsData[[#This Row],[Passed?]],D115,IF(INDIRECT($AA$24&amp;INDEX(LineupsSearch[],MATCH(LineupsData[[#This Row],[Home?]]&amp;"Jam",LineupsSearch[Home?]&amp;LineupsSearch[Item],1),3)&amp;LineupsData[[#This Row],[RefRow]])="",0,INDIRECT($AA$24&amp;INDEX(LineupsSearch[],MATCH(LineupsData[[#This Row],[Home?]]&amp;"Jam",LineupsSearch[Home?]&amp;LineupsSearch[Item],1),3)&amp;LineupsData[[#This Row],[RefRow]])))</f>
        <v>1</v>
      </c>
      <c r="E116" s="1219" t="str">
        <f t="shared" ref="E116:E153" si="5">$AA$3</f>
        <v>Harlots</v>
      </c>
      <c r="F116" s="1219" t="str">
        <f t="array" aca="1" ref="F116" ca="1">INDIRECT($AA$24&amp;INDEX(LineupsSearch[],MATCH(LineupsData[[#This Row],[Home?]]&amp;LineupsData[[#Headers],[Jammer]],LineupsSearch[Home?]&amp;LineupsSearch[Item],1),3)&amp;LineupsData[[#This Row],[RefRow]])</f>
        <v>58</v>
      </c>
      <c r="G116" s="1219" t="str">
        <f t="array" aca="1" ref="G11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16" s="1219">
        <f ca="1">IFERROR(LEN(IF(OR(LEFT(LineupsData[[#This Row],[J_Box]],1)="$",LEFT(LineupsData[[#This Row],[J_Box]],1)="S"),RIGHT(LineupsData[[#This Row],[J_Box]],LEN(LineupsData[[#This Row],[J_Box]])-1),LineupsData[[#This Row],[J_Box]])),"")</f>
        <v>0</v>
      </c>
      <c r="I116" s="1219" t="str">
        <f t="array" aca="1" ref="I116" ca="1">INDIRECT($AA$24&amp;INDEX(LineupsSearch[],MATCH(LineupsData[[#This Row],[Home?]]&amp;LineupsData[[#Headers],[Pivot]],LineupsSearch[Home?]&amp;LineupsSearch[Item],1),3)&amp;LineupsData[[#This Row],[RefRow]])</f>
        <v>45</v>
      </c>
      <c r="J116" s="1219" t="str">
        <f t="array" aca="1" ref="J11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16" s="1219">
        <f ca="1">IFERROR(LEN(IF(OR(LEFT(LineupsData[[#This Row],[P_Box]],1)="$",LEFT(LineupsData[[#This Row],[P_Box]],1)="S"),RIGHT(LineupsData[[#This Row],[P_Box]],LEN(LineupsData[[#This Row],[P_Box]])-1),LineupsData[[#This Row],[P_Box]])),"")</f>
        <v>0</v>
      </c>
      <c r="L116" s="1219" t="str">
        <f t="array" aca="1" ref="L116" ca="1">INDIRECT($AA$24&amp;INDEX(LineupsSearch[],MATCH(LineupsData[[#This Row],[Home?]]&amp;LineupsData[[#Headers],[B1]],LineupsSearch[Home?]&amp;LineupsSearch[Item],1),3)&amp;LineupsData[[#This Row],[RefRow]])</f>
        <v>237</v>
      </c>
      <c r="M116" s="1219" t="str">
        <f t="array" aca="1" ref="M11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16" s="1219">
        <f ca="1">IFERROR(LEN(IF(OR(LEFT(LineupsData[[#This Row],[B1_Box]],1)="$",LEFT(LineupsData[[#This Row],[B1_Box]],1)="S"),RIGHT(LineupsData[[#This Row],[B1_Box]],LEN(LineupsData[[#This Row],[B1_Box]])-1),LineupsData[[#This Row],[B1_Box]])),"")</f>
        <v>0</v>
      </c>
      <c r="O116" s="1219" t="str">
        <f t="array" aca="1" ref="O116" ca="1">INDIRECT($AA$24&amp;INDEX(LineupsSearch[],MATCH(LineupsData[[#This Row],[Home?]]&amp;LineupsData[[#Headers],[B2]],LineupsSearch[Home?]&amp;LineupsSearch[Item],1),3)&amp;LineupsData[[#This Row],[RefRow]])</f>
        <v>932</v>
      </c>
      <c r="P116" s="1219" t="str">
        <f t="array" aca="1" ref="P11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16" s="1219">
        <f ca="1">IFERROR(LEN(IF(OR(LEFT(LineupsData[[#This Row],[B2_Box]],1)="$",LEFT(LineupsData[[#This Row],[B2_Box]],1)="S"),RIGHT(LineupsData[[#This Row],[B2_Box]],LEN(LineupsData[[#This Row],[B2_Box]])-1),LineupsData[[#This Row],[B2_Box]])),"")</f>
        <v>0</v>
      </c>
      <c r="R116" s="1219" t="str">
        <f t="array" aca="1" ref="R116" ca="1">INDIRECT($AA$24&amp;INDEX(LineupsSearch[],MATCH(LineupsData[[#This Row],[Home?]]&amp;LineupsData[[#Headers],[B3]],LineupsSearch[Home?]&amp;LineupsSearch[Item],1),3)&amp;LineupsData[[#This Row],[RefRow]])</f>
        <v>2611</v>
      </c>
      <c r="S116" s="1219" t="str">
        <f t="array" aca="1" ref="S11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16" s="1219">
        <f ca="1">IFERROR(LEN(IF(OR(LEFT(LineupsData[[#This Row],[B3_Box]],1)="$",LEFT(LineupsData[[#This Row],[B3_Box]],1)="S"),RIGHT(LineupsData[[#This Row],[B3_Box]],LEN(LineupsData[[#This Row],[B3_Box]])-1),LineupsData[[#This Row],[B3_Box]])),"")</f>
        <v>0</v>
      </c>
      <c r="U116" s="1219" t="b">
        <f t="array" aca="1" ref="U11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16" s="1219" t="b">
        <v>0</v>
      </c>
      <c r="W116" s="1219">
        <v>46</v>
      </c>
    </row>
    <row r="117" spans="1:23" x14ac:dyDescent="0.25">
      <c r="A117" s="1218">
        <f>[1]IBRF!$B$5</f>
        <v>41734</v>
      </c>
      <c r="B117" s="1221">
        <f t="shared" si="3"/>
        <v>0.83333333333333337</v>
      </c>
      <c r="C117" s="1219">
        <v>2</v>
      </c>
      <c r="D117" s="1219">
        <f t="array" aca="1" ref="D117" ca="1">IF(LineupsData[[#This Row],[Passed?]],D116,IF(INDIRECT($AA$24&amp;INDEX(LineupsSearch[],MATCH(LineupsData[[#This Row],[Home?]]&amp;"Jam",LineupsSearch[Home?]&amp;LineupsSearch[Item],1),3)&amp;LineupsData[[#This Row],[RefRow]])="",0,INDIRECT($AA$24&amp;INDEX(LineupsSearch[],MATCH(LineupsData[[#This Row],[Home?]]&amp;"Jam",LineupsSearch[Home?]&amp;LineupsSearch[Item],1),3)&amp;LineupsData[[#This Row],[RefRow]])))</f>
        <v>2</v>
      </c>
      <c r="E117" s="1219" t="str">
        <f t="shared" si="5"/>
        <v>Harlots</v>
      </c>
      <c r="F117" s="1219" t="str">
        <f t="array" aca="1" ref="F117" ca="1">INDIRECT($AA$24&amp;INDEX(LineupsSearch[],MATCH(LineupsData[[#This Row],[Home?]]&amp;LineupsData[[#Headers],[Jammer]],LineupsSearch[Home?]&amp;LineupsSearch[Item],1),3)&amp;LineupsData[[#This Row],[RefRow]])</f>
        <v>11G6</v>
      </c>
      <c r="G117" s="1219" t="str">
        <f t="array" aca="1" ref="G11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17" s="1219">
        <f ca="1">IFERROR(LEN(IF(OR(LEFT(LineupsData[[#This Row],[J_Box]],1)="$",LEFT(LineupsData[[#This Row],[J_Box]],1)="S"),RIGHT(LineupsData[[#This Row],[J_Box]],LEN(LineupsData[[#This Row],[J_Box]])-1),LineupsData[[#This Row],[J_Box]])),"")</f>
        <v>0</v>
      </c>
      <c r="I117" s="1219" t="str">
        <f t="array" aca="1" ref="I117" ca="1">INDIRECT($AA$24&amp;INDEX(LineupsSearch[],MATCH(LineupsData[[#This Row],[Home?]]&amp;LineupsData[[#Headers],[Pivot]],LineupsSearch[Home?]&amp;LineupsSearch[Item],1),3)&amp;LineupsData[[#This Row],[RefRow]])</f>
        <v>26</v>
      </c>
      <c r="J117" s="1219" t="str">
        <f t="array" aca="1" ref="J11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17" s="1219">
        <f ca="1">IFERROR(LEN(IF(OR(LEFT(LineupsData[[#This Row],[P_Box]],1)="$",LEFT(LineupsData[[#This Row],[P_Box]],1)="S"),RIGHT(LineupsData[[#This Row],[P_Box]],LEN(LineupsData[[#This Row],[P_Box]])-1),LineupsData[[#This Row],[P_Box]])),"")</f>
        <v>0</v>
      </c>
      <c r="L117" s="1219" t="str">
        <f t="array" aca="1" ref="L117" ca="1">INDIRECT($AA$24&amp;INDEX(LineupsSearch[],MATCH(LineupsData[[#This Row],[Home?]]&amp;LineupsData[[#Headers],[B1]],LineupsSearch[Home?]&amp;LineupsSearch[Item],1),3)&amp;LineupsData[[#This Row],[RefRow]])</f>
        <v>11</v>
      </c>
      <c r="M117" s="1219" t="str">
        <f t="array" aca="1" ref="M11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17" s="1219">
        <f ca="1">IFERROR(LEN(IF(OR(LEFT(LineupsData[[#This Row],[B1_Box]],1)="$",LEFT(LineupsData[[#This Row],[B1_Box]],1)="S"),RIGHT(LineupsData[[#This Row],[B1_Box]],LEN(LineupsData[[#This Row],[B1_Box]])-1),LineupsData[[#This Row],[B1_Box]])),"")</f>
        <v>0</v>
      </c>
      <c r="O117" s="1219" t="str">
        <f t="array" aca="1" ref="O117" ca="1">INDIRECT($AA$24&amp;INDEX(LineupsSearch[],MATCH(LineupsData[[#This Row],[Home?]]&amp;LineupsData[[#Headers],[B2]],LineupsSearch[Home?]&amp;LineupsSearch[Item],1),3)&amp;LineupsData[[#This Row],[RefRow]])</f>
        <v>152</v>
      </c>
      <c r="P117" s="1219" t="str">
        <f t="array" aca="1" ref="P11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v>
      </c>
      <c r="Q117" s="1219">
        <f ca="1">IFERROR(LEN(IF(OR(LEFT(LineupsData[[#This Row],[B2_Box]],1)="$",LEFT(LineupsData[[#This Row],[B2_Box]],1)="S"),RIGHT(LineupsData[[#This Row],[B2_Box]],LEN(LineupsData[[#This Row],[B2_Box]])-1),LineupsData[[#This Row],[B2_Box]])),"")</f>
        <v>1</v>
      </c>
      <c r="R117" s="1219" t="str">
        <f t="array" aca="1" ref="R117" ca="1">INDIRECT($AA$24&amp;INDEX(LineupsSearch[],MATCH(LineupsData[[#This Row],[Home?]]&amp;LineupsData[[#Headers],[B3]],LineupsSearch[Home?]&amp;LineupsSearch[Item],1),3)&amp;LineupsData[[#This Row],[RefRow]])</f>
        <v>519</v>
      </c>
      <c r="S117" s="1219" t="str">
        <f t="array" aca="1" ref="S11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17" s="1219">
        <f ca="1">IFERROR(LEN(IF(OR(LEFT(LineupsData[[#This Row],[B3_Box]],1)="$",LEFT(LineupsData[[#This Row],[B3_Box]],1)="S"),RIGHT(LineupsData[[#This Row],[B3_Box]],LEN(LineupsData[[#This Row],[B3_Box]])-1),LineupsData[[#This Row],[B3_Box]])),"")</f>
        <v>0</v>
      </c>
      <c r="U117" s="1223" t="b">
        <f t="array" aca="1" ref="U11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17" s="1219" t="b">
        <v>0</v>
      </c>
      <c r="W117" s="1219">
        <v>47</v>
      </c>
    </row>
    <row r="118" spans="1:23" x14ac:dyDescent="0.25">
      <c r="A118" s="1218">
        <f>[1]IBRF!$B$5</f>
        <v>41734</v>
      </c>
      <c r="B118" s="1221">
        <f t="shared" si="3"/>
        <v>0.83333333333333337</v>
      </c>
      <c r="C118" s="1219">
        <v>2</v>
      </c>
      <c r="D118" s="1219">
        <f t="array" aca="1" ref="D118" ca="1">IF(LineupsData[[#This Row],[Passed?]],D117,IF(INDIRECT($AA$24&amp;INDEX(LineupsSearch[],MATCH(LineupsData[[#This Row],[Home?]]&amp;"Jam",LineupsSearch[Home?]&amp;LineupsSearch[Item],1),3)&amp;LineupsData[[#This Row],[RefRow]])="",0,INDIRECT($AA$24&amp;INDEX(LineupsSearch[],MATCH(LineupsData[[#This Row],[Home?]]&amp;"Jam",LineupsSearch[Home?]&amp;LineupsSearch[Item],1),3)&amp;LineupsData[[#This Row],[RefRow]])))</f>
        <v>3</v>
      </c>
      <c r="E118" s="1219" t="str">
        <f t="shared" si="5"/>
        <v>Harlots</v>
      </c>
      <c r="F118" s="1219" t="str">
        <f t="array" aca="1" ref="F118" ca="1">INDIRECT($AA$24&amp;INDEX(LineupsSearch[],MATCH(LineupsData[[#This Row],[Home?]]&amp;LineupsData[[#Headers],[Jammer]],LineupsSearch[Home?]&amp;LineupsSearch[Item],1),3)&amp;LineupsData[[#This Row],[RefRow]])</f>
        <v>K9</v>
      </c>
      <c r="G118" s="1219" t="str">
        <f t="array" aca="1" ref="G11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18" s="1219">
        <f ca="1">IFERROR(LEN(IF(OR(LEFT(LineupsData[[#This Row],[J_Box]],1)="$",LEFT(LineupsData[[#This Row],[J_Box]],1)="S"),RIGHT(LineupsData[[#This Row],[J_Box]],LEN(LineupsData[[#This Row],[J_Box]])-1),LineupsData[[#This Row],[J_Box]])),"")</f>
        <v>0</v>
      </c>
      <c r="I118" s="1219" t="str">
        <f t="array" aca="1" ref="I118" ca="1">INDIRECT($AA$24&amp;INDEX(LineupsSearch[],MATCH(LineupsData[[#This Row],[Home?]]&amp;LineupsData[[#Headers],[Pivot]],LineupsSearch[Home?]&amp;LineupsSearch[Item],1),3)&amp;LineupsData[[#This Row],[RefRow]])</f>
        <v>45</v>
      </c>
      <c r="J118" s="1219" t="str">
        <f t="array" aca="1" ref="J11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18" s="1219">
        <f ca="1">IFERROR(LEN(IF(OR(LEFT(LineupsData[[#This Row],[P_Box]],1)="$",LEFT(LineupsData[[#This Row],[P_Box]],1)="S"),RIGHT(LineupsData[[#This Row],[P_Box]],LEN(LineupsData[[#This Row],[P_Box]])-1),LineupsData[[#This Row],[P_Box]])),"")</f>
        <v>0</v>
      </c>
      <c r="L118" s="1219" t="str">
        <f t="array" aca="1" ref="L118" ca="1">INDIRECT($AA$24&amp;INDEX(LineupsSearch[],MATCH(LineupsData[[#This Row],[Home?]]&amp;LineupsData[[#Headers],[B1]],LineupsSearch[Home?]&amp;LineupsSearch[Item],1),3)&amp;LineupsData[[#This Row],[RefRow]])</f>
        <v>237</v>
      </c>
      <c r="M118" s="1219" t="str">
        <f t="array" aca="1" ref="M11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18" s="1219">
        <f ca="1">IFERROR(LEN(IF(OR(LEFT(LineupsData[[#This Row],[B1_Box]],1)="$",LEFT(LineupsData[[#This Row],[B1_Box]],1)="S"),RIGHT(LineupsData[[#This Row],[B1_Box]],LEN(LineupsData[[#This Row],[B1_Box]])-1),LineupsData[[#This Row],[B1_Box]])),"")</f>
        <v>0</v>
      </c>
      <c r="O118" s="1219" t="str">
        <f t="array" aca="1" ref="O118" ca="1">INDIRECT($AA$24&amp;INDEX(LineupsSearch[],MATCH(LineupsData[[#This Row],[Home?]]&amp;LineupsData[[#Headers],[B2]],LineupsSearch[Home?]&amp;LineupsSearch[Item],1),3)&amp;LineupsData[[#This Row],[RefRow]])</f>
        <v>152</v>
      </c>
      <c r="P118" s="1219" t="str">
        <f t="array" aca="1" ref="P11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X</v>
      </c>
      <c r="Q118" s="1219">
        <f ca="1">IFERROR(LEN(IF(OR(LEFT(LineupsData[[#This Row],[B2_Box]],1)="$",LEFT(LineupsData[[#This Row],[B2_Box]],1)="S"),RIGHT(LineupsData[[#This Row],[B2_Box]],LEN(LineupsData[[#This Row],[B2_Box]])-1),LineupsData[[#This Row],[B2_Box]])),"")</f>
        <v>1</v>
      </c>
      <c r="R118" s="1219" t="str">
        <f t="array" aca="1" ref="R118" ca="1">INDIRECT($AA$24&amp;INDEX(LineupsSearch[],MATCH(LineupsData[[#This Row],[Home?]]&amp;LineupsData[[#Headers],[B3]],LineupsSearch[Home?]&amp;LineupsSearch[Item],1),3)&amp;LineupsData[[#This Row],[RefRow]])</f>
        <v>2611</v>
      </c>
      <c r="S118" s="1219" t="str">
        <f t="array" aca="1" ref="S11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18" s="1219">
        <f ca="1">IFERROR(LEN(IF(OR(LEFT(LineupsData[[#This Row],[B3_Box]],1)="$",LEFT(LineupsData[[#This Row],[B3_Box]],1)="S"),RIGHT(LineupsData[[#This Row],[B3_Box]],LEN(LineupsData[[#This Row],[B3_Box]])-1),LineupsData[[#This Row],[B3_Box]])),"")</f>
        <v>0</v>
      </c>
      <c r="U118" s="1219" t="b">
        <f t="array" aca="1" ref="U11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18" s="1219" t="b">
        <v>0</v>
      </c>
      <c r="W118" s="1219">
        <v>48</v>
      </c>
    </row>
    <row r="119" spans="1:23" x14ac:dyDescent="0.25">
      <c r="A119" s="1218">
        <f>[1]IBRF!$B$5</f>
        <v>41734</v>
      </c>
      <c r="B119" s="1221">
        <f t="shared" si="3"/>
        <v>0.83333333333333337</v>
      </c>
      <c r="C119" s="1219">
        <v>2</v>
      </c>
      <c r="D119" s="1219">
        <f t="array" aca="1" ref="D119" ca="1">IF(LineupsData[[#This Row],[Passed?]],D118,IF(INDIRECT($AA$24&amp;INDEX(LineupsSearch[],MATCH(LineupsData[[#This Row],[Home?]]&amp;"Jam",LineupsSearch[Home?]&amp;LineupsSearch[Item],1),3)&amp;LineupsData[[#This Row],[RefRow]])="",0,INDIRECT($AA$24&amp;INDEX(LineupsSearch[],MATCH(LineupsData[[#This Row],[Home?]]&amp;"Jam",LineupsSearch[Home?]&amp;LineupsSearch[Item],1),3)&amp;LineupsData[[#This Row],[RefRow]])))</f>
        <v>4</v>
      </c>
      <c r="E119" s="1219" t="str">
        <f t="shared" si="5"/>
        <v>Harlots</v>
      </c>
      <c r="F119" s="1219" t="str">
        <f t="array" aca="1" ref="F119" ca="1">INDIRECT($AA$24&amp;INDEX(LineupsSearch[],MATCH(LineupsData[[#This Row],[Home?]]&amp;LineupsData[[#Headers],[Jammer]],LineupsSearch[Home?]&amp;LineupsSearch[Item],1),3)&amp;LineupsData[[#This Row],[RefRow]])</f>
        <v>451</v>
      </c>
      <c r="G119" s="1219" t="str">
        <f t="array" aca="1" ref="G11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19" s="1219">
        <f ca="1">IFERROR(LEN(IF(OR(LEFT(LineupsData[[#This Row],[J_Box]],1)="$",LEFT(LineupsData[[#This Row],[J_Box]],1)="S"),RIGHT(LineupsData[[#This Row],[J_Box]],LEN(LineupsData[[#This Row],[J_Box]])-1),LineupsData[[#This Row],[J_Box]])),"")</f>
        <v>0</v>
      </c>
      <c r="I119" s="1219" t="str">
        <f t="array" aca="1" ref="I119" ca="1">INDIRECT($AA$24&amp;INDEX(LineupsSearch[],MATCH(LineupsData[[#This Row],[Home?]]&amp;LineupsData[[#Headers],[Pivot]],LineupsSearch[Home?]&amp;LineupsSearch[Item],1),3)&amp;LineupsData[[#This Row],[RefRow]])</f>
        <v>519</v>
      </c>
      <c r="J119" s="1219" t="str">
        <f t="array" aca="1" ref="J11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v>
      </c>
      <c r="K119" s="1219">
        <f ca="1">IFERROR(LEN(IF(OR(LEFT(LineupsData[[#This Row],[P_Box]],1)="$",LEFT(LineupsData[[#This Row],[P_Box]],1)="S"),RIGHT(LineupsData[[#This Row],[P_Box]],LEN(LineupsData[[#This Row],[P_Box]])-1),LineupsData[[#This Row],[P_Box]])),"")</f>
        <v>1</v>
      </c>
      <c r="L119" s="1219" t="str">
        <f t="array" aca="1" ref="L119" ca="1">INDIRECT($AA$24&amp;INDEX(LineupsSearch[],MATCH(LineupsData[[#This Row],[Home?]]&amp;LineupsData[[#Headers],[B1]],LineupsSearch[Home?]&amp;LineupsSearch[Item],1),3)&amp;LineupsData[[#This Row],[RefRow]])</f>
        <v>11</v>
      </c>
      <c r="M119" s="1219" t="str">
        <f t="array" aca="1" ref="M11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19" s="1219">
        <f ca="1">IFERROR(LEN(IF(OR(LEFT(LineupsData[[#This Row],[B1_Box]],1)="$",LEFT(LineupsData[[#This Row],[B1_Box]],1)="S"),RIGHT(LineupsData[[#This Row],[B1_Box]],LEN(LineupsData[[#This Row],[B1_Box]])-1),LineupsData[[#This Row],[B1_Box]])),"")</f>
        <v>0</v>
      </c>
      <c r="O119" s="1219" t="str">
        <f t="array" aca="1" ref="O119" ca="1">INDIRECT($AA$24&amp;INDEX(LineupsSearch[],MATCH(LineupsData[[#This Row],[Home?]]&amp;LineupsData[[#Headers],[B2]],LineupsSearch[Home?]&amp;LineupsSearch[Item],1),3)&amp;LineupsData[[#This Row],[RefRow]])</f>
        <v>H20</v>
      </c>
      <c r="P119" s="1219" t="str">
        <f t="array" aca="1" ref="P11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19" s="1219">
        <f ca="1">IFERROR(LEN(IF(OR(LEFT(LineupsData[[#This Row],[B2_Box]],1)="$",LEFT(LineupsData[[#This Row],[B2_Box]],1)="S"),RIGHT(LineupsData[[#This Row],[B2_Box]],LEN(LineupsData[[#This Row],[B2_Box]])-1),LineupsData[[#This Row],[B2_Box]])),"")</f>
        <v>0</v>
      </c>
      <c r="R119" s="1219" t="str">
        <f t="array" aca="1" ref="R119" ca="1">INDIRECT($AA$24&amp;INDEX(LineupsSearch[],MATCH(LineupsData[[#This Row],[Home?]]&amp;LineupsData[[#Headers],[B3]],LineupsSearch[Home?]&amp;LineupsSearch[Item],1),3)&amp;LineupsData[[#This Row],[RefRow]])</f>
        <v>26</v>
      </c>
      <c r="S119" s="1219" t="str">
        <f t="array" aca="1" ref="S11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19" s="1219">
        <f ca="1">IFERROR(LEN(IF(OR(LEFT(LineupsData[[#This Row],[B3_Box]],1)="$",LEFT(LineupsData[[#This Row],[B3_Box]],1)="S"),RIGHT(LineupsData[[#This Row],[B3_Box]],LEN(LineupsData[[#This Row],[B3_Box]])-1),LineupsData[[#This Row],[B3_Box]])),"")</f>
        <v>0</v>
      </c>
      <c r="U119" s="1219" t="b">
        <f t="array" aca="1" ref="U11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19" s="1219" t="b">
        <v>0</v>
      </c>
      <c r="W119" s="1219">
        <v>49</v>
      </c>
    </row>
    <row r="120" spans="1:23" x14ac:dyDescent="0.25">
      <c r="A120" s="1218">
        <f>[1]IBRF!$B$5</f>
        <v>41734</v>
      </c>
      <c r="B120" s="1221">
        <f t="shared" si="3"/>
        <v>0.83333333333333337</v>
      </c>
      <c r="C120" s="1219">
        <v>2</v>
      </c>
      <c r="D120" s="1219">
        <f t="array" aca="1" ref="D120" ca="1">IF(LineupsData[[#This Row],[Passed?]],D119,IF(INDIRECT($AA$24&amp;INDEX(LineupsSearch[],MATCH(LineupsData[[#This Row],[Home?]]&amp;"Jam",LineupsSearch[Home?]&amp;LineupsSearch[Item],1),3)&amp;LineupsData[[#This Row],[RefRow]])="",0,INDIRECT($AA$24&amp;INDEX(LineupsSearch[],MATCH(LineupsData[[#This Row],[Home?]]&amp;"Jam",LineupsSearch[Home?]&amp;LineupsSearch[Item],1),3)&amp;LineupsData[[#This Row],[RefRow]])))</f>
        <v>5</v>
      </c>
      <c r="E120" s="1219" t="str">
        <f t="shared" si="5"/>
        <v>Harlots</v>
      </c>
      <c r="F120" s="1219" t="str">
        <f t="array" aca="1" ref="F120" ca="1">INDIRECT($AA$24&amp;INDEX(LineupsSearch[],MATCH(LineupsData[[#This Row],[Home?]]&amp;LineupsData[[#Headers],[Jammer]],LineupsSearch[Home?]&amp;LineupsSearch[Item],1),3)&amp;LineupsData[[#This Row],[RefRow]])</f>
        <v>11G6</v>
      </c>
      <c r="G120" s="1219" t="str">
        <f t="array" aca="1" ref="G12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20" s="1219">
        <f ca="1">IFERROR(LEN(IF(OR(LEFT(LineupsData[[#This Row],[J_Box]],1)="$",LEFT(LineupsData[[#This Row],[J_Box]],1)="S"),RIGHT(LineupsData[[#This Row],[J_Box]],LEN(LineupsData[[#This Row],[J_Box]])-1),LineupsData[[#This Row],[J_Box]])),"")</f>
        <v>0</v>
      </c>
      <c r="I120" s="1219" t="str">
        <f t="array" aca="1" ref="I120" ca="1">INDIRECT($AA$24&amp;INDEX(LineupsSearch[],MATCH(LineupsData[[#This Row],[Home?]]&amp;LineupsData[[#Headers],[Pivot]],LineupsSearch[Home?]&amp;LineupsSearch[Item],1),3)&amp;LineupsData[[#This Row],[RefRow]])</f>
        <v>519</v>
      </c>
      <c r="J120" s="1219" t="str">
        <f t="array" aca="1" ref="J12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X</v>
      </c>
      <c r="K120" s="1219">
        <f ca="1">IFERROR(LEN(IF(OR(LEFT(LineupsData[[#This Row],[P_Box]],1)="$",LEFT(LineupsData[[#This Row],[P_Box]],1)="S"),RIGHT(LineupsData[[#This Row],[P_Box]],LEN(LineupsData[[#This Row],[P_Box]])-1),LineupsData[[#This Row],[P_Box]])),"")</f>
        <v>1</v>
      </c>
      <c r="L120" s="1219" t="str">
        <f t="array" aca="1" ref="L120" ca="1">INDIRECT($AA$24&amp;INDEX(LineupsSearch[],MATCH(LineupsData[[#This Row],[Home?]]&amp;LineupsData[[#Headers],[B1]],LineupsSearch[Home?]&amp;LineupsSearch[Item],1),3)&amp;LineupsData[[#This Row],[RefRow]])</f>
        <v>45</v>
      </c>
      <c r="M120" s="1219" t="str">
        <f t="array" aca="1" ref="M12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20" s="1219">
        <f ca="1">IFERROR(LEN(IF(OR(LEFT(LineupsData[[#This Row],[B1_Box]],1)="$",LEFT(LineupsData[[#This Row],[B1_Box]],1)="S"),RIGHT(LineupsData[[#This Row],[B1_Box]],LEN(LineupsData[[#This Row],[B1_Box]])-1),LineupsData[[#This Row],[B1_Box]])),"")</f>
        <v>0</v>
      </c>
      <c r="O120" s="1219" t="str">
        <f t="array" aca="1" ref="O120" ca="1">INDIRECT($AA$24&amp;INDEX(LineupsSearch[],MATCH(LineupsData[[#This Row],[Home?]]&amp;LineupsData[[#Headers],[B2]],LineupsSearch[Home?]&amp;LineupsSearch[Item],1),3)&amp;LineupsData[[#This Row],[RefRow]])</f>
        <v>237</v>
      </c>
      <c r="P120" s="1219" t="str">
        <f t="array" aca="1" ref="P12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20" s="1219">
        <f ca="1">IFERROR(LEN(IF(OR(LEFT(LineupsData[[#This Row],[B2_Box]],1)="$",LEFT(LineupsData[[#This Row],[B2_Box]],1)="S"),RIGHT(LineupsData[[#This Row],[B2_Box]],LEN(LineupsData[[#This Row],[B2_Box]])-1),LineupsData[[#This Row],[B2_Box]])),"")</f>
        <v>0</v>
      </c>
      <c r="R120" s="1219" t="str">
        <f t="array" aca="1" ref="R120" ca="1">INDIRECT($AA$24&amp;INDEX(LineupsSearch[],MATCH(LineupsData[[#This Row],[Home?]]&amp;LineupsData[[#Headers],[B3]],LineupsSearch[Home?]&amp;LineupsSearch[Item],1),3)&amp;LineupsData[[#This Row],[RefRow]])</f>
        <v>2611</v>
      </c>
      <c r="S120" s="1219" t="str">
        <f t="array" aca="1" ref="S12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20" s="1219">
        <f ca="1">IFERROR(LEN(IF(OR(LEFT(LineupsData[[#This Row],[B3_Box]],1)="$",LEFT(LineupsData[[#This Row],[B3_Box]],1)="S"),RIGHT(LineupsData[[#This Row],[B3_Box]],LEN(LineupsData[[#This Row],[B3_Box]])-1),LineupsData[[#This Row],[B3_Box]])),"")</f>
        <v>0</v>
      </c>
      <c r="U120" s="1219" t="b">
        <f t="array" aca="1" ref="U12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20" s="1219" t="b">
        <v>0</v>
      </c>
      <c r="W120" s="1219">
        <v>50</v>
      </c>
    </row>
    <row r="121" spans="1:23" x14ac:dyDescent="0.25">
      <c r="A121" s="1218">
        <f>[1]IBRF!$B$5</f>
        <v>41734</v>
      </c>
      <c r="B121" s="1221">
        <f t="shared" si="3"/>
        <v>0.83333333333333337</v>
      </c>
      <c r="C121" s="1219">
        <v>2</v>
      </c>
      <c r="D121" s="1219">
        <f t="array" aca="1" ref="D121" ca="1">IF(LineupsData[[#This Row],[Passed?]],D120,IF(INDIRECT($AA$24&amp;INDEX(LineupsSearch[],MATCH(LineupsData[[#This Row],[Home?]]&amp;"Jam",LineupsSearch[Home?]&amp;LineupsSearch[Item],1),3)&amp;LineupsData[[#This Row],[RefRow]])="",0,INDIRECT($AA$24&amp;INDEX(LineupsSearch[],MATCH(LineupsData[[#This Row],[Home?]]&amp;"Jam",LineupsSearch[Home?]&amp;LineupsSearch[Item],1),3)&amp;LineupsData[[#This Row],[RefRow]])))</f>
        <v>5</v>
      </c>
      <c r="E121" s="1219" t="str">
        <f t="shared" si="5"/>
        <v>Harlots</v>
      </c>
      <c r="F121" s="1219" t="str">
        <f t="array" aca="1" ref="F121" ca="1">INDIRECT($AA$24&amp;INDEX(LineupsSearch[],MATCH(LineupsData[[#This Row],[Home?]]&amp;LineupsData[[#Headers],[Jammer]],LineupsSearch[Home?]&amp;LineupsSearch[Item],1),3)&amp;LineupsData[[#This Row],[RefRow]])</f>
        <v>519</v>
      </c>
      <c r="G121" s="1219" t="str">
        <f t="array" aca="1" ref="G12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21" s="1219">
        <f ca="1">IFERROR(LEN(IF(OR(LEFT(LineupsData[[#This Row],[J_Box]],1)="$",LEFT(LineupsData[[#This Row],[J_Box]],1)="S"),RIGHT(LineupsData[[#This Row],[J_Box]],LEN(LineupsData[[#This Row],[J_Box]])-1),LineupsData[[#This Row],[J_Box]])),"")</f>
        <v>0</v>
      </c>
      <c r="I121" s="1219">
        <f t="array" aca="1" ref="I121" ca="1">INDIRECT($AA$24&amp;INDEX(LineupsSearch[],MATCH(LineupsData[[#This Row],[Home?]]&amp;LineupsData[[#Headers],[Pivot]],LineupsSearch[Home?]&amp;LineupsSearch[Item],1),3)&amp;LineupsData[[#This Row],[RefRow]])</f>
        <v>0</v>
      </c>
      <c r="J121" s="1219" t="str">
        <f t="array" aca="1" ref="J12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21" s="1219">
        <f ca="1">IFERROR(LEN(IF(OR(LEFT(LineupsData[[#This Row],[P_Box]],1)="$",LEFT(LineupsData[[#This Row],[P_Box]],1)="S"),RIGHT(LineupsData[[#This Row],[P_Box]],LEN(LineupsData[[#This Row],[P_Box]])-1),LineupsData[[#This Row],[P_Box]])),"")</f>
        <v>0</v>
      </c>
      <c r="L121" s="1219">
        <f t="array" aca="1" ref="L121" ca="1">INDIRECT($AA$24&amp;INDEX(LineupsSearch[],MATCH(LineupsData[[#This Row],[Home?]]&amp;LineupsData[[#Headers],[B1]],LineupsSearch[Home?]&amp;LineupsSearch[Item],1),3)&amp;LineupsData[[#This Row],[RefRow]])</f>
        <v>0</v>
      </c>
      <c r="M121" s="1219" t="str">
        <f t="array" aca="1" ref="M12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21" s="1219">
        <f ca="1">IFERROR(LEN(IF(OR(LEFT(LineupsData[[#This Row],[B1_Box]],1)="$",LEFT(LineupsData[[#This Row],[B1_Box]],1)="S"),RIGHT(LineupsData[[#This Row],[B1_Box]],LEN(LineupsData[[#This Row],[B1_Box]])-1),LineupsData[[#This Row],[B1_Box]])),"")</f>
        <v>0</v>
      </c>
      <c r="O121" s="1219">
        <f t="array" aca="1" ref="O121" ca="1">INDIRECT($AA$24&amp;INDEX(LineupsSearch[],MATCH(LineupsData[[#This Row],[Home?]]&amp;LineupsData[[#Headers],[B2]],LineupsSearch[Home?]&amp;LineupsSearch[Item],1),3)&amp;LineupsData[[#This Row],[RefRow]])</f>
        <v>0</v>
      </c>
      <c r="P121" s="1219" t="str">
        <f t="array" aca="1" ref="P12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21" s="1219">
        <f ca="1">IFERROR(LEN(IF(OR(LEFT(LineupsData[[#This Row],[B2_Box]],1)="$",LEFT(LineupsData[[#This Row],[B2_Box]],1)="S"),RIGHT(LineupsData[[#This Row],[B2_Box]],LEN(LineupsData[[#This Row],[B2_Box]])-1),LineupsData[[#This Row],[B2_Box]])),"")</f>
        <v>0</v>
      </c>
      <c r="R121" s="1219">
        <f t="array" aca="1" ref="R121" ca="1">INDIRECT($AA$24&amp;INDEX(LineupsSearch[],MATCH(LineupsData[[#This Row],[Home?]]&amp;LineupsData[[#Headers],[B3]],LineupsSearch[Home?]&amp;LineupsSearch[Item],1),3)&amp;LineupsData[[#This Row],[RefRow]])</f>
        <v>0</v>
      </c>
      <c r="S121" s="1219" t="str">
        <f t="array" aca="1" ref="S12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21" s="1219">
        <f ca="1">IFERROR(LEN(IF(OR(LEFT(LineupsData[[#This Row],[B3_Box]],1)="$",LEFT(LineupsData[[#This Row],[B3_Box]],1)="S"),RIGHT(LineupsData[[#This Row],[B3_Box]],LEN(LineupsData[[#This Row],[B3_Box]])-1),LineupsData[[#This Row],[B3_Box]])),"")</f>
        <v>0</v>
      </c>
      <c r="U121" s="1219" t="b">
        <f t="array" aca="1" ref="U12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121" s="1219" t="b">
        <v>0</v>
      </c>
      <c r="W121" s="1219">
        <v>51</v>
      </c>
    </row>
    <row r="122" spans="1:23" x14ac:dyDescent="0.25">
      <c r="A122" s="1218">
        <f>[1]IBRF!$B$5</f>
        <v>41734</v>
      </c>
      <c r="B122" s="1221">
        <f t="shared" si="3"/>
        <v>0.83333333333333337</v>
      </c>
      <c r="C122" s="1219">
        <v>2</v>
      </c>
      <c r="D122" s="1219">
        <f t="array" aca="1" ref="D122" ca="1">IF(LineupsData[[#This Row],[Passed?]],D121,IF(INDIRECT($AA$24&amp;INDEX(LineupsSearch[],MATCH(LineupsData[[#This Row],[Home?]]&amp;"Jam",LineupsSearch[Home?]&amp;LineupsSearch[Item],1),3)&amp;LineupsData[[#This Row],[RefRow]])="",0,INDIRECT($AA$24&amp;INDEX(LineupsSearch[],MATCH(LineupsData[[#This Row],[Home?]]&amp;"Jam",LineupsSearch[Home?]&amp;LineupsSearch[Item],1),3)&amp;LineupsData[[#This Row],[RefRow]])))</f>
        <v>6</v>
      </c>
      <c r="E122" s="1219" t="str">
        <f t="shared" si="5"/>
        <v>Harlots</v>
      </c>
      <c r="F122" s="1219" t="str">
        <f t="array" aca="1" ref="F122" ca="1">INDIRECT($AA$24&amp;INDEX(LineupsSearch[],MATCH(LineupsData[[#This Row],[Home?]]&amp;LineupsData[[#Headers],[Jammer]],LineupsSearch[Home?]&amp;LineupsSearch[Item],1),3)&amp;LineupsData[[#This Row],[RefRow]])</f>
        <v>58</v>
      </c>
      <c r="G122" s="1219" t="str">
        <f t="array" aca="1" ref="G12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22" s="1219">
        <f ca="1">IFERROR(LEN(IF(OR(LEFT(LineupsData[[#This Row],[J_Box]],1)="$",LEFT(LineupsData[[#This Row],[J_Box]],1)="S"),RIGHT(LineupsData[[#This Row],[J_Box]],LEN(LineupsData[[#This Row],[J_Box]])-1),LineupsData[[#This Row],[J_Box]])),"")</f>
        <v>0</v>
      </c>
      <c r="I122" s="1219" t="str">
        <f t="array" aca="1" ref="I122" ca="1">INDIRECT($AA$24&amp;INDEX(LineupsSearch[],MATCH(LineupsData[[#This Row],[Home?]]&amp;LineupsData[[#Headers],[Pivot]],LineupsSearch[Home?]&amp;LineupsSearch[Item],1),3)&amp;LineupsData[[#This Row],[RefRow]])</f>
        <v>26</v>
      </c>
      <c r="J122" s="1219" t="str">
        <f t="array" aca="1" ref="J12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22" s="1219">
        <f ca="1">IFERROR(LEN(IF(OR(LEFT(LineupsData[[#This Row],[P_Box]],1)="$",LEFT(LineupsData[[#This Row],[P_Box]],1)="S"),RIGHT(LineupsData[[#This Row],[P_Box]],LEN(LineupsData[[#This Row],[P_Box]])-1),LineupsData[[#This Row],[P_Box]])),"")</f>
        <v>0</v>
      </c>
      <c r="L122" s="1219" t="str">
        <f t="array" aca="1" ref="L122" ca="1">INDIRECT($AA$24&amp;INDEX(LineupsSearch[],MATCH(LineupsData[[#This Row],[Home?]]&amp;LineupsData[[#Headers],[B1]],LineupsSearch[Home?]&amp;LineupsSearch[Item],1),3)&amp;LineupsData[[#This Row],[RefRow]])</f>
        <v>11</v>
      </c>
      <c r="M122" s="1219" t="str">
        <f t="array" aca="1" ref="M12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22" s="1219">
        <f ca="1">IFERROR(LEN(IF(OR(LEFT(LineupsData[[#This Row],[B1_Box]],1)="$",LEFT(LineupsData[[#This Row],[B1_Box]],1)="S"),RIGHT(LineupsData[[#This Row],[B1_Box]],LEN(LineupsData[[#This Row],[B1_Box]])-1),LineupsData[[#This Row],[B1_Box]])),"")</f>
        <v>0</v>
      </c>
      <c r="O122" s="1219" t="str">
        <f t="array" aca="1" ref="O122" ca="1">INDIRECT($AA$24&amp;INDEX(LineupsSearch[],MATCH(LineupsData[[#This Row],[Home?]]&amp;LineupsData[[#Headers],[B2]],LineupsSearch[Home?]&amp;LineupsSearch[Item],1),3)&amp;LineupsData[[#This Row],[RefRow]])</f>
        <v>932</v>
      </c>
      <c r="P122" s="1219" t="str">
        <f t="array" aca="1" ref="P12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22" s="1219">
        <f ca="1">IFERROR(LEN(IF(OR(LEFT(LineupsData[[#This Row],[B2_Box]],1)="$",LEFT(LineupsData[[#This Row],[B2_Box]],1)="S"),RIGHT(LineupsData[[#This Row],[B2_Box]],LEN(LineupsData[[#This Row],[B2_Box]])-1),LineupsData[[#This Row],[B2_Box]])),"")</f>
        <v>0</v>
      </c>
      <c r="R122" s="1219" t="str">
        <f t="array" aca="1" ref="R122" ca="1">INDIRECT($AA$24&amp;INDEX(LineupsSearch[],MATCH(LineupsData[[#This Row],[Home?]]&amp;LineupsData[[#Headers],[B3]],LineupsSearch[Home?]&amp;LineupsSearch[Item],1),3)&amp;LineupsData[[#This Row],[RefRow]])</f>
        <v>237</v>
      </c>
      <c r="S122" s="1219" t="str">
        <f t="array" aca="1" ref="S12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22" s="1219">
        <f ca="1">IFERROR(LEN(IF(OR(LEFT(LineupsData[[#This Row],[B3_Box]],1)="$",LEFT(LineupsData[[#This Row],[B3_Box]],1)="S"),RIGHT(LineupsData[[#This Row],[B3_Box]],LEN(LineupsData[[#This Row],[B3_Box]])-1),LineupsData[[#This Row],[B3_Box]])),"")</f>
        <v>0</v>
      </c>
      <c r="U122" s="1219" t="b">
        <f t="array" aca="1" ref="U12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22" s="1219" t="b">
        <v>0</v>
      </c>
      <c r="W122" s="1219">
        <v>52</v>
      </c>
    </row>
    <row r="123" spans="1:23" x14ac:dyDescent="0.25">
      <c r="A123" s="1218">
        <f>[1]IBRF!$B$5</f>
        <v>41734</v>
      </c>
      <c r="B123" s="1221">
        <f t="shared" si="3"/>
        <v>0.83333333333333337</v>
      </c>
      <c r="C123" s="1219">
        <v>2</v>
      </c>
      <c r="D123" s="1219">
        <f t="array" aca="1" ref="D123" ca="1">IF(LineupsData[[#This Row],[Passed?]],D122,IF(INDIRECT($AA$24&amp;INDEX(LineupsSearch[],MATCH(LineupsData[[#This Row],[Home?]]&amp;"Jam",LineupsSearch[Home?]&amp;LineupsSearch[Item],1),3)&amp;LineupsData[[#This Row],[RefRow]])="",0,INDIRECT($AA$24&amp;INDEX(LineupsSearch[],MATCH(LineupsData[[#This Row],[Home?]]&amp;"Jam",LineupsSearch[Home?]&amp;LineupsSearch[Item],1),3)&amp;LineupsData[[#This Row],[RefRow]])))</f>
        <v>6</v>
      </c>
      <c r="E123" s="1219" t="str">
        <f t="shared" si="5"/>
        <v>Harlots</v>
      </c>
      <c r="F123" s="1219" t="str">
        <f t="array" aca="1" ref="F123" ca="1">INDIRECT($AA$24&amp;INDEX(LineupsSearch[],MATCH(LineupsData[[#This Row],[Home?]]&amp;LineupsData[[#Headers],[Jammer]],LineupsSearch[Home?]&amp;LineupsSearch[Item],1),3)&amp;LineupsData[[#This Row],[RefRow]])</f>
        <v>26</v>
      </c>
      <c r="G123" s="1219" t="str">
        <f t="array" aca="1" ref="G12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123" s="1219">
        <f ca="1">IFERROR(LEN(IF(OR(LEFT(LineupsData[[#This Row],[J_Box]],1)="$",LEFT(LineupsData[[#This Row],[J_Box]],1)="S"),RIGHT(LineupsData[[#This Row],[J_Box]],LEN(LineupsData[[#This Row],[J_Box]])-1),LineupsData[[#This Row],[J_Box]])),"")</f>
        <v>1</v>
      </c>
      <c r="I123" s="1219" t="str">
        <f t="array" aca="1" ref="I123" ca="1">INDIRECT($AA$24&amp;INDEX(LineupsSearch[],MATCH(LineupsData[[#This Row],[Home?]]&amp;LineupsData[[#Headers],[Pivot]],LineupsSearch[Home?]&amp;LineupsSearch[Item],1),3)&amp;LineupsData[[#This Row],[RefRow]])</f>
        <v>58</v>
      </c>
      <c r="J123" s="1219" t="str">
        <f t="array" aca="1" ref="J12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v>
      </c>
      <c r="K123" s="1219">
        <f ca="1">IFERROR(LEN(IF(OR(LEFT(LineupsData[[#This Row],[P_Box]],1)="$",LEFT(LineupsData[[#This Row],[P_Box]],1)="S"),RIGHT(LineupsData[[#This Row],[P_Box]],LEN(LineupsData[[#This Row],[P_Box]])-1),LineupsData[[#This Row],[P_Box]])),"")</f>
        <v>1</v>
      </c>
      <c r="L123" s="1219">
        <f t="array" aca="1" ref="L123" ca="1">INDIRECT($AA$24&amp;INDEX(LineupsSearch[],MATCH(LineupsData[[#This Row],[Home?]]&amp;LineupsData[[#Headers],[B1]],LineupsSearch[Home?]&amp;LineupsSearch[Item],1),3)&amp;LineupsData[[#This Row],[RefRow]])</f>
        <v>0</v>
      </c>
      <c r="M123" s="1219" t="str">
        <f t="array" aca="1" ref="M12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23" s="1219">
        <f ca="1">IFERROR(LEN(IF(OR(LEFT(LineupsData[[#This Row],[B1_Box]],1)="$",LEFT(LineupsData[[#This Row],[B1_Box]],1)="S"),RIGHT(LineupsData[[#This Row],[B1_Box]],LEN(LineupsData[[#This Row],[B1_Box]])-1),LineupsData[[#This Row],[B1_Box]])),"")</f>
        <v>0</v>
      </c>
      <c r="O123" s="1219">
        <f t="array" aca="1" ref="O123" ca="1">INDIRECT($AA$24&amp;INDEX(LineupsSearch[],MATCH(LineupsData[[#This Row],[Home?]]&amp;LineupsData[[#Headers],[B2]],LineupsSearch[Home?]&amp;LineupsSearch[Item],1),3)&amp;LineupsData[[#This Row],[RefRow]])</f>
        <v>0</v>
      </c>
      <c r="P123" s="1219" t="str">
        <f t="array" aca="1" ref="P12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23" s="1219">
        <f ca="1">IFERROR(LEN(IF(OR(LEFT(LineupsData[[#This Row],[B2_Box]],1)="$",LEFT(LineupsData[[#This Row],[B2_Box]],1)="S"),RIGHT(LineupsData[[#This Row],[B2_Box]],LEN(LineupsData[[#This Row],[B2_Box]])-1),LineupsData[[#This Row],[B2_Box]])),"")</f>
        <v>0</v>
      </c>
      <c r="R123" s="1219">
        <f t="array" aca="1" ref="R123" ca="1">INDIRECT($AA$24&amp;INDEX(LineupsSearch[],MATCH(LineupsData[[#This Row],[Home?]]&amp;LineupsData[[#Headers],[B3]],LineupsSearch[Home?]&amp;LineupsSearch[Item],1),3)&amp;LineupsData[[#This Row],[RefRow]])</f>
        <v>0</v>
      </c>
      <c r="S123" s="1219" t="str">
        <f t="array" aca="1" ref="S12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23" s="1219">
        <f ca="1">IFERROR(LEN(IF(OR(LEFT(LineupsData[[#This Row],[B3_Box]],1)="$",LEFT(LineupsData[[#This Row],[B3_Box]],1)="S"),RIGHT(LineupsData[[#This Row],[B3_Box]],LEN(LineupsData[[#This Row],[B3_Box]])-1),LineupsData[[#This Row],[B3_Box]])),"")</f>
        <v>0</v>
      </c>
      <c r="U123" s="1219" t="b">
        <f t="array" aca="1" ref="U12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123" s="1219" t="b">
        <v>0</v>
      </c>
      <c r="W123" s="1219">
        <v>53</v>
      </c>
    </row>
    <row r="124" spans="1:23" x14ac:dyDescent="0.25">
      <c r="A124" s="1218">
        <f>[1]IBRF!$B$5</f>
        <v>41734</v>
      </c>
      <c r="B124" s="1221">
        <f t="shared" si="3"/>
        <v>0.83333333333333337</v>
      </c>
      <c r="C124" s="1219">
        <v>2</v>
      </c>
      <c r="D124" s="1219">
        <f t="array" aca="1" ref="D124" ca="1">IF(LineupsData[[#This Row],[Passed?]],D123,IF(INDIRECT($AA$24&amp;INDEX(LineupsSearch[],MATCH(LineupsData[[#This Row],[Home?]]&amp;"Jam",LineupsSearch[Home?]&amp;LineupsSearch[Item],1),3)&amp;LineupsData[[#This Row],[RefRow]])="",0,INDIRECT($AA$24&amp;INDEX(LineupsSearch[],MATCH(LineupsData[[#This Row],[Home?]]&amp;"Jam",LineupsSearch[Home?]&amp;LineupsSearch[Item],1),3)&amp;LineupsData[[#This Row],[RefRow]])))</f>
        <v>7</v>
      </c>
      <c r="E124" s="1219" t="str">
        <f t="shared" si="5"/>
        <v>Harlots</v>
      </c>
      <c r="F124" s="1219" t="str">
        <f t="array" aca="1" ref="F124" ca="1">INDIRECT($AA$24&amp;INDEX(LineupsSearch[],MATCH(LineupsData[[#This Row],[Home?]]&amp;LineupsData[[#Headers],[Jammer]],LineupsSearch[Home?]&amp;LineupsSearch[Item],1),3)&amp;LineupsData[[#This Row],[RefRow]])</f>
        <v>26</v>
      </c>
      <c r="G124" s="1219" t="str">
        <f t="array" aca="1" ref="G12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124" s="1219">
        <f ca="1">IFERROR(LEN(IF(OR(LEFT(LineupsData[[#This Row],[J_Box]],1)="$",LEFT(LineupsData[[#This Row],[J_Box]],1)="S"),RIGHT(LineupsData[[#This Row],[J_Box]],LEN(LineupsData[[#This Row],[J_Box]])-1),LineupsData[[#This Row],[J_Box]])),"")</f>
        <v>1</v>
      </c>
      <c r="I124" s="1219" t="str">
        <f t="array" aca="1" ref="I124" ca="1">INDIRECT($AA$24&amp;INDEX(LineupsSearch[],MATCH(LineupsData[[#This Row],[Home?]]&amp;LineupsData[[#Headers],[Pivot]],LineupsSearch[Home?]&amp;LineupsSearch[Item],1),3)&amp;LineupsData[[#This Row],[RefRow]])</f>
        <v>519</v>
      </c>
      <c r="J124" s="1219" t="str">
        <f t="array" aca="1" ref="J12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24" s="1219">
        <f ca="1">IFERROR(LEN(IF(OR(LEFT(LineupsData[[#This Row],[P_Box]],1)="$",LEFT(LineupsData[[#This Row],[P_Box]],1)="S"),RIGHT(LineupsData[[#This Row],[P_Box]],LEN(LineupsData[[#This Row],[P_Box]])-1),LineupsData[[#This Row],[P_Box]])),"")</f>
        <v>0</v>
      </c>
      <c r="L124" s="1219" t="str">
        <f t="array" aca="1" ref="L124" ca="1">INDIRECT($AA$24&amp;INDEX(LineupsSearch[],MATCH(LineupsData[[#This Row],[Home?]]&amp;LineupsData[[#Headers],[B1]],LineupsSearch[Home?]&amp;LineupsSearch[Item],1),3)&amp;LineupsData[[#This Row],[RefRow]])</f>
        <v>58</v>
      </c>
      <c r="M124" s="1219" t="str">
        <f t="array" aca="1" ref="M12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X</v>
      </c>
      <c r="N124" s="1219">
        <f ca="1">IFERROR(LEN(IF(OR(LEFT(LineupsData[[#This Row],[B1_Box]],1)="$",LEFT(LineupsData[[#This Row],[B1_Box]],1)="S"),RIGHT(LineupsData[[#This Row],[B1_Box]],LEN(LineupsData[[#This Row],[B1_Box]])-1),LineupsData[[#This Row],[B1_Box]])),"")</f>
        <v>1</v>
      </c>
      <c r="O124" s="1219" t="str">
        <f t="array" aca="1" ref="O124" ca="1">INDIRECT($AA$24&amp;INDEX(LineupsSearch[],MATCH(LineupsData[[#This Row],[Home?]]&amp;LineupsData[[#Headers],[B2]],LineupsSearch[Home?]&amp;LineupsSearch[Item],1),3)&amp;LineupsData[[#This Row],[RefRow]])</f>
        <v>511</v>
      </c>
      <c r="P124" s="1219" t="str">
        <f t="array" aca="1" ref="P12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24" s="1219">
        <f ca="1">IFERROR(LEN(IF(OR(LEFT(LineupsData[[#This Row],[B2_Box]],1)="$",LEFT(LineupsData[[#This Row],[B2_Box]],1)="S"),RIGHT(LineupsData[[#This Row],[B2_Box]],LEN(LineupsData[[#This Row],[B2_Box]])-1),LineupsData[[#This Row],[B2_Box]])),"")</f>
        <v>0</v>
      </c>
      <c r="R124" s="1219" t="str">
        <f t="array" aca="1" ref="R124" ca="1">INDIRECT($AA$24&amp;INDEX(LineupsSearch[],MATCH(LineupsData[[#This Row],[Home?]]&amp;LineupsData[[#Headers],[B3]],LineupsSearch[Home?]&amp;LineupsSearch[Item],1),3)&amp;LineupsData[[#This Row],[RefRow]])</f>
        <v>2611</v>
      </c>
      <c r="S124" s="1219" t="str">
        <f t="array" aca="1" ref="S12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24" s="1219">
        <f ca="1">IFERROR(LEN(IF(OR(LEFT(LineupsData[[#This Row],[B3_Box]],1)="$",LEFT(LineupsData[[#This Row],[B3_Box]],1)="S"),RIGHT(LineupsData[[#This Row],[B3_Box]],LEN(LineupsData[[#This Row],[B3_Box]])-1),LineupsData[[#This Row],[B3_Box]])),"")</f>
        <v>0</v>
      </c>
      <c r="U124" s="1219" t="b">
        <f t="array" aca="1" ref="U12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24" s="1219" t="b">
        <v>0</v>
      </c>
      <c r="W124" s="1219">
        <v>54</v>
      </c>
    </row>
    <row r="125" spans="1:23" x14ac:dyDescent="0.25">
      <c r="A125" s="1218">
        <f>[1]IBRF!$B$5</f>
        <v>41734</v>
      </c>
      <c r="B125" s="1221">
        <f t="shared" si="3"/>
        <v>0.83333333333333337</v>
      </c>
      <c r="C125" s="1219">
        <v>2</v>
      </c>
      <c r="D125" s="1219">
        <f t="array" aca="1" ref="D125" ca="1">IF(LineupsData[[#This Row],[Passed?]],D124,IF(INDIRECT($AA$24&amp;INDEX(LineupsSearch[],MATCH(LineupsData[[#This Row],[Home?]]&amp;"Jam",LineupsSearch[Home?]&amp;LineupsSearch[Item],1),3)&amp;LineupsData[[#This Row],[RefRow]])="",0,INDIRECT($AA$24&amp;INDEX(LineupsSearch[],MATCH(LineupsData[[#This Row],[Home?]]&amp;"Jam",LineupsSearch[Home?]&amp;LineupsSearch[Item],1),3)&amp;LineupsData[[#This Row],[RefRow]])))</f>
        <v>7</v>
      </c>
      <c r="E125" s="1219" t="str">
        <f t="shared" si="5"/>
        <v>Harlots</v>
      </c>
      <c r="F125" s="1219" t="str">
        <f t="array" aca="1" ref="F125" ca="1">INDIRECT($AA$24&amp;INDEX(LineupsSearch[],MATCH(LineupsData[[#This Row],[Home?]]&amp;LineupsData[[#Headers],[Jammer]],LineupsSearch[Home?]&amp;LineupsSearch[Item],1),3)&amp;LineupsData[[#This Row],[RefRow]])</f>
        <v>519</v>
      </c>
      <c r="G125" s="1219" t="str">
        <f t="array" aca="1" ref="G12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25" s="1219">
        <f ca="1">IFERROR(LEN(IF(OR(LEFT(LineupsData[[#This Row],[J_Box]],1)="$",LEFT(LineupsData[[#This Row],[J_Box]],1)="S"),RIGHT(LineupsData[[#This Row],[J_Box]],LEN(LineupsData[[#This Row],[J_Box]])-1),LineupsData[[#This Row],[J_Box]])),"")</f>
        <v>0</v>
      </c>
      <c r="I125" s="1219">
        <f t="array" aca="1" ref="I125" ca="1">INDIRECT($AA$24&amp;INDEX(LineupsSearch[],MATCH(LineupsData[[#This Row],[Home?]]&amp;LineupsData[[#Headers],[Pivot]],LineupsSearch[Home?]&amp;LineupsSearch[Item],1),3)&amp;LineupsData[[#This Row],[RefRow]])</f>
        <v>0</v>
      </c>
      <c r="J125" s="1219" t="str">
        <f t="array" aca="1" ref="J12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25" s="1219">
        <f ca="1">IFERROR(LEN(IF(OR(LEFT(LineupsData[[#This Row],[P_Box]],1)="$",LEFT(LineupsData[[#This Row],[P_Box]],1)="S"),RIGHT(LineupsData[[#This Row],[P_Box]],LEN(LineupsData[[#This Row],[P_Box]])-1),LineupsData[[#This Row],[P_Box]])),"")</f>
        <v>0</v>
      </c>
      <c r="L125" s="1219">
        <f t="array" aca="1" ref="L125" ca="1">INDIRECT($AA$24&amp;INDEX(LineupsSearch[],MATCH(LineupsData[[#This Row],[Home?]]&amp;LineupsData[[#Headers],[B1]],LineupsSearch[Home?]&amp;LineupsSearch[Item],1),3)&amp;LineupsData[[#This Row],[RefRow]])</f>
        <v>0</v>
      </c>
      <c r="M125" s="1219" t="str">
        <f t="array" aca="1" ref="M12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25" s="1219">
        <f ca="1">IFERROR(LEN(IF(OR(LEFT(LineupsData[[#This Row],[B1_Box]],1)="$",LEFT(LineupsData[[#This Row],[B1_Box]],1)="S"),RIGHT(LineupsData[[#This Row],[B1_Box]],LEN(LineupsData[[#This Row],[B1_Box]])-1),LineupsData[[#This Row],[B1_Box]])),"")</f>
        <v>0</v>
      </c>
      <c r="O125" s="1219">
        <f t="array" aca="1" ref="O125" ca="1">INDIRECT($AA$24&amp;INDEX(LineupsSearch[],MATCH(LineupsData[[#This Row],[Home?]]&amp;LineupsData[[#Headers],[B2]],LineupsSearch[Home?]&amp;LineupsSearch[Item],1),3)&amp;LineupsData[[#This Row],[RefRow]])</f>
        <v>0</v>
      </c>
      <c r="P125" s="1219" t="str">
        <f t="array" aca="1" ref="P12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25" s="1219">
        <f ca="1">IFERROR(LEN(IF(OR(LEFT(LineupsData[[#This Row],[B2_Box]],1)="$",LEFT(LineupsData[[#This Row],[B2_Box]],1)="S"),RIGHT(LineupsData[[#This Row],[B2_Box]],LEN(LineupsData[[#This Row],[B2_Box]])-1),LineupsData[[#This Row],[B2_Box]])),"")</f>
        <v>0</v>
      </c>
      <c r="R125" s="1219">
        <f t="array" aca="1" ref="R125" ca="1">INDIRECT($AA$24&amp;INDEX(LineupsSearch[],MATCH(LineupsData[[#This Row],[Home?]]&amp;LineupsData[[#Headers],[B3]],LineupsSearch[Home?]&amp;LineupsSearch[Item],1),3)&amp;LineupsData[[#This Row],[RefRow]])</f>
        <v>0</v>
      </c>
      <c r="S125" s="1219" t="str">
        <f t="array" aca="1" ref="S12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25" s="1219">
        <f ca="1">IFERROR(LEN(IF(OR(LEFT(LineupsData[[#This Row],[B3_Box]],1)="$",LEFT(LineupsData[[#This Row],[B3_Box]],1)="S"),RIGHT(LineupsData[[#This Row],[B3_Box]],LEN(LineupsData[[#This Row],[B3_Box]])-1),LineupsData[[#This Row],[B3_Box]])),"")</f>
        <v>0</v>
      </c>
      <c r="U125" s="1219" t="b">
        <f t="array" aca="1" ref="U12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125" s="1219" t="b">
        <v>0</v>
      </c>
      <c r="W125" s="1219">
        <v>55</v>
      </c>
    </row>
    <row r="126" spans="1:23" x14ac:dyDescent="0.25">
      <c r="A126" s="1218">
        <f>[1]IBRF!$B$5</f>
        <v>41734</v>
      </c>
      <c r="B126" s="1221">
        <f t="shared" si="3"/>
        <v>0.83333333333333337</v>
      </c>
      <c r="C126" s="1219">
        <v>2</v>
      </c>
      <c r="D126" s="1219">
        <f t="array" aca="1" ref="D126" ca="1">IF(LineupsData[[#This Row],[Passed?]],D125,IF(INDIRECT($AA$24&amp;INDEX(LineupsSearch[],MATCH(LineupsData[[#This Row],[Home?]]&amp;"Jam",LineupsSearch[Home?]&amp;LineupsSearch[Item],1),3)&amp;LineupsData[[#This Row],[RefRow]])="",0,INDIRECT($AA$24&amp;INDEX(LineupsSearch[],MATCH(LineupsData[[#This Row],[Home?]]&amp;"Jam",LineupsSearch[Home?]&amp;LineupsSearch[Item],1),3)&amp;LineupsData[[#This Row],[RefRow]])))</f>
        <v>8</v>
      </c>
      <c r="E126" s="1219" t="str">
        <f t="shared" si="5"/>
        <v>Harlots</v>
      </c>
      <c r="F126" s="1219" t="str">
        <f t="array" aca="1" ref="F126" ca="1">INDIRECT($AA$24&amp;INDEX(LineupsSearch[],MATCH(LineupsData[[#This Row],[Home?]]&amp;LineupsData[[#Headers],[Jammer]],LineupsSearch[Home?]&amp;LineupsSearch[Item],1),3)&amp;LineupsData[[#This Row],[RefRow]])</f>
        <v>K9</v>
      </c>
      <c r="G126" s="1219" t="str">
        <f t="array" aca="1" ref="G12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26" s="1219">
        <f ca="1">IFERROR(LEN(IF(OR(LEFT(LineupsData[[#This Row],[J_Box]],1)="$",LEFT(LineupsData[[#This Row],[J_Box]],1)="S"),RIGHT(LineupsData[[#This Row],[J_Box]],LEN(LineupsData[[#This Row],[J_Box]])-1),LineupsData[[#This Row],[J_Box]])),"")</f>
        <v>0</v>
      </c>
      <c r="I126" s="1219" t="str">
        <f t="array" aca="1" ref="I126" ca="1">INDIRECT($AA$24&amp;INDEX(LineupsSearch[],MATCH(LineupsData[[#This Row],[Home?]]&amp;LineupsData[[#Headers],[Pivot]],LineupsSearch[Home?]&amp;LineupsSearch[Item],1),3)&amp;LineupsData[[#This Row],[RefRow]])</f>
        <v>511</v>
      </c>
      <c r="J126" s="1219" t="str">
        <f t="array" aca="1" ref="J12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26" s="1219">
        <f ca="1">IFERROR(LEN(IF(OR(LEFT(LineupsData[[#This Row],[P_Box]],1)="$",LEFT(LineupsData[[#This Row],[P_Box]],1)="S"),RIGHT(LineupsData[[#This Row],[P_Box]],LEN(LineupsData[[#This Row],[P_Box]])-1),LineupsData[[#This Row],[P_Box]])),"")</f>
        <v>0</v>
      </c>
      <c r="L126" s="1219" t="str">
        <f t="array" aca="1" ref="L126" ca="1">INDIRECT($AA$24&amp;INDEX(LineupsSearch[],MATCH(LineupsData[[#This Row],[Home?]]&amp;LineupsData[[#Headers],[B1]],LineupsSearch[Home?]&amp;LineupsSearch[Item],1),3)&amp;LineupsData[[#This Row],[RefRow]])</f>
        <v>11</v>
      </c>
      <c r="M126" s="1219" t="str">
        <f t="array" aca="1" ref="M12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26" s="1219">
        <f ca="1">IFERROR(LEN(IF(OR(LEFT(LineupsData[[#This Row],[B1_Box]],1)="$",LEFT(LineupsData[[#This Row],[B1_Box]],1)="S"),RIGHT(LineupsData[[#This Row],[B1_Box]],LEN(LineupsData[[#This Row],[B1_Box]])-1),LineupsData[[#This Row],[B1_Box]])),"")</f>
        <v>0</v>
      </c>
      <c r="O126" s="1219" t="str">
        <f t="array" aca="1" ref="O126" ca="1">INDIRECT($AA$24&amp;INDEX(LineupsSearch[],MATCH(LineupsData[[#This Row],[Home?]]&amp;LineupsData[[#Headers],[B2]],LineupsSearch[Home?]&amp;LineupsSearch[Item],1),3)&amp;LineupsData[[#This Row],[RefRow]])</f>
        <v>26</v>
      </c>
      <c r="P126" s="1219" t="str">
        <f t="array" aca="1" ref="P12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26" s="1219">
        <f ca="1">IFERROR(LEN(IF(OR(LEFT(LineupsData[[#This Row],[B2_Box]],1)="$",LEFT(LineupsData[[#This Row],[B2_Box]],1)="S"),RIGHT(LineupsData[[#This Row],[B2_Box]],LEN(LineupsData[[#This Row],[B2_Box]])-1),LineupsData[[#This Row],[B2_Box]])),"")</f>
        <v>0</v>
      </c>
      <c r="R126" s="1219" t="str">
        <f t="array" aca="1" ref="R126" ca="1">INDIRECT($AA$24&amp;INDEX(LineupsSearch[],MATCH(LineupsData[[#This Row],[Home?]]&amp;LineupsData[[#Headers],[B3]],LineupsSearch[Home?]&amp;LineupsSearch[Item],1),3)&amp;LineupsData[[#This Row],[RefRow]])</f>
        <v>152</v>
      </c>
      <c r="S126" s="1219" t="str">
        <f t="array" aca="1" ref="S12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26" s="1219">
        <f ca="1">IFERROR(LEN(IF(OR(LEFT(LineupsData[[#This Row],[B3_Box]],1)="$",LEFT(LineupsData[[#This Row],[B3_Box]],1)="S"),RIGHT(LineupsData[[#This Row],[B3_Box]],LEN(LineupsData[[#This Row],[B3_Box]])-1),LineupsData[[#This Row],[B3_Box]])),"")</f>
        <v>0</v>
      </c>
      <c r="U126" s="1219" t="b">
        <f t="array" aca="1" ref="U12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26" s="1219" t="b">
        <v>0</v>
      </c>
      <c r="W126" s="1219">
        <v>56</v>
      </c>
    </row>
    <row r="127" spans="1:23" x14ac:dyDescent="0.25">
      <c r="A127" s="1218">
        <f>[1]IBRF!$B$5</f>
        <v>41734</v>
      </c>
      <c r="B127" s="1221">
        <f t="shared" si="3"/>
        <v>0.83333333333333337</v>
      </c>
      <c r="C127" s="1219">
        <v>2</v>
      </c>
      <c r="D127" s="1219">
        <f t="array" aca="1" ref="D127" ca="1">IF(LineupsData[[#This Row],[Passed?]],D126,IF(INDIRECT($AA$24&amp;INDEX(LineupsSearch[],MATCH(LineupsData[[#This Row],[Home?]]&amp;"Jam",LineupsSearch[Home?]&amp;LineupsSearch[Item],1),3)&amp;LineupsData[[#This Row],[RefRow]])="",0,INDIRECT($AA$24&amp;INDEX(LineupsSearch[],MATCH(LineupsData[[#This Row],[Home?]]&amp;"Jam",LineupsSearch[Home?]&amp;LineupsSearch[Item],1),3)&amp;LineupsData[[#This Row],[RefRow]])))</f>
        <v>9</v>
      </c>
      <c r="E127" s="1219" t="str">
        <f t="shared" si="5"/>
        <v>Harlots</v>
      </c>
      <c r="F127" s="1219" t="str">
        <f t="array" aca="1" ref="F127" ca="1">INDIRECT($AA$24&amp;INDEX(LineupsSearch[],MATCH(LineupsData[[#This Row],[Home?]]&amp;LineupsData[[#Headers],[Jammer]],LineupsSearch[Home?]&amp;LineupsSearch[Item],1),3)&amp;LineupsData[[#This Row],[RefRow]])</f>
        <v>451</v>
      </c>
      <c r="G127" s="1219" t="str">
        <f t="array" aca="1" ref="G12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27" s="1219">
        <f ca="1">IFERROR(LEN(IF(OR(LEFT(LineupsData[[#This Row],[J_Box]],1)="$",LEFT(LineupsData[[#This Row],[J_Box]],1)="S"),RIGHT(LineupsData[[#This Row],[J_Box]],LEN(LineupsData[[#This Row],[J_Box]])-1),LineupsData[[#This Row],[J_Box]])),"")</f>
        <v>0</v>
      </c>
      <c r="I127" s="1219" t="str">
        <f t="array" aca="1" ref="I127" ca="1">INDIRECT($AA$24&amp;INDEX(LineupsSearch[],MATCH(LineupsData[[#This Row],[Home?]]&amp;LineupsData[[#Headers],[Pivot]],LineupsSearch[Home?]&amp;LineupsSearch[Item],1),3)&amp;LineupsData[[#This Row],[RefRow]])</f>
        <v>45</v>
      </c>
      <c r="J127" s="1219" t="str">
        <f t="array" aca="1" ref="J12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27" s="1219">
        <f ca="1">IFERROR(LEN(IF(OR(LEFT(LineupsData[[#This Row],[P_Box]],1)="$",LEFT(LineupsData[[#This Row],[P_Box]],1)="S"),RIGHT(LineupsData[[#This Row],[P_Box]],LEN(LineupsData[[#This Row],[P_Box]])-1),LineupsData[[#This Row],[P_Box]])),"")</f>
        <v>0</v>
      </c>
      <c r="L127" s="1219" t="str">
        <f t="array" aca="1" ref="L127" ca="1">INDIRECT($AA$24&amp;INDEX(LineupsSearch[],MATCH(LineupsData[[#This Row],[Home?]]&amp;LineupsData[[#Headers],[B1]],LineupsSearch[Home?]&amp;LineupsSearch[Item],1),3)&amp;LineupsData[[#This Row],[RefRow]])</f>
        <v>2611</v>
      </c>
      <c r="M127" s="1219" t="str">
        <f t="array" aca="1" ref="M12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27" s="1219">
        <f ca="1">IFERROR(LEN(IF(OR(LEFT(LineupsData[[#This Row],[B1_Box]],1)="$",LEFT(LineupsData[[#This Row],[B1_Box]],1)="S"),RIGHT(LineupsData[[#This Row],[B1_Box]],LEN(LineupsData[[#This Row],[B1_Box]])-1),LineupsData[[#This Row],[B1_Box]])),"")</f>
        <v>0</v>
      </c>
      <c r="O127" s="1219" t="str">
        <f t="array" aca="1" ref="O127" ca="1">INDIRECT($AA$24&amp;INDEX(LineupsSearch[],MATCH(LineupsData[[#This Row],[Home?]]&amp;LineupsData[[#Headers],[B2]],LineupsSearch[Home?]&amp;LineupsSearch[Item],1),3)&amp;LineupsData[[#This Row],[RefRow]])</f>
        <v>H20</v>
      </c>
      <c r="P127" s="1219" t="str">
        <f t="array" aca="1" ref="P12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27" s="1219">
        <f ca="1">IFERROR(LEN(IF(OR(LEFT(LineupsData[[#This Row],[B2_Box]],1)="$",LEFT(LineupsData[[#This Row],[B2_Box]],1)="S"),RIGHT(LineupsData[[#This Row],[B2_Box]],LEN(LineupsData[[#This Row],[B2_Box]])-1),LineupsData[[#This Row],[B2_Box]])),"")</f>
        <v>0</v>
      </c>
      <c r="R127" s="1219" t="str">
        <f t="array" aca="1" ref="R127" ca="1">INDIRECT($AA$24&amp;INDEX(LineupsSearch[],MATCH(LineupsData[[#This Row],[Home?]]&amp;LineupsData[[#Headers],[B3]],LineupsSearch[Home?]&amp;LineupsSearch[Item],1),3)&amp;LineupsData[[#This Row],[RefRow]])</f>
        <v>237</v>
      </c>
      <c r="S127" s="1219" t="str">
        <f t="array" aca="1" ref="S12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27" s="1219">
        <f ca="1">IFERROR(LEN(IF(OR(LEFT(LineupsData[[#This Row],[B3_Box]],1)="$",LEFT(LineupsData[[#This Row],[B3_Box]],1)="S"),RIGHT(LineupsData[[#This Row],[B3_Box]],LEN(LineupsData[[#This Row],[B3_Box]])-1),LineupsData[[#This Row],[B3_Box]])),"")</f>
        <v>0</v>
      </c>
      <c r="U127" s="1219" t="b">
        <f t="array" aca="1" ref="U12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27" s="1219" t="b">
        <v>0</v>
      </c>
      <c r="W127" s="1219">
        <v>57</v>
      </c>
    </row>
    <row r="128" spans="1:23" x14ac:dyDescent="0.25">
      <c r="A128" s="1218">
        <f>[1]IBRF!$B$5</f>
        <v>41734</v>
      </c>
      <c r="B128" s="1221">
        <f t="shared" si="3"/>
        <v>0.83333333333333337</v>
      </c>
      <c r="C128" s="1219">
        <v>2</v>
      </c>
      <c r="D128" s="1219">
        <f t="array" aca="1" ref="D128" ca="1">IF(LineupsData[[#This Row],[Passed?]],D127,IF(INDIRECT($AA$24&amp;INDEX(LineupsSearch[],MATCH(LineupsData[[#This Row],[Home?]]&amp;"Jam",LineupsSearch[Home?]&amp;LineupsSearch[Item],1),3)&amp;LineupsData[[#This Row],[RefRow]])="",0,INDIRECT($AA$24&amp;INDEX(LineupsSearch[],MATCH(LineupsData[[#This Row],[Home?]]&amp;"Jam",LineupsSearch[Home?]&amp;LineupsSearch[Item],1),3)&amp;LineupsData[[#This Row],[RefRow]])))</f>
        <v>10</v>
      </c>
      <c r="E128" s="1219" t="str">
        <f t="shared" si="5"/>
        <v>Harlots</v>
      </c>
      <c r="F128" s="1219" t="str">
        <f t="array" aca="1" ref="F128" ca="1">INDIRECT($AA$24&amp;INDEX(LineupsSearch[],MATCH(LineupsData[[#This Row],[Home?]]&amp;LineupsData[[#Headers],[Jammer]],LineupsSearch[Home?]&amp;LineupsSearch[Item],1),3)&amp;LineupsData[[#This Row],[RefRow]])</f>
        <v>11G6</v>
      </c>
      <c r="G128" s="1219" t="str">
        <f t="array" aca="1" ref="G12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28" s="1219">
        <f ca="1">IFERROR(LEN(IF(OR(LEFT(LineupsData[[#This Row],[J_Box]],1)="$",LEFT(LineupsData[[#This Row],[J_Box]],1)="S"),RIGHT(LineupsData[[#This Row],[J_Box]],LEN(LineupsData[[#This Row],[J_Box]])-1),LineupsData[[#This Row],[J_Box]])),"")</f>
        <v>0</v>
      </c>
      <c r="I128" s="1219" t="str">
        <f t="array" aca="1" ref="I128" ca="1">INDIRECT($AA$24&amp;INDEX(LineupsSearch[],MATCH(LineupsData[[#This Row],[Home?]]&amp;LineupsData[[#Headers],[Pivot]],LineupsSearch[Home?]&amp;LineupsSearch[Item],1),3)&amp;LineupsData[[#This Row],[RefRow]])</f>
        <v>519</v>
      </c>
      <c r="J128" s="1219" t="str">
        <f t="array" aca="1" ref="J12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v>
      </c>
      <c r="K128" s="1219">
        <f ca="1">IFERROR(LEN(IF(OR(LEFT(LineupsData[[#This Row],[P_Box]],1)="$",LEFT(LineupsData[[#This Row],[P_Box]],1)="S"),RIGHT(LineupsData[[#This Row],[P_Box]],LEN(LineupsData[[#This Row],[P_Box]])-1),LineupsData[[#This Row],[P_Box]])),"")</f>
        <v>1</v>
      </c>
      <c r="L128" s="1219" t="str">
        <f t="array" aca="1" ref="L128" ca="1">INDIRECT($AA$24&amp;INDEX(LineupsSearch[],MATCH(LineupsData[[#This Row],[Home?]]&amp;LineupsData[[#Headers],[B1]],LineupsSearch[Home?]&amp;LineupsSearch[Item],1),3)&amp;LineupsData[[#This Row],[RefRow]])</f>
        <v>932</v>
      </c>
      <c r="M128" s="1219" t="str">
        <f t="array" aca="1" ref="M12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28" s="1219">
        <f ca="1">IFERROR(LEN(IF(OR(LEFT(LineupsData[[#This Row],[B1_Box]],1)="$",LEFT(LineupsData[[#This Row],[B1_Box]],1)="S"),RIGHT(LineupsData[[#This Row],[B1_Box]],LEN(LineupsData[[#This Row],[B1_Box]])-1),LineupsData[[#This Row],[B1_Box]])),"")</f>
        <v>0</v>
      </c>
      <c r="O128" s="1219" t="str">
        <f t="array" aca="1" ref="O128" ca="1">INDIRECT($AA$24&amp;INDEX(LineupsSearch[],MATCH(LineupsData[[#This Row],[Home?]]&amp;LineupsData[[#Headers],[B2]],LineupsSearch[Home?]&amp;LineupsSearch[Item],1),3)&amp;LineupsData[[#This Row],[RefRow]])</f>
        <v>11</v>
      </c>
      <c r="P128" s="1219" t="str">
        <f t="array" aca="1" ref="P12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28" s="1219">
        <f ca="1">IFERROR(LEN(IF(OR(LEFT(LineupsData[[#This Row],[B2_Box]],1)="$",LEFT(LineupsData[[#This Row],[B2_Box]],1)="S"),RIGHT(LineupsData[[#This Row],[B2_Box]],LEN(LineupsData[[#This Row],[B2_Box]])-1),LineupsData[[#This Row],[B2_Box]])),"")</f>
        <v>0</v>
      </c>
      <c r="R128" s="1219" t="str">
        <f t="array" aca="1" ref="R128" ca="1">INDIRECT($AA$24&amp;INDEX(LineupsSearch[],MATCH(LineupsData[[#This Row],[Home?]]&amp;LineupsData[[#Headers],[B3]],LineupsSearch[Home?]&amp;LineupsSearch[Item],1),3)&amp;LineupsData[[#This Row],[RefRow]])</f>
        <v>26</v>
      </c>
      <c r="S128" s="1219" t="str">
        <f t="array" aca="1" ref="S12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28" s="1219">
        <f ca="1">IFERROR(LEN(IF(OR(LEFT(LineupsData[[#This Row],[B3_Box]],1)="$",LEFT(LineupsData[[#This Row],[B3_Box]],1)="S"),RIGHT(LineupsData[[#This Row],[B3_Box]],LEN(LineupsData[[#This Row],[B3_Box]])-1),LineupsData[[#This Row],[B3_Box]])),"")</f>
        <v>0</v>
      </c>
      <c r="U128" s="1219" t="b">
        <f t="array" aca="1" ref="U12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28" s="1219" t="b">
        <v>0</v>
      </c>
      <c r="W128" s="1219">
        <v>58</v>
      </c>
    </row>
    <row r="129" spans="1:23" x14ac:dyDescent="0.25">
      <c r="A129" s="1218">
        <f>[1]IBRF!$B$5</f>
        <v>41734</v>
      </c>
      <c r="B129" s="1221">
        <f t="shared" si="3"/>
        <v>0.83333333333333337</v>
      </c>
      <c r="C129" s="1219">
        <v>2</v>
      </c>
      <c r="D129" s="1219">
        <f t="array" aca="1" ref="D129" ca="1">IF(LineupsData[[#This Row],[Passed?]],D128,IF(INDIRECT($AA$24&amp;INDEX(LineupsSearch[],MATCH(LineupsData[[#This Row],[Home?]]&amp;"Jam",LineupsSearch[Home?]&amp;LineupsSearch[Item],1),3)&amp;LineupsData[[#This Row],[RefRow]])="",0,INDIRECT($AA$24&amp;INDEX(LineupsSearch[],MATCH(LineupsData[[#This Row],[Home?]]&amp;"Jam",LineupsSearch[Home?]&amp;LineupsSearch[Item],1),3)&amp;LineupsData[[#This Row],[RefRow]])))</f>
        <v>11</v>
      </c>
      <c r="E129" s="1219" t="str">
        <f t="shared" si="5"/>
        <v>Harlots</v>
      </c>
      <c r="F129" s="1219" t="str">
        <f t="array" aca="1" ref="F129" ca="1">INDIRECT($AA$24&amp;INDEX(LineupsSearch[],MATCH(LineupsData[[#This Row],[Home?]]&amp;LineupsData[[#Headers],[Jammer]],LineupsSearch[Home?]&amp;LineupsSearch[Item],1),3)&amp;LineupsData[[#This Row],[RefRow]])</f>
        <v>58</v>
      </c>
      <c r="G129" s="1219" t="str">
        <f t="array" aca="1" ref="G12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29" s="1219">
        <f ca="1">IFERROR(LEN(IF(OR(LEFT(LineupsData[[#This Row],[J_Box]],1)="$",LEFT(LineupsData[[#This Row],[J_Box]],1)="S"),RIGHT(LineupsData[[#This Row],[J_Box]],LEN(LineupsData[[#This Row],[J_Box]])-1),LineupsData[[#This Row],[J_Box]])),"")</f>
        <v>0</v>
      </c>
      <c r="I129" s="1219" t="str">
        <f t="array" aca="1" ref="I129" ca="1">INDIRECT($AA$24&amp;INDEX(LineupsSearch[],MATCH(LineupsData[[#This Row],[Home?]]&amp;LineupsData[[#Headers],[Pivot]],LineupsSearch[Home?]&amp;LineupsSearch[Item],1),3)&amp;LineupsData[[#This Row],[RefRow]])</f>
        <v>519</v>
      </c>
      <c r="J129" s="1219" t="str">
        <f t="array" aca="1" ref="J12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X</v>
      </c>
      <c r="K129" s="1219">
        <f ca="1">IFERROR(LEN(IF(OR(LEFT(LineupsData[[#This Row],[P_Box]],1)="$",LEFT(LineupsData[[#This Row],[P_Box]],1)="S"),RIGHT(LineupsData[[#This Row],[P_Box]],LEN(LineupsData[[#This Row],[P_Box]])-1),LineupsData[[#This Row],[P_Box]])),"")</f>
        <v>1</v>
      </c>
      <c r="L129" s="1219" t="str">
        <f t="array" aca="1" ref="L129" ca="1">INDIRECT($AA$24&amp;INDEX(LineupsSearch[],MATCH(LineupsData[[#This Row],[Home?]]&amp;LineupsData[[#Headers],[B1]],LineupsSearch[Home?]&amp;LineupsSearch[Item],1),3)&amp;LineupsData[[#This Row],[RefRow]])</f>
        <v>45</v>
      </c>
      <c r="M129" s="1219" t="str">
        <f t="array" aca="1" ref="M12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29" s="1219">
        <f ca="1">IFERROR(LEN(IF(OR(LEFT(LineupsData[[#This Row],[B1_Box]],1)="$",LEFT(LineupsData[[#This Row],[B1_Box]],1)="S"),RIGHT(LineupsData[[#This Row],[B1_Box]],LEN(LineupsData[[#This Row],[B1_Box]])-1),LineupsData[[#This Row],[B1_Box]])),"")</f>
        <v>0</v>
      </c>
      <c r="O129" s="1219" t="str">
        <f t="array" aca="1" ref="O129" ca="1">INDIRECT($AA$24&amp;INDEX(LineupsSearch[],MATCH(LineupsData[[#This Row],[Home?]]&amp;LineupsData[[#Headers],[B2]],LineupsSearch[Home?]&amp;LineupsSearch[Item],1),3)&amp;LineupsData[[#This Row],[RefRow]])</f>
        <v>237</v>
      </c>
      <c r="P129" s="1219" t="str">
        <f t="array" aca="1" ref="P12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29" s="1219">
        <f ca="1">IFERROR(LEN(IF(OR(LEFT(LineupsData[[#This Row],[B2_Box]],1)="$",LEFT(LineupsData[[#This Row],[B2_Box]],1)="S"),RIGHT(LineupsData[[#This Row],[B2_Box]],LEN(LineupsData[[#This Row],[B2_Box]])-1),LineupsData[[#This Row],[B2_Box]])),"")</f>
        <v>0</v>
      </c>
      <c r="R129" s="1219" t="str">
        <f t="array" aca="1" ref="R129" ca="1">INDIRECT($AA$24&amp;INDEX(LineupsSearch[],MATCH(LineupsData[[#This Row],[Home?]]&amp;LineupsData[[#Headers],[B3]],LineupsSearch[Home?]&amp;LineupsSearch[Item],1),3)&amp;LineupsData[[#This Row],[RefRow]])</f>
        <v>2611</v>
      </c>
      <c r="S129" s="1219" t="str">
        <f t="array" aca="1" ref="S12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v>
      </c>
      <c r="T129" s="1219">
        <f ca="1">IFERROR(LEN(IF(OR(LEFT(LineupsData[[#This Row],[B3_Box]],1)="$",LEFT(LineupsData[[#This Row],[B3_Box]],1)="S"),RIGHT(LineupsData[[#This Row],[B3_Box]],LEN(LineupsData[[#This Row],[B3_Box]])-1),LineupsData[[#This Row],[B3_Box]])),"")</f>
        <v>1</v>
      </c>
      <c r="U129" s="1219" t="b">
        <f t="array" aca="1" ref="U12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29" s="1219" t="b">
        <v>0</v>
      </c>
      <c r="W129" s="1219">
        <v>59</v>
      </c>
    </row>
    <row r="130" spans="1:23" x14ac:dyDescent="0.25">
      <c r="A130" s="1218">
        <f>[1]IBRF!$B$5</f>
        <v>41734</v>
      </c>
      <c r="B130" s="1221">
        <f t="shared" ref="B130:B153" si="6">$AA$1</f>
        <v>0.83333333333333337</v>
      </c>
      <c r="C130" s="1219">
        <v>2</v>
      </c>
      <c r="D130" s="1219">
        <f t="array" aca="1" ref="D130" ca="1">IF(LineupsData[[#This Row],[Passed?]],D129,IF(INDIRECT($AA$24&amp;INDEX(LineupsSearch[],MATCH(LineupsData[[#This Row],[Home?]]&amp;"Jam",LineupsSearch[Home?]&amp;LineupsSearch[Item],1),3)&amp;LineupsData[[#This Row],[RefRow]])="",0,INDIRECT($AA$24&amp;INDEX(LineupsSearch[],MATCH(LineupsData[[#This Row],[Home?]]&amp;"Jam",LineupsSearch[Home?]&amp;LineupsSearch[Item],1),3)&amp;LineupsData[[#This Row],[RefRow]])))</f>
        <v>11</v>
      </c>
      <c r="E130" s="1219" t="str">
        <f t="shared" si="5"/>
        <v>Harlots</v>
      </c>
      <c r="F130" s="1219" t="str">
        <f t="array" aca="1" ref="F130" ca="1">INDIRECT($AA$24&amp;INDEX(LineupsSearch[],MATCH(LineupsData[[#This Row],[Home?]]&amp;LineupsData[[#Headers],[Jammer]],LineupsSearch[Home?]&amp;LineupsSearch[Item],1),3)&amp;LineupsData[[#This Row],[RefRow]])</f>
        <v>519</v>
      </c>
      <c r="G130" s="1219" t="str">
        <f t="array" aca="1" ref="G13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30" s="1219">
        <f ca="1">IFERROR(LEN(IF(OR(LEFT(LineupsData[[#This Row],[J_Box]],1)="$",LEFT(LineupsData[[#This Row],[J_Box]],1)="S"),RIGHT(LineupsData[[#This Row],[J_Box]],LEN(LineupsData[[#This Row],[J_Box]])-1),LineupsData[[#This Row],[J_Box]])),"")</f>
        <v>0</v>
      </c>
      <c r="I130" s="1219">
        <f t="array" aca="1" ref="I130" ca="1">INDIRECT($AA$24&amp;INDEX(LineupsSearch[],MATCH(LineupsData[[#This Row],[Home?]]&amp;LineupsData[[#Headers],[Pivot]],LineupsSearch[Home?]&amp;LineupsSearch[Item],1),3)&amp;LineupsData[[#This Row],[RefRow]])</f>
        <v>0</v>
      </c>
      <c r="J130" s="1219" t="str">
        <f t="array" aca="1" ref="J13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30" s="1219">
        <f ca="1">IFERROR(LEN(IF(OR(LEFT(LineupsData[[#This Row],[P_Box]],1)="$",LEFT(LineupsData[[#This Row],[P_Box]],1)="S"),RIGHT(LineupsData[[#This Row],[P_Box]],LEN(LineupsData[[#This Row],[P_Box]])-1),LineupsData[[#This Row],[P_Box]])),"")</f>
        <v>0</v>
      </c>
      <c r="L130" s="1219">
        <f t="array" aca="1" ref="L130" ca="1">INDIRECT($AA$24&amp;INDEX(LineupsSearch[],MATCH(LineupsData[[#This Row],[Home?]]&amp;LineupsData[[#Headers],[B1]],LineupsSearch[Home?]&amp;LineupsSearch[Item],1),3)&amp;LineupsData[[#This Row],[RefRow]])</f>
        <v>0</v>
      </c>
      <c r="M130" s="1219" t="str">
        <f t="array" aca="1" ref="M13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30" s="1219">
        <f ca="1">IFERROR(LEN(IF(OR(LEFT(LineupsData[[#This Row],[B1_Box]],1)="$",LEFT(LineupsData[[#This Row],[B1_Box]],1)="S"),RIGHT(LineupsData[[#This Row],[B1_Box]],LEN(LineupsData[[#This Row],[B1_Box]])-1),LineupsData[[#This Row],[B1_Box]])),"")</f>
        <v>0</v>
      </c>
      <c r="O130" s="1219">
        <f t="array" aca="1" ref="O130" ca="1">INDIRECT($AA$24&amp;INDEX(LineupsSearch[],MATCH(LineupsData[[#This Row],[Home?]]&amp;LineupsData[[#Headers],[B2]],LineupsSearch[Home?]&amp;LineupsSearch[Item],1),3)&amp;LineupsData[[#This Row],[RefRow]])</f>
        <v>0</v>
      </c>
      <c r="P130" s="1219" t="str">
        <f t="array" aca="1" ref="P13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30" s="1219">
        <f ca="1">IFERROR(LEN(IF(OR(LEFT(LineupsData[[#This Row],[B2_Box]],1)="$",LEFT(LineupsData[[#This Row],[B2_Box]],1)="S"),RIGHT(LineupsData[[#This Row],[B2_Box]],LEN(LineupsData[[#This Row],[B2_Box]])-1),LineupsData[[#This Row],[B2_Box]])),"")</f>
        <v>0</v>
      </c>
      <c r="R130" s="1219">
        <f t="array" aca="1" ref="R130" ca="1">INDIRECT($AA$24&amp;INDEX(LineupsSearch[],MATCH(LineupsData[[#This Row],[Home?]]&amp;LineupsData[[#Headers],[B3]],LineupsSearch[Home?]&amp;LineupsSearch[Item],1),3)&amp;LineupsData[[#This Row],[RefRow]])</f>
        <v>0</v>
      </c>
      <c r="S130" s="1219" t="str">
        <f t="array" aca="1" ref="S13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30" s="1219">
        <f ca="1">IFERROR(LEN(IF(OR(LEFT(LineupsData[[#This Row],[B3_Box]],1)="$",LEFT(LineupsData[[#This Row],[B3_Box]],1)="S"),RIGHT(LineupsData[[#This Row],[B3_Box]],LEN(LineupsData[[#This Row],[B3_Box]])-1),LineupsData[[#This Row],[B3_Box]])),"")</f>
        <v>0</v>
      </c>
      <c r="U130" s="1219" t="b">
        <f t="array" aca="1" ref="U13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130" s="1219" t="b">
        <v>0</v>
      </c>
      <c r="W130" s="1219">
        <v>60</v>
      </c>
    </row>
    <row r="131" spans="1:23" x14ac:dyDescent="0.25">
      <c r="A131" s="1218">
        <f>[1]IBRF!$B$5</f>
        <v>41734</v>
      </c>
      <c r="B131" s="1221">
        <f t="shared" si="6"/>
        <v>0.83333333333333337</v>
      </c>
      <c r="C131" s="1219">
        <v>2</v>
      </c>
      <c r="D131" s="1219">
        <f t="array" aca="1" ref="D131" ca="1">IF(LineupsData[[#This Row],[Passed?]],D130,IF(INDIRECT($AA$24&amp;INDEX(LineupsSearch[],MATCH(LineupsData[[#This Row],[Home?]]&amp;"Jam",LineupsSearch[Home?]&amp;LineupsSearch[Item],1),3)&amp;LineupsData[[#This Row],[RefRow]])="",0,INDIRECT($AA$24&amp;INDEX(LineupsSearch[],MATCH(LineupsData[[#This Row],[Home?]]&amp;"Jam",LineupsSearch[Home?]&amp;LineupsSearch[Item],1),3)&amp;LineupsData[[#This Row],[RefRow]])))</f>
        <v>12</v>
      </c>
      <c r="E131" s="1219" t="str">
        <f t="shared" si="5"/>
        <v>Harlots</v>
      </c>
      <c r="F131" s="1219" t="str">
        <f t="array" aca="1" ref="F131" ca="1">INDIRECT($AA$24&amp;INDEX(LineupsSearch[],MATCH(LineupsData[[#This Row],[Home?]]&amp;LineupsData[[#Headers],[Jammer]],LineupsSearch[Home?]&amp;LineupsSearch[Item],1),3)&amp;LineupsData[[#This Row],[RefRow]])</f>
        <v>K9</v>
      </c>
      <c r="G131" s="1219" t="str">
        <f t="array" aca="1" ref="G13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31" s="1219">
        <f ca="1">IFERROR(LEN(IF(OR(LEFT(LineupsData[[#This Row],[J_Box]],1)="$",LEFT(LineupsData[[#This Row],[J_Box]],1)="S"),RIGHT(LineupsData[[#This Row],[J_Box]],LEN(LineupsData[[#This Row],[J_Box]])-1),LineupsData[[#This Row],[J_Box]])),"")</f>
        <v>0</v>
      </c>
      <c r="I131" s="1219" t="str">
        <f t="array" aca="1" ref="I131" ca="1">INDIRECT($AA$24&amp;INDEX(LineupsSearch[],MATCH(LineupsData[[#This Row],[Home?]]&amp;LineupsData[[#Headers],[Pivot]],LineupsSearch[Home?]&amp;LineupsSearch[Item],1),3)&amp;LineupsData[[#This Row],[RefRow]])</f>
        <v>511</v>
      </c>
      <c r="J131" s="1219" t="str">
        <f t="array" aca="1" ref="J13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31" s="1219">
        <f ca="1">IFERROR(LEN(IF(OR(LEFT(LineupsData[[#This Row],[P_Box]],1)="$",LEFT(LineupsData[[#This Row],[P_Box]],1)="S"),RIGHT(LineupsData[[#This Row],[P_Box]],LEN(LineupsData[[#This Row],[P_Box]])-1),LineupsData[[#This Row],[P_Box]])),"")</f>
        <v>0</v>
      </c>
      <c r="L131" s="1219" t="str">
        <f t="array" aca="1" ref="L131" ca="1">INDIRECT($AA$24&amp;INDEX(LineupsSearch[],MATCH(LineupsData[[#This Row],[Home?]]&amp;LineupsData[[#Headers],[B1]],LineupsSearch[Home?]&amp;LineupsSearch[Item],1),3)&amp;LineupsData[[#This Row],[RefRow]])</f>
        <v>26</v>
      </c>
      <c r="M131" s="1219" t="str">
        <f t="array" aca="1" ref="M13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31" s="1219">
        <f ca="1">IFERROR(LEN(IF(OR(LEFT(LineupsData[[#This Row],[B1_Box]],1)="$",LEFT(LineupsData[[#This Row],[B1_Box]],1)="S"),RIGHT(LineupsData[[#This Row],[B1_Box]],LEN(LineupsData[[#This Row],[B1_Box]])-1),LineupsData[[#This Row],[B1_Box]])),"")</f>
        <v>0</v>
      </c>
      <c r="O131" s="1219" t="str">
        <f t="array" aca="1" ref="O131" ca="1">INDIRECT($AA$24&amp;INDEX(LineupsSearch[],MATCH(LineupsData[[#This Row],[Home?]]&amp;LineupsData[[#Headers],[B2]],LineupsSearch[Home?]&amp;LineupsSearch[Item],1),3)&amp;LineupsData[[#This Row],[RefRow]])</f>
        <v>11</v>
      </c>
      <c r="P131" s="1219" t="str">
        <f t="array" aca="1" ref="P13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31" s="1219">
        <f ca="1">IFERROR(LEN(IF(OR(LEFT(LineupsData[[#This Row],[B2_Box]],1)="$",LEFT(LineupsData[[#This Row],[B2_Box]],1)="S"),RIGHT(LineupsData[[#This Row],[B2_Box]],LEN(LineupsData[[#This Row],[B2_Box]])-1),LineupsData[[#This Row],[B2_Box]])),"")</f>
        <v>0</v>
      </c>
      <c r="R131" s="1219" t="str">
        <f t="array" aca="1" ref="R131" ca="1">INDIRECT($AA$24&amp;INDEX(LineupsSearch[],MATCH(LineupsData[[#This Row],[Home?]]&amp;LineupsData[[#Headers],[B3]],LineupsSearch[Home?]&amp;LineupsSearch[Item],1),3)&amp;LineupsData[[#This Row],[RefRow]])</f>
        <v>2611</v>
      </c>
      <c r="S131" s="1219" t="str">
        <f t="array" aca="1" ref="S13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X</v>
      </c>
      <c r="T131" s="1219">
        <f ca="1">IFERROR(LEN(IF(OR(LEFT(LineupsData[[#This Row],[B3_Box]],1)="$",LEFT(LineupsData[[#This Row],[B3_Box]],1)="S"),RIGHT(LineupsData[[#This Row],[B3_Box]],LEN(LineupsData[[#This Row],[B3_Box]])-1),LineupsData[[#This Row],[B3_Box]])),"")</f>
        <v>1</v>
      </c>
      <c r="U131" s="1219" t="b">
        <f t="array" aca="1" ref="U13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31" s="1219" t="b">
        <v>0</v>
      </c>
      <c r="W131" s="1219">
        <v>61</v>
      </c>
    </row>
    <row r="132" spans="1:23" x14ac:dyDescent="0.25">
      <c r="A132" s="1218">
        <f>[1]IBRF!$B$5</f>
        <v>41734</v>
      </c>
      <c r="B132" s="1221">
        <f t="shared" si="6"/>
        <v>0.83333333333333337</v>
      </c>
      <c r="C132" s="1219">
        <v>2</v>
      </c>
      <c r="D132" s="1219">
        <f t="array" aca="1" ref="D132" ca="1">IF(LineupsData[[#This Row],[Passed?]],D131,IF(INDIRECT($AA$24&amp;INDEX(LineupsSearch[],MATCH(LineupsData[[#This Row],[Home?]]&amp;"Jam",LineupsSearch[Home?]&amp;LineupsSearch[Item],1),3)&amp;LineupsData[[#This Row],[RefRow]])="",0,INDIRECT($AA$24&amp;INDEX(LineupsSearch[],MATCH(LineupsData[[#This Row],[Home?]]&amp;"Jam",LineupsSearch[Home?]&amp;LineupsSearch[Item],1),3)&amp;LineupsData[[#This Row],[RefRow]])))</f>
        <v>13</v>
      </c>
      <c r="E132" s="1219" t="str">
        <f t="shared" si="5"/>
        <v>Harlots</v>
      </c>
      <c r="F132" s="1219" t="str">
        <f t="array" aca="1" ref="F132" ca="1">INDIRECT($AA$24&amp;INDEX(LineupsSearch[],MATCH(LineupsData[[#This Row],[Home?]]&amp;LineupsData[[#Headers],[Jammer]],LineupsSearch[Home?]&amp;LineupsSearch[Item],1),3)&amp;LineupsData[[#This Row],[RefRow]])</f>
        <v>451</v>
      </c>
      <c r="G132" s="1219" t="str">
        <f t="array" aca="1" ref="G13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32" s="1219">
        <f ca="1">IFERROR(LEN(IF(OR(LEFT(LineupsData[[#This Row],[J_Box]],1)="$",LEFT(LineupsData[[#This Row],[J_Box]],1)="S"),RIGHT(LineupsData[[#This Row],[J_Box]],LEN(LineupsData[[#This Row],[J_Box]])-1),LineupsData[[#This Row],[J_Box]])),"")</f>
        <v>0</v>
      </c>
      <c r="I132" s="1219" t="str">
        <f t="array" aca="1" ref="I132" ca="1">INDIRECT($AA$24&amp;INDEX(LineupsSearch[],MATCH(LineupsData[[#This Row],[Home?]]&amp;LineupsData[[#Headers],[Pivot]],LineupsSearch[Home?]&amp;LineupsSearch[Item],1),3)&amp;LineupsData[[#This Row],[RefRow]])</f>
        <v>511</v>
      </c>
      <c r="J132" s="1219" t="str">
        <f t="array" aca="1" ref="J13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X</v>
      </c>
      <c r="K132" s="1219">
        <f ca="1">IFERROR(LEN(IF(OR(LEFT(LineupsData[[#This Row],[P_Box]],1)="$",LEFT(LineupsData[[#This Row],[P_Box]],1)="S"),RIGHT(LineupsData[[#This Row],[P_Box]],LEN(LineupsData[[#This Row],[P_Box]])-1),LineupsData[[#This Row],[P_Box]])),"")</f>
        <v>1</v>
      </c>
      <c r="L132" s="1219" t="str">
        <f t="array" aca="1" ref="L132" ca="1">INDIRECT($AA$24&amp;INDEX(LineupsSearch[],MATCH(LineupsData[[#This Row],[Home?]]&amp;LineupsData[[#Headers],[B1]],LineupsSearch[Home?]&amp;LineupsSearch[Item],1),3)&amp;LineupsData[[#This Row],[RefRow]])</f>
        <v>237</v>
      </c>
      <c r="M132" s="1219" t="str">
        <f t="array" aca="1" ref="M13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32" s="1219">
        <f ca="1">IFERROR(LEN(IF(OR(LEFT(LineupsData[[#This Row],[B1_Box]],1)="$",LEFT(LineupsData[[#This Row],[B1_Box]],1)="S"),RIGHT(LineupsData[[#This Row],[B1_Box]],LEN(LineupsData[[#This Row],[B1_Box]])-1),LineupsData[[#This Row],[B1_Box]])),"")</f>
        <v>0</v>
      </c>
      <c r="O132" s="1219" t="str">
        <f t="array" aca="1" ref="O132" ca="1">INDIRECT($AA$24&amp;INDEX(LineupsSearch[],MATCH(LineupsData[[#This Row],[Home?]]&amp;LineupsData[[#Headers],[B2]],LineupsSearch[Home?]&amp;LineupsSearch[Item],1),3)&amp;LineupsData[[#This Row],[RefRow]])</f>
        <v>152</v>
      </c>
      <c r="P132" s="1219" t="str">
        <f t="array" aca="1" ref="P13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32" s="1219">
        <f ca="1">IFERROR(LEN(IF(OR(LEFT(LineupsData[[#This Row],[B2_Box]],1)="$",LEFT(LineupsData[[#This Row],[B2_Box]],1)="S"),RIGHT(LineupsData[[#This Row],[B2_Box]],LEN(LineupsData[[#This Row],[B2_Box]])-1),LineupsData[[#This Row],[B2_Box]])),"")</f>
        <v>0</v>
      </c>
      <c r="R132" s="1219" t="str">
        <f t="array" aca="1" ref="R132" ca="1">INDIRECT($AA$24&amp;INDEX(LineupsSearch[],MATCH(LineupsData[[#This Row],[Home?]]&amp;LineupsData[[#Headers],[B3]],LineupsSearch[Home?]&amp;LineupsSearch[Item],1),3)&amp;LineupsData[[#This Row],[RefRow]])</f>
        <v>2611</v>
      </c>
      <c r="S132" s="1219" t="str">
        <f t="array" aca="1" ref="S13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32" s="1219">
        <f ca="1">IFERROR(LEN(IF(OR(LEFT(LineupsData[[#This Row],[B3_Box]],1)="$",LEFT(LineupsData[[#This Row],[B3_Box]],1)="S"),RIGHT(LineupsData[[#This Row],[B3_Box]],LEN(LineupsData[[#This Row],[B3_Box]])-1),LineupsData[[#This Row],[B3_Box]])),"")</f>
        <v>0</v>
      </c>
      <c r="U132" s="1219" t="b">
        <f t="array" aca="1" ref="U13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32" s="1219" t="b">
        <v>0</v>
      </c>
      <c r="W132" s="1219">
        <v>62</v>
      </c>
    </row>
    <row r="133" spans="1:23" x14ac:dyDescent="0.25">
      <c r="A133" s="1218">
        <f>[1]IBRF!$B$5</f>
        <v>41734</v>
      </c>
      <c r="B133" s="1221">
        <f t="shared" si="6"/>
        <v>0.83333333333333337</v>
      </c>
      <c r="C133" s="1219">
        <v>2</v>
      </c>
      <c r="D133" s="1219">
        <f t="array" aca="1" ref="D133" ca="1">IF(LineupsData[[#This Row],[Passed?]],D132,IF(INDIRECT($AA$24&amp;INDEX(LineupsSearch[],MATCH(LineupsData[[#This Row],[Home?]]&amp;"Jam",LineupsSearch[Home?]&amp;LineupsSearch[Item],1),3)&amp;LineupsData[[#This Row],[RefRow]])="",0,INDIRECT($AA$24&amp;INDEX(LineupsSearch[],MATCH(LineupsData[[#This Row],[Home?]]&amp;"Jam",LineupsSearch[Home?]&amp;LineupsSearch[Item],1),3)&amp;LineupsData[[#This Row],[RefRow]])))</f>
        <v>13</v>
      </c>
      <c r="E133" s="1219" t="str">
        <f t="shared" si="5"/>
        <v>Harlots</v>
      </c>
      <c r="F133" s="1219" t="str">
        <f t="array" aca="1" ref="F133" ca="1">INDIRECT($AA$24&amp;INDEX(LineupsSearch[],MATCH(LineupsData[[#This Row],[Home?]]&amp;LineupsData[[#Headers],[Jammer]],LineupsSearch[Home?]&amp;LineupsSearch[Item],1),3)&amp;LineupsData[[#This Row],[RefRow]])</f>
        <v>511</v>
      </c>
      <c r="G133" s="1219" t="str">
        <f t="array" aca="1" ref="G13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33" s="1219">
        <f ca="1">IFERROR(LEN(IF(OR(LEFT(LineupsData[[#This Row],[J_Box]],1)="$",LEFT(LineupsData[[#This Row],[J_Box]],1)="S"),RIGHT(LineupsData[[#This Row],[J_Box]],LEN(LineupsData[[#This Row],[J_Box]])-1),LineupsData[[#This Row],[J_Box]])),"")</f>
        <v>0</v>
      </c>
      <c r="I133" s="1219" t="str">
        <f t="array" aca="1" ref="I133" ca="1">INDIRECT($AA$24&amp;INDEX(LineupsSearch[],MATCH(LineupsData[[#This Row],[Home?]]&amp;LineupsData[[#Headers],[Pivot]],LineupsSearch[Home?]&amp;LineupsSearch[Item],1),3)&amp;LineupsData[[#This Row],[RefRow]])</f>
        <v>451</v>
      </c>
      <c r="J133" s="1219" t="str">
        <f t="array" aca="1" ref="J13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v>
      </c>
      <c r="K133" s="1219">
        <f ca="1">IFERROR(LEN(IF(OR(LEFT(LineupsData[[#This Row],[P_Box]],1)="$",LEFT(LineupsData[[#This Row],[P_Box]],1)="S"),RIGHT(LineupsData[[#This Row],[P_Box]],LEN(LineupsData[[#This Row],[P_Box]])-1),LineupsData[[#This Row],[P_Box]])),"")</f>
        <v>1</v>
      </c>
      <c r="L133" s="1219">
        <f t="array" aca="1" ref="L133" ca="1">INDIRECT($AA$24&amp;INDEX(LineupsSearch[],MATCH(LineupsData[[#This Row],[Home?]]&amp;LineupsData[[#Headers],[B1]],LineupsSearch[Home?]&amp;LineupsSearch[Item],1),3)&amp;LineupsData[[#This Row],[RefRow]])</f>
        <v>0</v>
      </c>
      <c r="M133" s="1219" t="str">
        <f t="array" aca="1" ref="M13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33" s="1219">
        <f ca="1">IFERROR(LEN(IF(OR(LEFT(LineupsData[[#This Row],[B1_Box]],1)="$",LEFT(LineupsData[[#This Row],[B1_Box]],1)="S"),RIGHT(LineupsData[[#This Row],[B1_Box]],LEN(LineupsData[[#This Row],[B1_Box]])-1),LineupsData[[#This Row],[B1_Box]])),"")</f>
        <v>0</v>
      </c>
      <c r="O133" s="1219">
        <f t="array" aca="1" ref="O133" ca="1">INDIRECT($AA$24&amp;INDEX(LineupsSearch[],MATCH(LineupsData[[#This Row],[Home?]]&amp;LineupsData[[#Headers],[B2]],LineupsSearch[Home?]&amp;LineupsSearch[Item],1),3)&amp;LineupsData[[#This Row],[RefRow]])</f>
        <v>0</v>
      </c>
      <c r="P133" s="1219" t="str">
        <f t="array" aca="1" ref="P13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33" s="1219">
        <f ca="1">IFERROR(LEN(IF(OR(LEFT(LineupsData[[#This Row],[B2_Box]],1)="$",LEFT(LineupsData[[#This Row],[B2_Box]],1)="S"),RIGHT(LineupsData[[#This Row],[B2_Box]],LEN(LineupsData[[#This Row],[B2_Box]])-1),LineupsData[[#This Row],[B2_Box]])),"")</f>
        <v>0</v>
      </c>
      <c r="R133" s="1219">
        <f t="array" aca="1" ref="R133" ca="1">INDIRECT($AA$24&amp;INDEX(LineupsSearch[],MATCH(LineupsData[[#This Row],[Home?]]&amp;LineupsData[[#Headers],[B3]],LineupsSearch[Home?]&amp;LineupsSearch[Item],1),3)&amp;LineupsData[[#This Row],[RefRow]])</f>
        <v>0</v>
      </c>
      <c r="S133" s="1219" t="str">
        <f t="array" aca="1" ref="S13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33" s="1219">
        <f ca="1">IFERROR(LEN(IF(OR(LEFT(LineupsData[[#This Row],[B3_Box]],1)="$",LEFT(LineupsData[[#This Row],[B3_Box]],1)="S"),RIGHT(LineupsData[[#This Row],[B3_Box]],LEN(LineupsData[[#This Row],[B3_Box]])-1),LineupsData[[#This Row],[B3_Box]])),"")</f>
        <v>0</v>
      </c>
      <c r="U133" s="1219" t="b">
        <f t="array" aca="1" ref="U13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133" s="1219" t="b">
        <v>0</v>
      </c>
      <c r="W133" s="1219">
        <v>63</v>
      </c>
    </row>
    <row r="134" spans="1:23" x14ac:dyDescent="0.25">
      <c r="A134" s="1218">
        <f>[1]IBRF!$B$5</f>
        <v>41734</v>
      </c>
      <c r="B134" s="1221">
        <f t="shared" si="6"/>
        <v>0.83333333333333337</v>
      </c>
      <c r="C134" s="1219">
        <v>2</v>
      </c>
      <c r="D134" s="1219">
        <f t="array" aca="1" ref="D134" ca="1">IF(LineupsData[[#This Row],[Passed?]],D133,IF(INDIRECT($AA$24&amp;INDEX(LineupsSearch[],MATCH(LineupsData[[#This Row],[Home?]]&amp;"Jam",LineupsSearch[Home?]&amp;LineupsSearch[Item],1),3)&amp;LineupsData[[#This Row],[RefRow]])="",0,INDIRECT($AA$24&amp;INDEX(LineupsSearch[],MATCH(LineupsData[[#This Row],[Home?]]&amp;"Jam",LineupsSearch[Home?]&amp;LineupsSearch[Item],1),3)&amp;LineupsData[[#This Row],[RefRow]])))</f>
        <v>14</v>
      </c>
      <c r="E134" s="1219" t="str">
        <f t="shared" si="5"/>
        <v>Harlots</v>
      </c>
      <c r="F134" s="1219" t="str">
        <f t="array" aca="1" ref="F134" ca="1">INDIRECT($AA$24&amp;INDEX(LineupsSearch[],MATCH(LineupsData[[#This Row],[Home?]]&amp;LineupsData[[#Headers],[Jammer]],LineupsSearch[Home?]&amp;LineupsSearch[Item],1),3)&amp;LineupsData[[#This Row],[RefRow]])</f>
        <v>11G6</v>
      </c>
      <c r="G134" s="1219" t="str">
        <f t="array" aca="1" ref="G13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34" s="1219">
        <f ca="1">IFERROR(LEN(IF(OR(LEFT(LineupsData[[#This Row],[J_Box]],1)="$",LEFT(LineupsData[[#This Row],[J_Box]],1)="S"),RIGHT(LineupsData[[#This Row],[J_Box]],LEN(LineupsData[[#This Row],[J_Box]])-1),LineupsData[[#This Row],[J_Box]])),"")</f>
        <v>0</v>
      </c>
      <c r="I134" s="1219" t="str">
        <f t="array" aca="1" ref="I134" ca="1">INDIRECT($AA$24&amp;INDEX(LineupsSearch[],MATCH(LineupsData[[#This Row],[Home?]]&amp;LineupsData[[#Headers],[Pivot]],LineupsSearch[Home?]&amp;LineupsSearch[Item],1),3)&amp;LineupsData[[#This Row],[RefRow]])</f>
        <v>26</v>
      </c>
      <c r="J134" s="1219" t="str">
        <f t="array" aca="1" ref="J13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34" s="1219">
        <f ca="1">IFERROR(LEN(IF(OR(LEFT(LineupsData[[#This Row],[P_Box]],1)="$",LEFT(LineupsData[[#This Row],[P_Box]],1)="S"),RIGHT(LineupsData[[#This Row],[P_Box]],LEN(LineupsData[[#This Row],[P_Box]])-1),LineupsData[[#This Row],[P_Box]])),"")</f>
        <v>0</v>
      </c>
      <c r="L134" s="1219" t="str">
        <f t="array" aca="1" ref="L134" ca="1">INDIRECT($AA$24&amp;INDEX(LineupsSearch[],MATCH(LineupsData[[#This Row],[Home?]]&amp;LineupsData[[#Headers],[B1]],LineupsSearch[Home?]&amp;LineupsSearch[Item],1),3)&amp;LineupsData[[#This Row],[RefRow]])</f>
        <v>451</v>
      </c>
      <c r="M134" s="1219" t="str">
        <f t="array" aca="1" ref="M13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X</v>
      </c>
      <c r="N134" s="1219">
        <f ca="1">IFERROR(LEN(IF(OR(LEFT(LineupsData[[#This Row],[B1_Box]],1)="$",LEFT(LineupsData[[#This Row],[B1_Box]],1)="S"),RIGHT(LineupsData[[#This Row],[B1_Box]],LEN(LineupsData[[#This Row],[B1_Box]])-1),LineupsData[[#This Row],[B1_Box]])),"")</f>
        <v>1</v>
      </c>
      <c r="O134" s="1219" t="str">
        <f t="array" aca="1" ref="O134" ca="1">INDIRECT($AA$24&amp;INDEX(LineupsSearch[],MATCH(LineupsData[[#This Row],[Home?]]&amp;LineupsData[[#Headers],[B2]],LineupsSearch[Home?]&amp;LineupsSearch[Item],1),3)&amp;LineupsData[[#This Row],[RefRow]])</f>
        <v>11</v>
      </c>
      <c r="P134" s="1219" t="str">
        <f t="array" aca="1" ref="P13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34" s="1219">
        <f ca="1">IFERROR(LEN(IF(OR(LEFT(LineupsData[[#This Row],[B2_Box]],1)="$",LEFT(LineupsData[[#This Row],[B2_Box]],1)="S"),RIGHT(LineupsData[[#This Row],[B2_Box]],LEN(LineupsData[[#This Row],[B2_Box]])-1),LineupsData[[#This Row],[B2_Box]])),"")</f>
        <v>0</v>
      </c>
      <c r="R134" s="1219" t="str">
        <f t="array" aca="1" ref="R134" ca="1">INDIRECT($AA$24&amp;INDEX(LineupsSearch[],MATCH(LineupsData[[#This Row],[Home?]]&amp;LineupsData[[#Headers],[B3]],LineupsSearch[Home?]&amp;LineupsSearch[Item],1),3)&amp;LineupsData[[#This Row],[RefRow]])</f>
        <v>519</v>
      </c>
      <c r="S134" s="1219" t="str">
        <f t="array" aca="1" ref="S13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34" s="1219">
        <f ca="1">IFERROR(LEN(IF(OR(LEFT(LineupsData[[#This Row],[B3_Box]],1)="$",LEFT(LineupsData[[#This Row],[B3_Box]],1)="S"),RIGHT(LineupsData[[#This Row],[B3_Box]],LEN(LineupsData[[#This Row],[B3_Box]])-1),LineupsData[[#This Row],[B3_Box]])),"")</f>
        <v>0</v>
      </c>
      <c r="U134" s="1219" t="b">
        <f t="array" aca="1" ref="U13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34" s="1219" t="b">
        <v>0</v>
      </c>
      <c r="W134" s="1219">
        <v>64</v>
      </c>
    </row>
    <row r="135" spans="1:23" x14ac:dyDescent="0.25">
      <c r="A135" s="1218">
        <f>[1]IBRF!$B$5</f>
        <v>41734</v>
      </c>
      <c r="B135" s="1221">
        <f t="shared" si="6"/>
        <v>0.83333333333333337</v>
      </c>
      <c r="C135" s="1219">
        <v>2</v>
      </c>
      <c r="D135" s="1219">
        <f t="array" aca="1" ref="D135" ca="1">IF(LineupsData[[#This Row],[Passed?]],D134,IF(INDIRECT($AA$24&amp;INDEX(LineupsSearch[],MATCH(LineupsData[[#This Row],[Home?]]&amp;"Jam",LineupsSearch[Home?]&amp;LineupsSearch[Item],1),3)&amp;LineupsData[[#This Row],[RefRow]])="",0,INDIRECT($AA$24&amp;INDEX(LineupsSearch[],MATCH(LineupsData[[#This Row],[Home?]]&amp;"Jam",LineupsSearch[Home?]&amp;LineupsSearch[Item],1),3)&amp;LineupsData[[#This Row],[RefRow]])))</f>
        <v>15</v>
      </c>
      <c r="E135" s="1219" t="str">
        <f t="shared" si="5"/>
        <v>Harlots</v>
      </c>
      <c r="F135" s="1219" t="str">
        <f t="array" aca="1" ref="F135" ca="1">INDIRECT($AA$24&amp;INDEX(LineupsSearch[],MATCH(LineupsData[[#This Row],[Home?]]&amp;LineupsData[[#Headers],[Jammer]],LineupsSearch[Home?]&amp;LineupsSearch[Item],1),3)&amp;LineupsData[[#This Row],[RefRow]])</f>
        <v>58</v>
      </c>
      <c r="G135" s="1219" t="str">
        <f t="array" aca="1" ref="G13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35" s="1219">
        <f ca="1">IFERROR(LEN(IF(OR(LEFT(LineupsData[[#This Row],[J_Box]],1)="$",LEFT(LineupsData[[#This Row],[J_Box]],1)="S"),RIGHT(LineupsData[[#This Row],[J_Box]],LEN(LineupsData[[#This Row],[J_Box]])-1),LineupsData[[#This Row],[J_Box]])),"")</f>
        <v>0</v>
      </c>
      <c r="I135" s="1219" t="str">
        <f t="array" aca="1" ref="I135" ca="1">INDIRECT($AA$24&amp;INDEX(LineupsSearch[],MATCH(LineupsData[[#This Row],[Home?]]&amp;LineupsData[[#Headers],[Pivot]],LineupsSearch[Home?]&amp;LineupsSearch[Item],1),3)&amp;LineupsData[[#This Row],[RefRow]])</f>
        <v>45</v>
      </c>
      <c r="J135" s="1219" t="str">
        <f t="array" aca="1" ref="J13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35" s="1219">
        <f ca="1">IFERROR(LEN(IF(OR(LEFT(LineupsData[[#This Row],[P_Box]],1)="$",LEFT(LineupsData[[#This Row],[P_Box]],1)="S"),RIGHT(LineupsData[[#This Row],[P_Box]],LEN(LineupsData[[#This Row],[P_Box]])-1),LineupsData[[#This Row],[P_Box]])),"")</f>
        <v>0</v>
      </c>
      <c r="L135" s="1219" t="str">
        <f t="array" aca="1" ref="L135" ca="1">INDIRECT($AA$24&amp;INDEX(LineupsSearch[],MATCH(LineupsData[[#This Row],[Home?]]&amp;LineupsData[[#Headers],[B1]],LineupsSearch[Home?]&amp;LineupsSearch[Item],1),3)&amp;LineupsData[[#This Row],[RefRow]])</f>
        <v>237</v>
      </c>
      <c r="M135" s="1219" t="str">
        <f t="array" aca="1" ref="M13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35" s="1219">
        <f ca="1">IFERROR(LEN(IF(OR(LEFT(LineupsData[[#This Row],[B1_Box]],1)="$",LEFT(LineupsData[[#This Row],[B1_Box]],1)="S"),RIGHT(LineupsData[[#This Row],[B1_Box]],LEN(LineupsData[[#This Row],[B1_Box]])-1),LineupsData[[#This Row],[B1_Box]])),"")</f>
        <v>0</v>
      </c>
      <c r="O135" s="1219" t="str">
        <f t="array" aca="1" ref="O135" ca="1">INDIRECT($AA$24&amp;INDEX(LineupsSearch[],MATCH(LineupsData[[#This Row],[Home?]]&amp;LineupsData[[#Headers],[B2]],LineupsSearch[Home?]&amp;LineupsSearch[Item],1),3)&amp;LineupsData[[#This Row],[RefRow]])</f>
        <v>H20</v>
      </c>
      <c r="P135" s="1219" t="str">
        <f t="array" aca="1" ref="P13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X</v>
      </c>
      <c r="Q135" s="1219">
        <f ca="1">IFERROR(LEN(IF(OR(LEFT(LineupsData[[#This Row],[B2_Box]],1)="$",LEFT(LineupsData[[#This Row],[B2_Box]],1)="S"),RIGHT(LineupsData[[#This Row],[B2_Box]],LEN(LineupsData[[#This Row],[B2_Box]])-1),LineupsData[[#This Row],[B2_Box]])),"")</f>
        <v>1</v>
      </c>
      <c r="R135" s="1219" t="str">
        <f t="array" aca="1" ref="R135" ca="1">INDIRECT($AA$24&amp;INDEX(LineupsSearch[],MATCH(LineupsData[[#This Row],[Home?]]&amp;LineupsData[[#Headers],[B3]],LineupsSearch[Home?]&amp;LineupsSearch[Item],1),3)&amp;LineupsData[[#This Row],[RefRow]])</f>
        <v>2611</v>
      </c>
      <c r="S135" s="1219" t="str">
        <f t="array" aca="1" ref="S13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35" s="1219">
        <f ca="1">IFERROR(LEN(IF(OR(LEFT(LineupsData[[#This Row],[B3_Box]],1)="$",LEFT(LineupsData[[#This Row],[B3_Box]],1)="S"),RIGHT(LineupsData[[#This Row],[B3_Box]],LEN(LineupsData[[#This Row],[B3_Box]])-1),LineupsData[[#This Row],[B3_Box]])),"")</f>
        <v>0</v>
      </c>
      <c r="U135" s="1219" t="b">
        <f t="array" aca="1" ref="U13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35" s="1219" t="b">
        <v>0</v>
      </c>
      <c r="W135" s="1219">
        <v>65</v>
      </c>
    </row>
    <row r="136" spans="1:23" x14ac:dyDescent="0.25">
      <c r="A136" s="1218">
        <f>[1]IBRF!$B$5</f>
        <v>41734</v>
      </c>
      <c r="B136" s="1221">
        <f t="shared" si="6"/>
        <v>0.83333333333333337</v>
      </c>
      <c r="C136" s="1219">
        <v>2</v>
      </c>
      <c r="D136" s="1219">
        <f t="array" aca="1" ref="D136" ca="1">IF(LineupsData[[#This Row],[Passed?]],D135,IF(INDIRECT($AA$24&amp;INDEX(LineupsSearch[],MATCH(LineupsData[[#This Row],[Home?]]&amp;"Jam",LineupsSearch[Home?]&amp;LineupsSearch[Item],1),3)&amp;LineupsData[[#This Row],[RefRow]])="",0,INDIRECT($AA$24&amp;INDEX(LineupsSearch[],MATCH(LineupsData[[#This Row],[Home?]]&amp;"Jam",LineupsSearch[Home?]&amp;LineupsSearch[Item],1),3)&amp;LineupsData[[#This Row],[RefRow]])))</f>
        <v>15</v>
      </c>
      <c r="E136" s="1219" t="str">
        <f t="shared" si="5"/>
        <v>Harlots</v>
      </c>
      <c r="F136" s="1219" t="str">
        <f t="array" aca="1" ref="F136" ca="1">INDIRECT($AA$24&amp;INDEX(LineupsSearch[],MATCH(LineupsData[[#This Row],[Home?]]&amp;LineupsData[[#Headers],[Jammer]],LineupsSearch[Home?]&amp;LineupsSearch[Item],1),3)&amp;LineupsData[[#This Row],[RefRow]])</f>
        <v>45</v>
      </c>
      <c r="G136" s="1219" t="str">
        <f t="array" aca="1" ref="G13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v>
      </c>
      <c r="H136" s="1219">
        <f ca="1">IFERROR(LEN(IF(OR(LEFT(LineupsData[[#This Row],[J_Box]],1)="$",LEFT(LineupsData[[#This Row],[J_Box]],1)="S"),RIGHT(LineupsData[[#This Row],[J_Box]],LEN(LineupsData[[#This Row],[J_Box]])-1),LineupsData[[#This Row],[J_Box]])),"")</f>
        <v>1</v>
      </c>
      <c r="I136" s="1219">
        <f t="array" aca="1" ref="I136" ca="1">INDIRECT($AA$24&amp;INDEX(LineupsSearch[],MATCH(LineupsData[[#This Row],[Home?]]&amp;LineupsData[[#Headers],[Pivot]],LineupsSearch[Home?]&amp;LineupsSearch[Item],1),3)&amp;LineupsData[[#This Row],[RefRow]])</f>
        <v>0</v>
      </c>
      <c r="J136" s="1219" t="str">
        <f t="array" aca="1" ref="J13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36" s="1219">
        <f ca="1">IFERROR(LEN(IF(OR(LEFT(LineupsData[[#This Row],[P_Box]],1)="$",LEFT(LineupsData[[#This Row],[P_Box]],1)="S"),RIGHT(LineupsData[[#This Row],[P_Box]],LEN(LineupsData[[#This Row],[P_Box]])-1),LineupsData[[#This Row],[P_Box]])),"")</f>
        <v>0</v>
      </c>
      <c r="L136" s="1219">
        <f t="array" aca="1" ref="L136" ca="1">INDIRECT($AA$24&amp;INDEX(LineupsSearch[],MATCH(LineupsData[[#This Row],[Home?]]&amp;LineupsData[[#Headers],[B1]],LineupsSearch[Home?]&amp;LineupsSearch[Item],1),3)&amp;LineupsData[[#This Row],[RefRow]])</f>
        <v>0</v>
      </c>
      <c r="M136" s="1219" t="str">
        <f t="array" aca="1" ref="M13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36" s="1219">
        <f ca="1">IFERROR(LEN(IF(OR(LEFT(LineupsData[[#This Row],[B1_Box]],1)="$",LEFT(LineupsData[[#This Row],[B1_Box]],1)="S"),RIGHT(LineupsData[[#This Row],[B1_Box]],LEN(LineupsData[[#This Row],[B1_Box]])-1),LineupsData[[#This Row],[B1_Box]])),"")</f>
        <v>0</v>
      </c>
      <c r="O136" s="1219">
        <f t="array" aca="1" ref="O136" ca="1">INDIRECT($AA$24&amp;INDEX(LineupsSearch[],MATCH(LineupsData[[#This Row],[Home?]]&amp;LineupsData[[#Headers],[B2]],LineupsSearch[Home?]&amp;LineupsSearch[Item],1),3)&amp;LineupsData[[#This Row],[RefRow]])</f>
        <v>0</v>
      </c>
      <c r="P136" s="1219" t="str">
        <f t="array" aca="1" ref="P13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36" s="1219">
        <f ca="1">IFERROR(LEN(IF(OR(LEFT(LineupsData[[#This Row],[B2_Box]],1)="$",LEFT(LineupsData[[#This Row],[B2_Box]],1)="S"),RIGHT(LineupsData[[#This Row],[B2_Box]],LEN(LineupsData[[#This Row],[B2_Box]])-1),LineupsData[[#This Row],[B2_Box]])),"")</f>
        <v>0</v>
      </c>
      <c r="R136" s="1219">
        <f t="array" aca="1" ref="R136" ca="1">INDIRECT($AA$24&amp;INDEX(LineupsSearch[],MATCH(LineupsData[[#This Row],[Home?]]&amp;LineupsData[[#Headers],[B3]],LineupsSearch[Home?]&amp;LineupsSearch[Item],1),3)&amp;LineupsData[[#This Row],[RefRow]])</f>
        <v>0</v>
      </c>
      <c r="S136" s="1219" t="str">
        <f t="array" aca="1" ref="S13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36" s="1219">
        <f ca="1">IFERROR(LEN(IF(OR(LEFT(LineupsData[[#This Row],[B3_Box]],1)="$",LEFT(LineupsData[[#This Row],[B3_Box]],1)="S"),RIGHT(LineupsData[[#This Row],[B3_Box]],LEN(LineupsData[[#This Row],[B3_Box]])-1),LineupsData[[#This Row],[B3_Box]])),"")</f>
        <v>0</v>
      </c>
      <c r="U136" s="1219" t="b">
        <f t="array" aca="1" ref="U13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136" s="1219" t="b">
        <v>0</v>
      </c>
      <c r="W136" s="1219">
        <v>66</v>
      </c>
    </row>
    <row r="137" spans="1:23" x14ac:dyDescent="0.25">
      <c r="A137" s="1218">
        <f>[1]IBRF!$B$5</f>
        <v>41734</v>
      </c>
      <c r="B137" s="1221">
        <f t="shared" si="6"/>
        <v>0.83333333333333337</v>
      </c>
      <c r="C137" s="1219">
        <v>2</v>
      </c>
      <c r="D137" s="1219">
        <f t="array" aca="1" ref="D137" ca="1">IF(LineupsData[[#This Row],[Passed?]],D136,IF(INDIRECT($AA$24&amp;INDEX(LineupsSearch[],MATCH(LineupsData[[#This Row],[Home?]]&amp;"Jam",LineupsSearch[Home?]&amp;LineupsSearch[Item],1),3)&amp;LineupsData[[#This Row],[RefRow]])="",0,INDIRECT($AA$24&amp;INDEX(LineupsSearch[],MATCH(LineupsData[[#This Row],[Home?]]&amp;"Jam",LineupsSearch[Home?]&amp;LineupsSearch[Item],1),3)&amp;LineupsData[[#This Row],[RefRow]])))</f>
        <v>16</v>
      </c>
      <c r="E137" s="1219" t="str">
        <f t="shared" si="5"/>
        <v>Harlots</v>
      </c>
      <c r="F137" s="1219" t="str">
        <f t="array" aca="1" ref="F137" ca="1">INDIRECT($AA$24&amp;INDEX(LineupsSearch[],MATCH(LineupsData[[#This Row],[Home?]]&amp;LineupsData[[#Headers],[Jammer]],LineupsSearch[Home?]&amp;LineupsSearch[Item],1),3)&amp;LineupsData[[#This Row],[RefRow]])</f>
        <v>45</v>
      </c>
      <c r="G137" s="1219" t="str">
        <f t="array" aca="1" ref="G13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137" s="1219">
        <f ca="1">IFERROR(LEN(IF(OR(LEFT(LineupsData[[#This Row],[J_Box]],1)="$",LEFT(LineupsData[[#This Row],[J_Box]],1)="S"),RIGHT(LineupsData[[#This Row],[J_Box]],LEN(LineupsData[[#This Row],[J_Box]])-1),LineupsData[[#This Row],[J_Box]])),"")</f>
        <v>1</v>
      </c>
      <c r="I137" s="1219" t="str">
        <f t="array" aca="1" ref="I137" ca="1">INDIRECT($AA$24&amp;INDEX(LineupsSearch[],MATCH(LineupsData[[#This Row],[Home?]]&amp;LineupsData[[#Headers],[Pivot]],LineupsSearch[Home?]&amp;LineupsSearch[Item],1),3)&amp;LineupsData[[#This Row],[RefRow]])</f>
        <v>519</v>
      </c>
      <c r="J137" s="1219" t="str">
        <f t="array" aca="1" ref="J13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37" s="1219">
        <f ca="1">IFERROR(LEN(IF(OR(LEFT(LineupsData[[#This Row],[P_Box]],1)="$",LEFT(LineupsData[[#This Row],[P_Box]],1)="S"),RIGHT(LineupsData[[#This Row],[P_Box]],LEN(LineupsData[[#This Row],[P_Box]])-1),LineupsData[[#This Row],[P_Box]])),"")</f>
        <v>0</v>
      </c>
      <c r="L137" s="1219" t="str">
        <f t="array" aca="1" ref="L137" ca="1">INDIRECT($AA$24&amp;INDEX(LineupsSearch[],MATCH(LineupsData[[#This Row],[Home?]]&amp;LineupsData[[#Headers],[B1]],LineupsSearch[Home?]&amp;LineupsSearch[Item],1),3)&amp;LineupsData[[#This Row],[RefRow]])</f>
        <v>11</v>
      </c>
      <c r="M137" s="1219" t="str">
        <f t="array" aca="1" ref="M13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37" s="1219">
        <f ca="1">IFERROR(LEN(IF(OR(LEFT(LineupsData[[#This Row],[B1_Box]],1)="$",LEFT(LineupsData[[#This Row],[B1_Box]],1)="S"),RIGHT(LineupsData[[#This Row],[B1_Box]],LEN(LineupsData[[#This Row],[B1_Box]])-1),LineupsData[[#This Row],[B1_Box]])),"")</f>
        <v>0</v>
      </c>
      <c r="O137" s="1219" t="str">
        <f t="array" aca="1" ref="O137" ca="1">INDIRECT($AA$24&amp;INDEX(LineupsSearch[],MATCH(LineupsData[[#This Row],[Home?]]&amp;LineupsData[[#Headers],[B2]],LineupsSearch[Home?]&amp;LineupsSearch[Item],1),3)&amp;LineupsData[[#This Row],[RefRow]])</f>
        <v>26</v>
      </c>
      <c r="P137" s="1219" t="str">
        <f t="array" aca="1" ref="P13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37" s="1219">
        <f ca="1">IFERROR(LEN(IF(OR(LEFT(LineupsData[[#This Row],[B2_Box]],1)="$",LEFT(LineupsData[[#This Row],[B2_Box]],1)="S"),RIGHT(LineupsData[[#This Row],[B2_Box]],LEN(LineupsData[[#This Row],[B2_Box]])-1),LineupsData[[#This Row],[B2_Box]])),"")</f>
        <v>0</v>
      </c>
      <c r="R137" s="1219" t="str">
        <f t="array" aca="1" ref="R137" ca="1">INDIRECT($AA$24&amp;INDEX(LineupsSearch[],MATCH(LineupsData[[#This Row],[Home?]]&amp;LineupsData[[#Headers],[B3]],LineupsSearch[Home?]&amp;LineupsSearch[Item],1),3)&amp;LineupsData[[#This Row],[RefRow]])</f>
        <v>511</v>
      </c>
      <c r="S137" s="1219" t="str">
        <f t="array" aca="1" ref="S13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37" s="1219">
        <f ca="1">IFERROR(LEN(IF(OR(LEFT(LineupsData[[#This Row],[B3_Box]],1)="$",LEFT(LineupsData[[#This Row],[B3_Box]],1)="S"),RIGHT(LineupsData[[#This Row],[B3_Box]],LEN(LineupsData[[#This Row],[B3_Box]])-1),LineupsData[[#This Row],[B3_Box]])),"")</f>
        <v>0</v>
      </c>
      <c r="U137" s="1219" t="b">
        <f t="array" aca="1" ref="U13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37" s="1219" t="b">
        <v>0</v>
      </c>
      <c r="W137" s="1219">
        <v>67</v>
      </c>
    </row>
    <row r="138" spans="1:23" x14ac:dyDescent="0.25">
      <c r="A138" s="1218">
        <f>[1]IBRF!$B$5</f>
        <v>41734</v>
      </c>
      <c r="B138" s="1221">
        <f t="shared" si="6"/>
        <v>0.83333333333333337</v>
      </c>
      <c r="C138" s="1219">
        <v>2</v>
      </c>
      <c r="D138" s="1219">
        <f t="array" aca="1" ref="D138" ca="1">IF(LineupsData[[#This Row],[Passed?]],D137,IF(INDIRECT($AA$24&amp;INDEX(LineupsSearch[],MATCH(LineupsData[[#This Row],[Home?]]&amp;"Jam",LineupsSearch[Home?]&amp;LineupsSearch[Item],1),3)&amp;LineupsData[[#This Row],[RefRow]])="",0,INDIRECT($AA$24&amp;INDEX(LineupsSearch[],MATCH(LineupsData[[#This Row],[Home?]]&amp;"Jam",LineupsSearch[Home?]&amp;LineupsSearch[Item],1),3)&amp;LineupsData[[#This Row],[RefRow]])))</f>
        <v>16</v>
      </c>
      <c r="E138" s="1219" t="str">
        <f t="shared" si="5"/>
        <v>Harlots</v>
      </c>
      <c r="F138" s="1219" t="str">
        <f t="array" aca="1" ref="F138" ca="1">INDIRECT($AA$24&amp;INDEX(LineupsSearch[],MATCH(LineupsData[[#This Row],[Home?]]&amp;LineupsData[[#Headers],[Jammer]],LineupsSearch[Home?]&amp;LineupsSearch[Item],1),3)&amp;LineupsData[[#This Row],[RefRow]])</f>
        <v>519</v>
      </c>
      <c r="G138" s="1219" t="str">
        <f t="array" aca="1" ref="G13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38" s="1219">
        <f ca="1">IFERROR(LEN(IF(OR(LEFT(LineupsData[[#This Row],[J_Box]],1)="$",LEFT(LineupsData[[#This Row],[J_Box]],1)="S"),RIGHT(LineupsData[[#This Row],[J_Box]],LEN(LineupsData[[#This Row],[J_Box]])-1),LineupsData[[#This Row],[J_Box]])),"")</f>
        <v>0</v>
      </c>
      <c r="I138" s="1219" t="str">
        <f t="array" aca="1" ref="I138" ca="1">INDIRECT($AA$24&amp;INDEX(LineupsSearch[],MATCH(LineupsData[[#This Row],[Home?]]&amp;LineupsData[[#Headers],[Pivot]],LineupsSearch[Home?]&amp;LineupsSearch[Item],1),3)&amp;LineupsData[[#This Row],[RefRow]])</f>
        <v>45</v>
      </c>
      <c r="J138" s="1219" t="str">
        <f t="array" aca="1" ref="J13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38" s="1219">
        <f ca="1">IFERROR(LEN(IF(OR(LEFT(LineupsData[[#This Row],[P_Box]],1)="$",LEFT(LineupsData[[#This Row],[P_Box]],1)="S"),RIGHT(LineupsData[[#This Row],[P_Box]],LEN(LineupsData[[#This Row],[P_Box]])-1),LineupsData[[#This Row],[P_Box]])),"")</f>
        <v>0</v>
      </c>
      <c r="L138" s="1219">
        <f t="array" aca="1" ref="L138" ca="1">INDIRECT($AA$24&amp;INDEX(LineupsSearch[],MATCH(LineupsData[[#This Row],[Home?]]&amp;LineupsData[[#Headers],[B1]],LineupsSearch[Home?]&amp;LineupsSearch[Item],1),3)&amp;LineupsData[[#This Row],[RefRow]])</f>
        <v>0</v>
      </c>
      <c r="M138" s="1219" t="str">
        <f t="array" aca="1" ref="M13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38" s="1219">
        <f ca="1">IFERROR(LEN(IF(OR(LEFT(LineupsData[[#This Row],[B1_Box]],1)="$",LEFT(LineupsData[[#This Row],[B1_Box]],1)="S"),RIGHT(LineupsData[[#This Row],[B1_Box]],LEN(LineupsData[[#This Row],[B1_Box]])-1),LineupsData[[#This Row],[B1_Box]])),"")</f>
        <v>0</v>
      </c>
      <c r="O138" s="1219">
        <f t="array" aca="1" ref="O138" ca="1">INDIRECT($AA$24&amp;INDEX(LineupsSearch[],MATCH(LineupsData[[#This Row],[Home?]]&amp;LineupsData[[#Headers],[B2]],LineupsSearch[Home?]&amp;LineupsSearch[Item],1),3)&amp;LineupsData[[#This Row],[RefRow]])</f>
        <v>0</v>
      </c>
      <c r="P138" s="1219" t="str">
        <f t="array" aca="1" ref="P13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38" s="1219">
        <f ca="1">IFERROR(LEN(IF(OR(LEFT(LineupsData[[#This Row],[B2_Box]],1)="$",LEFT(LineupsData[[#This Row],[B2_Box]],1)="S"),RIGHT(LineupsData[[#This Row],[B2_Box]],LEN(LineupsData[[#This Row],[B2_Box]])-1),LineupsData[[#This Row],[B2_Box]])),"")</f>
        <v>0</v>
      </c>
      <c r="R138" s="1219">
        <f t="array" aca="1" ref="R138" ca="1">INDIRECT($AA$24&amp;INDEX(LineupsSearch[],MATCH(LineupsData[[#This Row],[Home?]]&amp;LineupsData[[#Headers],[B3]],LineupsSearch[Home?]&amp;LineupsSearch[Item],1),3)&amp;LineupsData[[#This Row],[RefRow]])</f>
        <v>0</v>
      </c>
      <c r="S138" s="1219" t="str">
        <f t="array" aca="1" ref="S13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38" s="1219">
        <f ca="1">IFERROR(LEN(IF(OR(LEFT(LineupsData[[#This Row],[B3_Box]],1)="$",LEFT(LineupsData[[#This Row],[B3_Box]],1)="S"),RIGHT(LineupsData[[#This Row],[B3_Box]],LEN(LineupsData[[#This Row],[B3_Box]])-1),LineupsData[[#This Row],[B3_Box]])),"")</f>
        <v>0</v>
      </c>
      <c r="U138" s="1219" t="b">
        <f t="array" aca="1" ref="U13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1</v>
      </c>
      <c r="V138" s="1219" t="b">
        <v>0</v>
      </c>
      <c r="W138" s="1219">
        <v>68</v>
      </c>
    </row>
    <row r="139" spans="1:23" x14ac:dyDescent="0.25">
      <c r="A139" s="1218">
        <f>[1]IBRF!$B$5</f>
        <v>41734</v>
      </c>
      <c r="B139" s="1221">
        <f t="shared" si="6"/>
        <v>0.83333333333333337</v>
      </c>
      <c r="C139" s="1219">
        <v>2</v>
      </c>
      <c r="D139" s="1219">
        <f t="array" aca="1" ref="D139" ca="1">IF(LineupsData[[#This Row],[Passed?]],D138,IF(INDIRECT($AA$24&amp;INDEX(LineupsSearch[],MATCH(LineupsData[[#This Row],[Home?]]&amp;"Jam",LineupsSearch[Home?]&amp;LineupsSearch[Item],1),3)&amp;LineupsData[[#This Row],[RefRow]])="",0,INDIRECT($AA$24&amp;INDEX(LineupsSearch[],MATCH(LineupsData[[#This Row],[Home?]]&amp;"Jam",LineupsSearch[Home?]&amp;LineupsSearch[Item],1),3)&amp;LineupsData[[#This Row],[RefRow]])))</f>
        <v>17</v>
      </c>
      <c r="E139" s="1219" t="str">
        <f t="shared" si="5"/>
        <v>Harlots</v>
      </c>
      <c r="F139" s="1219" t="str">
        <f t="array" aca="1" ref="F139" ca="1">INDIRECT($AA$24&amp;INDEX(LineupsSearch[],MATCH(LineupsData[[#This Row],[Home?]]&amp;LineupsData[[#Headers],[Jammer]],LineupsSearch[Home?]&amp;LineupsSearch[Item],1),3)&amp;LineupsData[[#This Row],[RefRow]])</f>
        <v>K9</v>
      </c>
      <c r="G139" s="1219" t="str">
        <f t="array" aca="1" ref="G13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v>
      </c>
      <c r="H139" s="1219">
        <f ca="1">IFERROR(LEN(IF(OR(LEFT(LineupsData[[#This Row],[J_Box]],1)="$",LEFT(LineupsData[[#This Row],[J_Box]],1)="S"),RIGHT(LineupsData[[#This Row],[J_Box]],LEN(LineupsData[[#This Row],[J_Box]])-1),LineupsData[[#This Row],[J_Box]])),"")</f>
        <v>1</v>
      </c>
      <c r="I139" s="1219" t="str">
        <f t="array" aca="1" ref="I139" ca="1">INDIRECT($AA$24&amp;INDEX(LineupsSearch[],MATCH(LineupsData[[#This Row],[Home?]]&amp;LineupsData[[#Headers],[Pivot]],LineupsSearch[Home?]&amp;LineupsSearch[Item],1),3)&amp;LineupsData[[#This Row],[RefRow]])</f>
        <v>511</v>
      </c>
      <c r="J139" s="1219" t="str">
        <f t="array" aca="1" ref="J13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39" s="1219">
        <f ca="1">IFERROR(LEN(IF(OR(LEFT(LineupsData[[#This Row],[P_Box]],1)="$",LEFT(LineupsData[[#This Row],[P_Box]],1)="S"),RIGHT(LineupsData[[#This Row],[P_Box]],LEN(LineupsData[[#This Row],[P_Box]])-1),LineupsData[[#This Row],[P_Box]])),"")</f>
        <v>0</v>
      </c>
      <c r="L139" s="1219" t="str">
        <f t="array" aca="1" ref="L139" ca="1">INDIRECT($AA$24&amp;INDEX(LineupsSearch[],MATCH(LineupsData[[#This Row],[Home?]]&amp;LineupsData[[#Headers],[B1]],LineupsSearch[Home?]&amp;LineupsSearch[Item],1),3)&amp;LineupsData[[#This Row],[RefRow]])</f>
        <v>237</v>
      </c>
      <c r="M139" s="1219" t="str">
        <f t="array" aca="1" ref="M13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39" s="1219">
        <f ca="1">IFERROR(LEN(IF(OR(LEFT(LineupsData[[#This Row],[B1_Box]],1)="$",LEFT(LineupsData[[#This Row],[B1_Box]],1)="S"),RIGHT(LineupsData[[#This Row],[B1_Box]],LEN(LineupsData[[#This Row],[B1_Box]])-1),LineupsData[[#This Row],[B1_Box]])),"")</f>
        <v>0</v>
      </c>
      <c r="O139" s="1219" t="str">
        <f t="array" aca="1" ref="O139" ca="1">INDIRECT($AA$24&amp;INDEX(LineupsSearch[],MATCH(LineupsData[[#This Row],[Home?]]&amp;LineupsData[[#Headers],[B2]],LineupsSearch[Home?]&amp;LineupsSearch[Item],1),3)&amp;LineupsData[[#This Row],[RefRow]])</f>
        <v>932</v>
      </c>
      <c r="P139" s="1219" t="str">
        <f t="array" aca="1" ref="P13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39" s="1219">
        <f ca="1">IFERROR(LEN(IF(OR(LEFT(LineupsData[[#This Row],[B2_Box]],1)="$",LEFT(LineupsData[[#This Row],[B2_Box]],1)="S"),RIGHT(LineupsData[[#This Row],[B2_Box]],LEN(LineupsData[[#This Row],[B2_Box]])-1),LineupsData[[#This Row],[B2_Box]])),"")</f>
        <v>0</v>
      </c>
      <c r="R139" s="1219" t="str">
        <f t="array" aca="1" ref="R139" ca="1">INDIRECT($AA$24&amp;INDEX(LineupsSearch[],MATCH(LineupsData[[#This Row],[Home?]]&amp;LineupsData[[#Headers],[B3]],LineupsSearch[Home?]&amp;LineupsSearch[Item],1),3)&amp;LineupsData[[#This Row],[RefRow]])</f>
        <v>2611</v>
      </c>
      <c r="S139" s="1219" t="str">
        <f t="array" aca="1" ref="S13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39" s="1219">
        <f ca="1">IFERROR(LEN(IF(OR(LEFT(LineupsData[[#This Row],[B3_Box]],1)="$",LEFT(LineupsData[[#This Row],[B3_Box]],1)="S"),RIGHT(LineupsData[[#This Row],[B3_Box]],LEN(LineupsData[[#This Row],[B3_Box]])-1),LineupsData[[#This Row],[B3_Box]])),"")</f>
        <v>0</v>
      </c>
      <c r="U139" s="1219" t="b">
        <f t="array" aca="1" ref="U13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39" s="1219" t="b">
        <v>0</v>
      </c>
      <c r="W139" s="1219">
        <v>69</v>
      </c>
    </row>
    <row r="140" spans="1:23" x14ac:dyDescent="0.25">
      <c r="A140" s="1218">
        <f>[1]IBRF!$B$5</f>
        <v>41734</v>
      </c>
      <c r="B140" s="1221">
        <f t="shared" si="6"/>
        <v>0.83333333333333337</v>
      </c>
      <c r="C140" s="1219">
        <v>2</v>
      </c>
      <c r="D140" s="1219">
        <f t="array" aca="1" ref="D140" ca="1">IF(LineupsData[[#This Row],[Passed?]],D139,IF(INDIRECT($AA$24&amp;INDEX(LineupsSearch[],MATCH(LineupsData[[#This Row],[Home?]]&amp;"Jam",LineupsSearch[Home?]&amp;LineupsSearch[Item],1),3)&amp;LineupsData[[#This Row],[RefRow]])="",0,INDIRECT($AA$24&amp;INDEX(LineupsSearch[],MATCH(LineupsData[[#This Row],[Home?]]&amp;"Jam",LineupsSearch[Home?]&amp;LineupsSearch[Item],1),3)&amp;LineupsData[[#This Row],[RefRow]])))</f>
        <v>18</v>
      </c>
      <c r="E140" s="1219" t="str">
        <f t="shared" si="5"/>
        <v>Harlots</v>
      </c>
      <c r="F140" s="1219" t="str">
        <f t="array" aca="1" ref="F140" ca="1">INDIRECT($AA$24&amp;INDEX(LineupsSearch[],MATCH(LineupsData[[#This Row],[Home?]]&amp;LineupsData[[#Headers],[Jammer]],LineupsSearch[Home?]&amp;LineupsSearch[Item],1),3)&amp;LineupsData[[#This Row],[RefRow]])</f>
        <v>K9</v>
      </c>
      <c r="G140" s="1219" t="str">
        <f t="array" aca="1" ref="G14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X/</v>
      </c>
      <c r="H140" s="1219">
        <f ca="1">IFERROR(LEN(IF(OR(LEFT(LineupsData[[#This Row],[J_Box]],1)="$",LEFT(LineupsData[[#This Row],[J_Box]],1)="S"),RIGHT(LineupsData[[#This Row],[J_Box]],LEN(LineupsData[[#This Row],[J_Box]])-1),LineupsData[[#This Row],[J_Box]])),"")</f>
        <v>2</v>
      </c>
      <c r="I140" s="1219" t="str">
        <f t="array" aca="1" ref="I140" ca="1">INDIRECT($AA$24&amp;INDEX(LineupsSearch[],MATCH(LineupsData[[#This Row],[Home?]]&amp;LineupsData[[#Headers],[Pivot]],LineupsSearch[Home?]&amp;LineupsSearch[Item],1),3)&amp;LineupsData[[#This Row],[RefRow]])</f>
        <v>519</v>
      </c>
      <c r="J140" s="1219" t="str">
        <f t="array" aca="1" ref="J14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X</v>
      </c>
      <c r="K140" s="1219">
        <f ca="1">IFERROR(LEN(IF(OR(LEFT(LineupsData[[#This Row],[P_Box]],1)="$",LEFT(LineupsData[[#This Row],[P_Box]],1)="S"),RIGHT(LineupsData[[#This Row],[P_Box]],LEN(LineupsData[[#This Row],[P_Box]])-1),LineupsData[[#This Row],[P_Box]])),"")</f>
        <v>1</v>
      </c>
      <c r="L140" s="1219" t="str">
        <f t="array" aca="1" ref="L140" ca="1">INDIRECT($AA$24&amp;INDEX(LineupsSearch[],MATCH(LineupsData[[#This Row],[Home?]]&amp;LineupsData[[#Headers],[B1]],LineupsSearch[Home?]&amp;LineupsSearch[Item],1),3)&amp;LineupsData[[#This Row],[RefRow]])</f>
        <v>26</v>
      </c>
      <c r="M140" s="1219" t="str">
        <f t="array" aca="1" ref="M14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40" s="1219">
        <f ca="1">IFERROR(LEN(IF(OR(LEFT(LineupsData[[#This Row],[B1_Box]],1)="$",LEFT(LineupsData[[#This Row],[B1_Box]],1)="S"),RIGHT(LineupsData[[#This Row],[B1_Box]],LEN(LineupsData[[#This Row],[B1_Box]])-1),LineupsData[[#This Row],[B1_Box]])),"")</f>
        <v>0</v>
      </c>
      <c r="O140" s="1219" t="str">
        <f t="array" aca="1" ref="O140" ca="1">INDIRECT($AA$24&amp;INDEX(LineupsSearch[],MATCH(LineupsData[[#This Row],[Home?]]&amp;LineupsData[[#Headers],[B2]],LineupsSearch[Home?]&amp;LineupsSearch[Item],1),3)&amp;LineupsData[[#This Row],[RefRow]])</f>
        <v>11</v>
      </c>
      <c r="P140" s="1219" t="str">
        <f t="array" aca="1" ref="P14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40" s="1219">
        <f ca="1">IFERROR(LEN(IF(OR(LEFT(LineupsData[[#This Row],[B2_Box]],1)="$",LEFT(LineupsData[[#This Row],[B2_Box]],1)="S"),RIGHT(LineupsData[[#This Row],[B2_Box]],LEN(LineupsData[[#This Row],[B2_Box]])-1),LineupsData[[#This Row],[B2_Box]])),"")</f>
        <v>0</v>
      </c>
      <c r="R140" s="1219" t="str">
        <f t="array" aca="1" ref="R140" ca="1">INDIRECT($AA$24&amp;INDEX(LineupsSearch[],MATCH(LineupsData[[#This Row],[Home?]]&amp;LineupsData[[#Headers],[B3]],LineupsSearch[Home?]&amp;LineupsSearch[Item],1),3)&amp;LineupsData[[#This Row],[RefRow]])</f>
        <v>511</v>
      </c>
      <c r="S140" s="1219" t="str">
        <f t="array" aca="1" ref="S14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40" s="1219">
        <f ca="1">IFERROR(LEN(IF(OR(LEFT(LineupsData[[#This Row],[B3_Box]],1)="$",LEFT(LineupsData[[#This Row],[B3_Box]],1)="S"),RIGHT(LineupsData[[#This Row],[B3_Box]],LEN(LineupsData[[#This Row],[B3_Box]])-1),LineupsData[[#This Row],[B3_Box]])),"")</f>
        <v>0</v>
      </c>
      <c r="U140" s="1219" t="b">
        <f t="array" aca="1" ref="U14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40" s="1219" t="b">
        <v>0</v>
      </c>
      <c r="W140" s="1219">
        <v>70</v>
      </c>
    </row>
    <row r="141" spans="1:23" x14ac:dyDescent="0.25">
      <c r="A141" s="1218">
        <f>[1]IBRF!$B$5</f>
        <v>41734</v>
      </c>
      <c r="B141" s="1221">
        <f t="shared" si="6"/>
        <v>0.83333333333333337</v>
      </c>
      <c r="C141" s="1219">
        <v>2</v>
      </c>
      <c r="D141" s="1219">
        <f t="array" aca="1" ref="D141" ca="1">IF(LineupsData[[#This Row],[Passed?]],D140,IF(INDIRECT($AA$24&amp;INDEX(LineupsSearch[],MATCH(LineupsData[[#This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41" s="1219" t="str">
        <f t="shared" si="5"/>
        <v>Harlots</v>
      </c>
      <c r="F141" s="1219" t="str">
        <f t="array" aca="1" ref="F141" ca="1">INDIRECT($AA$24&amp;INDEX(LineupsSearch[],MATCH(LineupsData[[#This Row],[Home?]]&amp;LineupsData[[#Headers],[Jammer]],LineupsSearch[Home?]&amp;LineupsSearch[Item],1),3)&amp;LineupsData[[#This Row],[RefRow]])</f>
        <v/>
      </c>
      <c r="G141" s="1219" t="str">
        <f t="array" aca="1" ref="G14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41" s="1219">
        <f ca="1">IFERROR(LEN(IF(OR(LEFT(LineupsData[[#This Row],[J_Box]],1)="$",LEFT(LineupsData[[#This Row],[J_Box]],1)="S"),RIGHT(LineupsData[[#This Row],[J_Box]],LEN(LineupsData[[#This Row],[J_Box]])-1),LineupsData[[#This Row],[J_Box]])),"")</f>
        <v>0</v>
      </c>
      <c r="I141" s="1219">
        <f t="array" aca="1" ref="I141" ca="1">INDIRECT($AA$24&amp;INDEX(LineupsSearch[],MATCH(LineupsData[[#This Row],[Home?]]&amp;LineupsData[[#Headers],[Pivot]],LineupsSearch[Home?]&amp;LineupsSearch[Item],1),3)&amp;LineupsData[[#This Row],[RefRow]])</f>
        <v>0</v>
      </c>
      <c r="J141" s="1219" t="str">
        <f t="array" aca="1" ref="J14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41" s="1219">
        <f ca="1">IFERROR(LEN(IF(OR(LEFT(LineupsData[[#This Row],[P_Box]],1)="$",LEFT(LineupsData[[#This Row],[P_Box]],1)="S"),RIGHT(LineupsData[[#This Row],[P_Box]],LEN(LineupsData[[#This Row],[P_Box]])-1),LineupsData[[#This Row],[P_Box]])),"")</f>
        <v>0</v>
      </c>
      <c r="L141" s="1219">
        <f t="array" aca="1" ref="L141" ca="1">INDIRECT($AA$24&amp;INDEX(LineupsSearch[],MATCH(LineupsData[[#This Row],[Home?]]&amp;LineupsData[[#Headers],[B1]],LineupsSearch[Home?]&amp;LineupsSearch[Item],1),3)&amp;LineupsData[[#This Row],[RefRow]])</f>
        <v>0</v>
      </c>
      <c r="M141" s="1219" t="str">
        <f t="array" aca="1" ref="M14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41" s="1219">
        <f ca="1">IFERROR(LEN(IF(OR(LEFT(LineupsData[[#This Row],[B1_Box]],1)="$",LEFT(LineupsData[[#This Row],[B1_Box]],1)="S"),RIGHT(LineupsData[[#This Row],[B1_Box]],LEN(LineupsData[[#This Row],[B1_Box]])-1),LineupsData[[#This Row],[B1_Box]])),"")</f>
        <v>0</v>
      </c>
      <c r="O141" s="1219">
        <f t="array" aca="1" ref="O141" ca="1">INDIRECT($AA$24&amp;INDEX(LineupsSearch[],MATCH(LineupsData[[#This Row],[Home?]]&amp;LineupsData[[#Headers],[B2]],LineupsSearch[Home?]&amp;LineupsSearch[Item],1),3)&amp;LineupsData[[#This Row],[RefRow]])</f>
        <v>0</v>
      </c>
      <c r="P141" s="1219" t="str">
        <f t="array" aca="1" ref="P14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41" s="1219">
        <f ca="1">IFERROR(LEN(IF(OR(LEFT(LineupsData[[#This Row],[B2_Box]],1)="$",LEFT(LineupsData[[#This Row],[B2_Box]],1)="S"),RIGHT(LineupsData[[#This Row],[B2_Box]],LEN(LineupsData[[#This Row],[B2_Box]])-1),LineupsData[[#This Row],[B2_Box]])),"")</f>
        <v>0</v>
      </c>
      <c r="R141" s="1219">
        <f t="array" aca="1" ref="R141" ca="1">INDIRECT($AA$24&amp;INDEX(LineupsSearch[],MATCH(LineupsData[[#This Row],[Home?]]&amp;LineupsData[[#Headers],[B3]],LineupsSearch[Home?]&amp;LineupsSearch[Item],1),3)&amp;LineupsData[[#This Row],[RefRow]])</f>
        <v>0</v>
      </c>
      <c r="S141" s="1219" t="str">
        <f t="array" aca="1" ref="S14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41" s="1219">
        <f ca="1">IFERROR(LEN(IF(OR(LEFT(LineupsData[[#This Row],[B3_Box]],1)="$",LEFT(LineupsData[[#This Row],[B3_Box]],1)="S"),RIGHT(LineupsData[[#This Row],[B3_Box]],LEN(LineupsData[[#This Row],[B3_Box]])-1),LineupsData[[#This Row],[B3_Box]])),"")</f>
        <v>0</v>
      </c>
      <c r="U141" s="1219" t="b">
        <f t="array" aca="1" ref="U14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41" s="1219" t="b">
        <v>0</v>
      </c>
      <c r="W141" s="1219">
        <v>71</v>
      </c>
    </row>
    <row r="142" spans="1:23" x14ac:dyDescent="0.25">
      <c r="A142" s="1218">
        <f>[1]IBRF!$B$5</f>
        <v>41734</v>
      </c>
      <c r="B142" s="1221">
        <f t="shared" si="6"/>
        <v>0.83333333333333337</v>
      </c>
      <c r="C142" s="1219">
        <v>2</v>
      </c>
      <c r="D142" s="1219">
        <f t="array" aca="1" ref="D142" ca="1">IF(LineupsData[[#This Row],[Passed?]],D141,IF(INDIRECT($AA$24&amp;INDEX(LineupsSearch[],MATCH(LineupsData[[#This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42" s="1219" t="str">
        <f t="shared" si="5"/>
        <v>Harlots</v>
      </c>
      <c r="F142" s="1219" t="str">
        <f t="array" aca="1" ref="F142" ca="1">INDIRECT($AA$24&amp;INDEX(LineupsSearch[],MATCH(LineupsData[[#This Row],[Home?]]&amp;LineupsData[[#Headers],[Jammer]],LineupsSearch[Home?]&amp;LineupsSearch[Item],1),3)&amp;LineupsData[[#This Row],[RefRow]])</f>
        <v/>
      </c>
      <c r="G142" s="1219" t="str">
        <f t="array" aca="1" ref="G14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42" s="1219">
        <f ca="1">IFERROR(LEN(IF(OR(LEFT(LineupsData[[#This Row],[J_Box]],1)="$",LEFT(LineupsData[[#This Row],[J_Box]],1)="S"),RIGHT(LineupsData[[#This Row],[J_Box]],LEN(LineupsData[[#This Row],[J_Box]])-1),LineupsData[[#This Row],[J_Box]])),"")</f>
        <v>0</v>
      </c>
      <c r="I142" s="1219">
        <f t="array" aca="1" ref="I142" ca="1">INDIRECT($AA$24&amp;INDEX(LineupsSearch[],MATCH(LineupsData[[#This Row],[Home?]]&amp;LineupsData[[#Headers],[Pivot]],LineupsSearch[Home?]&amp;LineupsSearch[Item],1),3)&amp;LineupsData[[#This Row],[RefRow]])</f>
        <v>0</v>
      </c>
      <c r="J142" s="1219" t="str">
        <f t="array" aca="1" ref="J14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42" s="1219">
        <f ca="1">IFERROR(LEN(IF(OR(LEFT(LineupsData[[#This Row],[P_Box]],1)="$",LEFT(LineupsData[[#This Row],[P_Box]],1)="S"),RIGHT(LineupsData[[#This Row],[P_Box]],LEN(LineupsData[[#This Row],[P_Box]])-1),LineupsData[[#This Row],[P_Box]])),"")</f>
        <v>0</v>
      </c>
      <c r="L142" s="1219">
        <f t="array" aca="1" ref="L142" ca="1">INDIRECT($AA$24&amp;INDEX(LineupsSearch[],MATCH(LineupsData[[#This Row],[Home?]]&amp;LineupsData[[#Headers],[B1]],LineupsSearch[Home?]&amp;LineupsSearch[Item],1),3)&amp;LineupsData[[#This Row],[RefRow]])</f>
        <v>0</v>
      </c>
      <c r="M142" s="1219" t="str">
        <f t="array" aca="1" ref="M14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42" s="1219">
        <f ca="1">IFERROR(LEN(IF(OR(LEFT(LineupsData[[#This Row],[B1_Box]],1)="$",LEFT(LineupsData[[#This Row],[B1_Box]],1)="S"),RIGHT(LineupsData[[#This Row],[B1_Box]],LEN(LineupsData[[#This Row],[B1_Box]])-1),LineupsData[[#This Row],[B1_Box]])),"")</f>
        <v>0</v>
      </c>
      <c r="O142" s="1219">
        <f t="array" aca="1" ref="O142" ca="1">INDIRECT($AA$24&amp;INDEX(LineupsSearch[],MATCH(LineupsData[[#This Row],[Home?]]&amp;LineupsData[[#Headers],[B2]],LineupsSearch[Home?]&amp;LineupsSearch[Item],1),3)&amp;LineupsData[[#This Row],[RefRow]])</f>
        <v>0</v>
      </c>
      <c r="P142" s="1219" t="str">
        <f t="array" aca="1" ref="P14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42" s="1219">
        <f ca="1">IFERROR(LEN(IF(OR(LEFT(LineupsData[[#This Row],[B2_Box]],1)="$",LEFT(LineupsData[[#This Row],[B2_Box]],1)="S"),RIGHT(LineupsData[[#This Row],[B2_Box]],LEN(LineupsData[[#This Row],[B2_Box]])-1),LineupsData[[#This Row],[B2_Box]])),"")</f>
        <v>0</v>
      </c>
      <c r="R142" s="1219">
        <f t="array" aca="1" ref="R142" ca="1">INDIRECT($AA$24&amp;INDEX(LineupsSearch[],MATCH(LineupsData[[#This Row],[Home?]]&amp;LineupsData[[#Headers],[B3]],LineupsSearch[Home?]&amp;LineupsSearch[Item],1),3)&amp;LineupsData[[#This Row],[RefRow]])</f>
        <v>0</v>
      </c>
      <c r="S142" s="1219" t="str">
        <f t="array" aca="1" ref="S14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42" s="1219">
        <f ca="1">IFERROR(LEN(IF(OR(LEFT(LineupsData[[#This Row],[B3_Box]],1)="$",LEFT(LineupsData[[#This Row],[B3_Box]],1)="S"),RIGHT(LineupsData[[#This Row],[B3_Box]],LEN(LineupsData[[#This Row],[B3_Box]])-1),LineupsData[[#This Row],[B3_Box]])),"")</f>
        <v>0</v>
      </c>
      <c r="U142" s="1219" t="b">
        <f t="array" aca="1" ref="U14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42" s="1219" t="b">
        <v>0</v>
      </c>
      <c r="W142" s="1219">
        <v>72</v>
      </c>
    </row>
    <row r="143" spans="1:23" x14ac:dyDescent="0.25">
      <c r="A143" s="1218">
        <f>[1]IBRF!$B$5</f>
        <v>41734</v>
      </c>
      <c r="B143" s="1221">
        <f t="shared" si="6"/>
        <v>0.83333333333333337</v>
      </c>
      <c r="C143" s="1219">
        <v>2</v>
      </c>
      <c r="D143" s="1219">
        <f t="array" aca="1" ref="D143" ca="1">IF(LineupsData[[#This Row],[Passed?]],D142,IF(INDIRECT($AA$24&amp;INDEX(LineupsSearch[],MATCH(LineupsData[[#This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43" s="1219" t="str">
        <f t="shared" si="5"/>
        <v>Harlots</v>
      </c>
      <c r="F143" s="1219" t="str">
        <f t="array" aca="1" ref="F143" ca="1">INDIRECT($AA$24&amp;INDEX(LineupsSearch[],MATCH(LineupsData[[#This Row],[Home?]]&amp;LineupsData[[#Headers],[Jammer]],LineupsSearch[Home?]&amp;LineupsSearch[Item],1),3)&amp;LineupsData[[#This Row],[RefRow]])</f>
        <v/>
      </c>
      <c r="G143" s="1219" t="str">
        <f t="array" aca="1" ref="G14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43" s="1219">
        <f ca="1">IFERROR(LEN(IF(OR(LEFT(LineupsData[[#This Row],[J_Box]],1)="$",LEFT(LineupsData[[#This Row],[J_Box]],1)="S"),RIGHT(LineupsData[[#This Row],[J_Box]],LEN(LineupsData[[#This Row],[J_Box]])-1),LineupsData[[#This Row],[J_Box]])),"")</f>
        <v>0</v>
      </c>
      <c r="I143" s="1219">
        <f t="array" aca="1" ref="I143" ca="1">INDIRECT($AA$24&amp;INDEX(LineupsSearch[],MATCH(LineupsData[[#This Row],[Home?]]&amp;LineupsData[[#Headers],[Pivot]],LineupsSearch[Home?]&amp;LineupsSearch[Item],1),3)&amp;LineupsData[[#This Row],[RefRow]])</f>
        <v>0</v>
      </c>
      <c r="J143" s="1219" t="str">
        <f t="array" aca="1" ref="J14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43" s="1219">
        <f ca="1">IFERROR(LEN(IF(OR(LEFT(LineupsData[[#This Row],[P_Box]],1)="$",LEFT(LineupsData[[#This Row],[P_Box]],1)="S"),RIGHT(LineupsData[[#This Row],[P_Box]],LEN(LineupsData[[#This Row],[P_Box]])-1),LineupsData[[#This Row],[P_Box]])),"")</f>
        <v>0</v>
      </c>
      <c r="L143" s="1219">
        <f t="array" aca="1" ref="L143" ca="1">INDIRECT($AA$24&amp;INDEX(LineupsSearch[],MATCH(LineupsData[[#This Row],[Home?]]&amp;LineupsData[[#Headers],[B1]],LineupsSearch[Home?]&amp;LineupsSearch[Item],1),3)&amp;LineupsData[[#This Row],[RefRow]])</f>
        <v>0</v>
      </c>
      <c r="M143" s="1219" t="str">
        <f t="array" aca="1" ref="M14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43" s="1219">
        <f ca="1">IFERROR(LEN(IF(OR(LEFT(LineupsData[[#This Row],[B1_Box]],1)="$",LEFT(LineupsData[[#This Row],[B1_Box]],1)="S"),RIGHT(LineupsData[[#This Row],[B1_Box]],LEN(LineupsData[[#This Row],[B1_Box]])-1),LineupsData[[#This Row],[B1_Box]])),"")</f>
        <v>0</v>
      </c>
      <c r="O143" s="1219">
        <f t="array" aca="1" ref="O143" ca="1">INDIRECT($AA$24&amp;INDEX(LineupsSearch[],MATCH(LineupsData[[#This Row],[Home?]]&amp;LineupsData[[#Headers],[B2]],LineupsSearch[Home?]&amp;LineupsSearch[Item],1),3)&amp;LineupsData[[#This Row],[RefRow]])</f>
        <v>0</v>
      </c>
      <c r="P143" s="1219" t="str">
        <f t="array" aca="1" ref="P14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43" s="1219">
        <f ca="1">IFERROR(LEN(IF(OR(LEFT(LineupsData[[#This Row],[B2_Box]],1)="$",LEFT(LineupsData[[#This Row],[B2_Box]],1)="S"),RIGHT(LineupsData[[#This Row],[B2_Box]],LEN(LineupsData[[#This Row],[B2_Box]])-1),LineupsData[[#This Row],[B2_Box]])),"")</f>
        <v>0</v>
      </c>
      <c r="R143" s="1219">
        <f t="array" aca="1" ref="R143" ca="1">INDIRECT($AA$24&amp;INDEX(LineupsSearch[],MATCH(LineupsData[[#This Row],[Home?]]&amp;LineupsData[[#Headers],[B3]],LineupsSearch[Home?]&amp;LineupsSearch[Item],1),3)&amp;LineupsData[[#This Row],[RefRow]])</f>
        <v>0</v>
      </c>
      <c r="S143" s="1219" t="str">
        <f t="array" aca="1" ref="S14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43" s="1219">
        <f ca="1">IFERROR(LEN(IF(OR(LEFT(LineupsData[[#This Row],[B3_Box]],1)="$",LEFT(LineupsData[[#This Row],[B3_Box]],1)="S"),RIGHT(LineupsData[[#This Row],[B3_Box]],LEN(LineupsData[[#This Row],[B3_Box]])-1),LineupsData[[#This Row],[B3_Box]])),"")</f>
        <v>0</v>
      </c>
      <c r="U143" s="1219" t="b">
        <f t="array" aca="1" ref="U14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43" s="1219" t="b">
        <v>0</v>
      </c>
      <c r="W143" s="1219">
        <v>73</v>
      </c>
    </row>
    <row r="144" spans="1:23" x14ac:dyDescent="0.25">
      <c r="A144" s="1218">
        <f>[1]IBRF!$B$5</f>
        <v>41734</v>
      </c>
      <c r="B144" s="1221">
        <f t="shared" si="6"/>
        <v>0.83333333333333337</v>
      </c>
      <c r="C144" s="1219">
        <v>2</v>
      </c>
      <c r="D144" s="1219">
        <f t="array" aca="1" ref="D144" ca="1">IF(LineupsData[[#This Row],[Passed?]],D143,IF(INDIRECT($AA$24&amp;INDEX(LineupsSearch[],MATCH(LineupsData[[#This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44" s="1219" t="str">
        <f t="shared" si="5"/>
        <v>Harlots</v>
      </c>
      <c r="F144" s="1219" t="str">
        <f t="array" aca="1" ref="F144" ca="1">INDIRECT($AA$24&amp;INDEX(LineupsSearch[],MATCH(LineupsData[[#This Row],[Home?]]&amp;LineupsData[[#Headers],[Jammer]],LineupsSearch[Home?]&amp;LineupsSearch[Item],1),3)&amp;LineupsData[[#This Row],[RefRow]])</f>
        <v/>
      </c>
      <c r="G144" s="1219" t="str">
        <f t="array" aca="1" ref="G144"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44" s="1219">
        <f ca="1">IFERROR(LEN(IF(OR(LEFT(LineupsData[[#This Row],[J_Box]],1)="$",LEFT(LineupsData[[#This Row],[J_Box]],1)="S"),RIGHT(LineupsData[[#This Row],[J_Box]],LEN(LineupsData[[#This Row],[J_Box]])-1),LineupsData[[#This Row],[J_Box]])),"")</f>
        <v>0</v>
      </c>
      <c r="I144" s="1219">
        <f t="array" aca="1" ref="I144" ca="1">INDIRECT($AA$24&amp;INDEX(LineupsSearch[],MATCH(LineupsData[[#This Row],[Home?]]&amp;LineupsData[[#Headers],[Pivot]],LineupsSearch[Home?]&amp;LineupsSearch[Item],1),3)&amp;LineupsData[[#This Row],[RefRow]])</f>
        <v>0</v>
      </c>
      <c r="J144" s="1219" t="str">
        <f t="array" aca="1" ref="J144"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44" s="1219">
        <f ca="1">IFERROR(LEN(IF(OR(LEFT(LineupsData[[#This Row],[P_Box]],1)="$",LEFT(LineupsData[[#This Row],[P_Box]],1)="S"),RIGHT(LineupsData[[#This Row],[P_Box]],LEN(LineupsData[[#This Row],[P_Box]])-1),LineupsData[[#This Row],[P_Box]])),"")</f>
        <v>0</v>
      </c>
      <c r="L144" s="1219">
        <f t="array" aca="1" ref="L144" ca="1">INDIRECT($AA$24&amp;INDEX(LineupsSearch[],MATCH(LineupsData[[#This Row],[Home?]]&amp;LineupsData[[#Headers],[B1]],LineupsSearch[Home?]&amp;LineupsSearch[Item],1),3)&amp;LineupsData[[#This Row],[RefRow]])</f>
        <v>0</v>
      </c>
      <c r="M144" s="1219" t="str">
        <f t="array" aca="1" ref="M144"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44" s="1219">
        <f ca="1">IFERROR(LEN(IF(OR(LEFT(LineupsData[[#This Row],[B1_Box]],1)="$",LEFT(LineupsData[[#This Row],[B1_Box]],1)="S"),RIGHT(LineupsData[[#This Row],[B1_Box]],LEN(LineupsData[[#This Row],[B1_Box]])-1),LineupsData[[#This Row],[B1_Box]])),"")</f>
        <v>0</v>
      </c>
      <c r="O144" s="1219">
        <f t="array" aca="1" ref="O144" ca="1">INDIRECT($AA$24&amp;INDEX(LineupsSearch[],MATCH(LineupsData[[#This Row],[Home?]]&amp;LineupsData[[#Headers],[B2]],LineupsSearch[Home?]&amp;LineupsSearch[Item],1),3)&amp;LineupsData[[#This Row],[RefRow]])</f>
        <v>0</v>
      </c>
      <c r="P144" s="1219" t="str">
        <f t="array" aca="1" ref="P144"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44" s="1219">
        <f ca="1">IFERROR(LEN(IF(OR(LEFT(LineupsData[[#This Row],[B2_Box]],1)="$",LEFT(LineupsData[[#This Row],[B2_Box]],1)="S"),RIGHT(LineupsData[[#This Row],[B2_Box]],LEN(LineupsData[[#This Row],[B2_Box]])-1),LineupsData[[#This Row],[B2_Box]])),"")</f>
        <v>0</v>
      </c>
      <c r="R144" s="1219">
        <f t="array" aca="1" ref="R144" ca="1">INDIRECT($AA$24&amp;INDEX(LineupsSearch[],MATCH(LineupsData[[#This Row],[Home?]]&amp;LineupsData[[#Headers],[B3]],LineupsSearch[Home?]&amp;LineupsSearch[Item],1),3)&amp;LineupsData[[#This Row],[RefRow]])</f>
        <v>0</v>
      </c>
      <c r="S144" s="1219" t="str">
        <f t="array" aca="1" ref="S144"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44" s="1219">
        <f ca="1">IFERROR(LEN(IF(OR(LEFT(LineupsData[[#This Row],[B3_Box]],1)="$",LEFT(LineupsData[[#This Row],[B3_Box]],1)="S"),RIGHT(LineupsData[[#This Row],[B3_Box]],LEN(LineupsData[[#This Row],[B3_Box]])-1),LineupsData[[#This Row],[B3_Box]])),"")</f>
        <v>0</v>
      </c>
      <c r="U144" s="1219" t="b">
        <f t="array" aca="1" ref="U144"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44" s="1219" t="b">
        <v>0</v>
      </c>
      <c r="W144" s="1219">
        <v>74</v>
      </c>
    </row>
    <row r="145" spans="1:23" x14ac:dyDescent="0.25">
      <c r="A145" s="1218">
        <f>[1]IBRF!$B$5</f>
        <v>41734</v>
      </c>
      <c r="B145" s="1221">
        <f t="shared" si="6"/>
        <v>0.83333333333333337</v>
      </c>
      <c r="C145" s="1219">
        <v>2</v>
      </c>
      <c r="D145" s="1219">
        <f t="array" aca="1" ref="D145" ca="1">IF(LineupsData[[#This Row],[Passed?]],D144,IF(INDIRECT($AA$24&amp;INDEX(LineupsSearch[],MATCH(LineupsData[[#This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45" s="1219" t="str">
        <f t="shared" si="5"/>
        <v>Harlots</v>
      </c>
      <c r="F145" s="1219" t="str">
        <f t="array" aca="1" ref="F145" ca="1">INDIRECT($AA$24&amp;INDEX(LineupsSearch[],MATCH(LineupsData[[#This Row],[Home?]]&amp;LineupsData[[#Headers],[Jammer]],LineupsSearch[Home?]&amp;LineupsSearch[Item],1),3)&amp;LineupsData[[#This Row],[RefRow]])</f>
        <v/>
      </c>
      <c r="G145" s="1219" t="str">
        <f t="array" aca="1" ref="G145"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45" s="1219">
        <f ca="1">IFERROR(LEN(IF(OR(LEFT(LineupsData[[#This Row],[J_Box]],1)="$",LEFT(LineupsData[[#This Row],[J_Box]],1)="S"),RIGHT(LineupsData[[#This Row],[J_Box]],LEN(LineupsData[[#This Row],[J_Box]])-1),LineupsData[[#This Row],[J_Box]])),"")</f>
        <v>0</v>
      </c>
      <c r="I145" s="1219">
        <f t="array" aca="1" ref="I145" ca="1">INDIRECT($AA$24&amp;INDEX(LineupsSearch[],MATCH(LineupsData[[#This Row],[Home?]]&amp;LineupsData[[#Headers],[Pivot]],LineupsSearch[Home?]&amp;LineupsSearch[Item],1),3)&amp;LineupsData[[#This Row],[RefRow]])</f>
        <v>0</v>
      </c>
      <c r="J145" s="1219" t="str">
        <f t="array" aca="1" ref="J145"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45" s="1219">
        <f ca="1">IFERROR(LEN(IF(OR(LEFT(LineupsData[[#This Row],[P_Box]],1)="$",LEFT(LineupsData[[#This Row],[P_Box]],1)="S"),RIGHT(LineupsData[[#This Row],[P_Box]],LEN(LineupsData[[#This Row],[P_Box]])-1),LineupsData[[#This Row],[P_Box]])),"")</f>
        <v>0</v>
      </c>
      <c r="L145" s="1219">
        <f t="array" aca="1" ref="L145" ca="1">INDIRECT($AA$24&amp;INDEX(LineupsSearch[],MATCH(LineupsData[[#This Row],[Home?]]&amp;LineupsData[[#Headers],[B1]],LineupsSearch[Home?]&amp;LineupsSearch[Item],1),3)&amp;LineupsData[[#This Row],[RefRow]])</f>
        <v>0</v>
      </c>
      <c r="M145" s="1219" t="str">
        <f t="array" aca="1" ref="M145"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45" s="1219">
        <f ca="1">IFERROR(LEN(IF(OR(LEFT(LineupsData[[#This Row],[B1_Box]],1)="$",LEFT(LineupsData[[#This Row],[B1_Box]],1)="S"),RIGHT(LineupsData[[#This Row],[B1_Box]],LEN(LineupsData[[#This Row],[B1_Box]])-1),LineupsData[[#This Row],[B1_Box]])),"")</f>
        <v>0</v>
      </c>
      <c r="O145" s="1219">
        <f t="array" aca="1" ref="O145" ca="1">INDIRECT($AA$24&amp;INDEX(LineupsSearch[],MATCH(LineupsData[[#This Row],[Home?]]&amp;LineupsData[[#Headers],[B2]],LineupsSearch[Home?]&amp;LineupsSearch[Item],1),3)&amp;LineupsData[[#This Row],[RefRow]])</f>
        <v>0</v>
      </c>
      <c r="P145" s="1219" t="str">
        <f t="array" aca="1" ref="P145"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45" s="1219">
        <f ca="1">IFERROR(LEN(IF(OR(LEFT(LineupsData[[#This Row],[B2_Box]],1)="$",LEFT(LineupsData[[#This Row],[B2_Box]],1)="S"),RIGHT(LineupsData[[#This Row],[B2_Box]],LEN(LineupsData[[#This Row],[B2_Box]])-1),LineupsData[[#This Row],[B2_Box]])),"")</f>
        <v>0</v>
      </c>
      <c r="R145" s="1219">
        <f t="array" aca="1" ref="R145" ca="1">INDIRECT($AA$24&amp;INDEX(LineupsSearch[],MATCH(LineupsData[[#This Row],[Home?]]&amp;LineupsData[[#Headers],[B3]],LineupsSearch[Home?]&amp;LineupsSearch[Item],1),3)&amp;LineupsData[[#This Row],[RefRow]])</f>
        <v>0</v>
      </c>
      <c r="S145" s="1219" t="str">
        <f t="array" aca="1" ref="S145"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45" s="1219">
        <f ca="1">IFERROR(LEN(IF(OR(LEFT(LineupsData[[#This Row],[B3_Box]],1)="$",LEFT(LineupsData[[#This Row],[B3_Box]],1)="S"),RIGHT(LineupsData[[#This Row],[B3_Box]],LEN(LineupsData[[#This Row],[B3_Box]])-1),LineupsData[[#This Row],[B3_Box]])),"")</f>
        <v>0</v>
      </c>
      <c r="U145" s="1219" t="b">
        <f t="array" aca="1" ref="U145"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45" s="1219" t="b">
        <v>0</v>
      </c>
      <c r="W145" s="1219">
        <v>75</v>
      </c>
    </row>
    <row r="146" spans="1:23" x14ac:dyDescent="0.25">
      <c r="A146" s="1218">
        <f>[1]IBRF!$B$5</f>
        <v>41734</v>
      </c>
      <c r="B146" s="1221">
        <f t="shared" si="6"/>
        <v>0.83333333333333337</v>
      </c>
      <c r="C146" s="1219">
        <v>2</v>
      </c>
      <c r="D146" s="1219">
        <f t="array" aca="1" ref="D146" ca="1">IF(LineupsData[[#This Row],[Passed?]],D145,IF(INDIRECT($AA$24&amp;INDEX(LineupsSearch[],MATCH(LineupsData[[#This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46" s="1219" t="str">
        <f t="shared" si="5"/>
        <v>Harlots</v>
      </c>
      <c r="F146" s="1219" t="str">
        <f t="array" aca="1" ref="F146" ca="1">INDIRECT($AA$24&amp;INDEX(LineupsSearch[],MATCH(LineupsData[[#This Row],[Home?]]&amp;LineupsData[[#Headers],[Jammer]],LineupsSearch[Home?]&amp;LineupsSearch[Item],1),3)&amp;LineupsData[[#This Row],[RefRow]])</f>
        <v/>
      </c>
      <c r="G146" s="1219" t="str">
        <f t="array" aca="1" ref="G146"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46" s="1219">
        <f ca="1">IFERROR(LEN(IF(OR(LEFT(LineupsData[[#This Row],[J_Box]],1)="$",LEFT(LineupsData[[#This Row],[J_Box]],1)="S"),RIGHT(LineupsData[[#This Row],[J_Box]],LEN(LineupsData[[#This Row],[J_Box]])-1),LineupsData[[#This Row],[J_Box]])),"")</f>
        <v>0</v>
      </c>
      <c r="I146" s="1219">
        <f t="array" aca="1" ref="I146" ca="1">INDIRECT($AA$24&amp;INDEX(LineupsSearch[],MATCH(LineupsData[[#This Row],[Home?]]&amp;LineupsData[[#Headers],[Pivot]],LineupsSearch[Home?]&amp;LineupsSearch[Item],1),3)&amp;LineupsData[[#This Row],[RefRow]])</f>
        <v>0</v>
      </c>
      <c r="J146" s="1219" t="str">
        <f t="array" aca="1" ref="J146"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46" s="1219">
        <f ca="1">IFERROR(LEN(IF(OR(LEFT(LineupsData[[#This Row],[P_Box]],1)="$",LEFT(LineupsData[[#This Row],[P_Box]],1)="S"),RIGHT(LineupsData[[#This Row],[P_Box]],LEN(LineupsData[[#This Row],[P_Box]])-1),LineupsData[[#This Row],[P_Box]])),"")</f>
        <v>0</v>
      </c>
      <c r="L146" s="1219">
        <f t="array" aca="1" ref="L146" ca="1">INDIRECT($AA$24&amp;INDEX(LineupsSearch[],MATCH(LineupsData[[#This Row],[Home?]]&amp;LineupsData[[#Headers],[B1]],LineupsSearch[Home?]&amp;LineupsSearch[Item],1),3)&amp;LineupsData[[#This Row],[RefRow]])</f>
        <v>0</v>
      </c>
      <c r="M146" s="1219" t="str">
        <f t="array" aca="1" ref="M146"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46" s="1219">
        <f ca="1">IFERROR(LEN(IF(OR(LEFT(LineupsData[[#This Row],[B1_Box]],1)="$",LEFT(LineupsData[[#This Row],[B1_Box]],1)="S"),RIGHT(LineupsData[[#This Row],[B1_Box]],LEN(LineupsData[[#This Row],[B1_Box]])-1),LineupsData[[#This Row],[B1_Box]])),"")</f>
        <v>0</v>
      </c>
      <c r="O146" s="1219">
        <f t="array" aca="1" ref="O146" ca="1">INDIRECT($AA$24&amp;INDEX(LineupsSearch[],MATCH(LineupsData[[#This Row],[Home?]]&amp;LineupsData[[#Headers],[B2]],LineupsSearch[Home?]&amp;LineupsSearch[Item],1),3)&amp;LineupsData[[#This Row],[RefRow]])</f>
        <v>0</v>
      </c>
      <c r="P146" s="1219" t="str">
        <f t="array" aca="1" ref="P146"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46" s="1219">
        <f ca="1">IFERROR(LEN(IF(OR(LEFT(LineupsData[[#This Row],[B2_Box]],1)="$",LEFT(LineupsData[[#This Row],[B2_Box]],1)="S"),RIGHT(LineupsData[[#This Row],[B2_Box]],LEN(LineupsData[[#This Row],[B2_Box]])-1),LineupsData[[#This Row],[B2_Box]])),"")</f>
        <v>0</v>
      </c>
      <c r="R146" s="1219">
        <f t="array" aca="1" ref="R146" ca="1">INDIRECT($AA$24&amp;INDEX(LineupsSearch[],MATCH(LineupsData[[#This Row],[Home?]]&amp;LineupsData[[#Headers],[B3]],LineupsSearch[Home?]&amp;LineupsSearch[Item],1),3)&amp;LineupsData[[#This Row],[RefRow]])</f>
        <v>0</v>
      </c>
      <c r="S146" s="1219" t="str">
        <f t="array" aca="1" ref="S146"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46" s="1219">
        <f ca="1">IFERROR(LEN(IF(OR(LEFT(LineupsData[[#This Row],[B3_Box]],1)="$",LEFT(LineupsData[[#This Row],[B3_Box]],1)="S"),RIGHT(LineupsData[[#This Row],[B3_Box]],LEN(LineupsData[[#This Row],[B3_Box]])-1),LineupsData[[#This Row],[B3_Box]])),"")</f>
        <v>0</v>
      </c>
      <c r="U146" s="1219" t="b">
        <f t="array" aca="1" ref="U146"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46" s="1219" t="b">
        <v>0</v>
      </c>
      <c r="W146" s="1219">
        <v>76</v>
      </c>
    </row>
    <row r="147" spans="1:23" x14ac:dyDescent="0.25">
      <c r="A147" s="1218">
        <f>[1]IBRF!$B$5</f>
        <v>41734</v>
      </c>
      <c r="B147" s="1221">
        <f t="shared" si="6"/>
        <v>0.83333333333333337</v>
      </c>
      <c r="C147" s="1219">
        <v>2</v>
      </c>
      <c r="D147" s="1219">
        <f t="array" aca="1" ref="D147" ca="1">IF(LineupsData[[#This Row],[Passed?]],D146,IF(INDIRECT($AA$24&amp;INDEX(LineupsSearch[],MATCH(LineupsData[[#This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47" s="1219" t="str">
        <f t="shared" si="5"/>
        <v>Harlots</v>
      </c>
      <c r="F147" s="1219" t="str">
        <f t="array" aca="1" ref="F147" ca="1">INDIRECT($AA$24&amp;INDEX(LineupsSearch[],MATCH(LineupsData[[#This Row],[Home?]]&amp;LineupsData[[#Headers],[Jammer]],LineupsSearch[Home?]&amp;LineupsSearch[Item],1),3)&amp;LineupsData[[#This Row],[RefRow]])</f>
        <v/>
      </c>
      <c r="G147" s="1219" t="str">
        <f t="array" aca="1" ref="G147"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47" s="1219">
        <f ca="1">IFERROR(LEN(IF(OR(LEFT(LineupsData[[#This Row],[J_Box]],1)="$",LEFT(LineupsData[[#This Row],[J_Box]],1)="S"),RIGHT(LineupsData[[#This Row],[J_Box]],LEN(LineupsData[[#This Row],[J_Box]])-1),LineupsData[[#This Row],[J_Box]])),"")</f>
        <v>0</v>
      </c>
      <c r="I147" s="1219">
        <f t="array" aca="1" ref="I147" ca="1">INDIRECT($AA$24&amp;INDEX(LineupsSearch[],MATCH(LineupsData[[#This Row],[Home?]]&amp;LineupsData[[#Headers],[Pivot]],LineupsSearch[Home?]&amp;LineupsSearch[Item],1),3)&amp;LineupsData[[#This Row],[RefRow]])</f>
        <v>0</v>
      </c>
      <c r="J147" s="1219" t="str">
        <f t="array" aca="1" ref="J147"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47" s="1219">
        <f ca="1">IFERROR(LEN(IF(OR(LEFT(LineupsData[[#This Row],[P_Box]],1)="$",LEFT(LineupsData[[#This Row],[P_Box]],1)="S"),RIGHT(LineupsData[[#This Row],[P_Box]],LEN(LineupsData[[#This Row],[P_Box]])-1),LineupsData[[#This Row],[P_Box]])),"")</f>
        <v>0</v>
      </c>
      <c r="L147" s="1219">
        <f t="array" aca="1" ref="L147" ca="1">INDIRECT($AA$24&amp;INDEX(LineupsSearch[],MATCH(LineupsData[[#This Row],[Home?]]&amp;LineupsData[[#Headers],[B1]],LineupsSearch[Home?]&amp;LineupsSearch[Item],1),3)&amp;LineupsData[[#This Row],[RefRow]])</f>
        <v>0</v>
      </c>
      <c r="M147" s="1219" t="str">
        <f t="array" aca="1" ref="M147"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47" s="1219">
        <f ca="1">IFERROR(LEN(IF(OR(LEFT(LineupsData[[#This Row],[B1_Box]],1)="$",LEFT(LineupsData[[#This Row],[B1_Box]],1)="S"),RIGHT(LineupsData[[#This Row],[B1_Box]],LEN(LineupsData[[#This Row],[B1_Box]])-1),LineupsData[[#This Row],[B1_Box]])),"")</f>
        <v>0</v>
      </c>
      <c r="O147" s="1219">
        <f t="array" aca="1" ref="O147" ca="1">INDIRECT($AA$24&amp;INDEX(LineupsSearch[],MATCH(LineupsData[[#This Row],[Home?]]&amp;LineupsData[[#Headers],[B2]],LineupsSearch[Home?]&amp;LineupsSearch[Item],1),3)&amp;LineupsData[[#This Row],[RefRow]])</f>
        <v>0</v>
      </c>
      <c r="P147" s="1219" t="str">
        <f t="array" aca="1" ref="P147"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47" s="1219">
        <f ca="1">IFERROR(LEN(IF(OR(LEFT(LineupsData[[#This Row],[B2_Box]],1)="$",LEFT(LineupsData[[#This Row],[B2_Box]],1)="S"),RIGHT(LineupsData[[#This Row],[B2_Box]],LEN(LineupsData[[#This Row],[B2_Box]])-1),LineupsData[[#This Row],[B2_Box]])),"")</f>
        <v>0</v>
      </c>
      <c r="R147" s="1219">
        <f t="array" aca="1" ref="R147" ca="1">INDIRECT($AA$24&amp;INDEX(LineupsSearch[],MATCH(LineupsData[[#This Row],[Home?]]&amp;LineupsData[[#Headers],[B3]],LineupsSearch[Home?]&amp;LineupsSearch[Item],1),3)&amp;LineupsData[[#This Row],[RefRow]])</f>
        <v>0</v>
      </c>
      <c r="S147" s="1219" t="str">
        <f t="array" aca="1" ref="S147"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47" s="1219">
        <f ca="1">IFERROR(LEN(IF(OR(LEFT(LineupsData[[#This Row],[B3_Box]],1)="$",LEFT(LineupsData[[#This Row],[B3_Box]],1)="S"),RIGHT(LineupsData[[#This Row],[B3_Box]],LEN(LineupsData[[#This Row],[B3_Box]])-1),LineupsData[[#This Row],[B3_Box]])),"")</f>
        <v>0</v>
      </c>
      <c r="U147" s="1219" t="b">
        <f t="array" aca="1" ref="U147"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47" s="1219" t="b">
        <v>0</v>
      </c>
      <c r="W147" s="1219">
        <v>77</v>
      </c>
    </row>
    <row r="148" spans="1:23" x14ac:dyDescent="0.25">
      <c r="A148" s="1218">
        <f>[1]IBRF!$B$5</f>
        <v>41734</v>
      </c>
      <c r="B148" s="1221">
        <f t="shared" si="6"/>
        <v>0.83333333333333337</v>
      </c>
      <c r="C148" s="1219">
        <v>2</v>
      </c>
      <c r="D148" s="1219">
        <f t="array" aca="1" ref="D148" ca="1">IF(LineupsData[[#This Row],[Passed?]],D147,IF(INDIRECT($AA$24&amp;INDEX(LineupsSearch[],MATCH(LineupsData[[#This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48" s="1219" t="str">
        <f t="shared" si="5"/>
        <v>Harlots</v>
      </c>
      <c r="F148" s="1219" t="str">
        <f t="array" aca="1" ref="F148" ca="1">INDIRECT($AA$24&amp;INDEX(LineupsSearch[],MATCH(LineupsData[[#This Row],[Home?]]&amp;LineupsData[[#Headers],[Jammer]],LineupsSearch[Home?]&amp;LineupsSearch[Item],1),3)&amp;LineupsData[[#This Row],[RefRow]])</f>
        <v/>
      </c>
      <c r="G148" s="1219" t="str">
        <f t="array" aca="1" ref="G148"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48" s="1219">
        <f ca="1">IFERROR(LEN(IF(OR(LEFT(LineupsData[[#This Row],[J_Box]],1)="$",LEFT(LineupsData[[#This Row],[J_Box]],1)="S"),RIGHT(LineupsData[[#This Row],[J_Box]],LEN(LineupsData[[#This Row],[J_Box]])-1),LineupsData[[#This Row],[J_Box]])),"")</f>
        <v>0</v>
      </c>
      <c r="I148" s="1219">
        <f t="array" aca="1" ref="I148" ca="1">INDIRECT($AA$24&amp;INDEX(LineupsSearch[],MATCH(LineupsData[[#This Row],[Home?]]&amp;LineupsData[[#Headers],[Pivot]],LineupsSearch[Home?]&amp;LineupsSearch[Item],1),3)&amp;LineupsData[[#This Row],[RefRow]])</f>
        <v>0</v>
      </c>
      <c r="J148" s="1219" t="str">
        <f t="array" aca="1" ref="J148"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48" s="1219">
        <f ca="1">IFERROR(LEN(IF(OR(LEFT(LineupsData[[#This Row],[P_Box]],1)="$",LEFT(LineupsData[[#This Row],[P_Box]],1)="S"),RIGHT(LineupsData[[#This Row],[P_Box]],LEN(LineupsData[[#This Row],[P_Box]])-1),LineupsData[[#This Row],[P_Box]])),"")</f>
        <v>0</v>
      </c>
      <c r="L148" s="1219">
        <f t="array" aca="1" ref="L148" ca="1">INDIRECT($AA$24&amp;INDEX(LineupsSearch[],MATCH(LineupsData[[#This Row],[Home?]]&amp;LineupsData[[#Headers],[B1]],LineupsSearch[Home?]&amp;LineupsSearch[Item],1),3)&amp;LineupsData[[#This Row],[RefRow]])</f>
        <v>0</v>
      </c>
      <c r="M148" s="1219" t="str">
        <f t="array" aca="1" ref="M148"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48" s="1219">
        <f ca="1">IFERROR(LEN(IF(OR(LEFT(LineupsData[[#This Row],[B1_Box]],1)="$",LEFT(LineupsData[[#This Row],[B1_Box]],1)="S"),RIGHT(LineupsData[[#This Row],[B1_Box]],LEN(LineupsData[[#This Row],[B1_Box]])-1),LineupsData[[#This Row],[B1_Box]])),"")</f>
        <v>0</v>
      </c>
      <c r="O148" s="1219">
        <f t="array" aca="1" ref="O148" ca="1">INDIRECT($AA$24&amp;INDEX(LineupsSearch[],MATCH(LineupsData[[#This Row],[Home?]]&amp;LineupsData[[#Headers],[B2]],LineupsSearch[Home?]&amp;LineupsSearch[Item],1),3)&amp;LineupsData[[#This Row],[RefRow]])</f>
        <v>0</v>
      </c>
      <c r="P148" s="1219" t="str">
        <f t="array" aca="1" ref="P148"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48" s="1219">
        <f ca="1">IFERROR(LEN(IF(OR(LEFT(LineupsData[[#This Row],[B2_Box]],1)="$",LEFT(LineupsData[[#This Row],[B2_Box]],1)="S"),RIGHT(LineupsData[[#This Row],[B2_Box]],LEN(LineupsData[[#This Row],[B2_Box]])-1),LineupsData[[#This Row],[B2_Box]])),"")</f>
        <v>0</v>
      </c>
      <c r="R148" s="1219">
        <f t="array" aca="1" ref="R148" ca="1">INDIRECT($AA$24&amp;INDEX(LineupsSearch[],MATCH(LineupsData[[#This Row],[Home?]]&amp;LineupsData[[#Headers],[B3]],LineupsSearch[Home?]&amp;LineupsSearch[Item],1),3)&amp;LineupsData[[#This Row],[RefRow]])</f>
        <v>0</v>
      </c>
      <c r="S148" s="1219" t="str">
        <f t="array" aca="1" ref="S148"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48" s="1219">
        <f ca="1">IFERROR(LEN(IF(OR(LEFT(LineupsData[[#This Row],[B3_Box]],1)="$",LEFT(LineupsData[[#This Row],[B3_Box]],1)="S"),RIGHT(LineupsData[[#This Row],[B3_Box]],LEN(LineupsData[[#This Row],[B3_Box]])-1),LineupsData[[#This Row],[B3_Box]])),"")</f>
        <v>0</v>
      </c>
      <c r="U148" s="1219" t="b">
        <f t="array" aca="1" ref="U148"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48" s="1219" t="b">
        <v>0</v>
      </c>
      <c r="W148" s="1219">
        <v>78</v>
      </c>
    </row>
    <row r="149" spans="1:23" x14ac:dyDescent="0.25">
      <c r="A149" s="1218">
        <f>[1]IBRF!$B$5</f>
        <v>41734</v>
      </c>
      <c r="B149" s="1221">
        <f t="shared" si="6"/>
        <v>0.83333333333333337</v>
      </c>
      <c r="C149" s="1219">
        <v>2</v>
      </c>
      <c r="D149" s="1219">
        <f t="array" aca="1" ref="D149" ca="1">IF(LineupsData[[#This Row],[Passed?]],D148,IF(INDIRECT($AA$24&amp;INDEX(LineupsSearch[],MATCH(LineupsData[[#This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49" s="1219" t="str">
        <f t="shared" si="5"/>
        <v>Harlots</v>
      </c>
      <c r="F149" s="1219" t="str">
        <f t="array" aca="1" ref="F149" ca="1">INDIRECT($AA$24&amp;INDEX(LineupsSearch[],MATCH(LineupsData[[#This Row],[Home?]]&amp;LineupsData[[#Headers],[Jammer]],LineupsSearch[Home?]&amp;LineupsSearch[Item],1),3)&amp;LineupsData[[#This Row],[RefRow]])</f>
        <v/>
      </c>
      <c r="G149" s="1219" t="str">
        <f t="array" aca="1" ref="G149"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49" s="1219">
        <f ca="1">IFERROR(LEN(IF(OR(LEFT(LineupsData[[#This Row],[J_Box]],1)="$",LEFT(LineupsData[[#This Row],[J_Box]],1)="S"),RIGHT(LineupsData[[#This Row],[J_Box]],LEN(LineupsData[[#This Row],[J_Box]])-1),LineupsData[[#This Row],[J_Box]])),"")</f>
        <v>0</v>
      </c>
      <c r="I149" s="1219">
        <f t="array" aca="1" ref="I149" ca="1">INDIRECT($AA$24&amp;INDEX(LineupsSearch[],MATCH(LineupsData[[#This Row],[Home?]]&amp;LineupsData[[#Headers],[Pivot]],LineupsSearch[Home?]&amp;LineupsSearch[Item],1),3)&amp;LineupsData[[#This Row],[RefRow]])</f>
        <v>0</v>
      </c>
      <c r="J149" s="1219" t="str">
        <f t="array" aca="1" ref="J149"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49" s="1219">
        <f ca="1">IFERROR(LEN(IF(OR(LEFT(LineupsData[[#This Row],[P_Box]],1)="$",LEFT(LineupsData[[#This Row],[P_Box]],1)="S"),RIGHT(LineupsData[[#This Row],[P_Box]],LEN(LineupsData[[#This Row],[P_Box]])-1),LineupsData[[#This Row],[P_Box]])),"")</f>
        <v>0</v>
      </c>
      <c r="L149" s="1219">
        <f t="array" aca="1" ref="L149" ca="1">INDIRECT($AA$24&amp;INDEX(LineupsSearch[],MATCH(LineupsData[[#This Row],[Home?]]&amp;LineupsData[[#Headers],[B1]],LineupsSearch[Home?]&amp;LineupsSearch[Item],1),3)&amp;LineupsData[[#This Row],[RefRow]])</f>
        <v>0</v>
      </c>
      <c r="M149" s="1219" t="str">
        <f t="array" aca="1" ref="M149"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49" s="1219">
        <f ca="1">IFERROR(LEN(IF(OR(LEFT(LineupsData[[#This Row],[B1_Box]],1)="$",LEFT(LineupsData[[#This Row],[B1_Box]],1)="S"),RIGHT(LineupsData[[#This Row],[B1_Box]],LEN(LineupsData[[#This Row],[B1_Box]])-1),LineupsData[[#This Row],[B1_Box]])),"")</f>
        <v>0</v>
      </c>
      <c r="O149" s="1219">
        <f t="array" aca="1" ref="O149" ca="1">INDIRECT($AA$24&amp;INDEX(LineupsSearch[],MATCH(LineupsData[[#This Row],[Home?]]&amp;LineupsData[[#Headers],[B2]],LineupsSearch[Home?]&amp;LineupsSearch[Item],1),3)&amp;LineupsData[[#This Row],[RefRow]])</f>
        <v>0</v>
      </c>
      <c r="P149" s="1219" t="str">
        <f t="array" aca="1" ref="P149"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49" s="1219">
        <f ca="1">IFERROR(LEN(IF(OR(LEFT(LineupsData[[#This Row],[B2_Box]],1)="$",LEFT(LineupsData[[#This Row],[B2_Box]],1)="S"),RIGHT(LineupsData[[#This Row],[B2_Box]],LEN(LineupsData[[#This Row],[B2_Box]])-1),LineupsData[[#This Row],[B2_Box]])),"")</f>
        <v>0</v>
      </c>
      <c r="R149" s="1219">
        <f t="array" aca="1" ref="R149" ca="1">INDIRECT($AA$24&amp;INDEX(LineupsSearch[],MATCH(LineupsData[[#This Row],[Home?]]&amp;LineupsData[[#Headers],[B3]],LineupsSearch[Home?]&amp;LineupsSearch[Item],1),3)&amp;LineupsData[[#This Row],[RefRow]])</f>
        <v>0</v>
      </c>
      <c r="S149" s="1219" t="str">
        <f t="array" aca="1" ref="S149"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49" s="1219">
        <f ca="1">IFERROR(LEN(IF(OR(LEFT(LineupsData[[#This Row],[B3_Box]],1)="$",LEFT(LineupsData[[#This Row],[B3_Box]],1)="S"),RIGHT(LineupsData[[#This Row],[B3_Box]],LEN(LineupsData[[#This Row],[B3_Box]])-1),LineupsData[[#This Row],[B3_Box]])),"")</f>
        <v>0</v>
      </c>
      <c r="U149" s="1219" t="b">
        <f t="array" aca="1" ref="U149"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49" s="1219" t="b">
        <v>0</v>
      </c>
      <c r="W149" s="1219">
        <v>79</v>
      </c>
    </row>
    <row r="150" spans="1:23" x14ac:dyDescent="0.25">
      <c r="A150" s="1218">
        <f>[1]IBRF!$B$5</f>
        <v>41734</v>
      </c>
      <c r="B150" s="1221">
        <f t="shared" si="6"/>
        <v>0.83333333333333337</v>
      </c>
      <c r="C150" s="1219">
        <v>2</v>
      </c>
      <c r="D150" s="1219">
        <f t="array" aca="1" ref="D150" ca="1">IF(LineupsData[[#This Row],[Passed?]],D149,IF(INDIRECT($AA$24&amp;INDEX(LineupsSearch[],MATCH(LineupsData[[#This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50" s="1219" t="str">
        <f t="shared" si="5"/>
        <v>Harlots</v>
      </c>
      <c r="F150" s="1219" t="str">
        <f t="array" aca="1" ref="F150" ca="1">INDIRECT($AA$24&amp;INDEX(LineupsSearch[],MATCH(LineupsData[[#This Row],[Home?]]&amp;LineupsData[[#Headers],[Jammer]],LineupsSearch[Home?]&amp;LineupsSearch[Item],1),3)&amp;LineupsData[[#This Row],[RefRow]])</f>
        <v/>
      </c>
      <c r="G150" s="1219" t="str">
        <f t="array" aca="1" ref="G150"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50" s="1219">
        <f ca="1">IFERROR(LEN(IF(OR(LEFT(LineupsData[[#This Row],[J_Box]],1)="$",LEFT(LineupsData[[#This Row],[J_Box]],1)="S"),RIGHT(LineupsData[[#This Row],[J_Box]],LEN(LineupsData[[#This Row],[J_Box]])-1),LineupsData[[#This Row],[J_Box]])),"")</f>
        <v>0</v>
      </c>
      <c r="I150" s="1219">
        <f t="array" aca="1" ref="I150" ca="1">INDIRECT($AA$24&amp;INDEX(LineupsSearch[],MATCH(LineupsData[[#This Row],[Home?]]&amp;LineupsData[[#Headers],[Pivot]],LineupsSearch[Home?]&amp;LineupsSearch[Item],1),3)&amp;LineupsData[[#This Row],[RefRow]])</f>
        <v>0</v>
      </c>
      <c r="J150" s="1219" t="str">
        <f t="array" aca="1" ref="J150"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50" s="1219">
        <f ca="1">IFERROR(LEN(IF(OR(LEFT(LineupsData[[#This Row],[P_Box]],1)="$",LEFT(LineupsData[[#This Row],[P_Box]],1)="S"),RIGHT(LineupsData[[#This Row],[P_Box]],LEN(LineupsData[[#This Row],[P_Box]])-1),LineupsData[[#This Row],[P_Box]])),"")</f>
        <v>0</v>
      </c>
      <c r="L150" s="1219">
        <f t="array" aca="1" ref="L150" ca="1">INDIRECT($AA$24&amp;INDEX(LineupsSearch[],MATCH(LineupsData[[#This Row],[Home?]]&amp;LineupsData[[#Headers],[B1]],LineupsSearch[Home?]&amp;LineupsSearch[Item],1),3)&amp;LineupsData[[#This Row],[RefRow]])</f>
        <v>0</v>
      </c>
      <c r="M150" s="1219" t="str">
        <f t="array" aca="1" ref="M150"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50" s="1219">
        <f ca="1">IFERROR(LEN(IF(OR(LEFT(LineupsData[[#This Row],[B1_Box]],1)="$",LEFT(LineupsData[[#This Row],[B1_Box]],1)="S"),RIGHT(LineupsData[[#This Row],[B1_Box]],LEN(LineupsData[[#This Row],[B1_Box]])-1),LineupsData[[#This Row],[B1_Box]])),"")</f>
        <v>0</v>
      </c>
      <c r="O150" s="1219">
        <f t="array" aca="1" ref="O150" ca="1">INDIRECT($AA$24&amp;INDEX(LineupsSearch[],MATCH(LineupsData[[#This Row],[Home?]]&amp;LineupsData[[#Headers],[B2]],LineupsSearch[Home?]&amp;LineupsSearch[Item],1),3)&amp;LineupsData[[#This Row],[RefRow]])</f>
        <v>0</v>
      </c>
      <c r="P150" s="1219" t="str">
        <f t="array" aca="1" ref="P150"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50" s="1219">
        <f ca="1">IFERROR(LEN(IF(OR(LEFT(LineupsData[[#This Row],[B2_Box]],1)="$",LEFT(LineupsData[[#This Row],[B2_Box]],1)="S"),RIGHT(LineupsData[[#This Row],[B2_Box]],LEN(LineupsData[[#This Row],[B2_Box]])-1),LineupsData[[#This Row],[B2_Box]])),"")</f>
        <v>0</v>
      </c>
      <c r="R150" s="1219">
        <f t="array" aca="1" ref="R150" ca="1">INDIRECT($AA$24&amp;INDEX(LineupsSearch[],MATCH(LineupsData[[#This Row],[Home?]]&amp;LineupsData[[#Headers],[B3]],LineupsSearch[Home?]&amp;LineupsSearch[Item],1),3)&amp;LineupsData[[#This Row],[RefRow]])</f>
        <v>0</v>
      </c>
      <c r="S150" s="1219" t="str">
        <f t="array" aca="1" ref="S150"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50" s="1219">
        <f ca="1">IFERROR(LEN(IF(OR(LEFT(LineupsData[[#This Row],[B3_Box]],1)="$",LEFT(LineupsData[[#This Row],[B3_Box]],1)="S"),RIGHT(LineupsData[[#This Row],[B3_Box]],LEN(LineupsData[[#This Row],[B3_Box]])-1),LineupsData[[#This Row],[B3_Box]])),"")</f>
        <v>0</v>
      </c>
      <c r="U150" s="1219" t="b">
        <f t="array" aca="1" ref="U150"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50" s="1219" t="b">
        <v>0</v>
      </c>
      <c r="W150" s="1219">
        <v>80</v>
      </c>
    </row>
    <row r="151" spans="1:23" x14ac:dyDescent="0.25">
      <c r="A151" s="1218">
        <f>[1]IBRF!$B$5</f>
        <v>41734</v>
      </c>
      <c r="B151" s="1221">
        <f t="shared" si="6"/>
        <v>0.83333333333333337</v>
      </c>
      <c r="C151" s="1219">
        <v>2</v>
      </c>
      <c r="D151" s="1219">
        <f t="array" aca="1" ref="D151" ca="1">IF(LineupsData[[#This Row],[Passed?]],D150,IF(INDIRECT($AA$24&amp;INDEX(LineupsSearch[],MATCH(LineupsData[[#This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51" s="1219" t="str">
        <f t="shared" si="5"/>
        <v>Harlots</v>
      </c>
      <c r="F151" s="1219" t="str">
        <f t="array" aca="1" ref="F151" ca="1">INDIRECT($AA$24&amp;INDEX(LineupsSearch[],MATCH(LineupsData[[#This Row],[Home?]]&amp;LineupsData[[#Headers],[Jammer]],LineupsSearch[Home?]&amp;LineupsSearch[Item],1),3)&amp;LineupsData[[#This Row],[RefRow]])</f>
        <v/>
      </c>
      <c r="G151" s="1219" t="str">
        <f t="array" aca="1" ref="G151"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51" s="1219">
        <f ca="1">IFERROR(LEN(IF(OR(LEFT(LineupsData[[#This Row],[J_Box]],1)="$",LEFT(LineupsData[[#This Row],[J_Box]],1)="S"),RIGHT(LineupsData[[#This Row],[J_Box]],LEN(LineupsData[[#This Row],[J_Box]])-1),LineupsData[[#This Row],[J_Box]])),"")</f>
        <v>0</v>
      </c>
      <c r="I151" s="1219">
        <f t="array" aca="1" ref="I151" ca="1">INDIRECT($AA$24&amp;INDEX(LineupsSearch[],MATCH(LineupsData[[#This Row],[Home?]]&amp;LineupsData[[#Headers],[Pivot]],LineupsSearch[Home?]&amp;LineupsSearch[Item],1),3)&amp;LineupsData[[#This Row],[RefRow]])</f>
        <v>0</v>
      </c>
      <c r="J151" s="1219" t="str">
        <f t="array" aca="1" ref="J151"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51" s="1219">
        <f ca="1">IFERROR(LEN(IF(OR(LEFT(LineupsData[[#This Row],[P_Box]],1)="$",LEFT(LineupsData[[#This Row],[P_Box]],1)="S"),RIGHT(LineupsData[[#This Row],[P_Box]],LEN(LineupsData[[#This Row],[P_Box]])-1),LineupsData[[#This Row],[P_Box]])),"")</f>
        <v>0</v>
      </c>
      <c r="L151" s="1219">
        <f t="array" aca="1" ref="L151" ca="1">INDIRECT($AA$24&amp;INDEX(LineupsSearch[],MATCH(LineupsData[[#This Row],[Home?]]&amp;LineupsData[[#Headers],[B1]],LineupsSearch[Home?]&amp;LineupsSearch[Item],1),3)&amp;LineupsData[[#This Row],[RefRow]])</f>
        <v>0</v>
      </c>
      <c r="M151" s="1219" t="str">
        <f t="array" aca="1" ref="M151"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51" s="1219">
        <f ca="1">IFERROR(LEN(IF(OR(LEFT(LineupsData[[#This Row],[B1_Box]],1)="$",LEFT(LineupsData[[#This Row],[B1_Box]],1)="S"),RIGHT(LineupsData[[#This Row],[B1_Box]],LEN(LineupsData[[#This Row],[B1_Box]])-1),LineupsData[[#This Row],[B1_Box]])),"")</f>
        <v>0</v>
      </c>
      <c r="O151" s="1219">
        <f t="array" aca="1" ref="O151" ca="1">INDIRECT($AA$24&amp;INDEX(LineupsSearch[],MATCH(LineupsData[[#This Row],[Home?]]&amp;LineupsData[[#Headers],[B2]],LineupsSearch[Home?]&amp;LineupsSearch[Item],1),3)&amp;LineupsData[[#This Row],[RefRow]])</f>
        <v>0</v>
      </c>
      <c r="P151" s="1219" t="str">
        <f t="array" aca="1" ref="P151"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51" s="1219">
        <f ca="1">IFERROR(LEN(IF(OR(LEFT(LineupsData[[#This Row],[B2_Box]],1)="$",LEFT(LineupsData[[#This Row],[B2_Box]],1)="S"),RIGHT(LineupsData[[#This Row],[B2_Box]],LEN(LineupsData[[#This Row],[B2_Box]])-1),LineupsData[[#This Row],[B2_Box]])),"")</f>
        <v>0</v>
      </c>
      <c r="R151" s="1219">
        <f t="array" aca="1" ref="R151" ca="1">INDIRECT($AA$24&amp;INDEX(LineupsSearch[],MATCH(LineupsData[[#This Row],[Home?]]&amp;LineupsData[[#Headers],[B3]],LineupsSearch[Home?]&amp;LineupsSearch[Item],1),3)&amp;LineupsData[[#This Row],[RefRow]])</f>
        <v>0</v>
      </c>
      <c r="S151" s="1219" t="str">
        <f t="array" aca="1" ref="S151"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51" s="1219">
        <f ca="1">IFERROR(LEN(IF(OR(LEFT(LineupsData[[#This Row],[B3_Box]],1)="$",LEFT(LineupsData[[#This Row],[B3_Box]],1)="S"),RIGHT(LineupsData[[#This Row],[B3_Box]],LEN(LineupsData[[#This Row],[B3_Box]])-1),LineupsData[[#This Row],[B3_Box]])),"")</f>
        <v>0</v>
      </c>
      <c r="U151" s="1219" t="b">
        <f t="array" aca="1" ref="U151"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51" s="1219" t="b">
        <v>0</v>
      </c>
      <c r="W151" s="1219">
        <v>81</v>
      </c>
    </row>
    <row r="152" spans="1:23" x14ac:dyDescent="0.25">
      <c r="A152" s="1218">
        <f>[1]IBRF!$B$5</f>
        <v>41734</v>
      </c>
      <c r="B152" s="1221">
        <f t="shared" si="6"/>
        <v>0.83333333333333337</v>
      </c>
      <c r="C152" s="1219">
        <v>2</v>
      </c>
      <c r="D152" s="1219">
        <f t="array" aca="1" ref="D152" ca="1">IF(LineupsData[[#This Row],[Passed?]],D151,IF(INDIRECT($AA$24&amp;INDEX(LineupsSearch[],MATCH(LineupsData[[#This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52" s="1219" t="str">
        <f t="shared" si="5"/>
        <v>Harlots</v>
      </c>
      <c r="F152" s="1219" t="str">
        <f t="array" aca="1" ref="F152" ca="1">INDIRECT($AA$24&amp;INDEX(LineupsSearch[],MATCH(LineupsData[[#This Row],[Home?]]&amp;LineupsData[[#Headers],[Jammer]],LineupsSearch[Home?]&amp;LineupsSearch[Item],1),3)&amp;LineupsData[[#This Row],[RefRow]])</f>
        <v/>
      </c>
      <c r="G152" s="1219" t="str">
        <f t="array" aca="1" ref="G152"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52" s="1219">
        <f ca="1">IFERROR(LEN(IF(OR(LEFT(LineupsData[[#This Row],[J_Box]],1)="$",LEFT(LineupsData[[#This Row],[J_Box]],1)="S"),RIGHT(LineupsData[[#This Row],[J_Box]],LEN(LineupsData[[#This Row],[J_Box]])-1),LineupsData[[#This Row],[J_Box]])),"")</f>
        <v>0</v>
      </c>
      <c r="I152" s="1219">
        <f t="array" aca="1" ref="I152" ca="1">INDIRECT($AA$24&amp;INDEX(LineupsSearch[],MATCH(LineupsData[[#This Row],[Home?]]&amp;LineupsData[[#Headers],[Pivot]],LineupsSearch[Home?]&amp;LineupsSearch[Item],1),3)&amp;LineupsData[[#This Row],[RefRow]])</f>
        <v>0</v>
      </c>
      <c r="J152" s="1219" t="str">
        <f t="array" aca="1" ref="J152"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52" s="1219">
        <f ca="1">IFERROR(LEN(IF(OR(LEFT(LineupsData[[#This Row],[P_Box]],1)="$",LEFT(LineupsData[[#This Row],[P_Box]],1)="S"),RIGHT(LineupsData[[#This Row],[P_Box]],LEN(LineupsData[[#This Row],[P_Box]])-1),LineupsData[[#This Row],[P_Box]])),"")</f>
        <v>0</v>
      </c>
      <c r="L152" s="1219">
        <f t="array" aca="1" ref="L152" ca="1">INDIRECT($AA$24&amp;INDEX(LineupsSearch[],MATCH(LineupsData[[#This Row],[Home?]]&amp;LineupsData[[#Headers],[B1]],LineupsSearch[Home?]&amp;LineupsSearch[Item],1),3)&amp;LineupsData[[#This Row],[RefRow]])</f>
        <v>0</v>
      </c>
      <c r="M152" s="1219" t="str">
        <f t="array" aca="1" ref="M152"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52" s="1219">
        <f ca="1">IFERROR(LEN(IF(OR(LEFT(LineupsData[[#This Row],[B1_Box]],1)="$",LEFT(LineupsData[[#This Row],[B1_Box]],1)="S"),RIGHT(LineupsData[[#This Row],[B1_Box]],LEN(LineupsData[[#This Row],[B1_Box]])-1),LineupsData[[#This Row],[B1_Box]])),"")</f>
        <v>0</v>
      </c>
      <c r="O152" s="1219">
        <f t="array" aca="1" ref="O152" ca="1">INDIRECT($AA$24&amp;INDEX(LineupsSearch[],MATCH(LineupsData[[#This Row],[Home?]]&amp;LineupsData[[#Headers],[B2]],LineupsSearch[Home?]&amp;LineupsSearch[Item],1),3)&amp;LineupsData[[#This Row],[RefRow]])</f>
        <v>0</v>
      </c>
      <c r="P152" s="1219" t="str">
        <f t="array" aca="1" ref="P152"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52" s="1219">
        <f ca="1">IFERROR(LEN(IF(OR(LEFT(LineupsData[[#This Row],[B2_Box]],1)="$",LEFT(LineupsData[[#This Row],[B2_Box]],1)="S"),RIGHT(LineupsData[[#This Row],[B2_Box]],LEN(LineupsData[[#This Row],[B2_Box]])-1),LineupsData[[#This Row],[B2_Box]])),"")</f>
        <v>0</v>
      </c>
      <c r="R152" s="1219">
        <f t="array" aca="1" ref="R152" ca="1">INDIRECT($AA$24&amp;INDEX(LineupsSearch[],MATCH(LineupsData[[#This Row],[Home?]]&amp;LineupsData[[#Headers],[B3]],LineupsSearch[Home?]&amp;LineupsSearch[Item],1),3)&amp;LineupsData[[#This Row],[RefRow]])</f>
        <v>0</v>
      </c>
      <c r="S152" s="1219" t="str">
        <f t="array" aca="1" ref="S152"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52" s="1219">
        <f ca="1">IFERROR(LEN(IF(OR(LEFT(LineupsData[[#This Row],[B3_Box]],1)="$",LEFT(LineupsData[[#This Row],[B3_Box]],1)="S"),RIGHT(LineupsData[[#This Row],[B3_Box]],LEN(LineupsData[[#This Row],[B3_Box]])-1),LineupsData[[#This Row],[B3_Box]])),"")</f>
        <v>0</v>
      </c>
      <c r="U152" s="1219" t="b">
        <f t="array" aca="1" ref="U152"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52" s="1219" t="b">
        <v>0</v>
      </c>
      <c r="W152" s="1219">
        <v>82</v>
      </c>
    </row>
    <row r="153" spans="1:23" x14ac:dyDescent="0.25">
      <c r="A153" s="1218">
        <f>[1]IBRF!$B$5</f>
        <v>41734</v>
      </c>
      <c r="B153" s="1221">
        <f t="shared" si="6"/>
        <v>0.83333333333333337</v>
      </c>
      <c r="C153" s="1219">
        <v>2</v>
      </c>
      <c r="D153" s="1219">
        <f t="array" aca="1" ref="D153" ca="1">IF(LineupsData[[#This Row],[Passed?]],D152,IF(INDIRECT($AA$24&amp;INDEX(LineupsSearch[],MATCH(LineupsData[[#This Row],[Home?]]&amp;"Jam",LineupsSearch[Home?]&amp;LineupsSearch[Item],1),3)&amp;LineupsData[[#This Row],[RefRow]])="",0,INDIRECT($AA$24&amp;INDEX(LineupsSearch[],MATCH(LineupsData[[#This Row],[Home?]]&amp;"Jam",LineupsSearch[Home?]&amp;LineupsSearch[Item],1),3)&amp;LineupsData[[#This Row],[RefRow]])))</f>
        <v>0</v>
      </c>
      <c r="E153" s="1219" t="str">
        <f t="shared" si="5"/>
        <v>Harlots</v>
      </c>
      <c r="F153" s="1219" t="str">
        <f t="array" aca="1" ref="F153" ca="1">INDIRECT($AA$24&amp;INDEX(LineupsSearch[],MATCH(LineupsData[[#This Row],[Home?]]&amp;LineupsData[[#Headers],[Jammer]],LineupsSearch[Home?]&amp;LineupsSearch[Item],1),3)&amp;LineupsData[[#This Row],[RefRow]])</f>
        <v/>
      </c>
      <c r="G153" s="1219" t="str">
        <f t="array" aca="1" ref="G153" ca="1">CONCATENATE(INDIRECT($AA$24&amp;INDEX(LineupsSearch[],MATCH(LineupsData[[#This Row],[Home?]]&amp;LineupsData[[#Headers],[J_Box]],LineupsSearch[Home?]&amp;LineupsSearch[Item],1),3)&amp;LineupsData[[#This Row],[RefRow]]), INDIRECT($AA$24&amp;INDEX(LineupsSearch[],MATCH(LineupsData[[#This Row],[Home?]]&amp;LineupsData[[#Headers],[J_Box]],LineupsSearch[Home?]&amp;LineupsSearch[Item],1),4)&amp;LineupsData[[#This Row],[RefRow]]), INDIRECT($AA$24&amp;INDEX(LineupsSearch[],MATCH(LineupsData[[#This Row],[Home?]]&amp;LineupsData[[#Headers],[J_Box]],LineupsSearch[Home?]&amp;LineupsSearch[Item],1),5)&amp;LineupsData[[#This Row],[RefRow]]))</f>
        <v/>
      </c>
      <c r="H153" s="1219">
        <f ca="1">IFERROR(LEN(IF(OR(LEFT(LineupsData[[#This Row],[J_Box]],1)="$",LEFT(LineupsData[[#This Row],[J_Box]],1)="S"),RIGHT(LineupsData[[#This Row],[J_Box]],LEN(LineupsData[[#This Row],[J_Box]])-1),LineupsData[[#This Row],[J_Box]])),"")</f>
        <v>0</v>
      </c>
      <c r="I153" s="1219">
        <f t="array" aca="1" ref="I153" ca="1">INDIRECT($AA$24&amp;INDEX(LineupsSearch[],MATCH(LineupsData[[#This Row],[Home?]]&amp;LineupsData[[#Headers],[Pivot]],LineupsSearch[Home?]&amp;LineupsSearch[Item],1),3)&amp;LineupsData[[#This Row],[RefRow]])</f>
        <v>0</v>
      </c>
      <c r="J153" s="1219" t="str">
        <f t="array" aca="1" ref="J153" ca="1">CONCATENATE(INDIRECT($AA$24&amp;INDEX(LineupsSearch[],MATCH(LineupsData[[#This Row],[Home?]]&amp;LineupsData[[#Headers],[P_Box]],LineupsSearch[Home?]&amp;LineupsSearch[Item],1),3)&amp;LineupsData[[#This Row],[RefRow]]), INDIRECT($AA$24&amp;INDEX(LineupsSearch[],MATCH(LineupsData[[#This Row],[Home?]]&amp;LineupsData[[#Headers],[P_Box]],LineupsSearch[Home?]&amp;LineupsSearch[Item],1),4)&amp;LineupsData[[#This Row],[RefRow]]), INDIRECT($AA$24&amp;INDEX(LineupsSearch[],MATCH(LineupsData[[#This Row],[Home?]]&amp;LineupsData[[#Headers],[P_Box]],LineupsSearch[Home?]&amp;LineupsSearch[Item],1),5)&amp;LineupsData[[#This Row],[RefRow]]))</f>
        <v/>
      </c>
      <c r="K153" s="1219">
        <f ca="1">IFERROR(LEN(IF(OR(LEFT(LineupsData[[#This Row],[P_Box]],1)="$",LEFT(LineupsData[[#This Row],[P_Box]],1)="S"),RIGHT(LineupsData[[#This Row],[P_Box]],LEN(LineupsData[[#This Row],[P_Box]])-1),LineupsData[[#This Row],[P_Box]])),"")</f>
        <v>0</v>
      </c>
      <c r="L153" s="1219">
        <f t="array" aca="1" ref="L153" ca="1">INDIRECT($AA$24&amp;INDEX(LineupsSearch[],MATCH(LineupsData[[#This Row],[Home?]]&amp;LineupsData[[#Headers],[B1]],LineupsSearch[Home?]&amp;LineupsSearch[Item],1),3)&amp;LineupsData[[#This Row],[RefRow]])</f>
        <v>0</v>
      </c>
      <c r="M153" s="1219" t="str">
        <f t="array" aca="1" ref="M153" ca="1">CONCATENATE(INDIRECT($AA$24&amp;INDEX(LineupsSearch[],MATCH(LineupsData[[#This Row],[Home?]]&amp;LineupsData[[#Headers],[B1_Box]],LineupsSearch[Home?]&amp;LineupsSearch[Item],1),3)&amp;LineupsData[[#This Row],[RefRow]]), INDIRECT($AA$24&amp;INDEX(LineupsSearch[],MATCH(LineupsData[[#This Row],[Home?]]&amp;LineupsData[[#Headers],[B1_Box]],LineupsSearch[Home?]&amp;LineupsSearch[Item],1),4)&amp;LineupsData[[#This Row],[RefRow]]), INDIRECT($AA$24&amp;INDEX(LineupsSearch[],MATCH(LineupsData[[#This Row],[Home?]]&amp;LineupsData[[#Headers],[B1_Box]],LineupsSearch[Home?]&amp;LineupsSearch[Item],1),5)&amp;LineupsData[[#This Row],[RefRow]]))</f>
        <v/>
      </c>
      <c r="N153" s="1219">
        <f ca="1">IFERROR(LEN(IF(OR(LEFT(LineupsData[[#This Row],[B1_Box]],1)="$",LEFT(LineupsData[[#This Row],[B1_Box]],1)="S"),RIGHT(LineupsData[[#This Row],[B1_Box]],LEN(LineupsData[[#This Row],[B1_Box]])-1),LineupsData[[#This Row],[B1_Box]])),"")</f>
        <v>0</v>
      </c>
      <c r="O153" s="1219">
        <f t="array" aca="1" ref="O153" ca="1">INDIRECT($AA$24&amp;INDEX(LineupsSearch[],MATCH(LineupsData[[#This Row],[Home?]]&amp;LineupsData[[#Headers],[B2]],LineupsSearch[Home?]&amp;LineupsSearch[Item],1),3)&amp;LineupsData[[#This Row],[RefRow]])</f>
        <v>0</v>
      </c>
      <c r="P153" s="1219" t="str">
        <f t="array" aca="1" ref="P153" ca="1">CONCATENATE(INDIRECT($AA$24&amp;INDEX(LineupsSearch[],MATCH(LineupsData[[#This Row],[Home?]]&amp;LineupsData[[#Headers],[B2_Box]],LineupsSearch[Home?]&amp;LineupsSearch[Item],1),3)&amp;LineupsData[[#This Row],[RefRow]]), INDIRECT($AA$24&amp;INDEX(LineupsSearch[],MATCH(LineupsData[[#This Row],[Home?]]&amp;LineupsData[[#Headers],[B2_Box]],LineupsSearch[Home?]&amp;LineupsSearch[Item],1),4)&amp;LineupsData[[#This Row],[RefRow]]), INDIRECT($AA$24&amp;INDEX(LineupsSearch[],MATCH(LineupsData[[#This Row],[Home?]]&amp;LineupsData[[#Headers],[B2_Box]],LineupsSearch[Home?]&amp;LineupsSearch[Item],1),5)&amp;LineupsData[[#This Row],[RefRow]]))</f>
        <v/>
      </c>
      <c r="Q153" s="1219">
        <f ca="1">IFERROR(LEN(IF(OR(LEFT(LineupsData[[#This Row],[B2_Box]],1)="$",LEFT(LineupsData[[#This Row],[B2_Box]],1)="S"),RIGHT(LineupsData[[#This Row],[B2_Box]],LEN(LineupsData[[#This Row],[B2_Box]])-1),LineupsData[[#This Row],[B2_Box]])),"")</f>
        <v>0</v>
      </c>
      <c r="R153" s="1219">
        <f t="array" aca="1" ref="R153" ca="1">INDIRECT($AA$24&amp;INDEX(LineupsSearch[],MATCH(LineupsData[[#This Row],[Home?]]&amp;LineupsData[[#Headers],[B3]],LineupsSearch[Home?]&amp;LineupsSearch[Item],1),3)&amp;LineupsData[[#This Row],[RefRow]])</f>
        <v>0</v>
      </c>
      <c r="S153" s="1219" t="str">
        <f t="array" aca="1" ref="S153" ca="1">CONCATENATE(INDIRECT($AA$24&amp;INDEX(LineupsSearch[],MATCH(LineupsData[[#This Row],[Home?]]&amp;LineupsData[[#Headers],[B3_Box]],LineupsSearch[Home?]&amp;LineupsSearch[Item],1),3)&amp;LineupsData[[#This Row],[RefRow]]), INDIRECT($AA$24&amp;INDEX(LineupsSearch[],MATCH(LineupsData[[#This Row],[Home?]]&amp;LineupsData[[#Headers],[B3_Box]],LineupsSearch[Home?]&amp;LineupsSearch[Item],1),4)&amp;LineupsData[[#This Row],[RefRow]]), INDIRECT($AA$24&amp;INDEX(LineupsSearch[],MATCH(LineupsData[[#This Row],[Home?]]&amp;LineupsData[[#Headers],[B3_Box]],LineupsSearch[Home?]&amp;LineupsSearch[Item],1),5)&amp;LineupsData[[#This Row],[RefRow]]))</f>
        <v/>
      </c>
      <c r="T153" s="1219">
        <f ca="1">IFERROR(LEN(IF(OR(LEFT(LineupsData[[#This Row],[B3_Box]],1)="$",LEFT(LineupsData[[#This Row],[B3_Box]],1)="S"),RIGHT(LineupsData[[#This Row],[B3_Box]],LEN(LineupsData[[#This Row],[B3_Box]])-1),LineupsData[[#This Row],[B3_Box]])),"")</f>
        <v>0</v>
      </c>
      <c r="U153" s="1219" t="b">
        <f t="array" aca="1" ref="U153" ca="1">IF(OR(INDIRECT($AA$24&amp;INDEX(LineupsSearch[],MATCH(LineupsData[[#This Row],[Home?]]&amp;"Jam",LineupsSearch[Home?]&amp;LineupsSearch[Item],1),3)&amp;LineupsData[[#This Row],[RefRow]])="SP",INDIRECT($AA$24&amp;INDEX(LineupsSearch[],MATCH(LineupsData[[#This Row],[Home?]]&amp;"Jam",LineupsSearch[Home?]&amp;LineupsSearch[Item],1),3)&amp;LineupsData[[#This Row],[RefRow]])="SP*"),TRUE,FALSE)</f>
        <v>0</v>
      </c>
      <c r="V153" s="1219" t="b">
        <v>0</v>
      </c>
      <c r="W153" s="1219">
        <v>83</v>
      </c>
    </row>
  </sheetData>
  <pageMargins left="0.7" right="0.7" top="0.75" bottom="0.75" header="0.3" footer="0.3"/>
  <pageSetup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O2075"/>
  <sheetViews>
    <sheetView zoomScale="85" zoomScaleNormal="85" workbookViewId="0">
      <selection activeCell="G12" sqref="G12"/>
    </sheetView>
  </sheetViews>
  <sheetFormatPr defaultColWidth="9.109375" defaultRowHeight="13.2" x14ac:dyDescent="0.25"/>
  <cols>
    <col min="1" max="1" width="16.5546875" style="1209" bestFit="1" customWidth="1"/>
    <col min="2" max="2" width="16.6640625" style="1209" bestFit="1" customWidth="1"/>
    <col min="3" max="3" width="9.109375" style="1209"/>
    <col min="4" max="5" width="20.109375" style="1209" bestFit="1" customWidth="1"/>
    <col min="6" max="6" width="15.6640625" style="1209" bestFit="1" customWidth="1"/>
    <col min="7" max="7" width="11.88671875" style="1209" customWidth="1"/>
    <col min="8" max="8" width="15.44140625" style="1209" bestFit="1" customWidth="1"/>
    <col min="9" max="9" width="12.5546875" style="1209" bestFit="1" customWidth="1"/>
    <col min="10" max="10" width="17.6640625" style="1209" bestFit="1" customWidth="1"/>
    <col min="11" max="13" width="9.109375" style="1209"/>
    <col min="14" max="14" width="23.5546875" style="1209" bestFit="1" customWidth="1"/>
    <col min="15" max="15" width="23.88671875" style="1209" customWidth="1"/>
    <col min="16" max="16" width="14.109375" style="1209" bestFit="1" customWidth="1"/>
    <col min="17" max="16384" width="9.109375" style="1209"/>
  </cols>
  <sheetData>
    <row r="1" spans="1:15" x14ac:dyDescent="0.25">
      <c r="A1" s="1229" t="s">
        <v>671</v>
      </c>
      <c r="B1" s="1229" t="s">
        <v>672</v>
      </c>
      <c r="C1" s="1229" t="s">
        <v>219</v>
      </c>
      <c r="D1" s="1229" t="s">
        <v>68</v>
      </c>
      <c r="E1" s="1229" t="s">
        <v>370</v>
      </c>
      <c r="F1" s="1229" t="s">
        <v>749</v>
      </c>
      <c r="G1" s="1229" t="s">
        <v>750</v>
      </c>
      <c r="H1" s="1229" t="s">
        <v>679</v>
      </c>
      <c r="I1" s="1229" t="s">
        <v>751</v>
      </c>
      <c r="J1" s="1229" t="s">
        <v>752</v>
      </c>
      <c r="K1" s="1229" t="s">
        <v>753</v>
      </c>
      <c r="L1" s="1229"/>
      <c r="M1" s="1206" t="s">
        <v>668</v>
      </c>
      <c r="N1" s="1207">
        <f>Export_IGRF!I1</f>
        <v>42105</v>
      </c>
      <c r="O1" s="1208">
        <f>Export_IGRF!J1</f>
        <v>0.83333333333333337</v>
      </c>
    </row>
    <row r="2" spans="1:15" x14ac:dyDescent="0.25">
      <c r="A2" s="1230">
        <f t="shared" ref="A2:A69" si="0">$N$1</f>
        <v>42105</v>
      </c>
      <c r="B2" s="1231">
        <f t="shared" ref="B2:B69" si="1">$O$1</f>
        <v>0.83333333333333337</v>
      </c>
      <c r="C2" s="1220">
        <v>1</v>
      </c>
      <c r="D2" s="1220" t="str">
        <f>$O$2</f>
        <v>Plan B</v>
      </c>
      <c r="E2" s="1220">
        <f ca="1">VALUE(INDIRECT("Penalties!"&amp;PenaltyData[[#This Row],[REF]]&amp;(PenaltyData[[#This Row],[ROW]]+1)))</f>
        <v>15</v>
      </c>
      <c r="F2" s="1220" t="str">
        <f ca="1">IF(INDIRECT("Penalties!"&amp;$N$28&amp;PenaltyData[[#This Row],[ROW]],TRUE)=0, "",INDIRECT("Penalties!"&amp;$N$28&amp;PenaltyData[[#This Row],[ROW]],TRUE))</f>
        <v>0</v>
      </c>
      <c r="G2" s="1232">
        <f ca="1">COUNTIFS($H$1:H2,"&lt;&gt;0", $F$1:F2,PenaltyData[[#This Row],[PlayerIdx]],$D$1:D2,PenaltyData[[#This Row],[Team]])</f>
        <v>1</v>
      </c>
      <c r="H2" s="1220" t="str">
        <f ca="1">INDIRECT("Penalties!"&amp;PenaltyData[[#This Row],[REF]]&amp;PenaltyData[[#This Row],[ROW]])</f>
        <v>P</v>
      </c>
      <c r="I2" s="1220" t="str">
        <f ca="1">IFERROR(VLOOKUP(PenaltyData[[#This Row],[Penalty]],PenaltyNames91419[],2,FALSE),"")</f>
        <v>Out of Play</v>
      </c>
      <c r="J2" s="1220" t="s">
        <v>136</v>
      </c>
      <c r="K2" s="1220">
        <v>4</v>
      </c>
      <c r="L2" s="1220"/>
      <c r="M2" s="1206" t="s">
        <v>669</v>
      </c>
      <c r="N2" s="1206" t="str">
        <f>Export_IGRF!I2</f>
        <v>Tri-City Roller Derby</v>
      </c>
      <c r="O2" s="1206" t="str">
        <f>Export_IGRF!J2</f>
        <v>Plan B</v>
      </c>
    </row>
    <row r="3" spans="1:15" x14ac:dyDescent="0.25">
      <c r="A3" s="1230">
        <f t="shared" si="0"/>
        <v>42105</v>
      </c>
      <c r="B3" s="1231">
        <f t="shared" si="1"/>
        <v>0.83333333333333337</v>
      </c>
      <c r="C3" s="1220">
        <v>1</v>
      </c>
      <c r="D3" s="1220" t="str">
        <f t="shared" ref="D3:D66" si="2">$O$2</f>
        <v>Plan B</v>
      </c>
      <c r="E3" s="1220">
        <f ca="1">VALUE(INDIRECT("Penalties!"&amp;PenaltyData[[#This Row],[REF]]&amp;(PenaltyData[[#This Row],[ROW]]+1)))</f>
        <v>0</v>
      </c>
      <c r="F3" s="1220" t="str">
        <f ca="1">IF(INDIRECT("Penalties!"&amp;$N$28&amp;PenaltyData[[#This Row],[ROW]],TRUE)=0, "",INDIRECT("Penalties!"&amp;$N$28&amp;PenaltyData[[#This Row],[ROW]],TRUE))</f>
        <v>0</v>
      </c>
      <c r="G3" s="1220">
        <f ca="1">COUNTIFS($H$1:H3,"&lt;&gt;0", $F$1:F3,PenaltyData[[#This Row],[PlayerIdx]],$D$1:D3,PenaltyData[[#This Row],[Team]])</f>
        <v>1</v>
      </c>
      <c r="H3" s="1220">
        <f ca="1">INDIRECT("Penalties!"&amp;PenaltyData[[#This Row],[REF]]&amp;PenaltyData[[#This Row],[ROW]])</f>
        <v>0</v>
      </c>
      <c r="I3" s="1220" t="str">
        <f ca="1">IFERROR(VLOOKUP(PenaltyData[[#This Row],[Penalty]],PenaltyNames91419[],2,FALSE),"")</f>
        <v/>
      </c>
      <c r="J3" s="1220" t="s">
        <v>142</v>
      </c>
      <c r="K3" s="1220">
        <v>4</v>
      </c>
      <c r="L3" s="1220"/>
      <c r="M3" s="1206" t="s">
        <v>670</v>
      </c>
      <c r="N3" s="1206" t="str">
        <f>Export_IGRF!I3</f>
        <v>Hammer City Roller Girls</v>
      </c>
      <c r="O3" s="1206" t="str">
        <f>Export_IGRF!J3</f>
        <v>Harlots</v>
      </c>
    </row>
    <row r="4" spans="1:15" x14ac:dyDescent="0.25">
      <c r="A4" s="1230">
        <f t="shared" si="0"/>
        <v>42105</v>
      </c>
      <c r="B4" s="1231">
        <f t="shared" si="1"/>
        <v>0.83333333333333337</v>
      </c>
      <c r="C4" s="1220">
        <v>1</v>
      </c>
      <c r="D4" s="1220" t="str">
        <f t="shared" si="2"/>
        <v>Plan B</v>
      </c>
      <c r="E4" s="1220">
        <f ca="1">VALUE(INDIRECT("Penalties!"&amp;PenaltyData[[#This Row],[REF]]&amp;(PenaltyData[[#This Row],[ROW]]+1)))</f>
        <v>0</v>
      </c>
      <c r="F4" s="1220" t="str">
        <f ca="1">IF(INDIRECT("Penalties!"&amp;$N$28&amp;PenaltyData[[#This Row],[ROW]],TRUE)=0, "",INDIRECT("Penalties!"&amp;$N$28&amp;PenaltyData[[#This Row],[ROW]],TRUE))</f>
        <v>0</v>
      </c>
      <c r="G4" s="1220">
        <f ca="1">COUNTIFS($H$1:H4,"&lt;&gt;0", $F$1:F4,PenaltyData[[#This Row],[PlayerIdx]],$D$1:D4,PenaltyData[[#This Row],[Team]])</f>
        <v>1</v>
      </c>
      <c r="H4" s="1220">
        <f ca="1">INDIRECT("Penalties!"&amp;PenaltyData[[#This Row],[REF]]&amp;PenaltyData[[#This Row],[ROW]])</f>
        <v>0</v>
      </c>
      <c r="I4" s="1220" t="str">
        <f ca="1">IFERROR(VLOOKUP(PenaltyData[[#This Row],[Penalty]],PenaltyNames91419[],2,FALSE),"")</f>
        <v/>
      </c>
      <c r="J4" s="1220" t="s">
        <v>754</v>
      </c>
      <c r="K4" s="1220">
        <v>4</v>
      </c>
      <c r="L4" s="1220"/>
    </row>
    <row r="5" spans="1:15" x14ac:dyDescent="0.25">
      <c r="A5" s="1230">
        <f t="shared" si="0"/>
        <v>42105</v>
      </c>
      <c r="B5" s="1231">
        <f t="shared" si="1"/>
        <v>0.83333333333333337</v>
      </c>
      <c r="C5" s="1220">
        <v>1</v>
      </c>
      <c r="D5" s="1220" t="str">
        <f t="shared" si="2"/>
        <v>Plan B</v>
      </c>
      <c r="E5" s="1220">
        <f ca="1">VALUE(INDIRECT("Penalties!"&amp;PenaltyData[[#This Row],[REF]]&amp;(PenaltyData[[#This Row],[ROW]]+1)))</f>
        <v>0</v>
      </c>
      <c r="F5" s="1220" t="str">
        <f ca="1">IF(INDIRECT("Penalties!"&amp;$N$28&amp;PenaltyData[[#This Row],[ROW]],TRUE)=0, "",INDIRECT("Penalties!"&amp;$N$28&amp;PenaltyData[[#This Row],[ROW]],TRUE))</f>
        <v>0</v>
      </c>
      <c r="G5" s="1220">
        <f ca="1">COUNTIFS($H$1:H5,"&lt;&gt;0", $F$1:F5,PenaltyData[[#This Row],[PlayerIdx]],$D$1:D5,PenaltyData[[#This Row],[Team]])</f>
        <v>1</v>
      </c>
      <c r="H5" s="1220">
        <f ca="1">INDIRECT("Penalties!"&amp;PenaltyData[[#This Row],[REF]]&amp;PenaltyData[[#This Row],[ROW]])</f>
        <v>0</v>
      </c>
      <c r="I5" s="1220" t="str">
        <f ca="1">IFERROR(VLOOKUP(PenaltyData[[#This Row],[Penalty]],PenaltyNames91419[],2,FALSE),"")</f>
        <v/>
      </c>
      <c r="J5" s="1220" t="s">
        <v>144</v>
      </c>
      <c r="K5" s="1220">
        <v>4</v>
      </c>
      <c r="L5" s="1220"/>
    </row>
    <row r="6" spans="1:15" x14ac:dyDescent="0.25">
      <c r="A6" s="1230">
        <f t="shared" si="0"/>
        <v>42105</v>
      </c>
      <c r="B6" s="1231">
        <f t="shared" si="1"/>
        <v>0.83333333333333337</v>
      </c>
      <c r="C6" s="1220">
        <v>1</v>
      </c>
      <c r="D6" s="1220" t="str">
        <f t="shared" si="2"/>
        <v>Plan B</v>
      </c>
      <c r="E6" s="1220">
        <f ca="1">VALUE(INDIRECT("Penalties!"&amp;PenaltyData[[#This Row],[REF]]&amp;(PenaltyData[[#This Row],[ROW]]+1)))</f>
        <v>0</v>
      </c>
      <c r="F6" s="1220" t="str">
        <f ca="1">IF(INDIRECT("Penalties!"&amp;$N$28&amp;PenaltyData[[#This Row],[ROW]],TRUE)=0, "",INDIRECT("Penalties!"&amp;$N$28&amp;PenaltyData[[#This Row],[ROW]],TRUE))</f>
        <v>0</v>
      </c>
      <c r="G6" s="1220">
        <f ca="1">COUNTIFS($H$1:H6,"&lt;&gt;0", $F$1:F6,PenaltyData[[#This Row],[PlayerIdx]],$D$1:D6,PenaltyData[[#This Row],[Team]])</f>
        <v>1</v>
      </c>
      <c r="H6" s="1220">
        <f ca="1">INDIRECT("Penalties!"&amp;PenaltyData[[#This Row],[REF]]&amp;PenaltyData[[#This Row],[ROW]])</f>
        <v>0</v>
      </c>
      <c r="I6" s="1220" t="str">
        <f ca="1">IFERROR(VLOOKUP(PenaltyData[[#This Row],[Penalty]],PenaltyNames91419[],2,FALSE),"")</f>
        <v/>
      </c>
      <c r="J6" s="1220" t="s">
        <v>146</v>
      </c>
      <c r="K6" s="1220">
        <v>4</v>
      </c>
      <c r="L6" s="1220"/>
    </row>
    <row r="7" spans="1:15" x14ac:dyDescent="0.25">
      <c r="A7" s="1230">
        <f t="shared" si="0"/>
        <v>42105</v>
      </c>
      <c r="B7" s="1231">
        <f t="shared" si="1"/>
        <v>0.83333333333333337</v>
      </c>
      <c r="C7" s="1220">
        <v>1</v>
      </c>
      <c r="D7" s="1220" t="str">
        <f t="shared" si="2"/>
        <v>Plan B</v>
      </c>
      <c r="E7" s="1220">
        <f ca="1">VALUE(INDIRECT("Penalties!"&amp;PenaltyData[[#This Row],[REF]]&amp;(PenaltyData[[#This Row],[ROW]]+1)))</f>
        <v>0</v>
      </c>
      <c r="F7" s="1220" t="str">
        <f ca="1">IF(INDIRECT("Penalties!"&amp;$N$28&amp;PenaltyData[[#This Row],[ROW]],TRUE)=0, "",INDIRECT("Penalties!"&amp;$N$28&amp;PenaltyData[[#This Row],[ROW]],TRUE))</f>
        <v>0</v>
      </c>
      <c r="G7" s="1220">
        <f ca="1">COUNTIFS($H$1:H7,"&lt;&gt;0", $F$1:F7,PenaltyData[[#This Row],[PlayerIdx]],$D$1:D7,PenaltyData[[#This Row],[Team]])</f>
        <v>1</v>
      </c>
      <c r="H7" s="1220">
        <f ca="1">INDIRECT("Penalties!"&amp;PenaltyData[[#This Row],[REF]]&amp;PenaltyData[[#This Row],[ROW]])</f>
        <v>0</v>
      </c>
      <c r="I7" s="1220" t="str">
        <f ca="1">IFERROR(VLOOKUP(PenaltyData[[#This Row],[Penalty]],PenaltyNames91419[],2,FALSE),"")</f>
        <v/>
      </c>
      <c r="J7" s="1220" t="s">
        <v>164</v>
      </c>
      <c r="K7" s="1220">
        <v>4</v>
      </c>
      <c r="L7" s="1220"/>
    </row>
    <row r="8" spans="1:15" x14ac:dyDescent="0.25">
      <c r="A8" s="1230">
        <f t="shared" si="0"/>
        <v>42105</v>
      </c>
      <c r="B8" s="1231">
        <f t="shared" si="1"/>
        <v>0.83333333333333337</v>
      </c>
      <c r="C8" s="1220">
        <v>1</v>
      </c>
      <c r="D8" s="1220" t="str">
        <f t="shared" si="2"/>
        <v>Plan B</v>
      </c>
      <c r="E8" s="1220">
        <f ca="1">VALUE(INDIRECT("Penalties!"&amp;PenaltyData[[#This Row],[REF]]&amp;(PenaltyData[[#This Row],[ROW]]+1)))</f>
        <v>0</v>
      </c>
      <c r="F8" s="1220" t="str">
        <f ca="1">IF(INDIRECT("Penalties!"&amp;$N$28&amp;PenaltyData[[#This Row],[ROW]],TRUE)=0, "",INDIRECT("Penalties!"&amp;$N$28&amp;PenaltyData[[#This Row],[ROW]],TRUE))</f>
        <v>0</v>
      </c>
      <c r="G8" s="1220">
        <f ca="1">COUNTIFS($H$1:H8,"&lt;&gt;0", $F$1:F8,PenaltyData[[#This Row],[PlayerIdx]],$D$1:D8,PenaltyData[[#This Row],[Team]])</f>
        <v>1</v>
      </c>
      <c r="H8" s="1220">
        <f ca="1">INDIRECT("Penalties!"&amp;PenaltyData[[#This Row],[REF]]&amp;PenaltyData[[#This Row],[ROW]])</f>
        <v>0</v>
      </c>
      <c r="I8" s="1220" t="str">
        <f ca="1">IFERROR(VLOOKUP(PenaltyData[[#This Row],[Penalty]],PenaltyNames91419[],2,FALSE),"")</f>
        <v/>
      </c>
      <c r="J8" s="1220" t="s">
        <v>138</v>
      </c>
      <c r="K8" s="1220">
        <v>4</v>
      </c>
      <c r="L8" s="1220"/>
      <c r="M8" s="1203" t="s">
        <v>755</v>
      </c>
      <c r="N8" s="1203" t="s">
        <v>756</v>
      </c>
    </row>
    <row r="9" spans="1:15" x14ac:dyDescent="0.25">
      <c r="A9" s="1230">
        <f>$N$1</f>
        <v>42105</v>
      </c>
      <c r="B9" s="1231">
        <f>$O$1</f>
        <v>0.83333333333333337</v>
      </c>
      <c r="C9" s="1220">
        <v>1</v>
      </c>
      <c r="D9" s="1220" t="str">
        <f t="shared" si="2"/>
        <v>Plan B</v>
      </c>
      <c r="E9" s="1233">
        <f ca="1">VALUE(INDIRECT("Penalties!"&amp;PenaltyData[[#This Row],[REF]]&amp;(PenaltyData[[#This Row],[ROW]]+1)))</f>
        <v>0</v>
      </c>
      <c r="F9" s="1233" t="str">
        <f ca="1">IF(INDIRECT("Penalties!"&amp;$N$28&amp;PenaltyData[[#This Row],[ROW]],TRUE)=0, "",INDIRECT("Penalties!"&amp;$N$28&amp;PenaltyData[[#This Row],[ROW]],TRUE))</f>
        <v>0</v>
      </c>
      <c r="G9" s="1233">
        <f ca="1">COUNTIFS($H$1:H9,"&lt;&gt;0", $F$1:F9,PenaltyData[[#This Row],[PlayerIdx]],$D$1:D9,PenaltyData[[#This Row],[Team]])</f>
        <v>1</v>
      </c>
      <c r="H9" s="1233">
        <f ca="1">INDIRECT("Penalties!"&amp;PenaltyData[[#This Row],[REF]]&amp;PenaltyData[[#This Row],[ROW]])</f>
        <v>0</v>
      </c>
      <c r="I9" s="1233" t="str">
        <f ca="1">IFERROR(VLOOKUP(PenaltyData[[#This Row],[Penalty]],PenaltyNames91419[],2,FALSE),"")</f>
        <v/>
      </c>
      <c r="J9" s="1220" t="s">
        <v>150</v>
      </c>
      <c r="K9" s="1220">
        <v>4</v>
      </c>
      <c r="L9" s="1220"/>
      <c r="M9" s="1203" t="s">
        <v>136</v>
      </c>
      <c r="N9" s="1209" t="s">
        <v>137</v>
      </c>
    </row>
    <row r="10" spans="1:15" x14ac:dyDescent="0.25">
      <c r="A10" s="1230">
        <f>$N$1</f>
        <v>42105</v>
      </c>
      <c r="B10" s="1231">
        <f>$O$1</f>
        <v>0.83333333333333337</v>
      </c>
      <c r="C10" s="1220">
        <v>1</v>
      </c>
      <c r="D10" s="1220" t="str">
        <f t="shared" si="2"/>
        <v>Plan B</v>
      </c>
      <c r="E10" s="1233">
        <f ca="1">VALUE(INDIRECT("Penalties!"&amp;PenaltyData[[#This Row],[REF]]&amp;(PenaltyData[[#This Row],[ROW]]+1)))</f>
        <v>0</v>
      </c>
      <c r="F10" s="1233" t="str">
        <f ca="1">IF(INDIRECT("Penalties!"&amp;$N$28&amp;PenaltyData[[#This Row],[ROW]],TRUE)=0, "",INDIRECT("Penalties!"&amp;$N$28&amp;PenaltyData[[#This Row],[ROW]],TRUE))</f>
        <v>0</v>
      </c>
      <c r="G10" s="1233">
        <f ca="1">COUNTIFS($H$1:H10,"&lt;&gt;0", $F$1:F10,PenaltyData[[#This Row],[PlayerIdx]],$D$1:D10,PenaltyData[[#This Row],[Team]])</f>
        <v>1</v>
      </c>
      <c r="H10" s="1233">
        <f ca="1">INDIRECT("Penalties!"&amp;PenaltyData[[#This Row],[REF]]&amp;PenaltyData[[#This Row],[ROW]])</f>
        <v>0</v>
      </c>
      <c r="I10" s="1233" t="str">
        <f ca="1">IFERROR(VLOOKUP(PenaltyData[[#This Row],[Penalty]],PenaltyNames91419[],2,FALSE),"")</f>
        <v/>
      </c>
      <c r="J10" s="1220" t="s">
        <v>757</v>
      </c>
      <c r="K10" s="1220">
        <v>4</v>
      </c>
      <c r="L10" s="1220"/>
      <c r="M10" s="1203" t="s">
        <v>138</v>
      </c>
      <c r="N10" s="1209" t="s">
        <v>139</v>
      </c>
    </row>
    <row r="11" spans="1:15" x14ac:dyDescent="0.25">
      <c r="A11" s="1230">
        <f t="shared" si="0"/>
        <v>42105</v>
      </c>
      <c r="B11" s="1231">
        <f t="shared" si="1"/>
        <v>0.83333333333333337</v>
      </c>
      <c r="C11" s="1220">
        <v>2</v>
      </c>
      <c r="D11" s="1220" t="str">
        <f t="shared" si="2"/>
        <v>Plan B</v>
      </c>
      <c r="E11" s="1220">
        <f ca="1">VALUE(INDIRECT("Penalties!"&amp;PenaltyData[[#This Row],[REF]]&amp;(PenaltyData[[#This Row],[ROW]]+1)))</f>
        <v>0</v>
      </c>
      <c r="F11" s="1220" t="str">
        <f ca="1">IF(INDIRECT("Penalties!"&amp;$N$28&amp;PenaltyData[[#This Row],[ROW]],TRUE)=0, "",INDIRECT("Penalties!"&amp;$N$28&amp;PenaltyData[[#This Row],[ROW]],TRUE))</f>
        <v>0</v>
      </c>
      <c r="G11" s="1220">
        <f ca="1">COUNTIFS($H$1:H11,"&lt;&gt;0", $F$1:F11,PenaltyData[[#This Row],[PlayerIdx]],$D$1:D11,PenaltyData[[#This Row],[Team]])</f>
        <v>1</v>
      </c>
      <c r="H11" s="1220">
        <f ca="1">INDIRECT("Penalties!"&amp;PenaltyData[[#This Row],[REF]]&amp;PenaltyData[[#This Row],[ROW]])</f>
        <v>0</v>
      </c>
      <c r="I11" s="1220" t="str">
        <f ca="1">IFERROR(VLOOKUP(PenaltyData[[#This Row],[Penalty]],PenaltyNames91419[],2,FALSE),"")</f>
        <v/>
      </c>
      <c r="J11" s="1220" t="s">
        <v>758</v>
      </c>
      <c r="K11" s="1220">
        <v>4</v>
      </c>
      <c r="L11" s="1220"/>
      <c r="M11" s="1203" t="s">
        <v>140</v>
      </c>
      <c r="N11" s="1209" t="s">
        <v>141</v>
      </c>
    </row>
    <row r="12" spans="1:15" x14ac:dyDescent="0.25">
      <c r="A12" s="1230">
        <f t="shared" si="0"/>
        <v>42105</v>
      </c>
      <c r="B12" s="1231">
        <f t="shared" si="1"/>
        <v>0.83333333333333337</v>
      </c>
      <c r="C12" s="1220">
        <v>2</v>
      </c>
      <c r="D12" s="1220" t="str">
        <f t="shared" si="2"/>
        <v>Plan B</v>
      </c>
      <c r="E12" s="1220">
        <f ca="1">VALUE(INDIRECT("Penalties!"&amp;PenaltyData[[#This Row],[REF]]&amp;(PenaltyData[[#This Row],[ROW]]+1)))</f>
        <v>13</v>
      </c>
      <c r="F12" s="1220" t="str">
        <f ca="1">IF(INDIRECT("Penalties!"&amp;$N$28&amp;PenaltyData[[#This Row],[ROW]],TRUE)=0, "",INDIRECT("Penalties!"&amp;$N$28&amp;PenaltyData[[#This Row],[ROW]],TRUE))</f>
        <v>0</v>
      </c>
      <c r="G12" s="1220">
        <f ca="1">COUNTIFS($H$1:H12,"&lt;&gt;0", $F$1:F12,PenaltyData[[#This Row],[PlayerIdx]],$D$1:D12,PenaltyData[[#This Row],[Team]])</f>
        <v>2</v>
      </c>
      <c r="H12" s="1220" t="str">
        <f ca="1">INDIRECT("Penalties!"&amp;PenaltyData[[#This Row],[REF]]&amp;PenaltyData[[#This Row],[ROW]])</f>
        <v>F</v>
      </c>
      <c r="I12" s="1220" t="str">
        <f ca="1">IFERROR(VLOOKUP(PenaltyData[[#This Row],[Penalty]],PenaltyNames91419[],2,FALSE),"")</f>
        <v>Forearms</v>
      </c>
      <c r="J12" s="1220" t="s">
        <v>759</v>
      </c>
      <c r="K12" s="1220">
        <v>4</v>
      </c>
      <c r="L12" s="1220"/>
      <c r="M12" s="1203" t="s">
        <v>142</v>
      </c>
      <c r="N12" s="1209" t="s">
        <v>143</v>
      </c>
    </row>
    <row r="13" spans="1:15" x14ac:dyDescent="0.25">
      <c r="A13" s="1230">
        <f t="shared" si="0"/>
        <v>42105</v>
      </c>
      <c r="B13" s="1231">
        <f t="shared" si="1"/>
        <v>0.83333333333333337</v>
      </c>
      <c r="C13" s="1220">
        <v>2</v>
      </c>
      <c r="D13" s="1220" t="str">
        <f t="shared" si="2"/>
        <v>Plan B</v>
      </c>
      <c r="E13" s="1220">
        <f ca="1">VALUE(INDIRECT("Penalties!"&amp;PenaltyData[[#This Row],[REF]]&amp;(PenaltyData[[#This Row],[ROW]]+1)))</f>
        <v>0</v>
      </c>
      <c r="F13" s="1220" t="str">
        <f ca="1">IF(INDIRECT("Penalties!"&amp;$N$28&amp;PenaltyData[[#This Row],[ROW]],TRUE)=0, "",INDIRECT("Penalties!"&amp;$N$28&amp;PenaltyData[[#This Row],[ROW]],TRUE))</f>
        <v>0</v>
      </c>
      <c r="G13" s="1220">
        <f ca="1">COUNTIFS($H$1:H13,"&lt;&gt;0", $F$1:F13,PenaltyData[[#This Row],[PlayerIdx]],$D$1:D13,PenaltyData[[#This Row],[Team]])</f>
        <v>2</v>
      </c>
      <c r="H13" s="1220">
        <f ca="1">INDIRECT("Penalties!"&amp;PenaltyData[[#This Row],[REF]]&amp;PenaltyData[[#This Row],[ROW]])</f>
        <v>0</v>
      </c>
      <c r="I13" s="1220" t="str">
        <f ca="1">IFERROR(VLOOKUP(PenaltyData[[#This Row],[Penalty]],PenaltyNames91419[],2,FALSE),"")</f>
        <v/>
      </c>
      <c r="J13" s="1220" t="s">
        <v>760</v>
      </c>
      <c r="K13" s="1220">
        <v>4</v>
      </c>
      <c r="L13" s="1220"/>
      <c r="M13" s="1203" t="s">
        <v>144</v>
      </c>
      <c r="N13" s="1209" t="s">
        <v>145</v>
      </c>
    </row>
    <row r="14" spans="1:15" x14ac:dyDescent="0.25">
      <c r="A14" s="1230">
        <f t="shared" si="0"/>
        <v>42105</v>
      </c>
      <c r="B14" s="1231">
        <f t="shared" si="1"/>
        <v>0.83333333333333337</v>
      </c>
      <c r="C14" s="1220">
        <v>2</v>
      </c>
      <c r="D14" s="1220" t="str">
        <f t="shared" si="2"/>
        <v>Plan B</v>
      </c>
      <c r="E14" s="1220">
        <f ca="1">VALUE(INDIRECT("Penalties!"&amp;PenaltyData[[#This Row],[REF]]&amp;(PenaltyData[[#This Row],[ROW]]+1)))</f>
        <v>0</v>
      </c>
      <c r="F14" s="1220" t="str">
        <f ca="1">IF(INDIRECT("Penalties!"&amp;$N$28&amp;PenaltyData[[#This Row],[ROW]],TRUE)=0, "",INDIRECT("Penalties!"&amp;$N$28&amp;PenaltyData[[#This Row],[ROW]],TRUE))</f>
        <v>0</v>
      </c>
      <c r="G14" s="1220">
        <f ca="1">COUNTIFS($H$1:H14,"&lt;&gt;0", $F$1:F14,PenaltyData[[#This Row],[PlayerIdx]],$D$1:D14,PenaltyData[[#This Row],[Team]])</f>
        <v>2</v>
      </c>
      <c r="H14" s="1220">
        <f ca="1">INDIRECT("Penalties!"&amp;PenaltyData[[#This Row],[REF]]&amp;PenaltyData[[#This Row],[ROW]])</f>
        <v>0</v>
      </c>
      <c r="I14" s="1220" t="str">
        <f ca="1">IFERROR(VLOOKUP(PenaltyData[[#This Row],[Penalty]],PenaltyNames91419[],2,FALSE),"")</f>
        <v/>
      </c>
      <c r="J14" s="1220" t="s">
        <v>761</v>
      </c>
      <c r="K14" s="1220">
        <v>4</v>
      </c>
      <c r="L14" s="1220"/>
      <c r="M14" s="1203" t="s">
        <v>146</v>
      </c>
      <c r="N14" s="1209" t="s">
        <v>147</v>
      </c>
    </row>
    <row r="15" spans="1:15" x14ac:dyDescent="0.25">
      <c r="A15" s="1230">
        <f t="shared" si="0"/>
        <v>42105</v>
      </c>
      <c r="B15" s="1231">
        <f t="shared" si="1"/>
        <v>0.83333333333333337</v>
      </c>
      <c r="C15" s="1220">
        <v>2</v>
      </c>
      <c r="D15" s="1220" t="str">
        <f t="shared" si="2"/>
        <v>Plan B</v>
      </c>
      <c r="E15" s="1220">
        <f ca="1">VALUE(INDIRECT("Penalties!"&amp;PenaltyData[[#This Row],[REF]]&amp;(PenaltyData[[#This Row],[ROW]]+1)))</f>
        <v>0</v>
      </c>
      <c r="F15" s="1220" t="str">
        <f ca="1">IF(INDIRECT("Penalties!"&amp;$N$28&amp;PenaltyData[[#This Row],[ROW]],TRUE)=0, "",INDIRECT("Penalties!"&amp;$N$28&amp;PenaltyData[[#This Row],[ROW]],TRUE))</f>
        <v>0</v>
      </c>
      <c r="G15" s="1220">
        <f ca="1">COUNTIFS($H$1:H15,"&lt;&gt;0", $F$1:F15,PenaltyData[[#This Row],[PlayerIdx]],$D$1:D15,PenaltyData[[#This Row],[Team]])</f>
        <v>2</v>
      </c>
      <c r="H15" s="1220">
        <f ca="1">INDIRECT("Penalties!"&amp;PenaltyData[[#This Row],[REF]]&amp;PenaltyData[[#This Row],[ROW]])</f>
        <v>0</v>
      </c>
      <c r="I15" s="1220" t="str">
        <f ca="1">IFERROR(VLOOKUP(PenaltyData[[#This Row],[Penalty]],PenaltyNames91419[],2,FALSE),"")</f>
        <v/>
      </c>
      <c r="J15" s="1220" t="s">
        <v>762</v>
      </c>
      <c r="K15" s="1220">
        <v>4</v>
      </c>
      <c r="L15" s="1220"/>
      <c r="M15" s="1203" t="s">
        <v>148</v>
      </c>
      <c r="N15" s="1209" t="s">
        <v>149</v>
      </c>
    </row>
    <row r="16" spans="1:15" x14ac:dyDescent="0.25">
      <c r="A16" s="1230">
        <f t="shared" si="0"/>
        <v>42105</v>
      </c>
      <c r="B16" s="1231">
        <f t="shared" si="1"/>
        <v>0.83333333333333337</v>
      </c>
      <c r="C16" s="1220">
        <v>2</v>
      </c>
      <c r="D16" s="1220" t="str">
        <f t="shared" si="2"/>
        <v>Plan B</v>
      </c>
      <c r="E16" s="1220">
        <f ca="1">VALUE(INDIRECT("Penalties!"&amp;PenaltyData[[#This Row],[REF]]&amp;(PenaltyData[[#This Row],[ROW]]+1)))</f>
        <v>0</v>
      </c>
      <c r="F16" s="1220" t="str">
        <f ca="1">IF(INDIRECT("Penalties!"&amp;$N$28&amp;PenaltyData[[#This Row],[ROW]],TRUE)=0, "",INDIRECT("Penalties!"&amp;$N$28&amp;PenaltyData[[#This Row],[ROW]],TRUE))</f>
        <v>0</v>
      </c>
      <c r="G16" s="1220">
        <f ca="1">COUNTIFS($H$1:H16,"&lt;&gt;0", $F$1:F16,PenaltyData[[#This Row],[PlayerIdx]],$D$1:D16,PenaltyData[[#This Row],[Team]])</f>
        <v>2</v>
      </c>
      <c r="H16" s="1220">
        <f ca="1">INDIRECT("Penalties!"&amp;PenaltyData[[#This Row],[REF]]&amp;PenaltyData[[#This Row],[ROW]])</f>
        <v>0</v>
      </c>
      <c r="I16" s="1220" t="str">
        <f ca="1">IFERROR(VLOOKUP(PenaltyData[[#This Row],[Penalty]],PenaltyNames91419[],2,FALSE),"")</f>
        <v/>
      </c>
      <c r="J16" s="1220" t="s">
        <v>763</v>
      </c>
      <c r="K16" s="1220">
        <v>4</v>
      </c>
      <c r="L16" s="1220"/>
      <c r="M16" s="1203" t="s">
        <v>150</v>
      </c>
      <c r="N16" s="1209" t="s">
        <v>764</v>
      </c>
    </row>
    <row r="17" spans="1:14" x14ac:dyDescent="0.25">
      <c r="A17" s="1230">
        <f t="shared" si="0"/>
        <v>42105</v>
      </c>
      <c r="B17" s="1231">
        <f t="shared" si="1"/>
        <v>0.83333333333333337</v>
      </c>
      <c r="C17" s="1220">
        <v>2</v>
      </c>
      <c r="D17" s="1220" t="str">
        <f t="shared" si="2"/>
        <v>Plan B</v>
      </c>
      <c r="E17" s="1220">
        <f ca="1">VALUE(INDIRECT("Penalties!"&amp;PenaltyData[[#This Row],[REF]]&amp;(PenaltyData[[#This Row],[ROW]]+1)))</f>
        <v>0</v>
      </c>
      <c r="F17" s="1220" t="str">
        <f ca="1">IF(INDIRECT("Penalties!"&amp;$N$28&amp;PenaltyData[[#This Row],[ROW]],TRUE)=0, "",INDIRECT("Penalties!"&amp;$N$28&amp;PenaltyData[[#This Row],[ROW]],TRUE))</f>
        <v>0</v>
      </c>
      <c r="G17" s="1220">
        <f ca="1">COUNTIFS($H$1:H17,"&lt;&gt;0", $F$1:F17,PenaltyData[[#This Row],[PlayerIdx]],$D$1:D17,PenaltyData[[#This Row],[Team]])</f>
        <v>2</v>
      </c>
      <c r="H17" s="1220">
        <f ca="1">INDIRECT("Penalties!"&amp;PenaltyData[[#This Row],[REF]]&amp;PenaltyData[[#This Row],[ROW]])</f>
        <v>0</v>
      </c>
      <c r="I17" s="1220" t="str">
        <f ca="1">IFERROR(VLOOKUP(PenaltyData[[#This Row],[Penalty]],PenaltyNames91419[],2,FALSE),"")</f>
        <v/>
      </c>
      <c r="J17" s="1220" t="s">
        <v>765</v>
      </c>
      <c r="K17" s="1220">
        <v>4</v>
      </c>
      <c r="L17" s="1220"/>
      <c r="M17" s="1203" t="s">
        <v>151</v>
      </c>
      <c r="N17" s="1209" t="s">
        <v>152</v>
      </c>
    </row>
    <row r="18" spans="1:14" x14ac:dyDescent="0.25">
      <c r="A18" s="1230">
        <f>$N$1</f>
        <v>42105</v>
      </c>
      <c r="B18" s="1231">
        <f>$O$1</f>
        <v>0.83333333333333337</v>
      </c>
      <c r="C18" s="1220">
        <v>2</v>
      </c>
      <c r="D18" s="1220" t="str">
        <f t="shared" si="2"/>
        <v>Plan B</v>
      </c>
      <c r="E18" s="1233">
        <f ca="1">VALUE(INDIRECT("Penalties!"&amp;PenaltyData[[#This Row],[REF]]&amp;(PenaltyData[[#This Row],[ROW]]+1)))</f>
        <v>0</v>
      </c>
      <c r="F18" s="1233" t="str">
        <f ca="1">IF(INDIRECT("Penalties!"&amp;$N$28&amp;PenaltyData[[#This Row],[ROW]],TRUE)=0, "",INDIRECT("Penalties!"&amp;$N$28&amp;PenaltyData[[#This Row],[ROW]],TRUE))</f>
        <v>0</v>
      </c>
      <c r="G18" s="1233">
        <f ca="1">COUNTIFS($H$1:H18,"&lt;&gt;0", $F$1:F18,PenaltyData[[#This Row],[PlayerIdx]],$D$1:D18,PenaltyData[[#This Row],[Team]])</f>
        <v>2</v>
      </c>
      <c r="H18" s="1233">
        <f ca="1">INDIRECT("Penalties!"&amp;PenaltyData[[#This Row],[REF]]&amp;PenaltyData[[#This Row],[ROW]])</f>
        <v>0</v>
      </c>
      <c r="I18" s="1233" t="str">
        <f ca="1">IFERROR(VLOOKUP(PenaltyData[[#This Row],[Penalty]],PenaltyNames91419[],2,FALSE),"")</f>
        <v/>
      </c>
      <c r="J18" s="1220" t="s">
        <v>766</v>
      </c>
      <c r="K18" s="1220">
        <v>4</v>
      </c>
      <c r="L18" s="1220"/>
      <c r="M18" s="1203" t="s">
        <v>153</v>
      </c>
      <c r="N18" s="1209" t="s">
        <v>154</v>
      </c>
    </row>
    <row r="19" spans="1:14" x14ac:dyDescent="0.25">
      <c r="A19" s="1230">
        <f>$N$1</f>
        <v>42105</v>
      </c>
      <c r="B19" s="1231">
        <f>$O$1</f>
        <v>0.83333333333333337</v>
      </c>
      <c r="C19" s="1220">
        <v>2</v>
      </c>
      <c r="D19" s="1220" t="str">
        <f t="shared" si="2"/>
        <v>Plan B</v>
      </c>
      <c r="E19" s="1233">
        <f ca="1">VALUE(INDIRECT("Penalties!"&amp;PenaltyData[[#This Row],[REF]]&amp;(PenaltyData[[#This Row],[ROW]]+1)))</f>
        <v>0</v>
      </c>
      <c r="F19" s="1233" t="str">
        <f ca="1">IF(INDIRECT("Penalties!"&amp;$N$28&amp;PenaltyData[[#This Row],[ROW]],TRUE)=0, "",INDIRECT("Penalties!"&amp;$N$28&amp;PenaltyData[[#This Row],[ROW]],TRUE))</f>
        <v>0</v>
      </c>
      <c r="G19" s="1233">
        <f ca="1">COUNTIFS($H$1:H19,"&lt;&gt;0", $F$1:F19,PenaltyData[[#This Row],[PlayerIdx]],$D$1:D19,PenaltyData[[#This Row],[Team]])</f>
        <v>2</v>
      </c>
      <c r="H19" s="1233">
        <f ca="1">INDIRECT("Penalties!"&amp;PenaltyData[[#This Row],[REF]]&amp;PenaltyData[[#This Row],[ROW]])</f>
        <v>0</v>
      </c>
      <c r="I19" s="1233" t="str">
        <f ca="1">IFERROR(VLOOKUP(PenaltyData[[#This Row],[Penalty]],PenaltyNames91419[],2,FALSE),"")</f>
        <v/>
      </c>
      <c r="J19" s="1220" t="s">
        <v>767</v>
      </c>
      <c r="K19" s="1220">
        <v>4</v>
      </c>
      <c r="L19" s="1220"/>
      <c r="M19" s="1203" t="s">
        <v>155</v>
      </c>
      <c r="N19" s="1209" t="s">
        <v>156</v>
      </c>
    </row>
    <row r="20" spans="1:14" x14ac:dyDescent="0.25">
      <c r="A20" s="1230">
        <f t="shared" si="0"/>
        <v>42105</v>
      </c>
      <c r="B20" s="1231">
        <f t="shared" si="1"/>
        <v>0.83333333333333337</v>
      </c>
      <c r="C20" s="1220">
        <v>1</v>
      </c>
      <c r="D20" s="1220" t="str">
        <f t="shared" si="2"/>
        <v>Plan B</v>
      </c>
      <c r="E20" s="1220">
        <f ca="1">VALUE(INDIRECT("Penalties!"&amp;PenaltyData[[#This Row],[REF]]&amp;(PenaltyData[[#This Row],[ROW]]+1)))</f>
        <v>0</v>
      </c>
      <c r="F20" s="1220" t="str">
        <f ca="1">IF(INDIRECT("Penalties!"&amp;$N$28&amp;PenaltyData[[#This Row],[ROW]],TRUE)=0, "",INDIRECT("Penalties!"&amp;$N$28&amp;PenaltyData[[#This Row],[ROW]],TRUE))</f>
        <v>1321</v>
      </c>
      <c r="G20" s="1220">
        <f ca="1">COUNTIFS($H$1:H20,"&lt;&gt;0", $F$1:F20,PenaltyData[[#This Row],[PlayerIdx]],$D$1:D20,PenaltyData[[#This Row],[Team]])</f>
        <v>0</v>
      </c>
      <c r="H20" s="1220">
        <f ca="1">INDIRECT("Penalties!"&amp;PenaltyData[[#This Row],[REF]]&amp;PenaltyData[[#This Row],[ROW]])</f>
        <v>0</v>
      </c>
      <c r="I20" s="1220" t="str">
        <f ca="1">IFERROR(VLOOKUP(PenaltyData[[#This Row],[Penalty]],PenaltyNames91419[],2,FALSE),"")</f>
        <v/>
      </c>
      <c r="J20" s="1220" t="s">
        <v>136</v>
      </c>
      <c r="K20" s="1220">
        <f>K2+2</f>
        <v>6</v>
      </c>
      <c r="L20" s="1220"/>
      <c r="M20" s="1203" t="s">
        <v>157</v>
      </c>
      <c r="N20" s="1209" t="s">
        <v>158</v>
      </c>
    </row>
    <row r="21" spans="1:14" x14ac:dyDescent="0.25">
      <c r="A21" s="1230">
        <f t="shared" si="0"/>
        <v>42105</v>
      </c>
      <c r="B21" s="1231">
        <f t="shared" si="1"/>
        <v>0.83333333333333337</v>
      </c>
      <c r="C21" s="1220">
        <v>1</v>
      </c>
      <c r="D21" s="1220" t="str">
        <f t="shared" si="2"/>
        <v>Plan B</v>
      </c>
      <c r="E21" s="1220">
        <f ca="1">VALUE(INDIRECT("Penalties!"&amp;PenaltyData[[#This Row],[REF]]&amp;(PenaltyData[[#This Row],[ROW]]+1)))</f>
        <v>0</v>
      </c>
      <c r="F21" s="1220" t="str">
        <f ca="1">IF(INDIRECT("Penalties!"&amp;$N$28&amp;PenaltyData[[#This Row],[ROW]],TRUE)=0, "",INDIRECT("Penalties!"&amp;$N$28&amp;PenaltyData[[#This Row],[ROW]],TRUE))</f>
        <v>1321</v>
      </c>
      <c r="G21" s="1220">
        <f ca="1">COUNTIFS($H$1:H21,"&lt;&gt;0", $F$1:F21,PenaltyData[[#This Row],[PlayerIdx]],$D$1:D21,PenaltyData[[#This Row],[Team]])</f>
        <v>0</v>
      </c>
      <c r="H21" s="1220">
        <f ca="1">INDIRECT("Penalties!"&amp;PenaltyData[[#This Row],[REF]]&amp;PenaltyData[[#This Row],[ROW]])</f>
        <v>0</v>
      </c>
      <c r="I21" s="1220" t="str">
        <f ca="1">IFERROR(VLOOKUP(PenaltyData[[#This Row],[Penalty]],PenaltyNames91419[],2,FALSE),"")</f>
        <v/>
      </c>
      <c r="J21" s="1220" t="s">
        <v>142</v>
      </c>
      <c r="K21" s="1220">
        <f t="shared" ref="K21:K84" si="3">K3+2</f>
        <v>6</v>
      </c>
      <c r="L21" s="1220"/>
      <c r="M21" s="1203" t="s">
        <v>159</v>
      </c>
      <c r="N21" s="1209" t="s">
        <v>160</v>
      </c>
    </row>
    <row r="22" spans="1:14" x14ac:dyDescent="0.25">
      <c r="A22" s="1230">
        <f t="shared" si="0"/>
        <v>42105</v>
      </c>
      <c r="B22" s="1231">
        <f t="shared" si="1"/>
        <v>0.83333333333333337</v>
      </c>
      <c r="C22" s="1220">
        <v>1</v>
      </c>
      <c r="D22" s="1220" t="str">
        <f t="shared" si="2"/>
        <v>Plan B</v>
      </c>
      <c r="E22" s="1220">
        <f ca="1">VALUE(INDIRECT("Penalties!"&amp;PenaltyData[[#This Row],[REF]]&amp;(PenaltyData[[#This Row],[ROW]]+1)))</f>
        <v>0</v>
      </c>
      <c r="F22" s="1220" t="str">
        <f ca="1">IF(INDIRECT("Penalties!"&amp;$N$28&amp;PenaltyData[[#This Row],[ROW]],TRUE)=0, "",INDIRECT("Penalties!"&amp;$N$28&amp;PenaltyData[[#This Row],[ROW]],TRUE))</f>
        <v>1321</v>
      </c>
      <c r="G22" s="1220">
        <f ca="1">COUNTIFS($H$1:H22,"&lt;&gt;0", $F$1:F22,PenaltyData[[#This Row],[PlayerIdx]],$D$1:D22,PenaltyData[[#This Row],[Team]])</f>
        <v>0</v>
      </c>
      <c r="H22" s="1220">
        <f ca="1">INDIRECT("Penalties!"&amp;PenaltyData[[#This Row],[REF]]&amp;PenaltyData[[#This Row],[ROW]])</f>
        <v>0</v>
      </c>
      <c r="I22" s="1220" t="str">
        <f ca="1">IFERROR(VLOOKUP(PenaltyData[[#This Row],[Penalty]],PenaltyNames91419[],2,FALSE),"")</f>
        <v/>
      </c>
      <c r="J22" s="1220" t="s">
        <v>754</v>
      </c>
      <c r="K22" s="1220">
        <f t="shared" si="3"/>
        <v>6</v>
      </c>
      <c r="L22" s="1220"/>
      <c r="M22" s="1203" t="s">
        <v>162</v>
      </c>
      <c r="N22" s="1209" t="s">
        <v>163</v>
      </c>
    </row>
    <row r="23" spans="1:14" x14ac:dyDescent="0.25">
      <c r="A23" s="1230">
        <f t="shared" si="0"/>
        <v>42105</v>
      </c>
      <c r="B23" s="1231">
        <f t="shared" si="1"/>
        <v>0.83333333333333337</v>
      </c>
      <c r="C23" s="1220">
        <v>1</v>
      </c>
      <c r="D23" s="1220" t="str">
        <f t="shared" si="2"/>
        <v>Plan B</v>
      </c>
      <c r="E23" s="1220">
        <f ca="1">VALUE(INDIRECT("Penalties!"&amp;PenaltyData[[#This Row],[REF]]&amp;(PenaltyData[[#This Row],[ROW]]+1)))</f>
        <v>0</v>
      </c>
      <c r="F23" s="1220" t="str">
        <f ca="1">IF(INDIRECT("Penalties!"&amp;$N$28&amp;PenaltyData[[#This Row],[ROW]],TRUE)=0, "",INDIRECT("Penalties!"&amp;$N$28&amp;PenaltyData[[#This Row],[ROW]],TRUE))</f>
        <v>1321</v>
      </c>
      <c r="G23" s="1220">
        <f ca="1">COUNTIFS($H$1:H23,"&lt;&gt;0", $F$1:F23,PenaltyData[[#This Row],[PlayerIdx]],$D$1:D23,PenaltyData[[#This Row],[Team]])</f>
        <v>0</v>
      </c>
      <c r="H23" s="1220">
        <f ca="1">INDIRECT("Penalties!"&amp;PenaltyData[[#This Row],[REF]]&amp;PenaltyData[[#This Row],[ROW]])</f>
        <v>0</v>
      </c>
      <c r="I23" s="1220" t="str">
        <f ca="1">IFERROR(VLOOKUP(PenaltyData[[#This Row],[Penalty]],PenaltyNames91419[],2,FALSE),"")</f>
        <v/>
      </c>
      <c r="J23" s="1220" t="s">
        <v>144</v>
      </c>
      <c r="K23" s="1220">
        <f t="shared" si="3"/>
        <v>6</v>
      </c>
      <c r="L23" s="1220"/>
      <c r="M23" s="1203" t="s">
        <v>164</v>
      </c>
      <c r="N23" s="1209" t="s">
        <v>120</v>
      </c>
    </row>
    <row r="24" spans="1:14" x14ac:dyDescent="0.25">
      <c r="A24" s="1230">
        <f t="shared" si="0"/>
        <v>42105</v>
      </c>
      <c r="B24" s="1231">
        <f t="shared" si="1"/>
        <v>0.83333333333333337</v>
      </c>
      <c r="C24" s="1220">
        <v>1</v>
      </c>
      <c r="D24" s="1220" t="str">
        <f t="shared" si="2"/>
        <v>Plan B</v>
      </c>
      <c r="E24" s="1220">
        <f ca="1">VALUE(INDIRECT("Penalties!"&amp;PenaltyData[[#This Row],[REF]]&amp;(PenaltyData[[#This Row],[ROW]]+1)))</f>
        <v>0</v>
      </c>
      <c r="F24" s="1220" t="str">
        <f ca="1">IF(INDIRECT("Penalties!"&amp;$N$28&amp;PenaltyData[[#This Row],[ROW]],TRUE)=0, "",INDIRECT("Penalties!"&amp;$N$28&amp;PenaltyData[[#This Row],[ROW]],TRUE))</f>
        <v>1321</v>
      </c>
      <c r="G24" s="1220">
        <f ca="1">COUNTIFS($H$1:H24,"&lt;&gt;0", $F$1:F24,PenaltyData[[#This Row],[PlayerIdx]],$D$1:D24,PenaltyData[[#This Row],[Team]])</f>
        <v>0</v>
      </c>
      <c r="H24" s="1220">
        <f ca="1">INDIRECT("Penalties!"&amp;PenaltyData[[#This Row],[REF]]&amp;PenaltyData[[#This Row],[ROW]])</f>
        <v>0</v>
      </c>
      <c r="I24" s="1220" t="str">
        <f ca="1">IFERROR(VLOOKUP(PenaltyData[[#This Row],[Penalty]],PenaltyNames91419[],2,FALSE),"")</f>
        <v/>
      </c>
      <c r="J24" s="1220" t="s">
        <v>146</v>
      </c>
      <c r="K24" s="1220">
        <f t="shared" si="3"/>
        <v>6</v>
      </c>
      <c r="L24" s="1220"/>
      <c r="M24" s="1203">
        <v>4</v>
      </c>
      <c r="N24" s="1209" t="s">
        <v>768</v>
      </c>
    </row>
    <row r="25" spans="1:14" x14ac:dyDescent="0.25">
      <c r="A25" s="1230">
        <f t="shared" si="0"/>
        <v>42105</v>
      </c>
      <c r="B25" s="1231">
        <f t="shared" si="1"/>
        <v>0.83333333333333337</v>
      </c>
      <c r="C25" s="1220">
        <v>1</v>
      </c>
      <c r="D25" s="1220" t="str">
        <f t="shared" si="2"/>
        <v>Plan B</v>
      </c>
      <c r="E25" s="1220">
        <f ca="1">VALUE(INDIRECT("Penalties!"&amp;PenaltyData[[#This Row],[REF]]&amp;(PenaltyData[[#This Row],[ROW]]+1)))</f>
        <v>0</v>
      </c>
      <c r="F25" s="1220" t="str">
        <f ca="1">IF(INDIRECT("Penalties!"&amp;$N$28&amp;PenaltyData[[#This Row],[ROW]],TRUE)=0, "",INDIRECT("Penalties!"&amp;$N$28&amp;PenaltyData[[#This Row],[ROW]],TRUE))</f>
        <v>1321</v>
      </c>
      <c r="G25" s="1220">
        <f ca="1">COUNTIFS($H$1:H25,"&lt;&gt;0", $F$1:F25,PenaltyData[[#This Row],[PlayerIdx]],$D$1:D25,PenaltyData[[#This Row],[Team]])</f>
        <v>0</v>
      </c>
      <c r="H25" s="1220">
        <f ca="1">INDIRECT("Penalties!"&amp;PenaltyData[[#This Row],[REF]]&amp;PenaltyData[[#This Row],[ROW]])</f>
        <v>0</v>
      </c>
      <c r="I25" s="1220" t="str">
        <f ca="1">IFERROR(VLOOKUP(PenaltyData[[#This Row],[Penalty]],PenaltyNames91419[],2,FALSE),"")</f>
        <v/>
      </c>
      <c r="J25" s="1220" t="s">
        <v>164</v>
      </c>
      <c r="K25" s="1220">
        <f t="shared" si="3"/>
        <v>6</v>
      </c>
      <c r="L25" s="1220"/>
    </row>
    <row r="26" spans="1:14" x14ac:dyDescent="0.25">
      <c r="A26" s="1230">
        <f t="shared" si="0"/>
        <v>42105</v>
      </c>
      <c r="B26" s="1231">
        <f t="shared" si="1"/>
        <v>0.83333333333333337</v>
      </c>
      <c r="C26" s="1220">
        <v>1</v>
      </c>
      <c r="D26" s="1220" t="str">
        <f t="shared" si="2"/>
        <v>Plan B</v>
      </c>
      <c r="E26" s="1220">
        <f ca="1">VALUE(INDIRECT("Penalties!"&amp;PenaltyData[[#This Row],[REF]]&amp;(PenaltyData[[#This Row],[ROW]]+1)))</f>
        <v>0</v>
      </c>
      <c r="F26" s="1220" t="str">
        <f ca="1">IF(INDIRECT("Penalties!"&amp;$N$28&amp;PenaltyData[[#This Row],[ROW]],TRUE)=0, "",INDIRECT("Penalties!"&amp;$N$28&amp;PenaltyData[[#This Row],[ROW]],TRUE))</f>
        <v>1321</v>
      </c>
      <c r="G26" s="1220">
        <f ca="1">COUNTIFS($H$1:H26,"&lt;&gt;0", $F$1:F26,PenaltyData[[#This Row],[PlayerIdx]],$D$1:D26,PenaltyData[[#This Row],[Team]])</f>
        <v>0</v>
      </c>
      <c r="H26" s="1220">
        <f ca="1">INDIRECT("Penalties!"&amp;PenaltyData[[#This Row],[REF]]&amp;PenaltyData[[#This Row],[ROW]])</f>
        <v>0</v>
      </c>
      <c r="I26" s="1220" t="str">
        <f ca="1">IFERROR(VLOOKUP(PenaltyData[[#This Row],[Penalty]],PenaltyNames91419[],2,FALSE),"")</f>
        <v/>
      </c>
      <c r="J26" s="1220" t="s">
        <v>138</v>
      </c>
      <c r="K26" s="1220">
        <f t="shared" si="3"/>
        <v>6</v>
      </c>
      <c r="L26" s="1220"/>
      <c r="M26" s="1206"/>
      <c r="N26" s="1207"/>
    </row>
    <row r="27" spans="1:14" x14ac:dyDescent="0.25">
      <c r="A27" s="1230">
        <f>$N$1</f>
        <v>42105</v>
      </c>
      <c r="B27" s="1231">
        <f>$O$1</f>
        <v>0.83333333333333337</v>
      </c>
      <c r="C27" s="1220">
        <v>1</v>
      </c>
      <c r="D27" s="1220" t="str">
        <f t="shared" si="2"/>
        <v>Plan B</v>
      </c>
      <c r="E27" s="1220">
        <f ca="1">VALUE(INDIRECT("Penalties!"&amp;PenaltyData[[#This Row],[REF]]&amp;(PenaltyData[[#This Row],[ROW]]+1)))</f>
        <v>0</v>
      </c>
      <c r="F27" s="1220" t="str">
        <f ca="1">IF(INDIRECT("Penalties!"&amp;$N$28&amp;PenaltyData[[#This Row],[ROW]],TRUE)=0, "",INDIRECT("Penalties!"&amp;$N$28&amp;PenaltyData[[#This Row],[ROW]],TRUE))</f>
        <v>1321</v>
      </c>
      <c r="G27" s="1220">
        <f ca="1">COUNTIFS($H$1:H27,"&lt;&gt;0", $F$1:F27,PenaltyData[[#This Row],[PlayerIdx]],$D$1:D27,PenaltyData[[#This Row],[Team]])</f>
        <v>0</v>
      </c>
      <c r="H27" s="1220">
        <f ca="1">INDIRECT("Penalties!"&amp;PenaltyData[[#This Row],[REF]]&amp;PenaltyData[[#This Row],[ROW]])</f>
        <v>0</v>
      </c>
      <c r="I27" s="1220" t="str">
        <f ca="1">IFERROR(VLOOKUP(PenaltyData[[#This Row],[Penalty]],PenaltyNames91419[],2,FALSE),"")</f>
        <v/>
      </c>
      <c r="J27" s="1220" t="s">
        <v>150</v>
      </c>
      <c r="K27" s="1220">
        <f t="shared" si="3"/>
        <v>6</v>
      </c>
      <c r="L27" s="1220"/>
      <c r="M27" s="1214" t="s">
        <v>204</v>
      </c>
    </row>
    <row r="28" spans="1:14" x14ac:dyDescent="0.25">
      <c r="A28" s="1230">
        <f>$N$1</f>
        <v>42105</v>
      </c>
      <c r="B28" s="1231">
        <f>$O$1</f>
        <v>0.83333333333333337</v>
      </c>
      <c r="C28" s="1220">
        <v>1</v>
      </c>
      <c r="D28" s="1220" t="str">
        <f t="shared" si="2"/>
        <v>Plan B</v>
      </c>
      <c r="E28" s="1220">
        <f ca="1">VALUE(INDIRECT("Penalties!"&amp;PenaltyData[[#This Row],[REF]]&amp;(PenaltyData[[#This Row],[ROW]]+1)))</f>
        <v>0</v>
      </c>
      <c r="F28" s="1220" t="str">
        <f ca="1">IF(INDIRECT("Penalties!"&amp;$N$28&amp;PenaltyData[[#This Row],[ROW]],TRUE)=0, "",INDIRECT("Penalties!"&amp;$N$28&amp;PenaltyData[[#This Row],[ROW]],TRUE))</f>
        <v>1321</v>
      </c>
      <c r="G28" s="1220">
        <f ca="1">COUNTIFS($H$1:H28,"&lt;&gt;0", $F$1:F28,PenaltyData[[#This Row],[PlayerIdx]],$D$1:D28,PenaltyData[[#This Row],[Team]])</f>
        <v>0</v>
      </c>
      <c r="H28" s="1220">
        <f ca="1">INDIRECT("Penalties!"&amp;PenaltyData[[#This Row],[REF]]&amp;PenaltyData[[#This Row],[ROW]])</f>
        <v>0</v>
      </c>
      <c r="I28" s="1220" t="str">
        <f ca="1">IFERROR(VLOOKUP(PenaltyData[[#This Row],[Penalty]],PenaltyNames91419[],2,FALSE),"")</f>
        <v/>
      </c>
      <c r="J28" s="1220" t="s">
        <v>757</v>
      </c>
      <c r="K28" s="1220">
        <f t="shared" si="3"/>
        <v>6</v>
      </c>
      <c r="L28" s="1220"/>
      <c r="M28" s="1204" t="s">
        <v>769</v>
      </c>
      <c r="N28" s="1204" t="s">
        <v>695</v>
      </c>
    </row>
    <row r="29" spans="1:14" x14ac:dyDescent="0.25">
      <c r="A29" s="1230">
        <f t="shared" si="0"/>
        <v>42105</v>
      </c>
      <c r="B29" s="1231">
        <f t="shared" si="1"/>
        <v>0.83333333333333337</v>
      </c>
      <c r="C29" s="1220">
        <v>2</v>
      </c>
      <c r="D29" s="1220" t="str">
        <f t="shared" si="2"/>
        <v>Plan B</v>
      </c>
      <c r="E29" s="1220">
        <f ca="1">VALUE(INDIRECT("Penalties!"&amp;PenaltyData[[#This Row],[REF]]&amp;(PenaltyData[[#This Row],[ROW]]+1)))</f>
        <v>0</v>
      </c>
      <c r="F29" s="1220" t="str">
        <f ca="1">IF(INDIRECT("Penalties!"&amp;$N$28&amp;PenaltyData[[#This Row],[ROW]],TRUE)=0, "",INDIRECT("Penalties!"&amp;$N$28&amp;PenaltyData[[#This Row],[ROW]],TRUE))</f>
        <v>1321</v>
      </c>
      <c r="G29" s="1220">
        <f ca="1">COUNTIFS($H$1:H29,"&lt;&gt;0", $F$1:F29,PenaltyData[[#This Row],[PlayerIdx]],$D$1:D29,PenaltyData[[#This Row],[Team]])</f>
        <v>0</v>
      </c>
      <c r="H29" s="1220">
        <f ca="1">INDIRECT("Penalties!"&amp;PenaltyData[[#This Row],[REF]]&amp;PenaltyData[[#This Row],[ROW]])</f>
        <v>0</v>
      </c>
      <c r="I29" s="1220" t="str">
        <f ca="1">IFERROR(VLOOKUP(PenaltyData[[#This Row],[Penalty]],PenaltyNames91419[],2,FALSE),"")</f>
        <v/>
      </c>
      <c r="J29" s="1220" t="s">
        <v>758</v>
      </c>
      <c r="K29" s="1220">
        <f t="shared" si="3"/>
        <v>6</v>
      </c>
      <c r="L29" s="1220"/>
      <c r="M29" s="1204" t="s">
        <v>770</v>
      </c>
      <c r="N29" s="1204" t="s">
        <v>741</v>
      </c>
    </row>
    <row r="30" spans="1:14" x14ac:dyDescent="0.25">
      <c r="A30" s="1230">
        <f t="shared" si="0"/>
        <v>42105</v>
      </c>
      <c r="B30" s="1231">
        <f t="shared" si="1"/>
        <v>0.83333333333333337</v>
      </c>
      <c r="C30" s="1220">
        <v>2</v>
      </c>
      <c r="D30" s="1220" t="str">
        <f t="shared" si="2"/>
        <v>Plan B</v>
      </c>
      <c r="E30" s="1220">
        <f ca="1">VALUE(INDIRECT("Penalties!"&amp;PenaltyData[[#This Row],[REF]]&amp;(PenaltyData[[#This Row],[ROW]]+1)))</f>
        <v>0</v>
      </c>
      <c r="F30" s="1220" t="str">
        <f ca="1">IF(INDIRECT("Penalties!"&amp;$N$28&amp;PenaltyData[[#This Row],[ROW]],TRUE)=0, "",INDIRECT("Penalties!"&amp;$N$28&amp;PenaltyData[[#This Row],[ROW]],TRUE))</f>
        <v>1321</v>
      </c>
      <c r="G30" s="1220">
        <f ca="1">COUNTIFS($H$1:H30,"&lt;&gt;0", $F$1:F30,PenaltyData[[#This Row],[PlayerIdx]],$D$1:D30,PenaltyData[[#This Row],[Team]])</f>
        <v>0</v>
      </c>
      <c r="H30" s="1220">
        <f ca="1">INDIRECT("Penalties!"&amp;PenaltyData[[#This Row],[REF]]&amp;PenaltyData[[#This Row],[ROW]])</f>
        <v>0</v>
      </c>
      <c r="I30" s="1220" t="str">
        <f ca="1">IFERROR(VLOOKUP(PenaltyData[[#This Row],[Penalty]],PenaltyNames91419[],2,FALSE),"")</f>
        <v/>
      </c>
      <c r="J30" s="1220" t="s">
        <v>759</v>
      </c>
      <c r="K30" s="1220">
        <f t="shared" si="3"/>
        <v>6</v>
      </c>
      <c r="L30" s="1220"/>
      <c r="M30" s="1203"/>
      <c r="N30" s="1203"/>
    </row>
    <row r="31" spans="1:14" x14ac:dyDescent="0.25">
      <c r="A31" s="1230">
        <f t="shared" si="0"/>
        <v>42105</v>
      </c>
      <c r="B31" s="1231">
        <f t="shared" si="1"/>
        <v>0.83333333333333337</v>
      </c>
      <c r="C31" s="1220">
        <v>2</v>
      </c>
      <c r="D31" s="1220" t="str">
        <f t="shared" si="2"/>
        <v>Plan B</v>
      </c>
      <c r="E31" s="1220">
        <f ca="1">VALUE(INDIRECT("Penalties!"&amp;PenaltyData[[#This Row],[REF]]&amp;(PenaltyData[[#This Row],[ROW]]+1)))</f>
        <v>0</v>
      </c>
      <c r="F31" s="1220" t="str">
        <f ca="1">IF(INDIRECT("Penalties!"&amp;$N$28&amp;PenaltyData[[#This Row],[ROW]],TRUE)=0, "",INDIRECT("Penalties!"&amp;$N$28&amp;PenaltyData[[#This Row],[ROW]],TRUE))</f>
        <v>1321</v>
      </c>
      <c r="G31" s="1220">
        <f ca="1">COUNTIFS($H$1:H31,"&lt;&gt;0", $F$1:F31,PenaltyData[[#This Row],[PlayerIdx]],$D$1:D31,PenaltyData[[#This Row],[Team]])</f>
        <v>0</v>
      </c>
      <c r="H31" s="1220">
        <f ca="1">INDIRECT("Penalties!"&amp;PenaltyData[[#This Row],[REF]]&amp;PenaltyData[[#This Row],[ROW]])</f>
        <v>0</v>
      </c>
      <c r="I31" s="1220" t="str">
        <f ca="1">IFERROR(VLOOKUP(PenaltyData[[#This Row],[Penalty]],PenaltyNames91419[],2,FALSE),"")</f>
        <v/>
      </c>
      <c r="J31" s="1220" t="s">
        <v>760</v>
      </c>
      <c r="K31" s="1220">
        <f t="shared" si="3"/>
        <v>6</v>
      </c>
      <c r="L31" s="1220"/>
      <c r="M31" s="1203"/>
      <c r="N31" s="1203"/>
    </row>
    <row r="32" spans="1:14" x14ac:dyDescent="0.25">
      <c r="A32" s="1230">
        <f t="shared" si="0"/>
        <v>42105</v>
      </c>
      <c r="B32" s="1231">
        <f t="shared" si="1"/>
        <v>0.83333333333333337</v>
      </c>
      <c r="C32" s="1220">
        <v>2</v>
      </c>
      <c r="D32" s="1220" t="str">
        <f t="shared" si="2"/>
        <v>Plan B</v>
      </c>
      <c r="E32" s="1220">
        <f ca="1">VALUE(INDIRECT("Penalties!"&amp;PenaltyData[[#This Row],[REF]]&amp;(PenaltyData[[#This Row],[ROW]]+1)))</f>
        <v>0</v>
      </c>
      <c r="F32" s="1220" t="str">
        <f ca="1">IF(INDIRECT("Penalties!"&amp;$N$28&amp;PenaltyData[[#This Row],[ROW]],TRUE)=0, "",INDIRECT("Penalties!"&amp;$N$28&amp;PenaltyData[[#This Row],[ROW]],TRUE))</f>
        <v>1321</v>
      </c>
      <c r="G32" s="1220">
        <f ca="1">COUNTIFS($H$1:H32,"&lt;&gt;0", $F$1:F32,PenaltyData[[#This Row],[PlayerIdx]],$D$1:D32,PenaltyData[[#This Row],[Team]])</f>
        <v>0</v>
      </c>
      <c r="H32" s="1220">
        <f ca="1">INDIRECT("Penalties!"&amp;PenaltyData[[#This Row],[REF]]&amp;PenaltyData[[#This Row],[ROW]])</f>
        <v>0</v>
      </c>
      <c r="I32" s="1220" t="str">
        <f ca="1">IFERROR(VLOOKUP(PenaltyData[[#This Row],[Penalty]],PenaltyNames91419[],2,FALSE),"")</f>
        <v/>
      </c>
      <c r="J32" s="1220" t="s">
        <v>761</v>
      </c>
      <c r="K32" s="1220">
        <f t="shared" si="3"/>
        <v>6</v>
      </c>
      <c r="L32" s="1220"/>
    </row>
    <row r="33" spans="1:14" x14ac:dyDescent="0.25">
      <c r="A33" s="1230">
        <f t="shared" si="0"/>
        <v>42105</v>
      </c>
      <c r="B33" s="1231">
        <f t="shared" si="1"/>
        <v>0.83333333333333337</v>
      </c>
      <c r="C33" s="1220">
        <v>2</v>
      </c>
      <c r="D33" s="1220" t="str">
        <f t="shared" si="2"/>
        <v>Plan B</v>
      </c>
      <c r="E33" s="1220">
        <f ca="1">VALUE(INDIRECT("Penalties!"&amp;PenaltyData[[#This Row],[REF]]&amp;(PenaltyData[[#This Row],[ROW]]+1)))</f>
        <v>0</v>
      </c>
      <c r="F33" s="1220" t="str">
        <f ca="1">IF(INDIRECT("Penalties!"&amp;$N$28&amp;PenaltyData[[#This Row],[ROW]],TRUE)=0, "",INDIRECT("Penalties!"&amp;$N$28&amp;PenaltyData[[#This Row],[ROW]],TRUE))</f>
        <v>1321</v>
      </c>
      <c r="G33" s="1220">
        <f ca="1">COUNTIFS($H$1:H33,"&lt;&gt;0", $F$1:F33,PenaltyData[[#This Row],[PlayerIdx]],$D$1:D33,PenaltyData[[#This Row],[Team]])</f>
        <v>0</v>
      </c>
      <c r="H33" s="1220">
        <f ca="1">INDIRECT("Penalties!"&amp;PenaltyData[[#This Row],[REF]]&amp;PenaltyData[[#This Row],[ROW]])</f>
        <v>0</v>
      </c>
      <c r="I33" s="1220" t="str">
        <f ca="1">IFERROR(VLOOKUP(PenaltyData[[#This Row],[Penalty]],PenaltyNames91419[],2,FALSE),"")</f>
        <v/>
      </c>
      <c r="J33" s="1220" t="s">
        <v>762</v>
      </c>
      <c r="K33" s="1220">
        <f t="shared" si="3"/>
        <v>6</v>
      </c>
      <c r="L33" s="1220"/>
    </row>
    <row r="34" spans="1:14" x14ac:dyDescent="0.25">
      <c r="A34" s="1230">
        <f t="shared" si="0"/>
        <v>42105</v>
      </c>
      <c r="B34" s="1231">
        <f t="shared" si="1"/>
        <v>0.83333333333333337</v>
      </c>
      <c r="C34" s="1220">
        <v>2</v>
      </c>
      <c r="D34" s="1220" t="str">
        <f t="shared" si="2"/>
        <v>Plan B</v>
      </c>
      <c r="E34" s="1220">
        <f ca="1">VALUE(INDIRECT("Penalties!"&amp;PenaltyData[[#This Row],[REF]]&amp;(PenaltyData[[#This Row],[ROW]]+1)))</f>
        <v>0</v>
      </c>
      <c r="F34" s="1220" t="str">
        <f ca="1">IF(INDIRECT("Penalties!"&amp;$N$28&amp;PenaltyData[[#This Row],[ROW]],TRUE)=0, "",INDIRECT("Penalties!"&amp;$N$28&amp;PenaltyData[[#This Row],[ROW]],TRUE))</f>
        <v>1321</v>
      </c>
      <c r="G34" s="1220">
        <f ca="1">COUNTIFS($H$1:H34,"&lt;&gt;0", $F$1:F34,PenaltyData[[#This Row],[PlayerIdx]],$D$1:D34,PenaltyData[[#This Row],[Team]])</f>
        <v>0</v>
      </c>
      <c r="H34" s="1220">
        <f ca="1">INDIRECT("Penalties!"&amp;PenaltyData[[#This Row],[REF]]&amp;PenaltyData[[#This Row],[ROW]])</f>
        <v>0</v>
      </c>
      <c r="I34" s="1220" t="str">
        <f ca="1">IFERROR(VLOOKUP(PenaltyData[[#This Row],[Penalty]],PenaltyNames91419[],2,FALSE),"")</f>
        <v/>
      </c>
      <c r="J34" s="1220" t="s">
        <v>763</v>
      </c>
      <c r="K34" s="1220">
        <f t="shared" si="3"/>
        <v>6</v>
      </c>
      <c r="L34" s="1220"/>
    </row>
    <row r="35" spans="1:14" x14ac:dyDescent="0.25">
      <c r="A35" s="1230">
        <f t="shared" si="0"/>
        <v>42105</v>
      </c>
      <c r="B35" s="1231">
        <f t="shared" si="1"/>
        <v>0.83333333333333337</v>
      </c>
      <c r="C35" s="1220">
        <v>2</v>
      </c>
      <c r="D35" s="1220" t="str">
        <f t="shared" si="2"/>
        <v>Plan B</v>
      </c>
      <c r="E35" s="1220">
        <f ca="1">VALUE(INDIRECT("Penalties!"&amp;PenaltyData[[#This Row],[REF]]&amp;(PenaltyData[[#This Row],[ROW]]+1)))</f>
        <v>0</v>
      </c>
      <c r="F35" s="1220" t="str">
        <f ca="1">IF(INDIRECT("Penalties!"&amp;$N$28&amp;PenaltyData[[#This Row],[ROW]],TRUE)=0, "",INDIRECT("Penalties!"&amp;$N$28&amp;PenaltyData[[#This Row],[ROW]],TRUE))</f>
        <v>1321</v>
      </c>
      <c r="G35" s="1220">
        <f ca="1">COUNTIFS($H$1:H35,"&lt;&gt;0", $F$1:F35,PenaltyData[[#This Row],[PlayerIdx]],$D$1:D35,PenaltyData[[#This Row],[Team]])</f>
        <v>0</v>
      </c>
      <c r="H35" s="1220">
        <f ca="1">INDIRECT("Penalties!"&amp;PenaltyData[[#This Row],[REF]]&amp;PenaltyData[[#This Row],[ROW]])</f>
        <v>0</v>
      </c>
      <c r="I35" s="1220" t="str">
        <f ca="1">IFERROR(VLOOKUP(PenaltyData[[#This Row],[Penalty]],PenaltyNames91419[],2,FALSE),"")</f>
        <v/>
      </c>
      <c r="J35" s="1220" t="s">
        <v>765</v>
      </c>
      <c r="K35" s="1220">
        <f t="shared" si="3"/>
        <v>6</v>
      </c>
      <c r="L35" s="1220"/>
    </row>
    <row r="36" spans="1:14" x14ac:dyDescent="0.25">
      <c r="A36" s="1230">
        <f>$N$1</f>
        <v>42105</v>
      </c>
      <c r="B36" s="1231">
        <f>$O$1</f>
        <v>0.83333333333333337</v>
      </c>
      <c r="C36" s="1220">
        <v>2</v>
      </c>
      <c r="D36" s="1220" t="str">
        <f t="shared" si="2"/>
        <v>Plan B</v>
      </c>
      <c r="E36" s="1220">
        <f ca="1">VALUE(INDIRECT("Penalties!"&amp;PenaltyData[[#This Row],[REF]]&amp;(PenaltyData[[#This Row],[ROW]]+1)))</f>
        <v>0</v>
      </c>
      <c r="F36" s="1220" t="str">
        <f ca="1">IF(INDIRECT("Penalties!"&amp;$N$28&amp;PenaltyData[[#This Row],[ROW]],TRUE)=0, "",INDIRECT("Penalties!"&amp;$N$28&amp;PenaltyData[[#This Row],[ROW]],TRUE))</f>
        <v>1321</v>
      </c>
      <c r="G36" s="1220">
        <f ca="1">COUNTIFS($H$1:H36,"&lt;&gt;0", $F$1:F36,PenaltyData[[#This Row],[PlayerIdx]],$D$1:D36,PenaltyData[[#This Row],[Team]])</f>
        <v>0</v>
      </c>
      <c r="H36" s="1220">
        <f ca="1">INDIRECT("Penalties!"&amp;PenaltyData[[#This Row],[REF]]&amp;PenaltyData[[#This Row],[ROW]])</f>
        <v>0</v>
      </c>
      <c r="I36" s="1220" t="str">
        <f ca="1">IFERROR(VLOOKUP(PenaltyData[[#This Row],[Penalty]],PenaltyNames91419[],2,FALSE),"")</f>
        <v/>
      </c>
      <c r="J36" s="1220" t="s">
        <v>766</v>
      </c>
      <c r="K36" s="1220">
        <f t="shared" si="3"/>
        <v>6</v>
      </c>
      <c r="L36" s="1220"/>
    </row>
    <row r="37" spans="1:14" x14ac:dyDescent="0.25">
      <c r="A37" s="1230">
        <f>$N$1</f>
        <v>42105</v>
      </c>
      <c r="B37" s="1231">
        <f>$O$1</f>
        <v>0.83333333333333337</v>
      </c>
      <c r="C37" s="1220">
        <v>2</v>
      </c>
      <c r="D37" s="1220" t="str">
        <f t="shared" si="2"/>
        <v>Plan B</v>
      </c>
      <c r="E37" s="1220">
        <f ca="1">VALUE(INDIRECT("Penalties!"&amp;PenaltyData[[#This Row],[REF]]&amp;(PenaltyData[[#This Row],[ROW]]+1)))</f>
        <v>0</v>
      </c>
      <c r="F37" s="1220" t="str">
        <f ca="1">IF(INDIRECT("Penalties!"&amp;$N$28&amp;PenaltyData[[#This Row],[ROW]],TRUE)=0, "",INDIRECT("Penalties!"&amp;$N$28&amp;PenaltyData[[#This Row],[ROW]],TRUE))</f>
        <v>1321</v>
      </c>
      <c r="G37" s="1220">
        <f ca="1">COUNTIFS($H$1:H37,"&lt;&gt;0", $F$1:F37,PenaltyData[[#This Row],[PlayerIdx]],$D$1:D37,PenaltyData[[#This Row],[Team]])</f>
        <v>0</v>
      </c>
      <c r="H37" s="1220">
        <f ca="1">INDIRECT("Penalties!"&amp;PenaltyData[[#This Row],[REF]]&amp;PenaltyData[[#This Row],[ROW]])</f>
        <v>0</v>
      </c>
      <c r="I37" s="1220" t="str">
        <f ca="1">IFERROR(VLOOKUP(PenaltyData[[#This Row],[Penalty]],PenaltyNames91419[],2,FALSE),"")</f>
        <v/>
      </c>
      <c r="J37" s="1220" t="s">
        <v>767</v>
      </c>
      <c r="K37" s="1220">
        <f t="shared" si="3"/>
        <v>6</v>
      </c>
      <c r="L37" s="1220"/>
    </row>
    <row r="38" spans="1:14" x14ac:dyDescent="0.25">
      <c r="A38" s="1230">
        <f t="shared" si="0"/>
        <v>42105</v>
      </c>
      <c r="B38" s="1231">
        <f t="shared" si="1"/>
        <v>0.83333333333333337</v>
      </c>
      <c r="C38" s="1220">
        <v>1</v>
      </c>
      <c r="D38" s="1220" t="str">
        <f t="shared" si="2"/>
        <v>Plan B</v>
      </c>
      <c r="E38" s="1220">
        <f ca="1">VALUE(INDIRECT("Penalties!"&amp;PenaltyData[[#This Row],[REF]]&amp;(PenaltyData[[#This Row],[ROW]]+1)))</f>
        <v>8</v>
      </c>
      <c r="F38" s="1220" t="str">
        <f ca="1">IF(INDIRECT("Penalties!"&amp;$N$28&amp;PenaltyData[[#This Row],[ROW]],TRUE)=0, "",INDIRECT("Penalties!"&amp;$N$28&amp;PenaltyData[[#This Row],[ROW]],TRUE))</f>
        <v>17</v>
      </c>
      <c r="G38" s="1220">
        <f ca="1">COUNTIFS($H$1:H38,"&lt;&gt;0", $F$1:F38,PenaltyData[[#This Row],[PlayerIdx]],$D$1:D38,PenaltyData[[#This Row],[Team]])</f>
        <v>1</v>
      </c>
      <c r="H38" s="1220" t="str">
        <f ca="1">INDIRECT("Penalties!"&amp;PenaltyData[[#This Row],[REF]]&amp;PenaltyData[[#This Row],[ROW]])</f>
        <v>X</v>
      </c>
      <c r="I38" s="1220" t="str">
        <f ca="1">IFERROR(VLOOKUP(PenaltyData[[#This Row],[Penalty]],PenaltyNames91419[],2,FALSE),"")</f>
        <v>Cut Track</v>
      </c>
      <c r="J38" s="1220" t="s">
        <v>136</v>
      </c>
      <c r="K38" s="1220">
        <f t="shared" si="3"/>
        <v>8</v>
      </c>
      <c r="L38" s="1220"/>
    </row>
    <row r="39" spans="1:14" x14ac:dyDescent="0.25">
      <c r="A39" s="1230">
        <f t="shared" si="0"/>
        <v>42105</v>
      </c>
      <c r="B39" s="1231">
        <f t="shared" si="1"/>
        <v>0.83333333333333337</v>
      </c>
      <c r="C39" s="1220">
        <v>1</v>
      </c>
      <c r="D39" s="1220" t="str">
        <f t="shared" si="2"/>
        <v>Plan B</v>
      </c>
      <c r="E39" s="1220">
        <f ca="1">VALUE(INDIRECT("Penalties!"&amp;PenaltyData[[#This Row],[REF]]&amp;(PenaltyData[[#This Row],[ROW]]+1)))</f>
        <v>0</v>
      </c>
      <c r="F39" s="1220" t="str">
        <f ca="1">IF(INDIRECT("Penalties!"&amp;$N$28&amp;PenaltyData[[#This Row],[ROW]],TRUE)=0, "",INDIRECT("Penalties!"&amp;$N$28&amp;PenaltyData[[#This Row],[ROW]],TRUE))</f>
        <v>17</v>
      </c>
      <c r="G39" s="1220">
        <f ca="1">COUNTIFS($H$1:H39,"&lt;&gt;0", $F$1:F39,PenaltyData[[#This Row],[PlayerIdx]],$D$1:D39,PenaltyData[[#This Row],[Team]])</f>
        <v>1</v>
      </c>
      <c r="H39" s="1220">
        <f ca="1">INDIRECT("Penalties!"&amp;PenaltyData[[#This Row],[REF]]&amp;PenaltyData[[#This Row],[ROW]])</f>
        <v>0</v>
      </c>
      <c r="I39" s="1220" t="str">
        <f ca="1">IFERROR(VLOOKUP(PenaltyData[[#This Row],[Penalty]],PenaltyNames91419[],2,FALSE),"")</f>
        <v/>
      </c>
      <c r="J39" s="1220" t="s">
        <v>142</v>
      </c>
      <c r="K39" s="1220">
        <f t="shared" si="3"/>
        <v>8</v>
      </c>
      <c r="L39" s="1220"/>
      <c r="M39" s="1204"/>
      <c r="N39" s="1216"/>
    </row>
    <row r="40" spans="1:14" x14ac:dyDescent="0.25">
      <c r="A40" s="1230">
        <f t="shared" si="0"/>
        <v>42105</v>
      </c>
      <c r="B40" s="1231">
        <f t="shared" si="1"/>
        <v>0.83333333333333337</v>
      </c>
      <c r="C40" s="1220">
        <v>1</v>
      </c>
      <c r="D40" s="1220" t="str">
        <f t="shared" si="2"/>
        <v>Plan B</v>
      </c>
      <c r="E40" s="1220">
        <f ca="1">VALUE(INDIRECT("Penalties!"&amp;PenaltyData[[#This Row],[REF]]&amp;(PenaltyData[[#This Row],[ROW]]+1)))</f>
        <v>0</v>
      </c>
      <c r="F40" s="1220" t="str">
        <f ca="1">IF(INDIRECT("Penalties!"&amp;$N$28&amp;PenaltyData[[#This Row],[ROW]],TRUE)=0, "",INDIRECT("Penalties!"&amp;$N$28&amp;PenaltyData[[#This Row],[ROW]],TRUE))</f>
        <v>17</v>
      </c>
      <c r="G40" s="1220">
        <f ca="1">COUNTIFS($H$1:H40,"&lt;&gt;0", $F$1:F40,PenaltyData[[#This Row],[PlayerIdx]],$D$1:D40,PenaltyData[[#This Row],[Team]])</f>
        <v>1</v>
      </c>
      <c r="H40" s="1220">
        <f ca="1">INDIRECT("Penalties!"&amp;PenaltyData[[#This Row],[REF]]&amp;PenaltyData[[#This Row],[ROW]])</f>
        <v>0</v>
      </c>
      <c r="I40" s="1220" t="str">
        <f ca="1">IFERROR(VLOOKUP(PenaltyData[[#This Row],[Penalty]],PenaltyNames91419[],2,FALSE),"")</f>
        <v/>
      </c>
      <c r="J40" s="1220" t="s">
        <v>754</v>
      </c>
      <c r="K40" s="1220">
        <f t="shared" si="3"/>
        <v>8</v>
      </c>
      <c r="L40" s="1220"/>
      <c r="M40" s="1204"/>
      <c r="N40" s="1216"/>
    </row>
    <row r="41" spans="1:14" x14ac:dyDescent="0.25">
      <c r="A41" s="1230">
        <f t="shared" si="0"/>
        <v>42105</v>
      </c>
      <c r="B41" s="1231">
        <f t="shared" si="1"/>
        <v>0.83333333333333337</v>
      </c>
      <c r="C41" s="1220">
        <v>1</v>
      </c>
      <c r="D41" s="1220" t="str">
        <f t="shared" si="2"/>
        <v>Plan B</v>
      </c>
      <c r="E41" s="1220">
        <f ca="1">VALUE(INDIRECT("Penalties!"&amp;PenaltyData[[#This Row],[REF]]&amp;(PenaltyData[[#This Row],[ROW]]+1)))</f>
        <v>0</v>
      </c>
      <c r="F41" s="1220" t="str">
        <f ca="1">IF(INDIRECT("Penalties!"&amp;$N$28&amp;PenaltyData[[#This Row],[ROW]],TRUE)=0, "",INDIRECT("Penalties!"&amp;$N$28&amp;PenaltyData[[#This Row],[ROW]],TRUE))</f>
        <v>17</v>
      </c>
      <c r="G41" s="1220">
        <f ca="1">COUNTIFS($H$1:H41,"&lt;&gt;0", $F$1:F41,PenaltyData[[#This Row],[PlayerIdx]],$D$1:D41,PenaltyData[[#This Row],[Team]])</f>
        <v>1</v>
      </c>
      <c r="H41" s="1220">
        <f ca="1">INDIRECT("Penalties!"&amp;PenaltyData[[#This Row],[REF]]&amp;PenaltyData[[#This Row],[ROW]])</f>
        <v>0</v>
      </c>
      <c r="I41" s="1220" t="str">
        <f ca="1">IFERROR(VLOOKUP(PenaltyData[[#This Row],[Penalty]],PenaltyNames91419[],2,FALSE),"")</f>
        <v/>
      </c>
      <c r="J41" s="1220" t="s">
        <v>144</v>
      </c>
      <c r="K41" s="1220">
        <f t="shared" si="3"/>
        <v>8</v>
      </c>
      <c r="L41" s="1220"/>
      <c r="M41" s="1214"/>
    </row>
    <row r="42" spans="1:14" x14ac:dyDescent="0.25">
      <c r="A42" s="1230">
        <f t="shared" si="0"/>
        <v>42105</v>
      </c>
      <c r="B42" s="1231">
        <f t="shared" si="1"/>
        <v>0.83333333333333337</v>
      </c>
      <c r="C42" s="1220">
        <v>1</v>
      </c>
      <c r="D42" s="1220" t="str">
        <f t="shared" si="2"/>
        <v>Plan B</v>
      </c>
      <c r="E42" s="1220">
        <f ca="1">VALUE(INDIRECT("Penalties!"&amp;PenaltyData[[#This Row],[REF]]&amp;(PenaltyData[[#This Row],[ROW]]+1)))</f>
        <v>0</v>
      </c>
      <c r="F42" s="1220" t="str">
        <f ca="1">IF(INDIRECT("Penalties!"&amp;$N$28&amp;PenaltyData[[#This Row],[ROW]],TRUE)=0, "",INDIRECT("Penalties!"&amp;$N$28&amp;PenaltyData[[#This Row],[ROW]],TRUE))</f>
        <v>17</v>
      </c>
      <c r="G42" s="1220">
        <f ca="1">COUNTIFS($H$1:H42,"&lt;&gt;0", $F$1:F42,PenaltyData[[#This Row],[PlayerIdx]],$D$1:D42,PenaltyData[[#This Row],[Team]])</f>
        <v>1</v>
      </c>
      <c r="H42" s="1220">
        <f ca="1">INDIRECT("Penalties!"&amp;PenaltyData[[#This Row],[REF]]&amp;PenaltyData[[#This Row],[ROW]])</f>
        <v>0</v>
      </c>
      <c r="I42" s="1220" t="str">
        <f ca="1">IFERROR(VLOOKUP(PenaltyData[[#This Row],[Penalty]],PenaltyNames91419[],2,FALSE),"")</f>
        <v/>
      </c>
      <c r="J42" s="1220" t="s">
        <v>146</v>
      </c>
      <c r="K42" s="1220">
        <f t="shared" si="3"/>
        <v>8</v>
      </c>
      <c r="L42" s="1220"/>
      <c r="M42" s="1204"/>
      <c r="N42" s="1204"/>
    </row>
    <row r="43" spans="1:14" x14ac:dyDescent="0.25">
      <c r="A43" s="1230">
        <f t="shared" si="0"/>
        <v>42105</v>
      </c>
      <c r="B43" s="1231">
        <f t="shared" si="1"/>
        <v>0.83333333333333337</v>
      </c>
      <c r="C43" s="1220">
        <v>1</v>
      </c>
      <c r="D43" s="1220" t="str">
        <f t="shared" si="2"/>
        <v>Plan B</v>
      </c>
      <c r="E43" s="1220">
        <f ca="1">VALUE(INDIRECT("Penalties!"&amp;PenaltyData[[#This Row],[REF]]&amp;(PenaltyData[[#This Row],[ROW]]+1)))</f>
        <v>0</v>
      </c>
      <c r="F43" s="1220" t="str">
        <f ca="1">IF(INDIRECT("Penalties!"&amp;$N$28&amp;PenaltyData[[#This Row],[ROW]],TRUE)=0, "",INDIRECT("Penalties!"&amp;$N$28&amp;PenaltyData[[#This Row],[ROW]],TRUE))</f>
        <v>17</v>
      </c>
      <c r="G43" s="1220">
        <f ca="1">COUNTIFS($H$1:H43,"&lt;&gt;0", $F$1:F43,PenaltyData[[#This Row],[PlayerIdx]],$D$1:D43,PenaltyData[[#This Row],[Team]])</f>
        <v>1</v>
      </c>
      <c r="H43" s="1220">
        <f ca="1">INDIRECT("Penalties!"&amp;PenaltyData[[#This Row],[REF]]&amp;PenaltyData[[#This Row],[ROW]])</f>
        <v>0</v>
      </c>
      <c r="I43" s="1220" t="str">
        <f ca="1">IFERROR(VLOOKUP(PenaltyData[[#This Row],[Penalty]],PenaltyNames91419[],2,FALSE),"")</f>
        <v/>
      </c>
      <c r="J43" s="1220" t="s">
        <v>164</v>
      </c>
      <c r="K43" s="1220">
        <f t="shared" si="3"/>
        <v>8</v>
      </c>
      <c r="L43" s="1220"/>
    </row>
    <row r="44" spans="1:14" x14ac:dyDescent="0.25">
      <c r="A44" s="1230">
        <f t="shared" si="0"/>
        <v>42105</v>
      </c>
      <c r="B44" s="1231">
        <f t="shared" si="1"/>
        <v>0.83333333333333337</v>
      </c>
      <c r="C44" s="1220">
        <v>1</v>
      </c>
      <c r="D44" s="1220" t="str">
        <f t="shared" si="2"/>
        <v>Plan B</v>
      </c>
      <c r="E44" s="1220">
        <f ca="1">VALUE(INDIRECT("Penalties!"&amp;PenaltyData[[#This Row],[REF]]&amp;(PenaltyData[[#This Row],[ROW]]+1)))</f>
        <v>0</v>
      </c>
      <c r="F44" s="1220" t="str">
        <f ca="1">IF(INDIRECT("Penalties!"&amp;$N$28&amp;PenaltyData[[#This Row],[ROW]],TRUE)=0, "",INDIRECT("Penalties!"&amp;$N$28&amp;PenaltyData[[#This Row],[ROW]],TRUE))</f>
        <v>17</v>
      </c>
      <c r="G44" s="1220">
        <f ca="1">COUNTIFS($H$1:H44,"&lt;&gt;0", $F$1:F44,PenaltyData[[#This Row],[PlayerIdx]],$D$1:D44,PenaltyData[[#This Row],[Team]])</f>
        <v>1</v>
      </c>
      <c r="H44" s="1220">
        <f ca="1">INDIRECT("Penalties!"&amp;PenaltyData[[#This Row],[REF]]&amp;PenaltyData[[#This Row],[ROW]])</f>
        <v>0</v>
      </c>
      <c r="I44" s="1220" t="str">
        <f ca="1">IFERROR(VLOOKUP(PenaltyData[[#This Row],[Penalty]],PenaltyNames91419[],2,FALSE),"")</f>
        <v/>
      </c>
      <c r="J44" s="1220" t="s">
        <v>138</v>
      </c>
      <c r="K44" s="1220">
        <f t="shared" si="3"/>
        <v>8</v>
      </c>
      <c r="L44" s="1220"/>
    </row>
    <row r="45" spans="1:14" x14ac:dyDescent="0.25">
      <c r="A45" s="1230">
        <f t="shared" si="0"/>
        <v>42105</v>
      </c>
      <c r="B45" s="1231">
        <f t="shared" si="1"/>
        <v>0.83333333333333337</v>
      </c>
      <c r="C45" s="1220">
        <v>1</v>
      </c>
      <c r="D45" s="1220" t="str">
        <f t="shared" si="2"/>
        <v>Plan B</v>
      </c>
      <c r="E45" s="1220">
        <f ca="1">VALUE(INDIRECT("Penalties!"&amp;PenaltyData[[#This Row],[REF]]&amp;(PenaltyData[[#This Row],[ROW]]+1)))</f>
        <v>0</v>
      </c>
      <c r="F45" s="1220" t="str">
        <f ca="1">IF(INDIRECT("Penalties!"&amp;$N$28&amp;PenaltyData[[#This Row],[ROW]],TRUE)=0, "",INDIRECT("Penalties!"&amp;$N$28&amp;PenaltyData[[#This Row],[ROW]],TRUE))</f>
        <v>17</v>
      </c>
      <c r="G45" s="1220">
        <f ca="1">COUNTIFS($H$1:H45,"&lt;&gt;0", $F$1:F45,PenaltyData[[#This Row],[PlayerIdx]],$D$1:D45,PenaltyData[[#This Row],[Team]])</f>
        <v>1</v>
      </c>
      <c r="H45" s="1220">
        <f ca="1">INDIRECT("Penalties!"&amp;PenaltyData[[#This Row],[REF]]&amp;PenaltyData[[#This Row],[ROW]])</f>
        <v>0</v>
      </c>
      <c r="I45" s="1220" t="str">
        <f ca="1">IFERROR(VLOOKUP(PenaltyData[[#This Row],[Penalty]],PenaltyNames91419[],2,FALSE),"")</f>
        <v/>
      </c>
      <c r="J45" s="1220" t="s">
        <v>150</v>
      </c>
      <c r="K45" s="1220">
        <f t="shared" si="3"/>
        <v>8</v>
      </c>
      <c r="L45" s="1220"/>
    </row>
    <row r="46" spans="1:14" x14ac:dyDescent="0.25">
      <c r="A46" s="1230">
        <f t="shared" si="0"/>
        <v>42105</v>
      </c>
      <c r="B46" s="1231">
        <f t="shared" si="1"/>
        <v>0.83333333333333337</v>
      </c>
      <c r="C46" s="1220">
        <v>1</v>
      </c>
      <c r="D46" s="1220" t="str">
        <f t="shared" si="2"/>
        <v>Plan B</v>
      </c>
      <c r="E46" s="1220">
        <f ca="1">VALUE(INDIRECT("Penalties!"&amp;PenaltyData[[#This Row],[REF]]&amp;(PenaltyData[[#This Row],[ROW]]+1)))</f>
        <v>0</v>
      </c>
      <c r="F46" s="1220" t="str">
        <f ca="1">IF(INDIRECT("Penalties!"&amp;$N$28&amp;PenaltyData[[#This Row],[ROW]],TRUE)=0, "",INDIRECT("Penalties!"&amp;$N$28&amp;PenaltyData[[#This Row],[ROW]],TRUE))</f>
        <v>17</v>
      </c>
      <c r="G46" s="1220">
        <f ca="1">COUNTIFS($H$1:H46,"&lt;&gt;0", $F$1:F46,PenaltyData[[#This Row],[PlayerIdx]],$D$1:D46,PenaltyData[[#This Row],[Team]])</f>
        <v>1</v>
      </c>
      <c r="H46" s="1220">
        <f ca="1">INDIRECT("Penalties!"&amp;PenaltyData[[#This Row],[REF]]&amp;PenaltyData[[#This Row],[ROW]])</f>
        <v>0</v>
      </c>
      <c r="I46" s="1220" t="str">
        <f ca="1">IFERROR(VLOOKUP(PenaltyData[[#This Row],[Penalty]],PenaltyNames91419[],2,FALSE),"")</f>
        <v/>
      </c>
      <c r="J46" s="1220" t="s">
        <v>757</v>
      </c>
      <c r="K46" s="1220">
        <f t="shared" si="3"/>
        <v>8</v>
      </c>
      <c r="L46" s="1220"/>
    </row>
    <row r="47" spans="1:14" x14ac:dyDescent="0.25">
      <c r="A47" s="1230">
        <f t="shared" si="0"/>
        <v>42105</v>
      </c>
      <c r="B47" s="1231">
        <f t="shared" si="1"/>
        <v>0.83333333333333337</v>
      </c>
      <c r="C47" s="1220">
        <v>2</v>
      </c>
      <c r="D47" s="1220" t="str">
        <f t="shared" si="2"/>
        <v>Plan B</v>
      </c>
      <c r="E47" s="1220">
        <f ca="1">VALUE(INDIRECT("Penalties!"&amp;PenaltyData[[#This Row],[REF]]&amp;(PenaltyData[[#This Row],[ROW]]+1)))</f>
        <v>0</v>
      </c>
      <c r="F47" s="1220" t="str">
        <f ca="1">IF(INDIRECT("Penalties!"&amp;$N$28&amp;PenaltyData[[#This Row],[ROW]],TRUE)=0, "",INDIRECT("Penalties!"&amp;$N$28&amp;PenaltyData[[#This Row],[ROW]],TRUE))</f>
        <v>17</v>
      </c>
      <c r="G47" s="1220">
        <f ca="1">COUNTIFS($H$1:H47,"&lt;&gt;0", $F$1:F47,PenaltyData[[#This Row],[PlayerIdx]],$D$1:D47,PenaltyData[[#This Row],[Team]])</f>
        <v>1</v>
      </c>
      <c r="H47" s="1220">
        <f ca="1">INDIRECT("Penalties!"&amp;PenaltyData[[#This Row],[REF]]&amp;PenaltyData[[#This Row],[ROW]])</f>
        <v>0</v>
      </c>
      <c r="I47" s="1220" t="str">
        <f ca="1">IFERROR(VLOOKUP(PenaltyData[[#This Row],[Penalty]],PenaltyNames91419[],2,FALSE),"")</f>
        <v/>
      </c>
      <c r="J47" s="1220" t="s">
        <v>758</v>
      </c>
      <c r="K47" s="1220">
        <f t="shared" si="3"/>
        <v>8</v>
      </c>
      <c r="L47" s="1220"/>
    </row>
    <row r="48" spans="1:14" x14ac:dyDescent="0.25">
      <c r="A48" s="1230">
        <f t="shared" si="0"/>
        <v>42105</v>
      </c>
      <c r="B48" s="1231">
        <f t="shared" si="1"/>
        <v>0.83333333333333337</v>
      </c>
      <c r="C48" s="1220">
        <v>2</v>
      </c>
      <c r="D48" s="1220" t="str">
        <f t="shared" si="2"/>
        <v>Plan B</v>
      </c>
      <c r="E48" s="1220">
        <f ca="1">VALUE(INDIRECT("Penalties!"&amp;PenaltyData[[#This Row],[REF]]&amp;(PenaltyData[[#This Row],[ROW]]+1)))</f>
        <v>12</v>
      </c>
      <c r="F48" s="1220" t="str">
        <f ca="1">IF(INDIRECT("Penalties!"&amp;$N$28&amp;PenaltyData[[#This Row],[ROW]],TRUE)=0, "",INDIRECT("Penalties!"&amp;$N$28&amp;PenaltyData[[#This Row],[ROW]],TRUE))</f>
        <v>17</v>
      </c>
      <c r="G48" s="1220">
        <f ca="1">COUNTIFS($H$1:H48,"&lt;&gt;0", $F$1:F48,PenaltyData[[#This Row],[PlayerIdx]],$D$1:D48,PenaltyData[[#This Row],[Team]])</f>
        <v>2</v>
      </c>
      <c r="H48" s="1220" t="str">
        <f ca="1">INDIRECT("Penalties!"&amp;PenaltyData[[#This Row],[REF]]&amp;PenaltyData[[#This Row],[ROW]])</f>
        <v>M</v>
      </c>
      <c r="I48" s="1220" t="str">
        <f ca="1">IFERROR(VLOOKUP(PenaltyData[[#This Row],[Penalty]],PenaltyNames91419[],2,FALSE),"")</f>
        <v>Multi-Player</v>
      </c>
      <c r="J48" s="1220" t="s">
        <v>759</v>
      </c>
      <c r="K48" s="1220">
        <f t="shared" si="3"/>
        <v>8</v>
      </c>
      <c r="L48" s="1220"/>
    </row>
    <row r="49" spans="1:12" x14ac:dyDescent="0.25">
      <c r="A49" s="1230">
        <f t="shared" si="0"/>
        <v>42105</v>
      </c>
      <c r="B49" s="1231">
        <f t="shared" si="1"/>
        <v>0.83333333333333337</v>
      </c>
      <c r="C49" s="1220">
        <v>2</v>
      </c>
      <c r="D49" s="1220" t="str">
        <f t="shared" si="2"/>
        <v>Plan B</v>
      </c>
      <c r="E49" s="1220">
        <f ca="1">VALUE(INDIRECT("Penalties!"&amp;PenaltyData[[#This Row],[REF]]&amp;(PenaltyData[[#This Row],[ROW]]+1)))</f>
        <v>0</v>
      </c>
      <c r="F49" s="1220" t="str">
        <f ca="1">IF(INDIRECT("Penalties!"&amp;$N$28&amp;PenaltyData[[#This Row],[ROW]],TRUE)=0, "",INDIRECT("Penalties!"&amp;$N$28&amp;PenaltyData[[#This Row],[ROW]],TRUE))</f>
        <v>17</v>
      </c>
      <c r="G49" s="1220">
        <f ca="1">COUNTIFS($H$1:H49,"&lt;&gt;0", $F$1:F49,PenaltyData[[#This Row],[PlayerIdx]],$D$1:D49,PenaltyData[[#This Row],[Team]])</f>
        <v>2</v>
      </c>
      <c r="H49" s="1220">
        <f ca="1">INDIRECT("Penalties!"&amp;PenaltyData[[#This Row],[REF]]&amp;PenaltyData[[#This Row],[ROW]])</f>
        <v>0</v>
      </c>
      <c r="I49" s="1220" t="str">
        <f ca="1">IFERROR(VLOOKUP(PenaltyData[[#This Row],[Penalty]],PenaltyNames91419[],2,FALSE),"")</f>
        <v/>
      </c>
      <c r="J49" s="1220" t="s">
        <v>760</v>
      </c>
      <c r="K49" s="1220">
        <f t="shared" si="3"/>
        <v>8</v>
      </c>
      <c r="L49" s="1220"/>
    </row>
    <row r="50" spans="1:12" x14ac:dyDescent="0.25">
      <c r="A50" s="1230">
        <f t="shared" si="0"/>
        <v>42105</v>
      </c>
      <c r="B50" s="1231">
        <f t="shared" si="1"/>
        <v>0.83333333333333337</v>
      </c>
      <c r="C50" s="1220">
        <v>2</v>
      </c>
      <c r="D50" s="1220" t="str">
        <f t="shared" si="2"/>
        <v>Plan B</v>
      </c>
      <c r="E50" s="1220">
        <f ca="1">VALUE(INDIRECT("Penalties!"&amp;PenaltyData[[#This Row],[REF]]&amp;(PenaltyData[[#This Row],[ROW]]+1)))</f>
        <v>0</v>
      </c>
      <c r="F50" s="1220" t="str">
        <f ca="1">IF(INDIRECT("Penalties!"&amp;$N$28&amp;PenaltyData[[#This Row],[ROW]],TRUE)=0, "",INDIRECT("Penalties!"&amp;$N$28&amp;PenaltyData[[#This Row],[ROW]],TRUE))</f>
        <v>17</v>
      </c>
      <c r="G50" s="1220">
        <f ca="1">COUNTIFS($H$1:H50,"&lt;&gt;0", $F$1:F50,PenaltyData[[#This Row],[PlayerIdx]],$D$1:D50,PenaltyData[[#This Row],[Team]])</f>
        <v>2</v>
      </c>
      <c r="H50" s="1220">
        <f ca="1">INDIRECT("Penalties!"&amp;PenaltyData[[#This Row],[REF]]&amp;PenaltyData[[#This Row],[ROW]])</f>
        <v>0</v>
      </c>
      <c r="I50" s="1220" t="str">
        <f ca="1">IFERROR(VLOOKUP(PenaltyData[[#This Row],[Penalty]],PenaltyNames91419[],2,FALSE),"")</f>
        <v/>
      </c>
      <c r="J50" s="1220" t="s">
        <v>761</v>
      </c>
      <c r="K50" s="1220">
        <f t="shared" si="3"/>
        <v>8</v>
      </c>
      <c r="L50" s="1220"/>
    </row>
    <row r="51" spans="1:12" x14ac:dyDescent="0.25">
      <c r="A51" s="1230">
        <f t="shared" si="0"/>
        <v>42105</v>
      </c>
      <c r="B51" s="1231">
        <f t="shared" si="1"/>
        <v>0.83333333333333337</v>
      </c>
      <c r="C51" s="1220">
        <v>2</v>
      </c>
      <c r="D51" s="1220" t="str">
        <f t="shared" si="2"/>
        <v>Plan B</v>
      </c>
      <c r="E51" s="1220">
        <f ca="1">VALUE(INDIRECT("Penalties!"&amp;PenaltyData[[#This Row],[REF]]&amp;(PenaltyData[[#This Row],[ROW]]+1)))</f>
        <v>0</v>
      </c>
      <c r="F51" s="1220" t="str">
        <f ca="1">IF(INDIRECT("Penalties!"&amp;$N$28&amp;PenaltyData[[#This Row],[ROW]],TRUE)=0, "",INDIRECT("Penalties!"&amp;$N$28&amp;PenaltyData[[#This Row],[ROW]],TRUE))</f>
        <v>17</v>
      </c>
      <c r="G51" s="1220">
        <f ca="1">COUNTIFS($H$1:H51,"&lt;&gt;0", $F$1:F51,PenaltyData[[#This Row],[PlayerIdx]],$D$1:D51,PenaltyData[[#This Row],[Team]])</f>
        <v>2</v>
      </c>
      <c r="H51" s="1220">
        <f ca="1">INDIRECT("Penalties!"&amp;PenaltyData[[#This Row],[REF]]&amp;PenaltyData[[#This Row],[ROW]])</f>
        <v>0</v>
      </c>
      <c r="I51" s="1220" t="str">
        <f ca="1">IFERROR(VLOOKUP(PenaltyData[[#This Row],[Penalty]],PenaltyNames91419[],2,FALSE),"")</f>
        <v/>
      </c>
      <c r="J51" s="1220" t="s">
        <v>762</v>
      </c>
      <c r="K51" s="1220">
        <f t="shared" si="3"/>
        <v>8</v>
      </c>
      <c r="L51" s="1220"/>
    </row>
    <row r="52" spans="1:12" x14ac:dyDescent="0.25">
      <c r="A52" s="1230">
        <f t="shared" si="0"/>
        <v>42105</v>
      </c>
      <c r="B52" s="1231">
        <f t="shared" si="1"/>
        <v>0.83333333333333337</v>
      </c>
      <c r="C52" s="1220">
        <v>2</v>
      </c>
      <c r="D52" s="1220" t="str">
        <f t="shared" si="2"/>
        <v>Plan B</v>
      </c>
      <c r="E52" s="1220">
        <f ca="1">VALUE(INDIRECT("Penalties!"&amp;PenaltyData[[#This Row],[REF]]&amp;(PenaltyData[[#This Row],[ROW]]+1)))</f>
        <v>0</v>
      </c>
      <c r="F52" s="1220" t="str">
        <f ca="1">IF(INDIRECT("Penalties!"&amp;$N$28&amp;PenaltyData[[#This Row],[ROW]],TRUE)=0, "",INDIRECT("Penalties!"&amp;$N$28&amp;PenaltyData[[#This Row],[ROW]],TRUE))</f>
        <v>17</v>
      </c>
      <c r="G52" s="1220">
        <f ca="1">COUNTIFS($H$1:H52,"&lt;&gt;0", $F$1:F52,PenaltyData[[#This Row],[PlayerIdx]],$D$1:D52,PenaltyData[[#This Row],[Team]])</f>
        <v>2</v>
      </c>
      <c r="H52" s="1220">
        <f ca="1">INDIRECT("Penalties!"&amp;PenaltyData[[#This Row],[REF]]&amp;PenaltyData[[#This Row],[ROW]])</f>
        <v>0</v>
      </c>
      <c r="I52" s="1220" t="str">
        <f ca="1">IFERROR(VLOOKUP(PenaltyData[[#This Row],[Penalty]],PenaltyNames91419[],2,FALSE),"")</f>
        <v/>
      </c>
      <c r="J52" s="1220" t="s">
        <v>763</v>
      </c>
      <c r="K52" s="1220">
        <f t="shared" si="3"/>
        <v>8</v>
      </c>
      <c r="L52" s="1220"/>
    </row>
    <row r="53" spans="1:12" x14ac:dyDescent="0.25">
      <c r="A53" s="1230">
        <f t="shared" si="0"/>
        <v>42105</v>
      </c>
      <c r="B53" s="1231">
        <f t="shared" si="1"/>
        <v>0.83333333333333337</v>
      </c>
      <c r="C53" s="1220">
        <v>2</v>
      </c>
      <c r="D53" s="1220" t="str">
        <f t="shared" si="2"/>
        <v>Plan B</v>
      </c>
      <c r="E53" s="1220">
        <f ca="1">VALUE(INDIRECT("Penalties!"&amp;PenaltyData[[#This Row],[REF]]&amp;(PenaltyData[[#This Row],[ROW]]+1)))</f>
        <v>0</v>
      </c>
      <c r="F53" s="1220" t="str">
        <f ca="1">IF(INDIRECT("Penalties!"&amp;$N$28&amp;PenaltyData[[#This Row],[ROW]],TRUE)=0, "",INDIRECT("Penalties!"&amp;$N$28&amp;PenaltyData[[#This Row],[ROW]],TRUE))</f>
        <v>17</v>
      </c>
      <c r="G53" s="1220">
        <f ca="1">COUNTIFS($H$1:H53,"&lt;&gt;0", $F$1:F53,PenaltyData[[#This Row],[PlayerIdx]],$D$1:D53,PenaltyData[[#This Row],[Team]])</f>
        <v>2</v>
      </c>
      <c r="H53" s="1220">
        <f ca="1">INDIRECT("Penalties!"&amp;PenaltyData[[#This Row],[REF]]&amp;PenaltyData[[#This Row],[ROW]])</f>
        <v>0</v>
      </c>
      <c r="I53" s="1220" t="str">
        <f ca="1">IFERROR(VLOOKUP(PenaltyData[[#This Row],[Penalty]],PenaltyNames91419[],2,FALSE),"")</f>
        <v/>
      </c>
      <c r="J53" s="1220" t="s">
        <v>765</v>
      </c>
      <c r="K53" s="1220">
        <f t="shared" si="3"/>
        <v>8</v>
      </c>
      <c r="L53" s="1220"/>
    </row>
    <row r="54" spans="1:12" x14ac:dyDescent="0.25">
      <c r="A54" s="1230">
        <f t="shared" si="0"/>
        <v>42105</v>
      </c>
      <c r="B54" s="1231">
        <f t="shared" si="1"/>
        <v>0.83333333333333337</v>
      </c>
      <c r="C54" s="1220">
        <v>2</v>
      </c>
      <c r="D54" s="1220" t="str">
        <f t="shared" si="2"/>
        <v>Plan B</v>
      </c>
      <c r="E54" s="1220">
        <f ca="1">VALUE(INDIRECT("Penalties!"&amp;PenaltyData[[#This Row],[REF]]&amp;(PenaltyData[[#This Row],[ROW]]+1)))</f>
        <v>0</v>
      </c>
      <c r="F54" s="1220" t="str">
        <f ca="1">IF(INDIRECT("Penalties!"&amp;$N$28&amp;PenaltyData[[#This Row],[ROW]],TRUE)=0, "",INDIRECT("Penalties!"&amp;$N$28&amp;PenaltyData[[#This Row],[ROW]],TRUE))</f>
        <v>17</v>
      </c>
      <c r="G54" s="1220">
        <f ca="1">COUNTIFS($H$1:H54,"&lt;&gt;0", $F$1:F54,PenaltyData[[#This Row],[PlayerIdx]],$D$1:D54,PenaltyData[[#This Row],[Team]])</f>
        <v>2</v>
      </c>
      <c r="H54" s="1220">
        <f ca="1">INDIRECT("Penalties!"&amp;PenaltyData[[#This Row],[REF]]&amp;PenaltyData[[#This Row],[ROW]])</f>
        <v>0</v>
      </c>
      <c r="I54" s="1220" t="str">
        <f ca="1">IFERROR(VLOOKUP(PenaltyData[[#This Row],[Penalty]],PenaltyNames91419[],2,FALSE),"")</f>
        <v/>
      </c>
      <c r="J54" s="1220" t="s">
        <v>766</v>
      </c>
      <c r="K54" s="1220">
        <f t="shared" si="3"/>
        <v>8</v>
      </c>
      <c r="L54" s="1220"/>
    </row>
    <row r="55" spans="1:12" x14ac:dyDescent="0.25">
      <c r="A55" s="1230">
        <f t="shared" si="0"/>
        <v>42105</v>
      </c>
      <c r="B55" s="1231">
        <f t="shared" si="1"/>
        <v>0.83333333333333337</v>
      </c>
      <c r="C55" s="1220">
        <v>2</v>
      </c>
      <c r="D55" s="1220" t="str">
        <f t="shared" si="2"/>
        <v>Plan B</v>
      </c>
      <c r="E55" s="1220">
        <f ca="1">VALUE(INDIRECT("Penalties!"&amp;PenaltyData[[#This Row],[REF]]&amp;(PenaltyData[[#This Row],[ROW]]+1)))</f>
        <v>0</v>
      </c>
      <c r="F55" s="1220" t="str">
        <f ca="1">IF(INDIRECT("Penalties!"&amp;$N$28&amp;PenaltyData[[#This Row],[ROW]],TRUE)=0, "",INDIRECT("Penalties!"&amp;$N$28&amp;PenaltyData[[#This Row],[ROW]],TRUE))</f>
        <v>17</v>
      </c>
      <c r="G55" s="1220">
        <f ca="1">COUNTIFS($H$1:H55,"&lt;&gt;0", $F$1:F55,PenaltyData[[#This Row],[PlayerIdx]],$D$1:D55,PenaltyData[[#This Row],[Team]])</f>
        <v>2</v>
      </c>
      <c r="H55" s="1220">
        <f ca="1">INDIRECT("Penalties!"&amp;PenaltyData[[#This Row],[REF]]&amp;PenaltyData[[#This Row],[ROW]])</f>
        <v>0</v>
      </c>
      <c r="I55" s="1220" t="str">
        <f ca="1">IFERROR(VLOOKUP(PenaltyData[[#This Row],[Penalty]],PenaltyNames91419[],2,FALSE),"")</f>
        <v/>
      </c>
      <c r="J55" s="1220" t="s">
        <v>767</v>
      </c>
      <c r="K55" s="1220">
        <f t="shared" si="3"/>
        <v>8</v>
      </c>
      <c r="L55" s="1220"/>
    </row>
    <row r="56" spans="1:12" x14ac:dyDescent="0.25">
      <c r="A56" s="1230">
        <f t="shared" si="0"/>
        <v>42105</v>
      </c>
      <c r="B56" s="1231">
        <f t="shared" si="1"/>
        <v>0.83333333333333337</v>
      </c>
      <c r="C56" s="1220">
        <v>1</v>
      </c>
      <c r="D56" s="1220" t="str">
        <f t="shared" si="2"/>
        <v>Plan B</v>
      </c>
      <c r="E56" s="1220">
        <f ca="1">VALUE(INDIRECT("Penalties!"&amp;PenaltyData[[#This Row],[REF]]&amp;(PenaltyData[[#This Row],[ROW]]+1)))</f>
        <v>0</v>
      </c>
      <c r="F56" s="1220" t="str">
        <f ca="1">IF(INDIRECT("Penalties!"&amp;$N$28&amp;PenaltyData[[#This Row],[ROW]],TRUE)=0, "",INDIRECT("Penalties!"&amp;$N$28&amp;PenaltyData[[#This Row],[ROW]],TRUE))</f>
        <v>19</v>
      </c>
      <c r="G56" s="1220">
        <f ca="1">COUNTIFS($H$1:H56,"&lt;&gt;0", $F$1:F56,PenaltyData[[#This Row],[PlayerIdx]],$D$1:D56,PenaltyData[[#This Row],[Team]])</f>
        <v>0</v>
      </c>
      <c r="H56" s="1220">
        <f ca="1">INDIRECT("Penalties!"&amp;PenaltyData[[#This Row],[REF]]&amp;PenaltyData[[#This Row],[ROW]])</f>
        <v>0</v>
      </c>
      <c r="I56" s="1220" t="str">
        <f ca="1">IFERROR(VLOOKUP(PenaltyData[[#This Row],[Penalty]],PenaltyNames91419[],2,FALSE),"")</f>
        <v/>
      </c>
      <c r="J56" s="1220" t="s">
        <v>136</v>
      </c>
      <c r="K56" s="1220">
        <f t="shared" si="3"/>
        <v>10</v>
      </c>
      <c r="L56" s="1220"/>
    </row>
    <row r="57" spans="1:12" x14ac:dyDescent="0.25">
      <c r="A57" s="1230">
        <f t="shared" si="0"/>
        <v>42105</v>
      </c>
      <c r="B57" s="1231">
        <f t="shared" si="1"/>
        <v>0.83333333333333337</v>
      </c>
      <c r="C57" s="1220">
        <v>1</v>
      </c>
      <c r="D57" s="1220" t="str">
        <f t="shared" si="2"/>
        <v>Plan B</v>
      </c>
      <c r="E57" s="1220">
        <f ca="1">VALUE(INDIRECT("Penalties!"&amp;PenaltyData[[#This Row],[REF]]&amp;(PenaltyData[[#This Row],[ROW]]+1)))</f>
        <v>0</v>
      </c>
      <c r="F57" s="1220" t="str">
        <f ca="1">IF(INDIRECT("Penalties!"&amp;$N$28&amp;PenaltyData[[#This Row],[ROW]],TRUE)=0, "",INDIRECT("Penalties!"&amp;$N$28&amp;PenaltyData[[#This Row],[ROW]],TRUE))</f>
        <v>19</v>
      </c>
      <c r="G57" s="1220">
        <f ca="1">COUNTIFS($H$1:H57,"&lt;&gt;0", $F$1:F57,PenaltyData[[#This Row],[PlayerIdx]],$D$1:D57,PenaltyData[[#This Row],[Team]])</f>
        <v>0</v>
      </c>
      <c r="H57" s="1220">
        <f ca="1">INDIRECT("Penalties!"&amp;PenaltyData[[#This Row],[REF]]&amp;PenaltyData[[#This Row],[ROW]])</f>
        <v>0</v>
      </c>
      <c r="I57" s="1220" t="str">
        <f ca="1">IFERROR(VLOOKUP(PenaltyData[[#This Row],[Penalty]],PenaltyNames91419[],2,FALSE),"")</f>
        <v/>
      </c>
      <c r="J57" s="1220" t="s">
        <v>142</v>
      </c>
      <c r="K57" s="1220">
        <f t="shared" si="3"/>
        <v>10</v>
      </c>
      <c r="L57" s="1220"/>
    </row>
    <row r="58" spans="1:12" x14ac:dyDescent="0.25">
      <c r="A58" s="1230">
        <f t="shared" si="0"/>
        <v>42105</v>
      </c>
      <c r="B58" s="1231">
        <f t="shared" si="1"/>
        <v>0.83333333333333337</v>
      </c>
      <c r="C58" s="1220">
        <v>1</v>
      </c>
      <c r="D58" s="1220" t="str">
        <f t="shared" si="2"/>
        <v>Plan B</v>
      </c>
      <c r="E58" s="1220">
        <f ca="1">VALUE(INDIRECT("Penalties!"&amp;PenaltyData[[#This Row],[REF]]&amp;(PenaltyData[[#This Row],[ROW]]+1)))</f>
        <v>0</v>
      </c>
      <c r="F58" s="1220" t="str">
        <f ca="1">IF(INDIRECT("Penalties!"&amp;$N$28&amp;PenaltyData[[#This Row],[ROW]],TRUE)=0, "",INDIRECT("Penalties!"&amp;$N$28&amp;PenaltyData[[#This Row],[ROW]],TRUE))</f>
        <v>19</v>
      </c>
      <c r="G58" s="1220">
        <f ca="1">COUNTIFS($H$1:H58,"&lt;&gt;0", $F$1:F58,PenaltyData[[#This Row],[PlayerIdx]],$D$1:D58,PenaltyData[[#This Row],[Team]])</f>
        <v>0</v>
      </c>
      <c r="H58" s="1220">
        <f ca="1">INDIRECT("Penalties!"&amp;PenaltyData[[#This Row],[REF]]&amp;PenaltyData[[#This Row],[ROW]])</f>
        <v>0</v>
      </c>
      <c r="I58" s="1220" t="str">
        <f ca="1">IFERROR(VLOOKUP(PenaltyData[[#This Row],[Penalty]],PenaltyNames91419[],2,FALSE),"")</f>
        <v/>
      </c>
      <c r="J58" s="1220" t="s">
        <v>754</v>
      </c>
      <c r="K58" s="1220">
        <f t="shared" si="3"/>
        <v>10</v>
      </c>
      <c r="L58" s="1220"/>
    </row>
    <row r="59" spans="1:12" x14ac:dyDescent="0.25">
      <c r="A59" s="1230">
        <f t="shared" si="0"/>
        <v>42105</v>
      </c>
      <c r="B59" s="1231">
        <f t="shared" si="1"/>
        <v>0.83333333333333337</v>
      </c>
      <c r="C59" s="1220">
        <v>1</v>
      </c>
      <c r="D59" s="1220" t="str">
        <f t="shared" si="2"/>
        <v>Plan B</v>
      </c>
      <c r="E59" s="1220">
        <f ca="1">VALUE(INDIRECT("Penalties!"&amp;PenaltyData[[#This Row],[REF]]&amp;(PenaltyData[[#This Row],[ROW]]+1)))</f>
        <v>0</v>
      </c>
      <c r="F59" s="1220" t="str">
        <f ca="1">IF(INDIRECT("Penalties!"&amp;$N$28&amp;PenaltyData[[#This Row],[ROW]],TRUE)=0, "",INDIRECT("Penalties!"&amp;$N$28&amp;PenaltyData[[#This Row],[ROW]],TRUE))</f>
        <v>19</v>
      </c>
      <c r="G59" s="1220">
        <f ca="1">COUNTIFS($H$1:H59,"&lt;&gt;0", $F$1:F59,PenaltyData[[#This Row],[PlayerIdx]],$D$1:D59,PenaltyData[[#This Row],[Team]])</f>
        <v>0</v>
      </c>
      <c r="H59" s="1220">
        <f ca="1">INDIRECT("Penalties!"&amp;PenaltyData[[#This Row],[REF]]&amp;PenaltyData[[#This Row],[ROW]])</f>
        <v>0</v>
      </c>
      <c r="I59" s="1220" t="str">
        <f ca="1">IFERROR(VLOOKUP(PenaltyData[[#This Row],[Penalty]],PenaltyNames91419[],2,FALSE),"")</f>
        <v/>
      </c>
      <c r="J59" s="1220" t="s">
        <v>144</v>
      </c>
      <c r="K59" s="1220">
        <f t="shared" si="3"/>
        <v>10</v>
      </c>
      <c r="L59" s="1220"/>
    </row>
    <row r="60" spans="1:12" x14ac:dyDescent="0.25">
      <c r="A60" s="1230">
        <f t="shared" si="0"/>
        <v>42105</v>
      </c>
      <c r="B60" s="1231">
        <f t="shared" si="1"/>
        <v>0.83333333333333337</v>
      </c>
      <c r="C60" s="1220">
        <v>1</v>
      </c>
      <c r="D60" s="1220" t="str">
        <f t="shared" si="2"/>
        <v>Plan B</v>
      </c>
      <c r="E60" s="1220">
        <f ca="1">VALUE(INDIRECT("Penalties!"&amp;PenaltyData[[#This Row],[REF]]&amp;(PenaltyData[[#This Row],[ROW]]+1)))</f>
        <v>0</v>
      </c>
      <c r="F60" s="1220" t="str">
        <f ca="1">IF(INDIRECT("Penalties!"&amp;$N$28&amp;PenaltyData[[#This Row],[ROW]],TRUE)=0, "",INDIRECT("Penalties!"&amp;$N$28&amp;PenaltyData[[#This Row],[ROW]],TRUE))</f>
        <v>19</v>
      </c>
      <c r="G60" s="1220">
        <f ca="1">COUNTIFS($H$1:H60,"&lt;&gt;0", $F$1:F60,PenaltyData[[#This Row],[PlayerIdx]],$D$1:D60,PenaltyData[[#This Row],[Team]])</f>
        <v>0</v>
      </c>
      <c r="H60" s="1220">
        <f ca="1">INDIRECT("Penalties!"&amp;PenaltyData[[#This Row],[REF]]&amp;PenaltyData[[#This Row],[ROW]])</f>
        <v>0</v>
      </c>
      <c r="I60" s="1220" t="str">
        <f ca="1">IFERROR(VLOOKUP(PenaltyData[[#This Row],[Penalty]],PenaltyNames91419[],2,FALSE),"")</f>
        <v/>
      </c>
      <c r="J60" s="1220" t="s">
        <v>146</v>
      </c>
      <c r="K60" s="1220">
        <f t="shared" si="3"/>
        <v>10</v>
      </c>
      <c r="L60" s="1220"/>
    </row>
    <row r="61" spans="1:12" x14ac:dyDescent="0.25">
      <c r="A61" s="1230">
        <f t="shared" si="0"/>
        <v>42105</v>
      </c>
      <c r="B61" s="1231">
        <f t="shared" si="1"/>
        <v>0.83333333333333337</v>
      </c>
      <c r="C61" s="1220">
        <v>1</v>
      </c>
      <c r="D61" s="1220" t="str">
        <f t="shared" si="2"/>
        <v>Plan B</v>
      </c>
      <c r="E61" s="1220">
        <f ca="1">VALUE(INDIRECT("Penalties!"&amp;PenaltyData[[#This Row],[REF]]&amp;(PenaltyData[[#This Row],[ROW]]+1)))</f>
        <v>0</v>
      </c>
      <c r="F61" s="1220" t="str">
        <f ca="1">IF(INDIRECT("Penalties!"&amp;$N$28&amp;PenaltyData[[#This Row],[ROW]],TRUE)=0, "",INDIRECT("Penalties!"&amp;$N$28&amp;PenaltyData[[#This Row],[ROW]],TRUE))</f>
        <v>19</v>
      </c>
      <c r="G61" s="1220">
        <f ca="1">COUNTIFS($H$1:H61,"&lt;&gt;0", $F$1:F61,PenaltyData[[#This Row],[PlayerIdx]],$D$1:D61,PenaltyData[[#This Row],[Team]])</f>
        <v>0</v>
      </c>
      <c r="H61" s="1220">
        <f ca="1">INDIRECT("Penalties!"&amp;PenaltyData[[#This Row],[REF]]&amp;PenaltyData[[#This Row],[ROW]])</f>
        <v>0</v>
      </c>
      <c r="I61" s="1220" t="str">
        <f ca="1">IFERROR(VLOOKUP(PenaltyData[[#This Row],[Penalty]],PenaltyNames91419[],2,FALSE),"")</f>
        <v/>
      </c>
      <c r="J61" s="1220" t="s">
        <v>164</v>
      </c>
      <c r="K61" s="1220">
        <f t="shared" si="3"/>
        <v>10</v>
      </c>
      <c r="L61" s="1220"/>
    </row>
    <row r="62" spans="1:12" x14ac:dyDescent="0.25">
      <c r="A62" s="1230">
        <f t="shared" si="0"/>
        <v>42105</v>
      </c>
      <c r="B62" s="1231">
        <f t="shared" si="1"/>
        <v>0.83333333333333337</v>
      </c>
      <c r="C62" s="1220">
        <v>1</v>
      </c>
      <c r="D62" s="1220" t="str">
        <f t="shared" si="2"/>
        <v>Plan B</v>
      </c>
      <c r="E62" s="1220">
        <f ca="1">VALUE(INDIRECT("Penalties!"&amp;PenaltyData[[#This Row],[REF]]&amp;(PenaltyData[[#This Row],[ROW]]+1)))</f>
        <v>0</v>
      </c>
      <c r="F62" s="1220" t="str">
        <f ca="1">IF(INDIRECT("Penalties!"&amp;$N$28&amp;PenaltyData[[#This Row],[ROW]],TRUE)=0, "",INDIRECT("Penalties!"&amp;$N$28&amp;PenaltyData[[#This Row],[ROW]],TRUE))</f>
        <v>19</v>
      </c>
      <c r="G62" s="1220">
        <f ca="1">COUNTIFS($H$1:H62,"&lt;&gt;0", $F$1:F62,PenaltyData[[#This Row],[PlayerIdx]],$D$1:D62,PenaltyData[[#This Row],[Team]])</f>
        <v>0</v>
      </c>
      <c r="H62" s="1220">
        <f ca="1">INDIRECT("Penalties!"&amp;PenaltyData[[#This Row],[REF]]&amp;PenaltyData[[#This Row],[ROW]])</f>
        <v>0</v>
      </c>
      <c r="I62" s="1220" t="str">
        <f ca="1">IFERROR(VLOOKUP(PenaltyData[[#This Row],[Penalty]],PenaltyNames91419[],2,FALSE),"")</f>
        <v/>
      </c>
      <c r="J62" s="1220" t="s">
        <v>138</v>
      </c>
      <c r="K62" s="1220">
        <f t="shared" si="3"/>
        <v>10</v>
      </c>
      <c r="L62" s="1220"/>
    </row>
    <row r="63" spans="1:12" x14ac:dyDescent="0.25">
      <c r="A63" s="1230">
        <f t="shared" si="0"/>
        <v>42105</v>
      </c>
      <c r="B63" s="1231">
        <f t="shared" si="1"/>
        <v>0.83333333333333337</v>
      </c>
      <c r="C63" s="1220">
        <v>1</v>
      </c>
      <c r="D63" s="1220" t="str">
        <f t="shared" si="2"/>
        <v>Plan B</v>
      </c>
      <c r="E63" s="1220">
        <f ca="1">VALUE(INDIRECT("Penalties!"&amp;PenaltyData[[#This Row],[REF]]&amp;(PenaltyData[[#This Row],[ROW]]+1)))</f>
        <v>0</v>
      </c>
      <c r="F63" s="1220" t="str">
        <f ca="1">IF(INDIRECT("Penalties!"&amp;$N$28&amp;PenaltyData[[#This Row],[ROW]],TRUE)=0, "",INDIRECT("Penalties!"&amp;$N$28&amp;PenaltyData[[#This Row],[ROW]],TRUE))</f>
        <v>19</v>
      </c>
      <c r="G63" s="1220">
        <f ca="1">COUNTIFS($H$1:H63,"&lt;&gt;0", $F$1:F63,PenaltyData[[#This Row],[PlayerIdx]],$D$1:D63,PenaltyData[[#This Row],[Team]])</f>
        <v>0</v>
      </c>
      <c r="H63" s="1220">
        <f ca="1">INDIRECT("Penalties!"&amp;PenaltyData[[#This Row],[REF]]&amp;PenaltyData[[#This Row],[ROW]])</f>
        <v>0</v>
      </c>
      <c r="I63" s="1220" t="str">
        <f ca="1">IFERROR(VLOOKUP(PenaltyData[[#This Row],[Penalty]],PenaltyNames91419[],2,FALSE),"")</f>
        <v/>
      </c>
      <c r="J63" s="1220" t="s">
        <v>150</v>
      </c>
      <c r="K63" s="1220">
        <f t="shared" si="3"/>
        <v>10</v>
      </c>
      <c r="L63" s="1220"/>
    </row>
    <row r="64" spans="1:12" x14ac:dyDescent="0.25">
      <c r="A64" s="1230">
        <f t="shared" si="0"/>
        <v>42105</v>
      </c>
      <c r="B64" s="1231">
        <f t="shared" si="1"/>
        <v>0.83333333333333337</v>
      </c>
      <c r="C64" s="1220">
        <v>1</v>
      </c>
      <c r="D64" s="1220" t="str">
        <f t="shared" si="2"/>
        <v>Plan B</v>
      </c>
      <c r="E64" s="1220">
        <f ca="1">VALUE(INDIRECT("Penalties!"&amp;PenaltyData[[#This Row],[REF]]&amp;(PenaltyData[[#This Row],[ROW]]+1)))</f>
        <v>0</v>
      </c>
      <c r="F64" s="1220" t="str">
        <f ca="1">IF(INDIRECT("Penalties!"&amp;$N$28&amp;PenaltyData[[#This Row],[ROW]],TRUE)=0, "",INDIRECT("Penalties!"&amp;$N$28&amp;PenaltyData[[#This Row],[ROW]],TRUE))</f>
        <v>19</v>
      </c>
      <c r="G64" s="1220">
        <f ca="1">COUNTIFS($H$1:H64,"&lt;&gt;0", $F$1:F64,PenaltyData[[#This Row],[PlayerIdx]],$D$1:D64,PenaltyData[[#This Row],[Team]])</f>
        <v>0</v>
      </c>
      <c r="H64" s="1220">
        <f ca="1">INDIRECT("Penalties!"&amp;PenaltyData[[#This Row],[REF]]&amp;PenaltyData[[#This Row],[ROW]])</f>
        <v>0</v>
      </c>
      <c r="I64" s="1220" t="str">
        <f ca="1">IFERROR(VLOOKUP(PenaltyData[[#This Row],[Penalty]],PenaltyNames91419[],2,FALSE),"")</f>
        <v/>
      </c>
      <c r="J64" s="1220" t="s">
        <v>757</v>
      </c>
      <c r="K64" s="1220">
        <f t="shared" si="3"/>
        <v>10</v>
      </c>
      <c r="L64" s="1220"/>
    </row>
    <row r="65" spans="1:12" x14ac:dyDescent="0.25">
      <c r="A65" s="1230">
        <f t="shared" si="0"/>
        <v>42105</v>
      </c>
      <c r="B65" s="1231">
        <f t="shared" si="1"/>
        <v>0.83333333333333337</v>
      </c>
      <c r="C65" s="1220">
        <v>2</v>
      </c>
      <c r="D65" s="1220" t="str">
        <f t="shared" si="2"/>
        <v>Plan B</v>
      </c>
      <c r="E65" s="1220">
        <f ca="1">VALUE(INDIRECT("Penalties!"&amp;PenaltyData[[#This Row],[REF]]&amp;(PenaltyData[[#This Row],[ROW]]+1)))</f>
        <v>13</v>
      </c>
      <c r="F65" s="1220" t="str">
        <f ca="1">IF(INDIRECT("Penalties!"&amp;$N$28&amp;PenaltyData[[#This Row],[ROW]],TRUE)=0, "",INDIRECT("Penalties!"&amp;$N$28&amp;PenaltyData[[#This Row],[ROW]],TRUE))</f>
        <v>19</v>
      </c>
      <c r="G65" s="1220">
        <f ca="1">COUNTIFS($H$1:H65,"&lt;&gt;0", $F$1:F65,PenaltyData[[#This Row],[PlayerIdx]],$D$1:D65,PenaltyData[[#This Row],[Team]])</f>
        <v>1</v>
      </c>
      <c r="H65" s="1220" t="str">
        <f ca="1">INDIRECT("Penalties!"&amp;PenaltyData[[#This Row],[REF]]&amp;PenaltyData[[#This Row],[ROW]])</f>
        <v>B</v>
      </c>
      <c r="I65" s="1220" t="str">
        <f ca="1">IFERROR(VLOOKUP(PenaltyData[[#This Row],[Penalty]],PenaltyNames91419[],2,FALSE),"")</f>
        <v>Back Block</v>
      </c>
      <c r="J65" s="1220" t="s">
        <v>758</v>
      </c>
      <c r="K65" s="1220">
        <f t="shared" si="3"/>
        <v>10</v>
      </c>
      <c r="L65" s="1220"/>
    </row>
    <row r="66" spans="1:12" x14ac:dyDescent="0.25">
      <c r="A66" s="1230">
        <f t="shared" si="0"/>
        <v>42105</v>
      </c>
      <c r="B66" s="1231">
        <f t="shared" si="1"/>
        <v>0.83333333333333337</v>
      </c>
      <c r="C66" s="1220">
        <v>2</v>
      </c>
      <c r="D66" s="1220" t="str">
        <f t="shared" si="2"/>
        <v>Plan B</v>
      </c>
      <c r="E66" s="1220">
        <f ca="1">VALUE(INDIRECT("Penalties!"&amp;PenaltyData[[#This Row],[REF]]&amp;(PenaltyData[[#This Row],[ROW]]+1)))</f>
        <v>0</v>
      </c>
      <c r="F66" s="1220" t="str">
        <f ca="1">IF(INDIRECT("Penalties!"&amp;$N$28&amp;PenaltyData[[#This Row],[ROW]],TRUE)=0, "",INDIRECT("Penalties!"&amp;$N$28&amp;PenaltyData[[#This Row],[ROW]],TRUE))</f>
        <v>19</v>
      </c>
      <c r="G66" s="1220">
        <f ca="1">COUNTIFS($H$1:H66,"&lt;&gt;0", $F$1:F66,PenaltyData[[#This Row],[PlayerIdx]],$D$1:D66,PenaltyData[[#This Row],[Team]])</f>
        <v>1</v>
      </c>
      <c r="H66" s="1220">
        <f ca="1">INDIRECT("Penalties!"&amp;PenaltyData[[#This Row],[REF]]&amp;PenaltyData[[#This Row],[ROW]])</f>
        <v>0</v>
      </c>
      <c r="I66" s="1220" t="str">
        <f ca="1">IFERROR(VLOOKUP(PenaltyData[[#This Row],[Penalty]],PenaltyNames91419[],2,FALSE),"")</f>
        <v/>
      </c>
      <c r="J66" s="1220" t="s">
        <v>759</v>
      </c>
      <c r="K66" s="1220">
        <f t="shared" si="3"/>
        <v>10</v>
      </c>
      <c r="L66" s="1220"/>
    </row>
    <row r="67" spans="1:12" x14ac:dyDescent="0.25">
      <c r="A67" s="1230">
        <f t="shared" si="0"/>
        <v>42105</v>
      </c>
      <c r="B67" s="1231">
        <f t="shared" si="1"/>
        <v>0.83333333333333337</v>
      </c>
      <c r="C67" s="1220">
        <v>2</v>
      </c>
      <c r="D67" s="1220" t="str">
        <f t="shared" ref="D67:D130" si="4">$O$2</f>
        <v>Plan B</v>
      </c>
      <c r="E67" s="1220">
        <f ca="1">VALUE(INDIRECT("Penalties!"&amp;PenaltyData[[#This Row],[REF]]&amp;(PenaltyData[[#This Row],[ROW]]+1)))</f>
        <v>0</v>
      </c>
      <c r="F67" s="1220" t="str">
        <f ca="1">IF(INDIRECT("Penalties!"&amp;$N$28&amp;PenaltyData[[#This Row],[ROW]],TRUE)=0, "",INDIRECT("Penalties!"&amp;$N$28&amp;PenaltyData[[#This Row],[ROW]],TRUE))</f>
        <v>19</v>
      </c>
      <c r="G67" s="1220">
        <f ca="1">COUNTIFS($H$1:H67,"&lt;&gt;0", $F$1:F67,PenaltyData[[#This Row],[PlayerIdx]],$D$1:D67,PenaltyData[[#This Row],[Team]])</f>
        <v>1</v>
      </c>
      <c r="H67" s="1220">
        <f ca="1">INDIRECT("Penalties!"&amp;PenaltyData[[#This Row],[REF]]&amp;PenaltyData[[#This Row],[ROW]])</f>
        <v>0</v>
      </c>
      <c r="I67" s="1220" t="str">
        <f ca="1">IFERROR(VLOOKUP(PenaltyData[[#This Row],[Penalty]],PenaltyNames91419[],2,FALSE),"")</f>
        <v/>
      </c>
      <c r="J67" s="1220" t="s">
        <v>760</v>
      </c>
      <c r="K67" s="1220">
        <f t="shared" si="3"/>
        <v>10</v>
      </c>
      <c r="L67" s="1220"/>
    </row>
    <row r="68" spans="1:12" x14ac:dyDescent="0.25">
      <c r="A68" s="1230">
        <f t="shared" si="0"/>
        <v>42105</v>
      </c>
      <c r="B68" s="1231">
        <f t="shared" si="1"/>
        <v>0.83333333333333337</v>
      </c>
      <c r="C68" s="1220">
        <v>2</v>
      </c>
      <c r="D68" s="1220" t="str">
        <f t="shared" si="4"/>
        <v>Plan B</v>
      </c>
      <c r="E68" s="1220">
        <f ca="1">VALUE(INDIRECT("Penalties!"&amp;PenaltyData[[#This Row],[REF]]&amp;(PenaltyData[[#This Row],[ROW]]+1)))</f>
        <v>0</v>
      </c>
      <c r="F68" s="1220" t="str">
        <f ca="1">IF(INDIRECT("Penalties!"&amp;$N$28&amp;PenaltyData[[#This Row],[ROW]],TRUE)=0, "",INDIRECT("Penalties!"&amp;$N$28&amp;PenaltyData[[#This Row],[ROW]],TRUE))</f>
        <v>19</v>
      </c>
      <c r="G68" s="1220">
        <f ca="1">COUNTIFS($H$1:H68,"&lt;&gt;0", $F$1:F68,PenaltyData[[#This Row],[PlayerIdx]],$D$1:D68,PenaltyData[[#This Row],[Team]])</f>
        <v>1</v>
      </c>
      <c r="H68" s="1220">
        <f ca="1">INDIRECT("Penalties!"&amp;PenaltyData[[#This Row],[REF]]&amp;PenaltyData[[#This Row],[ROW]])</f>
        <v>0</v>
      </c>
      <c r="I68" s="1220" t="str">
        <f ca="1">IFERROR(VLOOKUP(PenaltyData[[#This Row],[Penalty]],PenaltyNames91419[],2,FALSE),"")</f>
        <v/>
      </c>
      <c r="J68" s="1220" t="s">
        <v>761</v>
      </c>
      <c r="K68" s="1220">
        <f t="shared" si="3"/>
        <v>10</v>
      </c>
      <c r="L68" s="1220"/>
    </row>
    <row r="69" spans="1:12" x14ac:dyDescent="0.25">
      <c r="A69" s="1230">
        <f t="shared" si="0"/>
        <v>42105</v>
      </c>
      <c r="B69" s="1231">
        <f t="shared" si="1"/>
        <v>0.83333333333333337</v>
      </c>
      <c r="C69" s="1220">
        <v>2</v>
      </c>
      <c r="D69" s="1220" t="str">
        <f t="shared" si="4"/>
        <v>Plan B</v>
      </c>
      <c r="E69" s="1220">
        <f ca="1">VALUE(INDIRECT("Penalties!"&amp;PenaltyData[[#This Row],[REF]]&amp;(PenaltyData[[#This Row],[ROW]]+1)))</f>
        <v>0</v>
      </c>
      <c r="F69" s="1220" t="str">
        <f ca="1">IF(INDIRECT("Penalties!"&amp;$N$28&amp;PenaltyData[[#This Row],[ROW]],TRUE)=0, "",INDIRECT("Penalties!"&amp;$N$28&amp;PenaltyData[[#This Row],[ROW]],TRUE))</f>
        <v>19</v>
      </c>
      <c r="G69" s="1220">
        <f ca="1">COUNTIFS($H$1:H69,"&lt;&gt;0", $F$1:F69,PenaltyData[[#This Row],[PlayerIdx]],$D$1:D69,PenaltyData[[#This Row],[Team]])</f>
        <v>1</v>
      </c>
      <c r="H69" s="1220">
        <f ca="1">INDIRECT("Penalties!"&amp;PenaltyData[[#This Row],[REF]]&amp;PenaltyData[[#This Row],[ROW]])</f>
        <v>0</v>
      </c>
      <c r="I69" s="1220" t="str">
        <f ca="1">IFERROR(VLOOKUP(PenaltyData[[#This Row],[Penalty]],PenaltyNames91419[],2,FALSE),"")</f>
        <v/>
      </c>
      <c r="J69" s="1220" t="s">
        <v>762</v>
      </c>
      <c r="K69" s="1220">
        <f t="shared" si="3"/>
        <v>10</v>
      </c>
      <c r="L69" s="1220"/>
    </row>
    <row r="70" spans="1:12" x14ac:dyDescent="0.25">
      <c r="A70" s="1230">
        <f t="shared" ref="A70:A133" si="5">$N$1</f>
        <v>42105</v>
      </c>
      <c r="B70" s="1231">
        <f t="shared" ref="B70:B133" si="6">$O$1</f>
        <v>0.83333333333333337</v>
      </c>
      <c r="C70" s="1220">
        <v>2</v>
      </c>
      <c r="D70" s="1220" t="str">
        <f t="shared" si="4"/>
        <v>Plan B</v>
      </c>
      <c r="E70" s="1220">
        <f ca="1">VALUE(INDIRECT("Penalties!"&amp;PenaltyData[[#This Row],[REF]]&amp;(PenaltyData[[#This Row],[ROW]]+1)))</f>
        <v>0</v>
      </c>
      <c r="F70" s="1220" t="str">
        <f ca="1">IF(INDIRECT("Penalties!"&amp;$N$28&amp;PenaltyData[[#This Row],[ROW]],TRUE)=0, "",INDIRECT("Penalties!"&amp;$N$28&amp;PenaltyData[[#This Row],[ROW]],TRUE))</f>
        <v>19</v>
      </c>
      <c r="G70" s="1220">
        <f ca="1">COUNTIFS($H$1:H70,"&lt;&gt;0", $F$1:F70,PenaltyData[[#This Row],[PlayerIdx]],$D$1:D70,PenaltyData[[#This Row],[Team]])</f>
        <v>1</v>
      </c>
      <c r="H70" s="1220">
        <f ca="1">INDIRECT("Penalties!"&amp;PenaltyData[[#This Row],[REF]]&amp;PenaltyData[[#This Row],[ROW]])</f>
        <v>0</v>
      </c>
      <c r="I70" s="1220" t="str">
        <f ca="1">IFERROR(VLOOKUP(PenaltyData[[#This Row],[Penalty]],PenaltyNames91419[],2,FALSE),"")</f>
        <v/>
      </c>
      <c r="J70" s="1220" t="s">
        <v>763</v>
      </c>
      <c r="K70" s="1220">
        <f t="shared" si="3"/>
        <v>10</v>
      </c>
      <c r="L70" s="1220"/>
    </row>
    <row r="71" spans="1:12" x14ac:dyDescent="0.25">
      <c r="A71" s="1230">
        <f t="shared" si="5"/>
        <v>42105</v>
      </c>
      <c r="B71" s="1231">
        <f t="shared" si="6"/>
        <v>0.83333333333333337</v>
      </c>
      <c r="C71" s="1220">
        <v>2</v>
      </c>
      <c r="D71" s="1220" t="str">
        <f t="shared" si="4"/>
        <v>Plan B</v>
      </c>
      <c r="E71" s="1220">
        <f ca="1">VALUE(INDIRECT("Penalties!"&amp;PenaltyData[[#This Row],[REF]]&amp;(PenaltyData[[#This Row],[ROW]]+1)))</f>
        <v>0</v>
      </c>
      <c r="F71" s="1220" t="str">
        <f ca="1">IF(INDIRECT("Penalties!"&amp;$N$28&amp;PenaltyData[[#This Row],[ROW]],TRUE)=0, "",INDIRECT("Penalties!"&amp;$N$28&amp;PenaltyData[[#This Row],[ROW]],TRUE))</f>
        <v>19</v>
      </c>
      <c r="G71" s="1220">
        <f ca="1">COUNTIFS($H$1:H71,"&lt;&gt;0", $F$1:F71,PenaltyData[[#This Row],[PlayerIdx]],$D$1:D71,PenaltyData[[#This Row],[Team]])</f>
        <v>1</v>
      </c>
      <c r="H71" s="1220">
        <f ca="1">INDIRECT("Penalties!"&amp;PenaltyData[[#This Row],[REF]]&amp;PenaltyData[[#This Row],[ROW]])</f>
        <v>0</v>
      </c>
      <c r="I71" s="1220" t="str">
        <f ca="1">IFERROR(VLOOKUP(PenaltyData[[#This Row],[Penalty]],PenaltyNames91419[],2,FALSE),"")</f>
        <v/>
      </c>
      <c r="J71" s="1220" t="s">
        <v>765</v>
      </c>
      <c r="K71" s="1220">
        <f t="shared" si="3"/>
        <v>10</v>
      </c>
      <c r="L71" s="1220"/>
    </row>
    <row r="72" spans="1:12" x14ac:dyDescent="0.25">
      <c r="A72" s="1230">
        <f t="shared" si="5"/>
        <v>42105</v>
      </c>
      <c r="B72" s="1231">
        <f t="shared" si="6"/>
        <v>0.83333333333333337</v>
      </c>
      <c r="C72" s="1220">
        <v>2</v>
      </c>
      <c r="D72" s="1220" t="str">
        <f t="shared" si="4"/>
        <v>Plan B</v>
      </c>
      <c r="E72" s="1220">
        <f ca="1">VALUE(INDIRECT("Penalties!"&amp;PenaltyData[[#This Row],[REF]]&amp;(PenaltyData[[#This Row],[ROW]]+1)))</f>
        <v>0</v>
      </c>
      <c r="F72" s="1220" t="str">
        <f ca="1">IF(INDIRECT("Penalties!"&amp;$N$28&amp;PenaltyData[[#This Row],[ROW]],TRUE)=0, "",INDIRECT("Penalties!"&amp;$N$28&amp;PenaltyData[[#This Row],[ROW]],TRUE))</f>
        <v>19</v>
      </c>
      <c r="G72" s="1220">
        <f ca="1">COUNTIFS($H$1:H72,"&lt;&gt;0", $F$1:F72,PenaltyData[[#This Row],[PlayerIdx]],$D$1:D72,PenaltyData[[#This Row],[Team]])</f>
        <v>1</v>
      </c>
      <c r="H72" s="1220">
        <f ca="1">INDIRECT("Penalties!"&amp;PenaltyData[[#This Row],[REF]]&amp;PenaltyData[[#This Row],[ROW]])</f>
        <v>0</v>
      </c>
      <c r="I72" s="1220" t="str">
        <f ca="1">IFERROR(VLOOKUP(PenaltyData[[#This Row],[Penalty]],PenaltyNames91419[],2,FALSE),"")</f>
        <v/>
      </c>
      <c r="J72" s="1220" t="s">
        <v>766</v>
      </c>
      <c r="K72" s="1220">
        <f t="shared" si="3"/>
        <v>10</v>
      </c>
      <c r="L72" s="1220"/>
    </row>
    <row r="73" spans="1:12" x14ac:dyDescent="0.25">
      <c r="A73" s="1230">
        <f t="shared" si="5"/>
        <v>42105</v>
      </c>
      <c r="B73" s="1231">
        <f t="shared" si="6"/>
        <v>0.83333333333333337</v>
      </c>
      <c r="C73" s="1220">
        <v>2</v>
      </c>
      <c r="D73" s="1220" t="str">
        <f t="shared" si="4"/>
        <v>Plan B</v>
      </c>
      <c r="E73" s="1220">
        <f ca="1">VALUE(INDIRECT("Penalties!"&amp;PenaltyData[[#This Row],[REF]]&amp;(PenaltyData[[#This Row],[ROW]]+1)))</f>
        <v>0</v>
      </c>
      <c r="F73" s="1220" t="str">
        <f ca="1">IF(INDIRECT("Penalties!"&amp;$N$28&amp;PenaltyData[[#This Row],[ROW]],TRUE)=0, "",INDIRECT("Penalties!"&amp;$N$28&amp;PenaltyData[[#This Row],[ROW]],TRUE))</f>
        <v>19</v>
      </c>
      <c r="G73" s="1220">
        <f ca="1">COUNTIFS($H$1:H73,"&lt;&gt;0", $F$1:F73,PenaltyData[[#This Row],[PlayerIdx]],$D$1:D73,PenaltyData[[#This Row],[Team]])</f>
        <v>1</v>
      </c>
      <c r="H73" s="1220">
        <f ca="1">INDIRECT("Penalties!"&amp;PenaltyData[[#This Row],[REF]]&amp;PenaltyData[[#This Row],[ROW]])</f>
        <v>0</v>
      </c>
      <c r="I73" s="1220" t="str">
        <f ca="1">IFERROR(VLOOKUP(PenaltyData[[#This Row],[Penalty]],PenaltyNames91419[],2,FALSE),"")</f>
        <v/>
      </c>
      <c r="J73" s="1220" t="s">
        <v>767</v>
      </c>
      <c r="K73" s="1220">
        <f t="shared" si="3"/>
        <v>10</v>
      </c>
      <c r="L73" s="1220"/>
    </row>
    <row r="74" spans="1:12" x14ac:dyDescent="0.25">
      <c r="A74" s="1230">
        <f t="shared" si="5"/>
        <v>42105</v>
      </c>
      <c r="B74" s="1231">
        <f t="shared" si="6"/>
        <v>0.83333333333333337</v>
      </c>
      <c r="C74" s="1220">
        <v>1</v>
      </c>
      <c r="D74" s="1220" t="str">
        <f t="shared" si="4"/>
        <v>Plan B</v>
      </c>
      <c r="E74" s="1220">
        <f ca="1">VALUE(INDIRECT("Penalties!"&amp;PenaltyData[[#This Row],[REF]]&amp;(PenaltyData[[#This Row],[ROW]]+1)))</f>
        <v>5</v>
      </c>
      <c r="F74" s="1220" t="str">
        <f ca="1">IF(INDIRECT("Penalties!"&amp;$N$28&amp;PenaltyData[[#This Row],[ROW]],TRUE)=0, "",INDIRECT("Penalties!"&amp;$N$28&amp;PenaltyData[[#This Row],[ROW]],TRUE))</f>
        <v>20</v>
      </c>
      <c r="G74" s="1220">
        <f ca="1">COUNTIFS($H$1:H74,"&lt;&gt;0", $F$1:F74,PenaltyData[[#This Row],[PlayerIdx]],$D$1:D74,PenaltyData[[#This Row],[Team]])</f>
        <v>1</v>
      </c>
      <c r="H74" s="1220" t="str">
        <f ca="1">INDIRECT("Penalties!"&amp;PenaltyData[[#This Row],[REF]]&amp;PenaltyData[[#This Row],[ROW]])</f>
        <v>P</v>
      </c>
      <c r="I74" s="1220" t="str">
        <f ca="1">IFERROR(VLOOKUP(PenaltyData[[#This Row],[Penalty]],PenaltyNames91419[],2,FALSE),"")</f>
        <v>Out of Play</v>
      </c>
      <c r="J74" s="1220" t="s">
        <v>136</v>
      </c>
      <c r="K74" s="1220">
        <f t="shared" si="3"/>
        <v>12</v>
      </c>
      <c r="L74" s="1220"/>
    </row>
    <row r="75" spans="1:12" x14ac:dyDescent="0.25">
      <c r="A75" s="1230">
        <f t="shared" si="5"/>
        <v>42105</v>
      </c>
      <c r="B75" s="1231">
        <f t="shared" si="6"/>
        <v>0.83333333333333337</v>
      </c>
      <c r="C75" s="1220">
        <v>1</v>
      </c>
      <c r="D75" s="1220" t="str">
        <f t="shared" si="4"/>
        <v>Plan B</v>
      </c>
      <c r="E75" s="1220">
        <f ca="1">VALUE(INDIRECT("Penalties!"&amp;PenaltyData[[#This Row],[REF]]&amp;(PenaltyData[[#This Row],[ROW]]+1)))</f>
        <v>0</v>
      </c>
      <c r="F75" s="1220" t="str">
        <f ca="1">IF(INDIRECT("Penalties!"&amp;$N$28&amp;PenaltyData[[#This Row],[ROW]],TRUE)=0, "",INDIRECT("Penalties!"&amp;$N$28&amp;PenaltyData[[#This Row],[ROW]],TRUE))</f>
        <v>20</v>
      </c>
      <c r="G75" s="1220">
        <f ca="1">COUNTIFS($H$1:H75,"&lt;&gt;0", $F$1:F75,PenaltyData[[#This Row],[PlayerIdx]],$D$1:D75,PenaltyData[[#This Row],[Team]])</f>
        <v>1</v>
      </c>
      <c r="H75" s="1220">
        <f ca="1">INDIRECT("Penalties!"&amp;PenaltyData[[#This Row],[REF]]&amp;PenaltyData[[#This Row],[ROW]])</f>
        <v>0</v>
      </c>
      <c r="I75" s="1220" t="str">
        <f ca="1">IFERROR(VLOOKUP(PenaltyData[[#This Row],[Penalty]],PenaltyNames91419[],2,FALSE),"")</f>
        <v/>
      </c>
      <c r="J75" s="1220" t="s">
        <v>142</v>
      </c>
      <c r="K75" s="1220">
        <f t="shared" si="3"/>
        <v>12</v>
      </c>
      <c r="L75" s="1220"/>
    </row>
    <row r="76" spans="1:12" x14ac:dyDescent="0.25">
      <c r="A76" s="1230">
        <f t="shared" si="5"/>
        <v>42105</v>
      </c>
      <c r="B76" s="1231">
        <f t="shared" si="6"/>
        <v>0.83333333333333337</v>
      </c>
      <c r="C76" s="1220">
        <v>1</v>
      </c>
      <c r="D76" s="1220" t="str">
        <f t="shared" si="4"/>
        <v>Plan B</v>
      </c>
      <c r="E76" s="1220">
        <f ca="1">VALUE(INDIRECT("Penalties!"&amp;PenaltyData[[#This Row],[REF]]&amp;(PenaltyData[[#This Row],[ROW]]+1)))</f>
        <v>0</v>
      </c>
      <c r="F76" s="1220" t="str">
        <f ca="1">IF(INDIRECT("Penalties!"&amp;$N$28&amp;PenaltyData[[#This Row],[ROW]],TRUE)=0, "",INDIRECT("Penalties!"&amp;$N$28&amp;PenaltyData[[#This Row],[ROW]],TRUE))</f>
        <v>20</v>
      </c>
      <c r="G76" s="1220">
        <f ca="1">COUNTIFS($H$1:H76,"&lt;&gt;0", $F$1:F76,PenaltyData[[#This Row],[PlayerIdx]],$D$1:D76,PenaltyData[[#This Row],[Team]])</f>
        <v>1</v>
      </c>
      <c r="H76" s="1220">
        <f ca="1">INDIRECT("Penalties!"&amp;PenaltyData[[#This Row],[REF]]&amp;PenaltyData[[#This Row],[ROW]])</f>
        <v>0</v>
      </c>
      <c r="I76" s="1220" t="str">
        <f ca="1">IFERROR(VLOOKUP(PenaltyData[[#This Row],[Penalty]],PenaltyNames91419[],2,FALSE),"")</f>
        <v/>
      </c>
      <c r="J76" s="1220" t="s">
        <v>754</v>
      </c>
      <c r="K76" s="1220">
        <f t="shared" si="3"/>
        <v>12</v>
      </c>
      <c r="L76" s="1220"/>
    </row>
    <row r="77" spans="1:12" x14ac:dyDescent="0.25">
      <c r="A77" s="1230">
        <f t="shared" si="5"/>
        <v>42105</v>
      </c>
      <c r="B77" s="1231">
        <f t="shared" si="6"/>
        <v>0.83333333333333337</v>
      </c>
      <c r="C77" s="1220">
        <v>1</v>
      </c>
      <c r="D77" s="1220" t="str">
        <f t="shared" si="4"/>
        <v>Plan B</v>
      </c>
      <c r="E77" s="1220">
        <f ca="1">VALUE(INDIRECT("Penalties!"&amp;PenaltyData[[#This Row],[REF]]&amp;(PenaltyData[[#This Row],[ROW]]+1)))</f>
        <v>0</v>
      </c>
      <c r="F77" s="1220" t="str">
        <f ca="1">IF(INDIRECT("Penalties!"&amp;$N$28&amp;PenaltyData[[#This Row],[ROW]],TRUE)=0, "",INDIRECT("Penalties!"&amp;$N$28&amp;PenaltyData[[#This Row],[ROW]],TRUE))</f>
        <v>20</v>
      </c>
      <c r="G77" s="1220">
        <f ca="1">COUNTIFS($H$1:H77,"&lt;&gt;0", $F$1:F77,PenaltyData[[#This Row],[PlayerIdx]],$D$1:D77,PenaltyData[[#This Row],[Team]])</f>
        <v>1</v>
      </c>
      <c r="H77" s="1220">
        <f ca="1">INDIRECT("Penalties!"&amp;PenaltyData[[#This Row],[REF]]&amp;PenaltyData[[#This Row],[ROW]])</f>
        <v>0</v>
      </c>
      <c r="I77" s="1220" t="str">
        <f ca="1">IFERROR(VLOOKUP(PenaltyData[[#This Row],[Penalty]],PenaltyNames91419[],2,FALSE),"")</f>
        <v/>
      </c>
      <c r="J77" s="1220" t="s">
        <v>144</v>
      </c>
      <c r="K77" s="1220">
        <f t="shared" si="3"/>
        <v>12</v>
      </c>
      <c r="L77" s="1220"/>
    </row>
    <row r="78" spans="1:12" x14ac:dyDescent="0.25">
      <c r="A78" s="1230">
        <f t="shared" si="5"/>
        <v>42105</v>
      </c>
      <c r="B78" s="1231">
        <f t="shared" si="6"/>
        <v>0.83333333333333337</v>
      </c>
      <c r="C78" s="1220">
        <v>1</v>
      </c>
      <c r="D78" s="1220" t="str">
        <f t="shared" si="4"/>
        <v>Plan B</v>
      </c>
      <c r="E78" s="1220">
        <f ca="1">VALUE(INDIRECT("Penalties!"&amp;PenaltyData[[#This Row],[REF]]&amp;(PenaltyData[[#This Row],[ROW]]+1)))</f>
        <v>0</v>
      </c>
      <c r="F78" s="1220" t="str">
        <f ca="1">IF(INDIRECT("Penalties!"&amp;$N$28&amp;PenaltyData[[#This Row],[ROW]],TRUE)=0, "",INDIRECT("Penalties!"&amp;$N$28&amp;PenaltyData[[#This Row],[ROW]],TRUE))</f>
        <v>20</v>
      </c>
      <c r="G78" s="1220">
        <f ca="1">COUNTIFS($H$1:H78,"&lt;&gt;0", $F$1:F78,PenaltyData[[#This Row],[PlayerIdx]],$D$1:D78,PenaltyData[[#This Row],[Team]])</f>
        <v>1</v>
      </c>
      <c r="H78" s="1220">
        <f ca="1">INDIRECT("Penalties!"&amp;PenaltyData[[#This Row],[REF]]&amp;PenaltyData[[#This Row],[ROW]])</f>
        <v>0</v>
      </c>
      <c r="I78" s="1220" t="str">
        <f ca="1">IFERROR(VLOOKUP(PenaltyData[[#This Row],[Penalty]],PenaltyNames91419[],2,FALSE),"")</f>
        <v/>
      </c>
      <c r="J78" s="1220" t="s">
        <v>146</v>
      </c>
      <c r="K78" s="1220">
        <f t="shared" si="3"/>
        <v>12</v>
      </c>
      <c r="L78" s="1220"/>
    </row>
    <row r="79" spans="1:12" x14ac:dyDescent="0.25">
      <c r="A79" s="1230">
        <f t="shared" si="5"/>
        <v>42105</v>
      </c>
      <c r="B79" s="1231">
        <f t="shared" si="6"/>
        <v>0.83333333333333337</v>
      </c>
      <c r="C79" s="1220">
        <v>1</v>
      </c>
      <c r="D79" s="1220" t="str">
        <f t="shared" si="4"/>
        <v>Plan B</v>
      </c>
      <c r="E79" s="1220">
        <f ca="1">VALUE(INDIRECT("Penalties!"&amp;PenaltyData[[#This Row],[REF]]&amp;(PenaltyData[[#This Row],[ROW]]+1)))</f>
        <v>0</v>
      </c>
      <c r="F79" s="1220" t="str">
        <f ca="1">IF(INDIRECT("Penalties!"&amp;$N$28&amp;PenaltyData[[#This Row],[ROW]],TRUE)=0, "",INDIRECT("Penalties!"&amp;$N$28&amp;PenaltyData[[#This Row],[ROW]],TRUE))</f>
        <v>20</v>
      </c>
      <c r="G79" s="1220">
        <f ca="1">COUNTIFS($H$1:H79,"&lt;&gt;0", $F$1:F79,PenaltyData[[#This Row],[PlayerIdx]],$D$1:D79,PenaltyData[[#This Row],[Team]])</f>
        <v>1</v>
      </c>
      <c r="H79" s="1220">
        <f ca="1">INDIRECT("Penalties!"&amp;PenaltyData[[#This Row],[REF]]&amp;PenaltyData[[#This Row],[ROW]])</f>
        <v>0</v>
      </c>
      <c r="I79" s="1220" t="str">
        <f ca="1">IFERROR(VLOOKUP(PenaltyData[[#This Row],[Penalty]],PenaltyNames91419[],2,FALSE),"")</f>
        <v/>
      </c>
      <c r="J79" s="1220" t="s">
        <v>164</v>
      </c>
      <c r="K79" s="1220">
        <f t="shared" si="3"/>
        <v>12</v>
      </c>
      <c r="L79" s="1220"/>
    </row>
    <row r="80" spans="1:12" x14ac:dyDescent="0.25">
      <c r="A80" s="1230">
        <f t="shared" si="5"/>
        <v>42105</v>
      </c>
      <c r="B80" s="1231">
        <f t="shared" si="6"/>
        <v>0.83333333333333337</v>
      </c>
      <c r="C80" s="1220">
        <v>1</v>
      </c>
      <c r="D80" s="1220" t="str">
        <f t="shared" si="4"/>
        <v>Plan B</v>
      </c>
      <c r="E80" s="1220">
        <f ca="1">VALUE(INDIRECT("Penalties!"&amp;PenaltyData[[#This Row],[REF]]&amp;(PenaltyData[[#This Row],[ROW]]+1)))</f>
        <v>0</v>
      </c>
      <c r="F80" s="1220" t="str">
        <f ca="1">IF(INDIRECT("Penalties!"&amp;$N$28&amp;PenaltyData[[#This Row],[ROW]],TRUE)=0, "",INDIRECT("Penalties!"&amp;$N$28&amp;PenaltyData[[#This Row],[ROW]],TRUE))</f>
        <v>20</v>
      </c>
      <c r="G80" s="1220">
        <f ca="1">COUNTIFS($H$1:H80,"&lt;&gt;0", $F$1:F80,PenaltyData[[#This Row],[PlayerIdx]],$D$1:D80,PenaltyData[[#This Row],[Team]])</f>
        <v>1</v>
      </c>
      <c r="H80" s="1220">
        <f ca="1">INDIRECT("Penalties!"&amp;PenaltyData[[#This Row],[REF]]&amp;PenaltyData[[#This Row],[ROW]])</f>
        <v>0</v>
      </c>
      <c r="I80" s="1220" t="str">
        <f ca="1">IFERROR(VLOOKUP(PenaltyData[[#This Row],[Penalty]],PenaltyNames91419[],2,FALSE),"")</f>
        <v/>
      </c>
      <c r="J80" s="1220" t="s">
        <v>138</v>
      </c>
      <c r="K80" s="1220">
        <f t="shared" si="3"/>
        <v>12</v>
      </c>
      <c r="L80" s="1220"/>
    </row>
    <row r="81" spans="1:12" x14ac:dyDescent="0.25">
      <c r="A81" s="1230">
        <f t="shared" si="5"/>
        <v>42105</v>
      </c>
      <c r="B81" s="1231">
        <f t="shared" si="6"/>
        <v>0.83333333333333337</v>
      </c>
      <c r="C81" s="1220">
        <v>1</v>
      </c>
      <c r="D81" s="1220" t="str">
        <f t="shared" si="4"/>
        <v>Plan B</v>
      </c>
      <c r="E81" s="1220">
        <f ca="1">VALUE(INDIRECT("Penalties!"&amp;PenaltyData[[#This Row],[REF]]&amp;(PenaltyData[[#This Row],[ROW]]+1)))</f>
        <v>0</v>
      </c>
      <c r="F81" s="1220" t="str">
        <f ca="1">IF(INDIRECT("Penalties!"&amp;$N$28&amp;PenaltyData[[#This Row],[ROW]],TRUE)=0, "",INDIRECT("Penalties!"&amp;$N$28&amp;PenaltyData[[#This Row],[ROW]],TRUE))</f>
        <v>20</v>
      </c>
      <c r="G81" s="1220">
        <f ca="1">COUNTIFS($H$1:H81,"&lt;&gt;0", $F$1:F81,PenaltyData[[#This Row],[PlayerIdx]],$D$1:D81,PenaltyData[[#This Row],[Team]])</f>
        <v>1</v>
      </c>
      <c r="H81" s="1220">
        <f ca="1">INDIRECT("Penalties!"&amp;PenaltyData[[#This Row],[REF]]&amp;PenaltyData[[#This Row],[ROW]])</f>
        <v>0</v>
      </c>
      <c r="I81" s="1220" t="str">
        <f ca="1">IFERROR(VLOOKUP(PenaltyData[[#This Row],[Penalty]],PenaltyNames91419[],2,FALSE),"")</f>
        <v/>
      </c>
      <c r="J81" s="1220" t="s">
        <v>150</v>
      </c>
      <c r="K81" s="1220">
        <f t="shared" si="3"/>
        <v>12</v>
      </c>
      <c r="L81" s="1220"/>
    </row>
    <row r="82" spans="1:12" x14ac:dyDescent="0.25">
      <c r="A82" s="1230">
        <f t="shared" si="5"/>
        <v>42105</v>
      </c>
      <c r="B82" s="1231">
        <f t="shared" si="6"/>
        <v>0.83333333333333337</v>
      </c>
      <c r="C82" s="1220">
        <v>1</v>
      </c>
      <c r="D82" s="1220" t="str">
        <f t="shared" si="4"/>
        <v>Plan B</v>
      </c>
      <c r="E82" s="1220">
        <f ca="1">VALUE(INDIRECT("Penalties!"&amp;PenaltyData[[#This Row],[REF]]&amp;(PenaltyData[[#This Row],[ROW]]+1)))</f>
        <v>0</v>
      </c>
      <c r="F82" s="1220" t="str">
        <f ca="1">IF(INDIRECT("Penalties!"&amp;$N$28&amp;PenaltyData[[#This Row],[ROW]],TRUE)=0, "",INDIRECT("Penalties!"&amp;$N$28&amp;PenaltyData[[#This Row],[ROW]],TRUE))</f>
        <v>20</v>
      </c>
      <c r="G82" s="1220">
        <f ca="1">COUNTIFS($H$1:H82,"&lt;&gt;0", $F$1:F82,PenaltyData[[#This Row],[PlayerIdx]],$D$1:D82,PenaltyData[[#This Row],[Team]])</f>
        <v>1</v>
      </c>
      <c r="H82" s="1220">
        <f ca="1">INDIRECT("Penalties!"&amp;PenaltyData[[#This Row],[REF]]&amp;PenaltyData[[#This Row],[ROW]])</f>
        <v>0</v>
      </c>
      <c r="I82" s="1220" t="str">
        <f ca="1">IFERROR(VLOOKUP(PenaltyData[[#This Row],[Penalty]],PenaltyNames91419[],2,FALSE),"")</f>
        <v/>
      </c>
      <c r="J82" s="1220" t="s">
        <v>757</v>
      </c>
      <c r="K82" s="1220">
        <f t="shared" si="3"/>
        <v>12</v>
      </c>
      <c r="L82" s="1220"/>
    </row>
    <row r="83" spans="1:12" x14ac:dyDescent="0.25">
      <c r="A83" s="1230">
        <f t="shared" si="5"/>
        <v>42105</v>
      </c>
      <c r="B83" s="1231">
        <f t="shared" si="6"/>
        <v>0.83333333333333337</v>
      </c>
      <c r="C83" s="1220">
        <v>2</v>
      </c>
      <c r="D83" s="1220" t="str">
        <f t="shared" si="4"/>
        <v>Plan B</v>
      </c>
      <c r="E83" s="1220">
        <f ca="1">VALUE(INDIRECT("Penalties!"&amp;PenaltyData[[#This Row],[REF]]&amp;(PenaltyData[[#This Row],[ROW]]+1)))</f>
        <v>0</v>
      </c>
      <c r="F83" s="1220" t="str">
        <f ca="1">IF(INDIRECT("Penalties!"&amp;$N$28&amp;PenaltyData[[#This Row],[ROW]],TRUE)=0, "",INDIRECT("Penalties!"&amp;$N$28&amp;PenaltyData[[#This Row],[ROW]],TRUE))</f>
        <v>20</v>
      </c>
      <c r="G83" s="1220">
        <f ca="1">COUNTIFS($H$1:H83,"&lt;&gt;0", $F$1:F83,PenaltyData[[#This Row],[PlayerIdx]],$D$1:D83,PenaltyData[[#This Row],[Team]])</f>
        <v>1</v>
      </c>
      <c r="H83" s="1220">
        <f ca="1">INDIRECT("Penalties!"&amp;PenaltyData[[#This Row],[REF]]&amp;PenaltyData[[#This Row],[ROW]])</f>
        <v>0</v>
      </c>
      <c r="I83" s="1220" t="str">
        <f ca="1">IFERROR(VLOOKUP(PenaltyData[[#This Row],[Penalty]],PenaltyNames91419[],2,FALSE),"")</f>
        <v/>
      </c>
      <c r="J83" s="1220" t="s">
        <v>758</v>
      </c>
      <c r="K83" s="1220">
        <f t="shared" si="3"/>
        <v>12</v>
      </c>
      <c r="L83" s="1220"/>
    </row>
    <row r="84" spans="1:12" x14ac:dyDescent="0.25">
      <c r="A84" s="1230">
        <f t="shared" si="5"/>
        <v>42105</v>
      </c>
      <c r="B84" s="1231">
        <f t="shared" si="6"/>
        <v>0.83333333333333337</v>
      </c>
      <c r="C84" s="1220">
        <v>2</v>
      </c>
      <c r="D84" s="1220" t="str">
        <f t="shared" si="4"/>
        <v>Plan B</v>
      </c>
      <c r="E84" s="1220">
        <f ca="1">VALUE(INDIRECT("Penalties!"&amp;PenaltyData[[#This Row],[REF]]&amp;(PenaltyData[[#This Row],[ROW]]+1)))</f>
        <v>3</v>
      </c>
      <c r="F84" s="1220" t="str">
        <f ca="1">IF(INDIRECT("Penalties!"&amp;$N$28&amp;PenaltyData[[#This Row],[ROW]],TRUE)=0, "",INDIRECT("Penalties!"&amp;$N$28&amp;PenaltyData[[#This Row],[ROW]],TRUE))</f>
        <v>20</v>
      </c>
      <c r="G84" s="1220">
        <f ca="1">COUNTIFS($H$1:H84,"&lt;&gt;0", $F$1:F84,PenaltyData[[#This Row],[PlayerIdx]],$D$1:D84,PenaltyData[[#This Row],[Team]])</f>
        <v>2</v>
      </c>
      <c r="H84" s="1220" t="str">
        <f ca="1">INDIRECT("Penalties!"&amp;PenaltyData[[#This Row],[REF]]&amp;PenaltyData[[#This Row],[ROW]])</f>
        <v>X</v>
      </c>
      <c r="I84" s="1220" t="str">
        <f ca="1">IFERROR(VLOOKUP(PenaltyData[[#This Row],[Penalty]],PenaltyNames91419[],2,FALSE),"")</f>
        <v>Cut Track</v>
      </c>
      <c r="J84" s="1220" t="s">
        <v>759</v>
      </c>
      <c r="K84" s="1220">
        <f t="shared" si="3"/>
        <v>12</v>
      </c>
      <c r="L84" s="1220"/>
    </row>
    <row r="85" spans="1:12" x14ac:dyDescent="0.25">
      <c r="A85" s="1230">
        <f t="shared" si="5"/>
        <v>42105</v>
      </c>
      <c r="B85" s="1231">
        <f t="shared" si="6"/>
        <v>0.83333333333333337</v>
      </c>
      <c r="C85" s="1220">
        <v>2</v>
      </c>
      <c r="D85" s="1220" t="str">
        <f t="shared" si="4"/>
        <v>Plan B</v>
      </c>
      <c r="E85" s="1220">
        <f ca="1">VALUE(INDIRECT("Penalties!"&amp;PenaltyData[[#This Row],[REF]]&amp;(PenaltyData[[#This Row],[ROW]]+1)))</f>
        <v>0</v>
      </c>
      <c r="F85" s="1220" t="str">
        <f ca="1">IF(INDIRECT("Penalties!"&amp;$N$28&amp;PenaltyData[[#This Row],[ROW]],TRUE)=0, "",INDIRECT("Penalties!"&amp;$N$28&amp;PenaltyData[[#This Row],[ROW]],TRUE))</f>
        <v>20</v>
      </c>
      <c r="G85" s="1220">
        <f ca="1">COUNTIFS($H$1:H85,"&lt;&gt;0", $F$1:F85,PenaltyData[[#This Row],[PlayerIdx]],$D$1:D85,PenaltyData[[#This Row],[Team]])</f>
        <v>2</v>
      </c>
      <c r="H85" s="1220">
        <f ca="1">INDIRECT("Penalties!"&amp;PenaltyData[[#This Row],[REF]]&amp;PenaltyData[[#This Row],[ROW]])</f>
        <v>0</v>
      </c>
      <c r="I85" s="1220" t="str">
        <f ca="1">IFERROR(VLOOKUP(PenaltyData[[#This Row],[Penalty]],PenaltyNames91419[],2,FALSE),"")</f>
        <v/>
      </c>
      <c r="J85" s="1220" t="s">
        <v>760</v>
      </c>
      <c r="K85" s="1220">
        <f t="shared" ref="K85:K148" si="7">K67+2</f>
        <v>12</v>
      </c>
      <c r="L85" s="1220"/>
    </row>
    <row r="86" spans="1:12" x14ac:dyDescent="0.25">
      <c r="A86" s="1230">
        <f t="shared" si="5"/>
        <v>42105</v>
      </c>
      <c r="B86" s="1231">
        <f t="shared" si="6"/>
        <v>0.83333333333333337</v>
      </c>
      <c r="C86" s="1220">
        <v>2</v>
      </c>
      <c r="D86" s="1220" t="str">
        <f t="shared" si="4"/>
        <v>Plan B</v>
      </c>
      <c r="E86" s="1220">
        <f ca="1">VALUE(INDIRECT("Penalties!"&amp;PenaltyData[[#This Row],[REF]]&amp;(PenaltyData[[#This Row],[ROW]]+1)))</f>
        <v>0</v>
      </c>
      <c r="F86" s="1220" t="str">
        <f ca="1">IF(INDIRECT("Penalties!"&amp;$N$28&amp;PenaltyData[[#This Row],[ROW]],TRUE)=0, "",INDIRECT("Penalties!"&amp;$N$28&amp;PenaltyData[[#This Row],[ROW]],TRUE))</f>
        <v>20</v>
      </c>
      <c r="G86" s="1220">
        <f ca="1">COUNTIFS($H$1:H86,"&lt;&gt;0", $F$1:F86,PenaltyData[[#This Row],[PlayerIdx]],$D$1:D86,PenaltyData[[#This Row],[Team]])</f>
        <v>2</v>
      </c>
      <c r="H86" s="1220">
        <f ca="1">INDIRECT("Penalties!"&amp;PenaltyData[[#This Row],[REF]]&amp;PenaltyData[[#This Row],[ROW]])</f>
        <v>0</v>
      </c>
      <c r="I86" s="1220" t="str">
        <f ca="1">IFERROR(VLOOKUP(PenaltyData[[#This Row],[Penalty]],PenaltyNames91419[],2,FALSE),"")</f>
        <v/>
      </c>
      <c r="J86" s="1220" t="s">
        <v>761</v>
      </c>
      <c r="K86" s="1220">
        <f t="shared" si="7"/>
        <v>12</v>
      </c>
      <c r="L86" s="1220"/>
    </row>
    <row r="87" spans="1:12" x14ac:dyDescent="0.25">
      <c r="A87" s="1230">
        <f t="shared" si="5"/>
        <v>42105</v>
      </c>
      <c r="B87" s="1231">
        <f t="shared" si="6"/>
        <v>0.83333333333333337</v>
      </c>
      <c r="C87" s="1220">
        <v>2</v>
      </c>
      <c r="D87" s="1220" t="str">
        <f t="shared" si="4"/>
        <v>Plan B</v>
      </c>
      <c r="E87" s="1220">
        <f ca="1">VALUE(INDIRECT("Penalties!"&amp;PenaltyData[[#This Row],[REF]]&amp;(PenaltyData[[#This Row],[ROW]]+1)))</f>
        <v>0</v>
      </c>
      <c r="F87" s="1220" t="str">
        <f ca="1">IF(INDIRECT("Penalties!"&amp;$N$28&amp;PenaltyData[[#This Row],[ROW]],TRUE)=0, "",INDIRECT("Penalties!"&amp;$N$28&amp;PenaltyData[[#This Row],[ROW]],TRUE))</f>
        <v>20</v>
      </c>
      <c r="G87" s="1220">
        <f ca="1">COUNTIFS($H$1:H87,"&lt;&gt;0", $F$1:F87,PenaltyData[[#This Row],[PlayerIdx]],$D$1:D87,PenaltyData[[#This Row],[Team]])</f>
        <v>2</v>
      </c>
      <c r="H87" s="1220">
        <f ca="1">INDIRECT("Penalties!"&amp;PenaltyData[[#This Row],[REF]]&amp;PenaltyData[[#This Row],[ROW]])</f>
        <v>0</v>
      </c>
      <c r="I87" s="1220" t="str">
        <f ca="1">IFERROR(VLOOKUP(PenaltyData[[#This Row],[Penalty]],PenaltyNames91419[],2,FALSE),"")</f>
        <v/>
      </c>
      <c r="J87" s="1220" t="s">
        <v>762</v>
      </c>
      <c r="K87" s="1220">
        <f t="shared" si="7"/>
        <v>12</v>
      </c>
      <c r="L87" s="1220"/>
    </row>
    <row r="88" spans="1:12" x14ac:dyDescent="0.25">
      <c r="A88" s="1230">
        <f t="shared" si="5"/>
        <v>42105</v>
      </c>
      <c r="B88" s="1231">
        <f t="shared" si="6"/>
        <v>0.83333333333333337</v>
      </c>
      <c r="C88" s="1220">
        <v>2</v>
      </c>
      <c r="D88" s="1220" t="str">
        <f t="shared" si="4"/>
        <v>Plan B</v>
      </c>
      <c r="E88" s="1220">
        <f ca="1">VALUE(INDIRECT("Penalties!"&amp;PenaltyData[[#This Row],[REF]]&amp;(PenaltyData[[#This Row],[ROW]]+1)))</f>
        <v>0</v>
      </c>
      <c r="F88" s="1220" t="str">
        <f ca="1">IF(INDIRECT("Penalties!"&amp;$N$28&amp;PenaltyData[[#This Row],[ROW]],TRUE)=0, "",INDIRECT("Penalties!"&amp;$N$28&amp;PenaltyData[[#This Row],[ROW]],TRUE))</f>
        <v>20</v>
      </c>
      <c r="G88" s="1220">
        <f ca="1">COUNTIFS($H$1:H88,"&lt;&gt;0", $F$1:F88,PenaltyData[[#This Row],[PlayerIdx]],$D$1:D88,PenaltyData[[#This Row],[Team]])</f>
        <v>2</v>
      </c>
      <c r="H88" s="1220">
        <f ca="1">INDIRECT("Penalties!"&amp;PenaltyData[[#This Row],[REF]]&amp;PenaltyData[[#This Row],[ROW]])</f>
        <v>0</v>
      </c>
      <c r="I88" s="1220" t="str">
        <f ca="1">IFERROR(VLOOKUP(PenaltyData[[#This Row],[Penalty]],PenaltyNames91419[],2,FALSE),"")</f>
        <v/>
      </c>
      <c r="J88" s="1220" t="s">
        <v>763</v>
      </c>
      <c r="K88" s="1220">
        <f t="shared" si="7"/>
        <v>12</v>
      </c>
      <c r="L88" s="1220"/>
    </row>
    <row r="89" spans="1:12" x14ac:dyDescent="0.25">
      <c r="A89" s="1230">
        <f t="shared" si="5"/>
        <v>42105</v>
      </c>
      <c r="B89" s="1231">
        <f t="shared" si="6"/>
        <v>0.83333333333333337</v>
      </c>
      <c r="C89" s="1220">
        <v>2</v>
      </c>
      <c r="D89" s="1220" t="str">
        <f t="shared" si="4"/>
        <v>Plan B</v>
      </c>
      <c r="E89" s="1220">
        <f ca="1">VALUE(INDIRECT("Penalties!"&amp;PenaltyData[[#This Row],[REF]]&amp;(PenaltyData[[#This Row],[ROW]]+1)))</f>
        <v>0</v>
      </c>
      <c r="F89" s="1220" t="str">
        <f ca="1">IF(INDIRECT("Penalties!"&amp;$N$28&amp;PenaltyData[[#This Row],[ROW]],TRUE)=0, "",INDIRECT("Penalties!"&amp;$N$28&amp;PenaltyData[[#This Row],[ROW]],TRUE))</f>
        <v>20</v>
      </c>
      <c r="G89" s="1220">
        <f ca="1">COUNTIFS($H$1:H89,"&lt;&gt;0", $F$1:F89,PenaltyData[[#This Row],[PlayerIdx]],$D$1:D89,PenaltyData[[#This Row],[Team]])</f>
        <v>2</v>
      </c>
      <c r="H89" s="1220">
        <f ca="1">INDIRECT("Penalties!"&amp;PenaltyData[[#This Row],[REF]]&amp;PenaltyData[[#This Row],[ROW]])</f>
        <v>0</v>
      </c>
      <c r="I89" s="1220" t="str">
        <f ca="1">IFERROR(VLOOKUP(PenaltyData[[#This Row],[Penalty]],PenaltyNames91419[],2,FALSE),"")</f>
        <v/>
      </c>
      <c r="J89" s="1220" t="s">
        <v>765</v>
      </c>
      <c r="K89" s="1220">
        <f t="shared" si="7"/>
        <v>12</v>
      </c>
      <c r="L89" s="1220"/>
    </row>
    <row r="90" spans="1:12" x14ac:dyDescent="0.25">
      <c r="A90" s="1230">
        <f t="shared" si="5"/>
        <v>42105</v>
      </c>
      <c r="B90" s="1231">
        <f t="shared" si="6"/>
        <v>0.83333333333333337</v>
      </c>
      <c r="C90" s="1220">
        <v>2</v>
      </c>
      <c r="D90" s="1220" t="str">
        <f t="shared" si="4"/>
        <v>Plan B</v>
      </c>
      <c r="E90" s="1220">
        <f ca="1">VALUE(INDIRECT("Penalties!"&amp;PenaltyData[[#This Row],[REF]]&amp;(PenaltyData[[#This Row],[ROW]]+1)))</f>
        <v>0</v>
      </c>
      <c r="F90" s="1220" t="str">
        <f ca="1">IF(INDIRECT("Penalties!"&amp;$N$28&amp;PenaltyData[[#This Row],[ROW]],TRUE)=0, "",INDIRECT("Penalties!"&amp;$N$28&amp;PenaltyData[[#This Row],[ROW]],TRUE))</f>
        <v>20</v>
      </c>
      <c r="G90" s="1220">
        <f ca="1">COUNTIFS($H$1:H90,"&lt;&gt;0", $F$1:F90,PenaltyData[[#This Row],[PlayerIdx]],$D$1:D90,PenaltyData[[#This Row],[Team]])</f>
        <v>2</v>
      </c>
      <c r="H90" s="1220">
        <f ca="1">INDIRECT("Penalties!"&amp;PenaltyData[[#This Row],[REF]]&amp;PenaltyData[[#This Row],[ROW]])</f>
        <v>0</v>
      </c>
      <c r="I90" s="1220" t="str">
        <f ca="1">IFERROR(VLOOKUP(PenaltyData[[#This Row],[Penalty]],PenaltyNames91419[],2,FALSE),"")</f>
        <v/>
      </c>
      <c r="J90" s="1220" t="s">
        <v>766</v>
      </c>
      <c r="K90" s="1220">
        <f t="shared" si="7"/>
        <v>12</v>
      </c>
      <c r="L90" s="1220"/>
    </row>
    <row r="91" spans="1:12" x14ac:dyDescent="0.25">
      <c r="A91" s="1230">
        <f t="shared" si="5"/>
        <v>42105</v>
      </c>
      <c r="B91" s="1231">
        <f t="shared" si="6"/>
        <v>0.83333333333333337</v>
      </c>
      <c r="C91" s="1220">
        <v>2</v>
      </c>
      <c r="D91" s="1220" t="str">
        <f t="shared" si="4"/>
        <v>Plan B</v>
      </c>
      <c r="E91" s="1220">
        <f ca="1">VALUE(INDIRECT("Penalties!"&amp;PenaltyData[[#This Row],[REF]]&amp;(PenaltyData[[#This Row],[ROW]]+1)))</f>
        <v>0</v>
      </c>
      <c r="F91" s="1220" t="str">
        <f ca="1">IF(INDIRECT("Penalties!"&amp;$N$28&amp;PenaltyData[[#This Row],[ROW]],TRUE)=0, "",INDIRECT("Penalties!"&amp;$N$28&amp;PenaltyData[[#This Row],[ROW]],TRUE))</f>
        <v>20</v>
      </c>
      <c r="G91" s="1220">
        <f ca="1">COUNTIFS($H$1:H91,"&lt;&gt;0", $F$1:F91,PenaltyData[[#This Row],[PlayerIdx]],$D$1:D91,PenaltyData[[#This Row],[Team]])</f>
        <v>2</v>
      </c>
      <c r="H91" s="1220">
        <f ca="1">INDIRECT("Penalties!"&amp;PenaltyData[[#This Row],[REF]]&amp;PenaltyData[[#This Row],[ROW]])</f>
        <v>0</v>
      </c>
      <c r="I91" s="1220" t="str">
        <f ca="1">IFERROR(VLOOKUP(PenaltyData[[#This Row],[Penalty]],PenaltyNames91419[],2,FALSE),"")</f>
        <v/>
      </c>
      <c r="J91" s="1220" t="s">
        <v>767</v>
      </c>
      <c r="K91" s="1220">
        <f t="shared" si="7"/>
        <v>12</v>
      </c>
      <c r="L91" s="1220"/>
    </row>
    <row r="92" spans="1:12" x14ac:dyDescent="0.25">
      <c r="A92" s="1230">
        <f t="shared" si="5"/>
        <v>42105</v>
      </c>
      <c r="B92" s="1231">
        <f t="shared" si="6"/>
        <v>0.83333333333333337</v>
      </c>
      <c r="C92" s="1220">
        <v>1</v>
      </c>
      <c r="D92" s="1220" t="str">
        <f t="shared" si="4"/>
        <v>Plan B</v>
      </c>
      <c r="E92" s="1220">
        <f ca="1">VALUE(INDIRECT("Penalties!"&amp;PenaltyData[[#This Row],[REF]]&amp;(PenaltyData[[#This Row],[ROW]]+1)))</f>
        <v>9</v>
      </c>
      <c r="F92" s="1220" t="str">
        <f ca="1">IF(INDIRECT("Penalties!"&amp;$N$28&amp;PenaltyData[[#This Row],[ROW]],TRUE)=0, "",INDIRECT("Penalties!"&amp;$N$28&amp;PenaltyData[[#This Row],[ROW]],TRUE))</f>
        <v>303</v>
      </c>
      <c r="G92" s="1220">
        <f ca="1">COUNTIFS($H$1:H92,"&lt;&gt;0", $F$1:F92,PenaltyData[[#This Row],[PlayerIdx]],$D$1:D92,PenaltyData[[#This Row],[Team]])</f>
        <v>1</v>
      </c>
      <c r="H92" s="1220" t="str">
        <f ca="1">INDIRECT("Penalties!"&amp;PenaltyData[[#This Row],[REF]]&amp;PenaltyData[[#This Row],[ROW]])</f>
        <v>M</v>
      </c>
      <c r="I92" s="1220" t="str">
        <f ca="1">IFERROR(VLOOKUP(PenaltyData[[#This Row],[Penalty]],PenaltyNames91419[],2,FALSE),"")</f>
        <v>Multi-Player</v>
      </c>
      <c r="J92" s="1220" t="s">
        <v>136</v>
      </c>
      <c r="K92" s="1220">
        <f t="shared" si="7"/>
        <v>14</v>
      </c>
      <c r="L92" s="1220"/>
    </row>
    <row r="93" spans="1:12" x14ac:dyDescent="0.25">
      <c r="A93" s="1230">
        <f t="shared" si="5"/>
        <v>42105</v>
      </c>
      <c r="B93" s="1231">
        <f t="shared" si="6"/>
        <v>0.83333333333333337</v>
      </c>
      <c r="C93" s="1220">
        <v>1</v>
      </c>
      <c r="D93" s="1220" t="str">
        <f t="shared" si="4"/>
        <v>Plan B</v>
      </c>
      <c r="E93" s="1220">
        <f ca="1">VALUE(INDIRECT("Penalties!"&amp;PenaltyData[[#This Row],[REF]]&amp;(PenaltyData[[#This Row],[ROW]]+1)))</f>
        <v>0</v>
      </c>
      <c r="F93" s="1220" t="str">
        <f ca="1">IF(INDIRECT("Penalties!"&amp;$N$28&amp;PenaltyData[[#This Row],[ROW]],TRUE)=0, "",INDIRECT("Penalties!"&amp;$N$28&amp;PenaltyData[[#This Row],[ROW]],TRUE))</f>
        <v>303</v>
      </c>
      <c r="G93" s="1220">
        <f ca="1">COUNTIFS($H$1:H93,"&lt;&gt;0", $F$1:F93,PenaltyData[[#This Row],[PlayerIdx]],$D$1:D93,PenaltyData[[#This Row],[Team]])</f>
        <v>1</v>
      </c>
      <c r="H93" s="1220">
        <f ca="1">INDIRECT("Penalties!"&amp;PenaltyData[[#This Row],[REF]]&amp;PenaltyData[[#This Row],[ROW]])</f>
        <v>0</v>
      </c>
      <c r="I93" s="1220" t="str">
        <f ca="1">IFERROR(VLOOKUP(PenaltyData[[#This Row],[Penalty]],PenaltyNames91419[],2,FALSE),"")</f>
        <v/>
      </c>
      <c r="J93" s="1220" t="s">
        <v>142</v>
      </c>
      <c r="K93" s="1220">
        <f t="shared" si="7"/>
        <v>14</v>
      </c>
      <c r="L93" s="1220"/>
    </row>
    <row r="94" spans="1:12" x14ac:dyDescent="0.25">
      <c r="A94" s="1230">
        <f t="shared" si="5"/>
        <v>42105</v>
      </c>
      <c r="B94" s="1231">
        <f t="shared" si="6"/>
        <v>0.83333333333333337</v>
      </c>
      <c r="C94" s="1220">
        <v>1</v>
      </c>
      <c r="D94" s="1220" t="str">
        <f t="shared" si="4"/>
        <v>Plan B</v>
      </c>
      <c r="E94" s="1220">
        <f ca="1">VALUE(INDIRECT("Penalties!"&amp;PenaltyData[[#This Row],[REF]]&amp;(PenaltyData[[#This Row],[ROW]]+1)))</f>
        <v>0</v>
      </c>
      <c r="F94" s="1220" t="str">
        <f ca="1">IF(INDIRECT("Penalties!"&amp;$N$28&amp;PenaltyData[[#This Row],[ROW]],TRUE)=0, "",INDIRECT("Penalties!"&amp;$N$28&amp;PenaltyData[[#This Row],[ROW]],TRUE))</f>
        <v>303</v>
      </c>
      <c r="G94" s="1220">
        <f ca="1">COUNTIFS($H$1:H94,"&lt;&gt;0", $F$1:F94,PenaltyData[[#This Row],[PlayerIdx]],$D$1:D94,PenaltyData[[#This Row],[Team]])</f>
        <v>1</v>
      </c>
      <c r="H94" s="1220">
        <f ca="1">INDIRECT("Penalties!"&amp;PenaltyData[[#This Row],[REF]]&amp;PenaltyData[[#This Row],[ROW]])</f>
        <v>0</v>
      </c>
      <c r="I94" s="1220" t="str">
        <f ca="1">IFERROR(VLOOKUP(PenaltyData[[#This Row],[Penalty]],PenaltyNames91419[],2,FALSE),"")</f>
        <v/>
      </c>
      <c r="J94" s="1220" t="s">
        <v>754</v>
      </c>
      <c r="K94" s="1220">
        <f t="shared" si="7"/>
        <v>14</v>
      </c>
      <c r="L94" s="1220"/>
    </row>
    <row r="95" spans="1:12" x14ac:dyDescent="0.25">
      <c r="A95" s="1230">
        <f t="shared" si="5"/>
        <v>42105</v>
      </c>
      <c r="B95" s="1231">
        <f t="shared" si="6"/>
        <v>0.83333333333333337</v>
      </c>
      <c r="C95" s="1220">
        <v>1</v>
      </c>
      <c r="D95" s="1220" t="str">
        <f t="shared" si="4"/>
        <v>Plan B</v>
      </c>
      <c r="E95" s="1220">
        <f ca="1">VALUE(INDIRECT("Penalties!"&amp;PenaltyData[[#This Row],[REF]]&amp;(PenaltyData[[#This Row],[ROW]]+1)))</f>
        <v>0</v>
      </c>
      <c r="F95" s="1220" t="str">
        <f ca="1">IF(INDIRECT("Penalties!"&amp;$N$28&amp;PenaltyData[[#This Row],[ROW]],TRUE)=0, "",INDIRECT("Penalties!"&amp;$N$28&amp;PenaltyData[[#This Row],[ROW]],TRUE))</f>
        <v>303</v>
      </c>
      <c r="G95" s="1220">
        <f ca="1">COUNTIFS($H$1:H95,"&lt;&gt;0", $F$1:F95,PenaltyData[[#This Row],[PlayerIdx]],$D$1:D95,PenaltyData[[#This Row],[Team]])</f>
        <v>1</v>
      </c>
      <c r="H95" s="1220">
        <f ca="1">INDIRECT("Penalties!"&amp;PenaltyData[[#This Row],[REF]]&amp;PenaltyData[[#This Row],[ROW]])</f>
        <v>0</v>
      </c>
      <c r="I95" s="1220" t="str">
        <f ca="1">IFERROR(VLOOKUP(PenaltyData[[#This Row],[Penalty]],PenaltyNames91419[],2,FALSE),"")</f>
        <v/>
      </c>
      <c r="J95" s="1220" t="s">
        <v>144</v>
      </c>
      <c r="K95" s="1220">
        <f t="shared" si="7"/>
        <v>14</v>
      </c>
      <c r="L95" s="1220"/>
    </row>
    <row r="96" spans="1:12" x14ac:dyDescent="0.25">
      <c r="A96" s="1230">
        <f t="shared" si="5"/>
        <v>42105</v>
      </c>
      <c r="B96" s="1231">
        <f t="shared" si="6"/>
        <v>0.83333333333333337</v>
      </c>
      <c r="C96" s="1220">
        <v>1</v>
      </c>
      <c r="D96" s="1220" t="str">
        <f t="shared" si="4"/>
        <v>Plan B</v>
      </c>
      <c r="E96" s="1220">
        <f ca="1">VALUE(INDIRECT("Penalties!"&amp;PenaltyData[[#This Row],[REF]]&amp;(PenaltyData[[#This Row],[ROW]]+1)))</f>
        <v>0</v>
      </c>
      <c r="F96" s="1220" t="str">
        <f ca="1">IF(INDIRECT("Penalties!"&amp;$N$28&amp;PenaltyData[[#This Row],[ROW]],TRUE)=0, "",INDIRECT("Penalties!"&amp;$N$28&amp;PenaltyData[[#This Row],[ROW]],TRUE))</f>
        <v>303</v>
      </c>
      <c r="G96" s="1220">
        <f ca="1">COUNTIFS($H$1:H96,"&lt;&gt;0", $F$1:F96,PenaltyData[[#This Row],[PlayerIdx]],$D$1:D96,PenaltyData[[#This Row],[Team]])</f>
        <v>1</v>
      </c>
      <c r="H96" s="1220">
        <f ca="1">INDIRECT("Penalties!"&amp;PenaltyData[[#This Row],[REF]]&amp;PenaltyData[[#This Row],[ROW]])</f>
        <v>0</v>
      </c>
      <c r="I96" s="1220" t="str">
        <f ca="1">IFERROR(VLOOKUP(PenaltyData[[#This Row],[Penalty]],PenaltyNames91419[],2,FALSE),"")</f>
        <v/>
      </c>
      <c r="J96" s="1220" t="s">
        <v>146</v>
      </c>
      <c r="K96" s="1220">
        <f t="shared" si="7"/>
        <v>14</v>
      </c>
      <c r="L96" s="1220"/>
    </row>
    <row r="97" spans="1:12" x14ac:dyDescent="0.25">
      <c r="A97" s="1230">
        <f t="shared" si="5"/>
        <v>42105</v>
      </c>
      <c r="B97" s="1231">
        <f t="shared" si="6"/>
        <v>0.83333333333333337</v>
      </c>
      <c r="C97" s="1220">
        <v>1</v>
      </c>
      <c r="D97" s="1220" t="str">
        <f t="shared" si="4"/>
        <v>Plan B</v>
      </c>
      <c r="E97" s="1220">
        <f ca="1">VALUE(INDIRECT("Penalties!"&amp;PenaltyData[[#This Row],[REF]]&amp;(PenaltyData[[#This Row],[ROW]]+1)))</f>
        <v>0</v>
      </c>
      <c r="F97" s="1220" t="str">
        <f ca="1">IF(INDIRECT("Penalties!"&amp;$N$28&amp;PenaltyData[[#This Row],[ROW]],TRUE)=0, "",INDIRECT("Penalties!"&amp;$N$28&amp;PenaltyData[[#This Row],[ROW]],TRUE))</f>
        <v>303</v>
      </c>
      <c r="G97" s="1220">
        <f ca="1">COUNTIFS($H$1:H97,"&lt;&gt;0", $F$1:F97,PenaltyData[[#This Row],[PlayerIdx]],$D$1:D97,PenaltyData[[#This Row],[Team]])</f>
        <v>1</v>
      </c>
      <c r="H97" s="1220">
        <f ca="1">INDIRECT("Penalties!"&amp;PenaltyData[[#This Row],[REF]]&amp;PenaltyData[[#This Row],[ROW]])</f>
        <v>0</v>
      </c>
      <c r="I97" s="1220" t="str">
        <f ca="1">IFERROR(VLOOKUP(PenaltyData[[#This Row],[Penalty]],PenaltyNames91419[],2,FALSE),"")</f>
        <v/>
      </c>
      <c r="J97" s="1220" t="s">
        <v>164</v>
      </c>
      <c r="K97" s="1220">
        <f t="shared" si="7"/>
        <v>14</v>
      </c>
      <c r="L97" s="1220"/>
    </row>
    <row r="98" spans="1:12" x14ac:dyDescent="0.25">
      <c r="A98" s="1230">
        <f t="shared" si="5"/>
        <v>42105</v>
      </c>
      <c r="B98" s="1231">
        <f t="shared" si="6"/>
        <v>0.83333333333333337</v>
      </c>
      <c r="C98" s="1220">
        <v>1</v>
      </c>
      <c r="D98" s="1220" t="str">
        <f t="shared" si="4"/>
        <v>Plan B</v>
      </c>
      <c r="E98" s="1220">
        <f ca="1">VALUE(INDIRECT("Penalties!"&amp;PenaltyData[[#This Row],[REF]]&amp;(PenaltyData[[#This Row],[ROW]]+1)))</f>
        <v>0</v>
      </c>
      <c r="F98" s="1220" t="str">
        <f ca="1">IF(INDIRECT("Penalties!"&amp;$N$28&amp;PenaltyData[[#This Row],[ROW]],TRUE)=0, "",INDIRECT("Penalties!"&amp;$N$28&amp;PenaltyData[[#This Row],[ROW]],TRUE))</f>
        <v>303</v>
      </c>
      <c r="G98" s="1220">
        <f ca="1">COUNTIFS($H$1:H98,"&lt;&gt;0", $F$1:F98,PenaltyData[[#This Row],[PlayerIdx]],$D$1:D98,PenaltyData[[#This Row],[Team]])</f>
        <v>1</v>
      </c>
      <c r="H98" s="1220">
        <f ca="1">INDIRECT("Penalties!"&amp;PenaltyData[[#This Row],[REF]]&amp;PenaltyData[[#This Row],[ROW]])</f>
        <v>0</v>
      </c>
      <c r="I98" s="1220" t="str">
        <f ca="1">IFERROR(VLOOKUP(PenaltyData[[#This Row],[Penalty]],PenaltyNames91419[],2,FALSE),"")</f>
        <v/>
      </c>
      <c r="J98" s="1220" t="s">
        <v>138</v>
      </c>
      <c r="K98" s="1220">
        <f t="shared" si="7"/>
        <v>14</v>
      </c>
      <c r="L98" s="1220"/>
    </row>
    <row r="99" spans="1:12" x14ac:dyDescent="0.25">
      <c r="A99" s="1230">
        <f t="shared" si="5"/>
        <v>42105</v>
      </c>
      <c r="B99" s="1231">
        <f t="shared" si="6"/>
        <v>0.83333333333333337</v>
      </c>
      <c r="C99" s="1220">
        <v>1</v>
      </c>
      <c r="D99" s="1220" t="str">
        <f t="shared" si="4"/>
        <v>Plan B</v>
      </c>
      <c r="E99" s="1220">
        <f ca="1">VALUE(INDIRECT("Penalties!"&amp;PenaltyData[[#This Row],[REF]]&amp;(PenaltyData[[#This Row],[ROW]]+1)))</f>
        <v>0</v>
      </c>
      <c r="F99" s="1220" t="str">
        <f ca="1">IF(INDIRECT("Penalties!"&amp;$N$28&amp;PenaltyData[[#This Row],[ROW]],TRUE)=0, "",INDIRECT("Penalties!"&amp;$N$28&amp;PenaltyData[[#This Row],[ROW]],TRUE))</f>
        <v>303</v>
      </c>
      <c r="G99" s="1220">
        <f ca="1">COUNTIFS($H$1:H99,"&lt;&gt;0", $F$1:F99,PenaltyData[[#This Row],[PlayerIdx]],$D$1:D99,PenaltyData[[#This Row],[Team]])</f>
        <v>1</v>
      </c>
      <c r="H99" s="1220">
        <f ca="1">INDIRECT("Penalties!"&amp;PenaltyData[[#This Row],[REF]]&amp;PenaltyData[[#This Row],[ROW]])</f>
        <v>0</v>
      </c>
      <c r="I99" s="1220" t="str">
        <f ca="1">IFERROR(VLOOKUP(PenaltyData[[#This Row],[Penalty]],PenaltyNames91419[],2,FALSE),"")</f>
        <v/>
      </c>
      <c r="J99" s="1220" t="s">
        <v>150</v>
      </c>
      <c r="K99" s="1220">
        <f t="shared" si="7"/>
        <v>14</v>
      </c>
      <c r="L99" s="1220"/>
    </row>
    <row r="100" spans="1:12" x14ac:dyDescent="0.25">
      <c r="A100" s="1230">
        <f t="shared" si="5"/>
        <v>42105</v>
      </c>
      <c r="B100" s="1231">
        <f t="shared" si="6"/>
        <v>0.83333333333333337</v>
      </c>
      <c r="C100" s="1220">
        <v>1</v>
      </c>
      <c r="D100" s="1220" t="str">
        <f t="shared" si="4"/>
        <v>Plan B</v>
      </c>
      <c r="E100" s="1220">
        <f ca="1">VALUE(INDIRECT("Penalties!"&amp;PenaltyData[[#This Row],[REF]]&amp;(PenaltyData[[#This Row],[ROW]]+1)))</f>
        <v>0</v>
      </c>
      <c r="F100" s="1220" t="str">
        <f ca="1">IF(INDIRECT("Penalties!"&amp;$N$28&amp;PenaltyData[[#This Row],[ROW]],TRUE)=0, "",INDIRECT("Penalties!"&amp;$N$28&amp;PenaltyData[[#This Row],[ROW]],TRUE))</f>
        <v>303</v>
      </c>
      <c r="G100" s="1220">
        <f ca="1">COUNTIFS($H$1:H100,"&lt;&gt;0", $F$1:F100,PenaltyData[[#This Row],[PlayerIdx]],$D$1:D100,PenaltyData[[#This Row],[Team]])</f>
        <v>1</v>
      </c>
      <c r="H100" s="1220">
        <f ca="1">INDIRECT("Penalties!"&amp;PenaltyData[[#This Row],[REF]]&amp;PenaltyData[[#This Row],[ROW]])</f>
        <v>0</v>
      </c>
      <c r="I100" s="1220" t="str">
        <f ca="1">IFERROR(VLOOKUP(PenaltyData[[#This Row],[Penalty]],PenaltyNames91419[],2,FALSE),"")</f>
        <v/>
      </c>
      <c r="J100" s="1220" t="s">
        <v>757</v>
      </c>
      <c r="K100" s="1220">
        <f t="shared" si="7"/>
        <v>14</v>
      </c>
      <c r="L100" s="1220"/>
    </row>
    <row r="101" spans="1:12" x14ac:dyDescent="0.25">
      <c r="A101" s="1230">
        <f t="shared" si="5"/>
        <v>42105</v>
      </c>
      <c r="B101" s="1231">
        <f t="shared" si="6"/>
        <v>0.83333333333333337</v>
      </c>
      <c r="C101" s="1220">
        <v>2</v>
      </c>
      <c r="D101" s="1220" t="str">
        <f t="shared" si="4"/>
        <v>Plan B</v>
      </c>
      <c r="E101" s="1220">
        <f ca="1">VALUE(INDIRECT("Penalties!"&amp;PenaltyData[[#This Row],[REF]]&amp;(PenaltyData[[#This Row],[ROW]]+1)))</f>
        <v>0</v>
      </c>
      <c r="F101" s="1220" t="str">
        <f ca="1">IF(INDIRECT("Penalties!"&amp;$N$28&amp;PenaltyData[[#This Row],[ROW]],TRUE)=0, "",INDIRECT("Penalties!"&amp;$N$28&amp;PenaltyData[[#This Row],[ROW]],TRUE))</f>
        <v>303</v>
      </c>
      <c r="G101" s="1220">
        <f ca="1">COUNTIFS($H$1:H101,"&lt;&gt;0", $F$1:F101,PenaltyData[[#This Row],[PlayerIdx]],$D$1:D101,PenaltyData[[#This Row],[Team]])</f>
        <v>1</v>
      </c>
      <c r="H101" s="1220">
        <f ca="1">INDIRECT("Penalties!"&amp;PenaltyData[[#This Row],[REF]]&amp;PenaltyData[[#This Row],[ROW]])</f>
        <v>0</v>
      </c>
      <c r="I101" s="1220" t="str">
        <f ca="1">IFERROR(VLOOKUP(PenaltyData[[#This Row],[Penalty]],PenaltyNames91419[],2,FALSE),"")</f>
        <v/>
      </c>
      <c r="J101" s="1220" t="s">
        <v>758</v>
      </c>
      <c r="K101" s="1220">
        <f t="shared" si="7"/>
        <v>14</v>
      </c>
      <c r="L101" s="1220"/>
    </row>
    <row r="102" spans="1:12" x14ac:dyDescent="0.25">
      <c r="A102" s="1230">
        <f t="shared" si="5"/>
        <v>42105</v>
      </c>
      <c r="B102" s="1231">
        <f t="shared" si="6"/>
        <v>0.83333333333333337</v>
      </c>
      <c r="C102" s="1220">
        <v>2</v>
      </c>
      <c r="D102" s="1220" t="str">
        <f t="shared" si="4"/>
        <v>Plan B</v>
      </c>
      <c r="E102" s="1220">
        <f ca="1">VALUE(INDIRECT("Penalties!"&amp;PenaltyData[[#This Row],[REF]]&amp;(PenaltyData[[#This Row],[ROW]]+1)))</f>
        <v>5</v>
      </c>
      <c r="F102" s="1220" t="str">
        <f ca="1">IF(INDIRECT("Penalties!"&amp;$N$28&amp;PenaltyData[[#This Row],[ROW]],TRUE)=0, "",INDIRECT("Penalties!"&amp;$N$28&amp;PenaltyData[[#This Row],[ROW]],TRUE))</f>
        <v>303</v>
      </c>
      <c r="G102" s="1220">
        <f ca="1">COUNTIFS($H$1:H102,"&lt;&gt;0", $F$1:F102,PenaltyData[[#This Row],[PlayerIdx]],$D$1:D102,PenaltyData[[#This Row],[Team]])</f>
        <v>2</v>
      </c>
      <c r="H102" s="1220" t="str">
        <f ca="1">INDIRECT("Penalties!"&amp;PenaltyData[[#This Row],[REF]]&amp;PenaltyData[[#This Row],[ROW]])</f>
        <v>C</v>
      </c>
      <c r="I102" s="1220" t="str">
        <f ca="1">IFERROR(VLOOKUP(PenaltyData[[#This Row],[Penalty]],PenaltyNames91419[],2,FALSE),"")</f>
        <v>Dir of Play</v>
      </c>
      <c r="J102" s="1220" t="s">
        <v>759</v>
      </c>
      <c r="K102" s="1220">
        <f t="shared" si="7"/>
        <v>14</v>
      </c>
      <c r="L102" s="1220"/>
    </row>
    <row r="103" spans="1:12" x14ac:dyDescent="0.25">
      <c r="A103" s="1230">
        <f t="shared" si="5"/>
        <v>42105</v>
      </c>
      <c r="B103" s="1231">
        <f t="shared" si="6"/>
        <v>0.83333333333333337</v>
      </c>
      <c r="C103" s="1220">
        <v>2</v>
      </c>
      <c r="D103" s="1220" t="str">
        <f t="shared" si="4"/>
        <v>Plan B</v>
      </c>
      <c r="E103" s="1220">
        <f ca="1">VALUE(INDIRECT("Penalties!"&amp;PenaltyData[[#This Row],[REF]]&amp;(PenaltyData[[#This Row],[ROW]]+1)))</f>
        <v>11</v>
      </c>
      <c r="F103" s="1220" t="str">
        <f ca="1">IF(INDIRECT("Penalties!"&amp;$N$28&amp;PenaltyData[[#This Row],[ROW]],TRUE)=0, "",INDIRECT("Penalties!"&amp;$N$28&amp;PenaltyData[[#This Row],[ROW]],TRUE))</f>
        <v>303</v>
      </c>
      <c r="G103" s="1220">
        <f ca="1">COUNTIFS($H$1:H103,"&lt;&gt;0", $F$1:F103,PenaltyData[[#This Row],[PlayerIdx]],$D$1:D103,PenaltyData[[#This Row],[Team]])</f>
        <v>3</v>
      </c>
      <c r="H103" s="1220" t="str">
        <f ca="1">INDIRECT("Penalties!"&amp;PenaltyData[[#This Row],[REF]]&amp;PenaltyData[[#This Row],[ROW]])</f>
        <v>M</v>
      </c>
      <c r="I103" s="1220" t="str">
        <f ca="1">IFERROR(VLOOKUP(PenaltyData[[#This Row],[Penalty]],PenaltyNames91419[],2,FALSE),"")</f>
        <v>Multi-Player</v>
      </c>
      <c r="J103" s="1220" t="s">
        <v>760</v>
      </c>
      <c r="K103" s="1220">
        <f t="shared" si="7"/>
        <v>14</v>
      </c>
      <c r="L103" s="1220"/>
    </row>
    <row r="104" spans="1:12" x14ac:dyDescent="0.25">
      <c r="A104" s="1230">
        <f t="shared" si="5"/>
        <v>42105</v>
      </c>
      <c r="B104" s="1231">
        <f t="shared" si="6"/>
        <v>0.83333333333333337</v>
      </c>
      <c r="C104" s="1220">
        <v>2</v>
      </c>
      <c r="D104" s="1220" t="str">
        <f t="shared" si="4"/>
        <v>Plan B</v>
      </c>
      <c r="E104" s="1220">
        <f ca="1">VALUE(INDIRECT("Penalties!"&amp;PenaltyData[[#This Row],[REF]]&amp;(PenaltyData[[#This Row],[ROW]]+1)))</f>
        <v>0</v>
      </c>
      <c r="F104" s="1220" t="str">
        <f ca="1">IF(INDIRECT("Penalties!"&amp;$N$28&amp;PenaltyData[[#This Row],[ROW]],TRUE)=0, "",INDIRECT("Penalties!"&amp;$N$28&amp;PenaltyData[[#This Row],[ROW]],TRUE))</f>
        <v>303</v>
      </c>
      <c r="G104" s="1220">
        <f ca="1">COUNTIFS($H$1:H104,"&lt;&gt;0", $F$1:F104,PenaltyData[[#This Row],[PlayerIdx]],$D$1:D104,PenaltyData[[#This Row],[Team]])</f>
        <v>3</v>
      </c>
      <c r="H104" s="1220">
        <f ca="1">INDIRECT("Penalties!"&amp;PenaltyData[[#This Row],[REF]]&amp;PenaltyData[[#This Row],[ROW]])</f>
        <v>0</v>
      </c>
      <c r="I104" s="1220" t="str">
        <f ca="1">IFERROR(VLOOKUP(PenaltyData[[#This Row],[Penalty]],PenaltyNames91419[],2,FALSE),"")</f>
        <v/>
      </c>
      <c r="J104" s="1220" t="s">
        <v>761</v>
      </c>
      <c r="K104" s="1220">
        <f t="shared" si="7"/>
        <v>14</v>
      </c>
      <c r="L104" s="1220"/>
    </row>
    <row r="105" spans="1:12" x14ac:dyDescent="0.25">
      <c r="A105" s="1230">
        <f t="shared" si="5"/>
        <v>42105</v>
      </c>
      <c r="B105" s="1231">
        <f t="shared" si="6"/>
        <v>0.83333333333333337</v>
      </c>
      <c r="C105" s="1220">
        <v>2</v>
      </c>
      <c r="D105" s="1220" t="str">
        <f t="shared" si="4"/>
        <v>Plan B</v>
      </c>
      <c r="E105" s="1220">
        <f ca="1">VALUE(INDIRECT("Penalties!"&amp;PenaltyData[[#This Row],[REF]]&amp;(PenaltyData[[#This Row],[ROW]]+1)))</f>
        <v>0</v>
      </c>
      <c r="F105" s="1220" t="str">
        <f ca="1">IF(INDIRECT("Penalties!"&amp;$N$28&amp;PenaltyData[[#This Row],[ROW]],TRUE)=0, "",INDIRECT("Penalties!"&amp;$N$28&amp;PenaltyData[[#This Row],[ROW]],TRUE))</f>
        <v>303</v>
      </c>
      <c r="G105" s="1220">
        <f ca="1">COUNTIFS($H$1:H105,"&lt;&gt;0", $F$1:F105,PenaltyData[[#This Row],[PlayerIdx]],$D$1:D105,PenaltyData[[#This Row],[Team]])</f>
        <v>3</v>
      </c>
      <c r="H105" s="1220">
        <f ca="1">INDIRECT("Penalties!"&amp;PenaltyData[[#This Row],[REF]]&amp;PenaltyData[[#This Row],[ROW]])</f>
        <v>0</v>
      </c>
      <c r="I105" s="1220" t="str">
        <f ca="1">IFERROR(VLOOKUP(PenaltyData[[#This Row],[Penalty]],PenaltyNames91419[],2,FALSE),"")</f>
        <v/>
      </c>
      <c r="J105" s="1220" t="s">
        <v>762</v>
      </c>
      <c r="K105" s="1220">
        <f t="shared" si="7"/>
        <v>14</v>
      </c>
      <c r="L105" s="1220"/>
    </row>
    <row r="106" spans="1:12" x14ac:dyDescent="0.25">
      <c r="A106" s="1230">
        <f t="shared" si="5"/>
        <v>42105</v>
      </c>
      <c r="B106" s="1231">
        <f t="shared" si="6"/>
        <v>0.83333333333333337</v>
      </c>
      <c r="C106" s="1220">
        <v>2</v>
      </c>
      <c r="D106" s="1220" t="str">
        <f t="shared" si="4"/>
        <v>Plan B</v>
      </c>
      <c r="E106" s="1220">
        <f ca="1">VALUE(INDIRECT("Penalties!"&amp;PenaltyData[[#This Row],[REF]]&amp;(PenaltyData[[#This Row],[ROW]]+1)))</f>
        <v>0</v>
      </c>
      <c r="F106" s="1220" t="str">
        <f ca="1">IF(INDIRECT("Penalties!"&amp;$N$28&amp;PenaltyData[[#This Row],[ROW]],TRUE)=0, "",INDIRECT("Penalties!"&amp;$N$28&amp;PenaltyData[[#This Row],[ROW]],TRUE))</f>
        <v>303</v>
      </c>
      <c r="G106" s="1220">
        <f ca="1">COUNTIFS($H$1:H106,"&lt;&gt;0", $F$1:F106,PenaltyData[[#This Row],[PlayerIdx]],$D$1:D106,PenaltyData[[#This Row],[Team]])</f>
        <v>3</v>
      </c>
      <c r="H106" s="1220">
        <f ca="1">INDIRECT("Penalties!"&amp;PenaltyData[[#This Row],[REF]]&amp;PenaltyData[[#This Row],[ROW]])</f>
        <v>0</v>
      </c>
      <c r="I106" s="1220" t="str">
        <f ca="1">IFERROR(VLOOKUP(PenaltyData[[#This Row],[Penalty]],PenaltyNames91419[],2,FALSE),"")</f>
        <v/>
      </c>
      <c r="J106" s="1220" t="s">
        <v>763</v>
      </c>
      <c r="K106" s="1220">
        <f t="shared" si="7"/>
        <v>14</v>
      </c>
      <c r="L106" s="1220"/>
    </row>
    <row r="107" spans="1:12" x14ac:dyDescent="0.25">
      <c r="A107" s="1230">
        <f t="shared" si="5"/>
        <v>42105</v>
      </c>
      <c r="B107" s="1231">
        <f t="shared" si="6"/>
        <v>0.83333333333333337</v>
      </c>
      <c r="C107" s="1220">
        <v>2</v>
      </c>
      <c r="D107" s="1220" t="str">
        <f t="shared" si="4"/>
        <v>Plan B</v>
      </c>
      <c r="E107" s="1220">
        <f ca="1">VALUE(INDIRECT("Penalties!"&amp;PenaltyData[[#This Row],[REF]]&amp;(PenaltyData[[#This Row],[ROW]]+1)))</f>
        <v>0</v>
      </c>
      <c r="F107" s="1220" t="str">
        <f ca="1">IF(INDIRECT("Penalties!"&amp;$N$28&amp;PenaltyData[[#This Row],[ROW]],TRUE)=0, "",INDIRECT("Penalties!"&amp;$N$28&amp;PenaltyData[[#This Row],[ROW]],TRUE))</f>
        <v>303</v>
      </c>
      <c r="G107" s="1220">
        <f ca="1">COUNTIFS($H$1:H107,"&lt;&gt;0", $F$1:F107,PenaltyData[[#This Row],[PlayerIdx]],$D$1:D107,PenaltyData[[#This Row],[Team]])</f>
        <v>3</v>
      </c>
      <c r="H107" s="1220">
        <f ca="1">INDIRECT("Penalties!"&amp;PenaltyData[[#This Row],[REF]]&amp;PenaltyData[[#This Row],[ROW]])</f>
        <v>0</v>
      </c>
      <c r="I107" s="1220" t="str">
        <f ca="1">IFERROR(VLOOKUP(PenaltyData[[#This Row],[Penalty]],PenaltyNames91419[],2,FALSE),"")</f>
        <v/>
      </c>
      <c r="J107" s="1220" t="s">
        <v>765</v>
      </c>
      <c r="K107" s="1220">
        <f t="shared" si="7"/>
        <v>14</v>
      </c>
      <c r="L107" s="1220"/>
    </row>
    <row r="108" spans="1:12" x14ac:dyDescent="0.25">
      <c r="A108" s="1230">
        <f t="shared" si="5"/>
        <v>42105</v>
      </c>
      <c r="B108" s="1231">
        <f t="shared" si="6"/>
        <v>0.83333333333333337</v>
      </c>
      <c r="C108" s="1220">
        <v>2</v>
      </c>
      <c r="D108" s="1220" t="str">
        <f t="shared" si="4"/>
        <v>Plan B</v>
      </c>
      <c r="E108" s="1220">
        <f ca="1">VALUE(INDIRECT("Penalties!"&amp;PenaltyData[[#This Row],[REF]]&amp;(PenaltyData[[#This Row],[ROW]]+1)))</f>
        <v>0</v>
      </c>
      <c r="F108" s="1220" t="str">
        <f ca="1">IF(INDIRECT("Penalties!"&amp;$N$28&amp;PenaltyData[[#This Row],[ROW]],TRUE)=0, "",INDIRECT("Penalties!"&amp;$N$28&amp;PenaltyData[[#This Row],[ROW]],TRUE))</f>
        <v>303</v>
      </c>
      <c r="G108" s="1220">
        <f ca="1">COUNTIFS($H$1:H108,"&lt;&gt;0", $F$1:F108,PenaltyData[[#This Row],[PlayerIdx]],$D$1:D108,PenaltyData[[#This Row],[Team]])</f>
        <v>3</v>
      </c>
      <c r="H108" s="1220">
        <f ca="1">INDIRECT("Penalties!"&amp;PenaltyData[[#This Row],[REF]]&amp;PenaltyData[[#This Row],[ROW]])</f>
        <v>0</v>
      </c>
      <c r="I108" s="1220" t="str">
        <f ca="1">IFERROR(VLOOKUP(PenaltyData[[#This Row],[Penalty]],PenaltyNames91419[],2,FALSE),"")</f>
        <v/>
      </c>
      <c r="J108" s="1220" t="s">
        <v>766</v>
      </c>
      <c r="K108" s="1220">
        <f t="shared" si="7"/>
        <v>14</v>
      </c>
      <c r="L108" s="1220"/>
    </row>
    <row r="109" spans="1:12" x14ac:dyDescent="0.25">
      <c r="A109" s="1230">
        <f t="shared" si="5"/>
        <v>42105</v>
      </c>
      <c r="B109" s="1231">
        <f t="shared" si="6"/>
        <v>0.83333333333333337</v>
      </c>
      <c r="C109" s="1220">
        <v>2</v>
      </c>
      <c r="D109" s="1220" t="str">
        <f t="shared" si="4"/>
        <v>Plan B</v>
      </c>
      <c r="E109" s="1220">
        <f ca="1">VALUE(INDIRECT("Penalties!"&amp;PenaltyData[[#This Row],[REF]]&amp;(PenaltyData[[#This Row],[ROW]]+1)))</f>
        <v>0</v>
      </c>
      <c r="F109" s="1220" t="str">
        <f ca="1">IF(INDIRECT("Penalties!"&amp;$N$28&amp;PenaltyData[[#This Row],[ROW]],TRUE)=0, "",INDIRECT("Penalties!"&amp;$N$28&amp;PenaltyData[[#This Row],[ROW]],TRUE))</f>
        <v>303</v>
      </c>
      <c r="G109" s="1220">
        <f ca="1">COUNTIFS($H$1:H109,"&lt;&gt;0", $F$1:F109,PenaltyData[[#This Row],[PlayerIdx]],$D$1:D109,PenaltyData[[#This Row],[Team]])</f>
        <v>3</v>
      </c>
      <c r="H109" s="1220">
        <f ca="1">INDIRECT("Penalties!"&amp;PenaltyData[[#This Row],[REF]]&amp;PenaltyData[[#This Row],[ROW]])</f>
        <v>0</v>
      </c>
      <c r="I109" s="1220" t="str">
        <f ca="1">IFERROR(VLOOKUP(PenaltyData[[#This Row],[Penalty]],PenaltyNames91419[],2,FALSE),"")</f>
        <v/>
      </c>
      <c r="J109" s="1220" t="s">
        <v>767</v>
      </c>
      <c r="K109" s="1220">
        <f t="shared" si="7"/>
        <v>14</v>
      </c>
      <c r="L109" s="1220"/>
    </row>
    <row r="110" spans="1:12" x14ac:dyDescent="0.25">
      <c r="A110" s="1230">
        <f t="shared" si="5"/>
        <v>42105</v>
      </c>
      <c r="B110" s="1231">
        <f t="shared" si="6"/>
        <v>0.83333333333333337</v>
      </c>
      <c r="C110" s="1220">
        <v>1</v>
      </c>
      <c r="D110" s="1220" t="str">
        <f t="shared" si="4"/>
        <v>Plan B</v>
      </c>
      <c r="E110" s="1220">
        <f ca="1">VALUE(INDIRECT("Penalties!"&amp;PenaltyData[[#This Row],[REF]]&amp;(PenaltyData[[#This Row],[ROW]]+1)))</f>
        <v>0</v>
      </c>
      <c r="F110" s="1220" t="str">
        <f ca="1">IF(INDIRECT("Penalties!"&amp;$N$28&amp;PenaltyData[[#This Row],[ROW]],TRUE)=0, "",INDIRECT("Penalties!"&amp;$N$28&amp;PenaltyData[[#This Row],[ROW]],TRUE))</f>
        <v>33</v>
      </c>
      <c r="G110" s="1220">
        <f ca="1">COUNTIFS($H$1:H110,"&lt;&gt;0", $F$1:F110,PenaltyData[[#This Row],[PlayerIdx]],$D$1:D110,PenaltyData[[#This Row],[Team]])</f>
        <v>0</v>
      </c>
      <c r="H110" s="1220">
        <f ca="1">INDIRECT("Penalties!"&amp;PenaltyData[[#This Row],[REF]]&amp;PenaltyData[[#This Row],[ROW]])</f>
        <v>0</v>
      </c>
      <c r="I110" s="1220" t="str">
        <f ca="1">IFERROR(VLOOKUP(PenaltyData[[#This Row],[Penalty]],PenaltyNames91419[],2,FALSE),"")</f>
        <v/>
      </c>
      <c r="J110" s="1220" t="s">
        <v>136</v>
      </c>
      <c r="K110" s="1220">
        <f t="shared" si="7"/>
        <v>16</v>
      </c>
      <c r="L110" s="1220"/>
    </row>
    <row r="111" spans="1:12" x14ac:dyDescent="0.25">
      <c r="A111" s="1230">
        <f t="shared" si="5"/>
        <v>42105</v>
      </c>
      <c r="B111" s="1231">
        <f t="shared" si="6"/>
        <v>0.83333333333333337</v>
      </c>
      <c r="C111" s="1220">
        <v>1</v>
      </c>
      <c r="D111" s="1220" t="str">
        <f t="shared" si="4"/>
        <v>Plan B</v>
      </c>
      <c r="E111" s="1220">
        <f ca="1">VALUE(INDIRECT("Penalties!"&amp;PenaltyData[[#This Row],[REF]]&amp;(PenaltyData[[#This Row],[ROW]]+1)))</f>
        <v>0</v>
      </c>
      <c r="F111" s="1220" t="str">
        <f ca="1">IF(INDIRECT("Penalties!"&amp;$N$28&amp;PenaltyData[[#This Row],[ROW]],TRUE)=0, "",INDIRECT("Penalties!"&amp;$N$28&amp;PenaltyData[[#This Row],[ROW]],TRUE))</f>
        <v>33</v>
      </c>
      <c r="G111" s="1220">
        <f ca="1">COUNTIFS($H$1:H111,"&lt;&gt;0", $F$1:F111,PenaltyData[[#This Row],[PlayerIdx]],$D$1:D111,PenaltyData[[#This Row],[Team]])</f>
        <v>0</v>
      </c>
      <c r="H111" s="1220">
        <f ca="1">INDIRECT("Penalties!"&amp;PenaltyData[[#This Row],[REF]]&amp;PenaltyData[[#This Row],[ROW]])</f>
        <v>0</v>
      </c>
      <c r="I111" s="1220" t="str">
        <f ca="1">IFERROR(VLOOKUP(PenaltyData[[#This Row],[Penalty]],PenaltyNames91419[],2,FALSE),"")</f>
        <v/>
      </c>
      <c r="J111" s="1220" t="s">
        <v>142</v>
      </c>
      <c r="K111" s="1220">
        <f t="shared" si="7"/>
        <v>16</v>
      </c>
      <c r="L111" s="1220"/>
    </row>
    <row r="112" spans="1:12" x14ac:dyDescent="0.25">
      <c r="A112" s="1230">
        <f t="shared" si="5"/>
        <v>42105</v>
      </c>
      <c r="B112" s="1231">
        <f t="shared" si="6"/>
        <v>0.83333333333333337</v>
      </c>
      <c r="C112" s="1220">
        <v>1</v>
      </c>
      <c r="D112" s="1220" t="str">
        <f t="shared" si="4"/>
        <v>Plan B</v>
      </c>
      <c r="E112" s="1220">
        <f ca="1">VALUE(INDIRECT("Penalties!"&amp;PenaltyData[[#This Row],[REF]]&amp;(PenaltyData[[#This Row],[ROW]]+1)))</f>
        <v>0</v>
      </c>
      <c r="F112" s="1220" t="str">
        <f ca="1">IF(INDIRECT("Penalties!"&amp;$N$28&amp;PenaltyData[[#This Row],[ROW]],TRUE)=0, "",INDIRECT("Penalties!"&amp;$N$28&amp;PenaltyData[[#This Row],[ROW]],TRUE))</f>
        <v>33</v>
      </c>
      <c r="G112" s="1220">
        <f ca="1">COUNTIFS($H$1:H112,"&lt;&gt;0", $F$1:F112,PenaltyData[[#This Row],[PlayerIdx]],$D$1:D112,PenaltyData[[#This Row],[Team]])</f>
        <v>0</v>
      </c>
      <c r="H112" s="1220">
        <f ca="1">INDIRECT("Penalties!"&amp;PenaltyData[[#This Row],[REF]]&amp;PenaltyData[[#This Row],[ROW]])</f>
        <v>0</v>
      </c>
      <c r="I112" s="1220" t="str">
        <f ca="1">IFERROR(VLOOKUP(PenaltyData[[#This Row],[Penalty]],PenaltyNames91419[],2,FALSE),"")</f>
        <v/>
      </c>
      <c r="J112" s="1220" t="s">
        <v>754</v>
      </c>
      <c r="K112" s="1220">
        <f t="shared" si="7"/>
        <v>16</v>
      </c>
      <c r="L112" s="1220"/>
    </row>
    <row r="113" spans="1:12" x14ac:dyDescent="0.25">
      <c r="A113" s="1230">
        <f t="shared" si="5"/>
        <v>42105</v>
      </c>
      <c r="B113" s="1231">
        <f t="shared" si="6"/>
        <v>0.83333333333333337</v>
      </c>
      <c r="C113" s="1220">
        <v>1</v>
      </c>
      <c r="D113" s="1220" t="str">
        <f t="shared" si="4"/>
        <v>Plan B</v>
      </c>
      <c r="E113" s="1220">
        <f ca="1">VALUE(INDIRECT("Penalties!"&amp;PenaltyData[[#This Row],[REF]]&amp;(PenaltyData[[#This Row],[ROW]]+1)))</f>
        <v>0</v>
      </c>
      <c r="F113" s="1220" t="str">
        <f ca="1">IF(INDIRECT("Penalties!"&amp;$N$28&amp;PenaltyData[[#This Row],[ROW]],TRUE)=0, "",INDIRECT("Penalties!"&amp;$N$28&amp;PenaltyData[[#This Row],[ROW]],TRUE))</f>
        <v>33</v>
      </c>
      <c r="G113" s="1220">
        <f ca="1">COUNTIFS($H$1:H113,"&lt;&gt;0", $F$1:F113,PenaltyData[[#This Row],[PlayerIdx]],$D$1:D113,PenaltyData[[#This Row],[Team]])</f>
        <v>0</v>
      </c>
      <c r="H113" s="1220">
        <f ca="1">INDIRECT("Penalties!"&amp;PenaltyData[[#This Row],[REF]]&amp;PenaltyData[[#This Row],[ROW]])</f>
        <v>0</v>
      </c>
      <c r="I113" s="1220" t="str">
        <f ca="1">IFERROR(VLOOKUP(PenaltyData[[#This Row],[Penalty]],PenaltyNames91419[],2,FALSE),"")</f>
        <v/>
      </c>
      <c r="J113" s="1220" t="s">
        <v>144</v>
      </c>
      <c r="K113" s="1220">
        <f t="shared" si="7"/>
        <v>16</v>
      </c>
      <c r="L113" s="1220"/>
    </row>
    <row r="114" spans="1:12" x14ac:dyDescent="0.25">
      <c r="A114" s="1230">
        <f t="shared" si="5"/>
        <v>42105</v>
      </c>
      <c r="B114" s="1231">
        <f t="shared" si="6"/>
        <v>0.83333333333333337</v>
      </c>
      <c r="C114" s="1220">
        <v>1</v>
      </c>
      <c r="D114" s="1220" t="str">
        <f t="shared" si="4"/>
        <v>Plan B</v>
      </c>
      <c r="E114" s="1220">
        <f ca="1">VALUE(INDIRECT("Penalties!"&amp;PenaltyData[[#This Row],[REF]]&amp;(PenaltyData[[#This Row],[ROW]]+1)))</f>
        <v>0</v>
      </c>
      <c r="F114" s="1220" t="str">
        <f ca="1">IF(INDIRECT("Penalties!"&amp;$N$28&amp;PenaltyData[[#This Row],[ROW]],TRUE)=0, "",INDIRECT("Penalties!"&amp;$N$28&amp;PenaltyData[[#This Row],[ROW]],TRUE))</f>
        <v>33</v>
      </c>
      <c r="G114" s="1220">
        <f ca="1">COUNTIFS($H$1:H114,"&lt;&gt;0", $F$1:F114,PenaltyData[[#This Row],[PlayerIdx]],$D$1:D114,PenaltyData[[#This Row],[Team]])</f>
        <v>0</v>
      </c>
      <c r="H114" s="1220">
        <f ca="1">INDIRECT("Penalties!"&amp;PenaltyData[[#This Row],[REF]]&amp;PenaltyData[[#This Row],[ROW]])</f>
        <v>0</v>
      </c>
      <c r="I114" s="1220" t="str">
        <f ca="1">IFERROR(VLOOKUP(PenaltyData[[#This Row],[Penalty]],PenaltyNames91419[],2,FALSE),"")</f>
        <v/>
      </c>
      <c r="J114" s="1220" t="s">
        <v>146</v>
      </c>
      <c r="K114" s="1220">
        <f t="shared" si="7"/>
        <v>16</v>
      </c>
      <c r="L114" s="1220"/>
    </row>
    <row r="115" spans="1:12" x14ac:dyDescent="0.25">
      <c r="A115" s="1230">
        <f t="shared" si="5"/>
        <v>42105</v>
      </c>
      <c r="B115" s="1231">
        <f t="shared" si="6"/>
        <v>0.83333333333333337</v>
      </c>
      <c r="C115" s="1220">
        <v>1</v>
      </c>
      <c r="D115" s="1220" t="str">
        <f t="shared" si="4"/>
        <v>Plan B</v>
      </c>
      <c r="E115" s="1220">
        <f ca="1">VALUE(INDIRECT("Penalties!"&amp;PenaltyData[[#This Row],[REF]]&amp;(PenaltyData[[#This Row],[ROW]]+1)))</f>
        <v>0</v>
      </c>
      <c r="F115" s="1220" t="str">
        <f ca="1">IF(INDIRECT("Penalties!"&amp;$N$28&amp;PenaltyData[[#This Row],[ROW]],TRUE)=0, "",INDIRECT("Penalties!"&amp;$N$28&amp;PenaltyData[[#This Row],[ROW]],TRUE))</f>
        <v>33</v>
      </c>
      <c r="G115" s="1220">
        <f ca="1">COUNTIFS($H$1:H115,"&lt;&gt;0", $F$1:F115,PenaltyData[[#This Row],[PlayerIdx]],$D$1:D115,PenaltyData[[#This Row],[Team]])</f>
        <v>0</v>
      </c>
      <c r="H115" s="1220">
        <f ca="1">INDIRECT("Penalties!"&amp;PenaltyData[[#This Row],[REF]]&amp;PenaltyData[[#This Row],[ROW]])</f>
        <v>0</v>
      </c>
      <c r="I115" s="1220" t="str">
        <f ca="1">IFERROR(VLOOKUP(PenaltyData[[#This Row],[Penalty]],PenaltyNames91419[],2,FALSE),"")</f>
        <v/>
      </c>
      <c r="J115" s="1220" t="s">
        <v>164</v>
      </c>
      <c r="K115" s="1220">
        <f t="shared" si="7"/>
        <v>16</v>
      </c>
      <c r="L115" s="1220"/>
    </row>
    <row r="116" spans="1:12" x14ac:dyDescent="0.25">
      <c r="A116" s="1230">
        <f t="shared" si="5"/>
        <v>42105</v>
      </c>
      <c r="B116" s="1231">
        <f t="shared" si="6"/>
        <v>0.83333333333333337</v>
      </c>
      <c r="C116" s="1220">
        <v>1</v>
      </c>
      <c r="D116" s="1220" t="str">
        <f t="shared" si="4"/>
        <v>Plan B</v>
      </c>
      <c r="E116" s="1220">
        <f ca="1">VALUE(INDIRECT("Penalties!"&amp;PenaltyData[[#This Row],[REF]]&amp;(PenaltyData[[#This Row],[ROW]]+1)))</f>
        <v>0</v>
      </c>
      <c r="F116" s="1220" t="str">
        <f ca="1">IF(INDIRECT("Penalties!"&amp;$N$28&amp;PenaltyData[[#This Row],[ROW]],TRUE)=0, "",INDIRECT("Penalties!"&amp;$N$28&amp;PenaltyData[[#This Row],[ROW]],TRUE))</f>
        <v>33</v>
      </c>
      <c r="G116" s="1220">
        <f ca="1">COUNTIFS($H$1:H116,"&lt;&gt;0", $F$1:F116,PenaltyData[[#This Row],[PlayerIdx]],$D$1:D116,PenaltyData[[#This Row],[Team]])</f>
        <v>0</v>
      </c>
      <c r="H116" s="1220">
        <f ca="1">INDIRECT("Penalties!"&amp;PenaltyData[[#This Row],[REF]]&amp;PenaltyData[[#This Row],[ROW]])</f>
        <v>0</v>
      </c>
      <c r="I116" s="1220" t="str">
        <f ca="1">IFERROR(VLOOKUP(PenaltyData[[#This Row],[Penalty]],PenaltyNames91419[],2,FALSE),"")</f>
        <v/>
      </c>
      <c r="J116" s="1220" t="s">
        <v>138</v>
      </c>
      <c r="K116" s="1220">
        <f t="shared" si="7"/>
        <v>16</v>
      </c>
      <c r="L116" s="1220"/>
    </row>
    <row r="117" spans="1:12" x14ac:dyDescent="0.25">
      <c r="A117" s="1230">
        <f t="shared" si="5"/>
        <v>42105</v>
      </c>
      <c r="B117" s="1231">
        <f t="shared" si="6"/>
        <v>0.83333333333333337</v>
      </c>
      <c r="C117" s="1220">
        <v>1</v>
      </c>
      <c r="D117" s="1220" t="str">
        <f t="shared" si="4"/>
        <v>Plan B</v>
      </c>
      <c r="E117" s="1220">
        <f ca="1">VALUE(INDIRECT("Penalties!"&amp;PenaltyData[[#This Row],[REF]]&amp;(PenaltyData[[#This Row],[ROW]]+1)))</f>
        <v>0</v>
      </c>
      <c r="F117" s="1220" t="str">
        <f ca="1">IF(INDIRECT("Penalties!"&amp;$N$28&amp;PenaltyData[[#This Row],[ROW]],TRUE)=0, "",INDIRECT("Penalties!"&amp;$N$28&amp;PenaltyData[[#This Row],[ROW]],TRUE))</f>
        <v>33</v>
      </c>
      <c r="G117" s="1220">
        <f ca="1">COUNTIFS($H$1:H117,"&lt;&gt;0", $F$1:F117,PenaltyData[[#This Row],[PlayerIdx]],$D$1:D117,PenaltyData[[#This Row],[Team]])</f>
        <v>0</v>
      </c>
      <c r="H117" s="1220">
        <f ca="1">INDIRECT("Penalties!"&amp;PenaltyData[[#This Row],[REF]]&amp;PenaltyData[[#This Row],[ROW]])</f>
        <v>0</v>
      </c>
      <c r="I117" s="1220" t="str">
        <f ca="1">IFERROR(VLOOKUP(PenaltyData[[#This Row],[Penalty]],PenaltyNames91419[],2,FALSE),"")</f>
        <v/>
      </c>
      <c r="J117" s="1220" t="s">
        <v>150</v>
      </c>
      <c r="K117" s="1220">
        <f t="shared" si="7"/>
        <v>16</v>
      </c>
      <c r="L117" s="1220"/>
    </row>
    <row r="118" spans="1:12" x14ac:dyDescent="0.25">
      <c r="A118" s="1230">
        <f t="shared" si="5"/>
        <v>42105</v>
      </c>
      <c r="B118" s="1231">
        <f t="shared" si="6"/>
        <v>0.83333333333333337</v>
      </c>
      <c r="C118" s="1220">
        <v>1</v>
      </c>
      <c r="D118" s="1220" t="str">
        <f t="shared" si="4"/>
        <v>Plan B</v>
      </c>
      <c r="E118" s="1220">
        <f ca="1">VALUE(INDIRECT("Penalties!"&amp;PenaltyData[[#This Row],[REF]]&amp;(PenaltyData[[#This Row],[ROW]]+1)))</f>
        <v>0</v>
      </c>
      <c r="F118" s="1220" t="str">
        <f ca="1">IF(INDIRECT("Penalties!"&amp;$N$28&amp;PenaltyData[[#This Row],[ROW]],TRUE)=0, "",INDIRECT("Penalties!"&amp;$N$28&amp;PenaltyData[[#This Row],[ROW]],TRUE))</f>
        <v>33</v>
      </c>
      <c r="G118" s="1220">
        <f ca="1">COUNTIFS($H$1:H118,"&lt;&gt;0", $F$1:F118,PenaltyData[[#This Row],[PlayerIdx]],$D$1:D118,PenaltyData[[#This Row],[Team]])</f>
        <v>0</v>
      </c>
      <c r="H118" s="1220">
        <f ca="1">INDIRECT("Penalties!"&amp;PenaltyData[[#This Row],[REF]]&amp;PenaltyData[[#This Row],[ROW]])</f>
        <v>0</v>
      </c>
      <c r="I118" s="1220" t="str">
        <f ca="1">IFERROR(VLOOKUP(PenaltyData[[#This Row],[Penalty]],PenaltyNames91419[],2,FALSE),"")</f>
        <v/>
      </c>
      <c r="J118" s="1220" t="s">
        <v>757</v>
      </c>
      <c r="K118" s="1220">
        <f t="shared" si="7"/>
        <v>16</v>
      </c>
      <c r="L118" s="1220"/>
    </row>
    <row r="119" spans="1:12" x14ac:dyDescent="0.25">
      <c r="A119" s="1230">
        <f t="shared" si="5"/>
        <v>42105</v>
      </c>
      <c r="B119" s="1231">
        <f t="shared" si="6"/>
        <v>0.83333333333333337</v>
      </c>
      <c r="C119" s="1220">
        <v>2</v>
      </c>
      <c r="D119" s="1220" t="str">
        <f t="shared" si="4"/>
        <v>Plan B</v>
      </c>
      <c r="E119" s="1220">
        <f ca="1">VALUE(INDIRECT("Penalties!"&amp;PenaltyData[[#This Row],[REF]]&amp;(PenaltyData[[#This Row],[ROW]]+1)))</f>
        <v>4</v>
      </c>
      <c r="F119" s="1220" t="str">
        <f ca="1">IF(INDIRECT("Penalties!"&amp;$N$28&amp;PenaltyData[[#This Row],[ROW]],TRUE)=0, "",INDIRECT("Penalties!"&amp;$N$28&amp;PenaltyData[[#This Row],[ROW]],TRUE))</f>
        <v>33</v>
      </c>
      <c r="G119" s="1220">
        <f ca="1">COUNTIFS($H$1:H119,"&lt;&gt;0", $F$1:F119,PenaltyData[[#This Row],[PlayerIdx]],$D$1:D119,PenaltyData[[#This Row],[Team]])</f>
        <v>1</v>
      </c>
      <c r="H119" s="1220" t="str">
        <f ca="1">INDIRECT("Penalties!"&amp;PenaltyData[[#This Row],[REF]]&amp;PenaltyData[[#This Row],[ROW]])</f>
        <v>O</v>
      </c>
      <c r="I119" s="1220" t="str">
        <f ca="1">IFERROR(VLOOKUP(PenaltyData[[#This Row],[Penalty]],PenaltyNames91419[],2,FALSE),"")</f>
        <v>OOB Block</v>
      </c>
      <c r="J119" s="1220" t="s">
        <v>758</v>
      </c>
      <c r="K119" s="1220">
        <f t="shared" si="7"/>
        <v>16</v>
      </c>
      <c r="L119" s="1220"/>
    </row>
    <row r="120" spans="1:12" x14ac:dyDescent="0.25">
      <c r="A120" s="1230">
        <f t="shared" si="5"/>
        <v>42105</v>
      </c>
      <c r="B120" s="1231">
        <f t="shared" si="6"/>
        <v>0.83333333333333337</v>
      </c>
      <c r="C120" s="1220">
        <v>2</v>
      </c>
      <c r="D120" s="1220" t="str">
        <f t="shared" si="4"/>
        <v>Plan B</v>
      </c>
      <c r="E120" s="1220">
        <f ca="1">VALUE(INDIRECT("Penalties!"&amp;PenaltyData[[#This Row],[REF]]&amp;(PenaltyData[[#This Row],[ROW]]+1)))</f>
        <v>0</v>
      </c>
      <c r="F120" s="1220" t="str">
        <f ca="1">IF(INDIRECT("Penalties!"&amp;$N$28&amp;PenaltyData[[#This Row],[ROW]],TRUE)=0, "",INDIRECT("Penalties!"&amp;$N$28&amp;PenaltyData[[#This Row],[ROW]],TRUE))</f>
        <v>33</v>
      </c>
      <c r="G120" s="1220">
        <f ca="1">COUNTIFS($H$1:H120,"&lt;&gt;0", $F$1:F120,PenaltyData[[#This Row],[PlayerIdx]],$D$1:D120,PenaltyData[[#This Row],[Team]])</f>
        <v>1</v>
      </c>
      <c r="H120" s="1220">
        <f ca="1">INDIRECT("Penalties!"&amp;PenaltyData[[#This Row],[REF]]&amp;PenaltyData[[#This Row],[ROW]])</f>
        <v>0</v>
      </c>
      <c r="I120" s="1220" t="str">
        <f ca="1">IFERROR(VLOOKUP(PenaltyData[[#This Row],[Penalty]],PenaltyNames91419[],2,FALSE),"")</f>
        <v/>
      </c>
      <c r="J120" s="1220" t="s">
        <v>759</v>
      </c>
      <c r="K120" s="1220">
        <f t="shared" si="7"/>
        <v>16</v>
      </c>
      <c r="L120" s="1220"/>
    </row>
    <row r="121" spans="1:12" x14ac:dyDescent="0.25">
      <c r="A121" s="1230">
        <f t="shared" si="5"/>
        <v>42105</v>
      </c>
      <c r="B121" s="1231">
        <f t="shared" si="6"/>
        <v>0.83333333333333337</v>
      </c>
      <c r="C121" s="1220">
        <v>2</v>
      </c>
      <c r="D121" s="1220" t="str">
        <f t="shared" si="4"/>
        <v>Plan B</v>
      </c>
      <c r="E121" s="1220">
        <f ca="1">VALUE(INDIRECT("Penalties!"&amp;PenaltyData[[#This Row],[REF]]&amp;(PenaltyData[[#This Row],[ROW]]+1)))</f>
        <v>0</v>
      </c>
      <c r="F121" s="1220" t="str">
        <f ca="1">IF(INDIRECT("Penalties!"&amp;$N$28&amp;PenaltyData[[#This Row],[ROW]],TRUE)=0, "",INDIRECT("Penalties!"&amp;$N$28&amp;PenaltyData[[#This Row],[ROW]],TRUE))</f>
        <v>33</v>
      </c>
      <c r="G121" s="1220">
        <f ca="1">COUNTIFS($H$1:H121,"&lt;&gt;0", $F$1:F121,PenaltyData[[#This Row],[PlayerIdx]],$D$1:D121,PenaltyData[[#This Row],[Team]])</f>
        <v>1</v>
      </c>
      <c r="H121" s="1220">
        <f ca="1">INDIRECT("Penalties!"&amp;PenaltyData[[#This Row],[REF]]&amp;PenaltyData[[#This Row],[ROW]])</f>
        <v>0</v>
      </c>
      <c r="I121" s="1220" t="str">
        <f ca="1">IFERROR(VLOOKUP(PenaltyData[[#This Row],[Penalty]],PenaltyNames91419[],2,FALSE),"")</f>
        <v/>
      </c>
      <c r="J121" s="1220" t="s">
        <v>760</v>
      </c>
      <c r="K121" s="1220">
        <f t="shared" si="7"/>
        <v>16</v>
      </c>
      <c r="L121" s="1220"/>
    </row>
    <row r="122" spans="1:12" x14ac:dyDescent="0.25">
      <c r="A122" s="1230">
        <f t="shared" si="5"/>
        <v>42105</v>
      </c>
      <c r="B122" s="1231">
        <f t="shared" si="6"/>
        <v>0.83333333333333337</v>
      </c>
      <c r="C122" s="1220">
        <v>2</v>
      </c>
      <c r="D122" s="1220" t="str">
        <f t="shared" si="4"/>
        <v>Plan B</v>
      </c>
      <c r="E122" s="1220">
        <f ca="1">VALUE(INDIRECT("Penalties!"&amp;PenaltyData[[#This Row],[REF]]&amp;(PenaltyData[[#This Row],[ROW]]+1)))</f>
        <v>0</v>
      </c>
      <c r="F122" s="1220" t="str">
        <f ca="1">IF(INDIRECT("Penalties!"&amp;$N$28&amp;PenaltyData[[#This Row],[ROW]],TRUE)=0, "",INDIRECT("Penalties!"&amp;$N$28&amp;PenaltyData[[#This Row],[ROW]],TRUE))</f>
        <v>33</v>
      </c>
      <c r="G122" s="1220">
        <f ca="1">COUNTIFS($H$1:H122,"&lt;&gt;0", $F$1:F122,PenaltyData[[#This Row],[PlayerIdx]],$D$1:D122,PenaltyData[[#This Row],[Team]])</f>
        <v>1</v>
      </c>
      <c r="H122" s="1220">
        <f ca="1">INDIRECT("Penalties!"&amp;PenaltyData[[#This Row],[REF]]&amp;PenaltyData[[#This Row],[ROW]])</f>
        <v>0</v>
      </c>
      <c r="I122" s="1220" t="str">
        <f ca="1">IFERROR(VLOOKUP(PenaltyData[[#This Row],[Penalty]],PenaltyNames91419[],2,FALSE),"")</f>
        <v/>
      </c>
      <c r="J122" s="1220" t="s">
        <v>761</v>
      </c>
      <c r="K122" s="1220">
        <f t="shared" si="7"/>
        <v>16</v>
      </c>
      <c r="L122" s="1220"/>
    </row>
    <row r="123" spans="1:12" x14ac:dyDescent="0.25">
      <c r="A123" s="1230">
        <f t="shared" si="5"/>
        <v>42105</v>
      </c>
      <c r="B123" s="1231">
        <f t="shared" si="6"/>
        <v>0.83333333333333337</v>
      </c>
      <c r="C123" s="1220">
        <v>2</v>
      </c>
      <c r="D123" s="1220" t="str">
        <f t="shared" si="4"/>
        <v>Plan B</v>
      </c>
      <c r="E123" s="1220">
        <f ca="1">VALUE(INDIRECT("Penalties!"&amp;PenaltyData[[#This Row],[REF]]&amp;(PenaltyData[[#This Row],[ROW]]+1)))</f>
        <v>0</v>
      </c>
      <c r="F123" s="1220" t="str">
        <f ca="1">IF(INDIRECT("Penalties!"&amp;$N$28&amp;PenaltyData[[#This Row],[ROW]],TRUE)=0, "",INDIRECT("Penalties!"&amp;$N$28&amp;PenaltyData[[#This Row],[ROW]],TRUE))</f>
        <v>33</v>
      </c>
      <c r="G123" s="1220">
        <f ca="1">COUNTIFS($H$1:H123,"&lt;&gt;0", $F$1:F123,PenaltyData[[#This Row],[PlayerIdx]],$D$1:D123,PenaltyData[[#This Row],[Team]])</f>
        <v>1</v>
      </c>
      <c r="H123" s="1220">
        <f ca="1">INDIRECT("Penalties!"&amp;PenaltyData[[#This Row],[REF]]&amp;PenaltyData[[#This Row],[ROW]])</f>
        <v>0</v>
      </c>
      <c r="I123" s="1220" t="str">
        <f ca="1">IFERROR(VLOOKUP(PenaltyData[[#This Row],[Penalty]],PenaltyNames91419[],2,FALSE),"")</f>
        <v/>
      </c>
      <c r="J123" s="1220" t="s">
        <v>762</v>
      </c>
      <c r="K123" s="1220">
        <f t="shared" si="7"/>
        <v>16</v>
      </c>
      <c r="L123" s="1220"/>
    </row>
    <row r="124" spans="1:12" x14ac:dyDescent="0.25">
      <c r="A124" s="1230">
        <f t="shared" si="5"/>
        <v>42105</v>
      </c>
      <c r="B124" s="1231">
        <f t="shared" si="6"/>
        <v>0.83333333333333337</v>
      </c>
      <c r="C124" s="1220">
        <v>2</v>
      </c>
      <c r="D124" s="1220" t="str">
        <f t="shared" si="4"/>
        <v>Plan B</v>
      </c>
      <c r="E124" s="1220">
        <f ca="1">VALUE(INDIRECT("Penalties!"&amp;PenaltyData[[#This Row],[REF]]&amp;(PenaltyData[[#This Row],[ROW]]+1)))</f>
        <v>0</v>
      </c>
      <c r="F124" s="1220" t="str">
        <f ca="1">IF(INDIRECT("Penalties!"&amp;$N$28&amp;PenaltyData[[#This Row],[ROW]],TRUE)=0, "",INDIRECT("Penalties!"&amp;$N$28&amp;PenaltyData[[#This Row],[ROW]],TRUE))</f>
        <v>33</v>
      </c>
      <c r="G124" s="1220">
        <f ca="1">COUNTIFS($H$1:H124,"&lt;&gt;0", $F$1:F124,PenaltyData[[#This Row],[PlayerIdx]],$D$1:D124,PenaltyData[[#This Row],[Team]])</f>
        <v>1</v>
      </c>
      <c r="H124" s="1220">
        <f ca="1">INDIRECT("Penalties!"&amp;PenaltyData[[#This Row],[REF]]&amp;PenaltyData[[#This Row],[ROW]])</f>
        <v>0</v>
      </c>
      <c r="I124" s="1220" t="str">
        <f ca="1">IFERROR(VLOOKUP(PenaltyData[[#This Row],[Penalty]],PenaltyNames91419[],2,FALSE),"")</f>
        <v/>
      </c>
      <c r="J124" s="1220" t="s">
        <v>763</v>
      </c>
      <c r="K124" s="1220">
        <f t="shared" si="7"/>
        <v>16</v>
      </c>
      <c r="L124" s="1220"/>
    </row>
    <row r="125" spans="1:12" x14ac:dyDescent="0.25">
      <c r="A125" s="1230">
        <f t="shared" si="5"/>
        <v>42105</v>
      </c>
      <c r="B125" s="1231">
        <f t="shared" si="6"/>
        <v>0.83333333333333337</v>
      </c>
      <c r="C125" s="1220">
        <v>2</v>
      </c>
      <c r="D125" s="1220" t="str">
        <f t="shared" si="4"/>
        <v>Plan B</v>
      </c>
      <c r="E125" s="1220">
        <f ca="1">VALUE(INDIRECT("Penalties!"&amp;PenaltyData[[#This Row],[REF]]&amp;(PenaltyData[[#This Row],[ROW]]+1)))</f>
        <v>0</v>
      </c>
      <c r="F125" s="1220" t="str">
        <f ca="1">IF(INDIRECT("Penalties!"&amp;$N$28&amp;PenaltyData[[#This Row],[ROW]],TRUE)=0, "",INDIRECT("Penalties!"&amp;$N$28&amp;PenaltyData[[#This Row],[ROW]],TRUE))</f>
        <v>33</v>
      </c>
      <c r="G125" s="1220">
        <f ca="1">COUNTIFS($H$1:H125,"&lt;&gt;0", $F$1:F125,PenaltyData[[#This Row],[PlayerIdx]],$D$1:D125,PenaltyData[[#This Row],[Team]])</f>
        <v>1</v>
      </c>
      <c r="H125" s="1220">
        <f ca="1">INDIRECT("Penalties!"&amp;PenaltyData[[#This Row],[REF]]&amp;PenaltyData[[#This Row],[ROW]])</f>
        <v>0</v>
      </c>
      <c r="I125" s="1220" t="str">
        <f ca="1">IFERROR(VLOOKUP(PenaltyData[[#This Row],[Penalty]],PenaltyNames91419[],2,FALSE),"")</f>
        <v/>
      </c>
      <c r="J125" s="1220" t="s">
        <v>765</v>
      </c>
      <c r="K125" s="1220">
        <f t="shared" si="7"/>
        <v>16</v>
      </c>
      <c r="L125" s="1220"/>
    </row>
    <row r="126" spans="1:12" x14ac:dyDescent="0.25">
      <c r="A126" s="1230">
        <f t="shared" si="5"/>
        <v>42105</v>
      </c>
      <c r="B126" s="1231">
        <f t="shared" si="6"/>
        <v>0.83333333333333337</v>
      </c>
      <c r="C126" s="1220">
        <v>2</v>
      </c>
      <c r="D126" s="1220" t="str">
        <f t="shared" si="4"/>
        <v>Plan B</v>
      </c>
      <c r="E126" s="1220">
        <f ca="1">VALUE(INDIRECT("Penalties!"&amp;PenaltyData[[#This Row],[REF]]&amp;(PenaltyData[[#This Row],[ROW]]+1)))</f>
        <v>0</v>
      </c>
      <c r="F126" s="1220" t="str">
        <f ca="1">IF(INDIRECT("Penalties!"&amp;$N$28&amp;PenaltyData[[#This Row],[ROW]],TRUE)=0, "",INDIRECT("Penalties!"&amp;$N$28&amp;PenaltyData[[#This Row],[ROW]],TRUE))</f>
        <v>33</v>
      </c>
      <c r="G126" s="1220">
        <f ca="1">COUNTIFS($H$1:H126,"&lt;&gt;0", $F$1:F126,PenaltyData[[#This Row],[PlayerIdx]],$D$1:D126,PenaltyData[[#This Row],[Team]])</f>
        <v>1</v>
      </c>
      <c r="H126" s="1220">
        <f ca="1">INDIRECT("Penalties!"&amp;PenaltyData[[#This Row],[REF]]&amp;PenaltyData[[#This Row],[ROW]])</f>
        <v>0</v>
      </c>
      <c r="I126" s="1220" t="str">
        <f ca="1">IFERROR(VLOOKUP(PenaltyData[[#This Row],[Penalty]],PenaltyNames91419[],2,FALSE),"")</f>
        <v/>
      </c>
      <c r="J126" s="1220" t="s">
        <v>766</v>
      </c>
      <c r="K126" s="1220">
        <f t="shared" si="7"/>
        <v>16</v>
      </c>
      <c r="L126" s="1220"/>
    </row>
    <row r="127" spans="1:12" x14ac:dyDescent="0.25">
      <c r="A127" s="1230">
        <f t="shared" si="5"/>
        <v>42105</v>
      </c>
      <c r="B127" s="1231">
        <f t="shared" si="6"/>
        <v>0.83333333333333337</v>
      </c>
      <c r="C127" s="1220">
        <v>2</v>
      </c>
      <c r="D127" s="1220" t="str">
        <f t="shared" si="4"/>
        <v>Plan B</v>
      </c>
      <c r="E127" s="1220">
        <f ca="1">VALUE(INDIRECT("Penalties!"&amp;PenaltyData[[#This Row],[REF]]&amp;(PenaltyData[[#This Row],[ROW]]+1)))</f>
        <v>0</v>
      </c>
      <c r="F127" s="1220" t="str">
        <f ca="1">IF(INDIRECT("Penalties!"&amp;$N$28&amp;PenaltyData[[#This Row],[ROW]],TRUE)=0, "",INDIRECT("Penalties!"&amp;$N$28&amp;PenaltyData[[#This Row],[ROW]],TRUE))</f>
        <v>33</v>
      </c>
      <c r="G127" s="1220">
        <f ca="1">COUNTIFS($H$1:H127,"&lt;&gt;0", $F$1:F127,PenaltyData[[#This Row],[PlayerIdx]],$D$1:D127,PenaltyData[[#This Row],[Team]])</f>
        <v>1</v>
      </c>
      <c r="H127" s="1220">
        <f ca="1">INDIRECT("Penalties!"&amp;PenaltyData[[#This Row],[REF]]&amp;PenaltyData[[#This Row],[ROW]])</f>
        <v>0</v>
      </c>
      <c r="I127" s="1220" t="str">
        <f ca="1">IFERROR(VLOOKUP(PenaltyData[[#This Row],[Penalty]],PenaltyNames91419[],2,FALSE),"")</f>
        <v/>
      </c>
      <c r="J127" s="1220" t="s">
        <v>767</v>
      </c>
      <c r="K127" s="1220">
        <f t="shared" si="7"/>
        <v>16</v>
      </c>
      <c r="L127" s="1220"/>
    </row>
    <row r="128" spans="1:12" x14ac:dyDescent="0.25">
      <c r="A128" s="1230">
        <f t="shared" si="5"/>
        <v>42105</v>
      </c>
      <c r="B128" s="1231">
        <f t="shared" si="6"/>
        <v>0.83333333333333337</v>
      </c>
      <c r="C128" s="1220">
        <v>1</v>
      </c>
      <c r="D128" s="1220" t="str">
        <f t="shared" si="4"/>
        <v>Plan B</v>
      </c>
      <c r="E128" s="1220">
        <f ca="1">VALUE(INDIRECT("Penalties!"&amp;PenaltyData[[#This Row],[REF]]&amp;(PenaltyData[[#This Row],[ROW]]+1)))</f>
        <v>1</v>
      </c>
      <c r="F128" s="1220" t="str">
        <f ca="1">IF(INDIRECT("Penalties!"&amp;$N$28&amp;PenaltyData[[#This Row],[ROW]],TRUE)=0, "",INDIRECT("Penalties!"&amp;$N$28&amp;PenaltyData[[#This Row],[ROW]],TRUE))</f>
        <v>4</v>
      </c>
      <c r="G128" s="1220">
        <f ca="1">COUNTIFS($H$1:H128,"&lt;&gt;0", $F$1:F128,PenaltyData[[#This Row],[PlayerIdx]],$D$1:D128,PenaltyData[[#This Row],[Team]])</f>
        <v>1</v>
      </c>
      <c r="H128" s="1220" t="str">
        <f ca="1">INDIRECT("Penalties!"&amp;PenaltyData[[#This Row],[REF]]&amp;PenaltyData[[#This Row],[ROW]])</f>
        <v>X</v>
      </c>
      <c r="I128" s="1220" t="str">
        <f ca="1">IFERROR(VLOOKUP(PenaltyData[[#This Row],[Penalty]],PenaltyNames91419[],2,FALSE),"")</f>
        <v>Cut Track</v>
      </c>
      <c r="J128" s="1220" t="s">
        <v>136</v>
      </c>
      <c r="K128" s="1220">
        <f t="shared" si="7"/>
        <v>18</v>
      </c>
      <c r="L128" s="1220"/>
    </row>
    <row r="129" spans="1:12" x14ac:dyDescent="0.25">
      <c r="A129" s="1230">
        <f t="shared" si="5"/>
        <v>42105</v>
      </c>
      <c r="B129" s="1231">
        <f t="shared" si="6"/>
        <v>0.83333333333333337</v>
      </c>
      <c r="C129" s="1220">
        <v>1</v>
      </c>
      <c r="D129" s="1220" t="str">
        <f t="shared" si="4"/>
        <v>Plan B</v>
      </c>
      <c r="E129" s="1220">
        <f ca="1">VALUE(INDIRECT("Penalties!"&amp;PenaltyData[[#This Row],[REF]]&amp;(PenaltyData[[#This Row],[ROW]]+1)))</f>
        <v>0</v>
      </c>
      <c r="F129" s="1220" t="str">
        <f ca="1">IF(INDIRECT("Penalties!"&amp;$N$28&amp;PenaltyData[[#This Row],[ROW]],TRUE)=0, "",INDIRECT("Penalties!"&amp;$N$28&amp;PenaltyData[[#This Row],[ROW]],TRUE))</f>
        <v>4</v>
      </c>
      <c r="G129" s="1220">
        <f ca="1">COUNTIFS($H$1:H129,"&lt;&gt;0", $F$1:F129,PenaltyData[[#This Row],[PlayerIdx]],$D$1:D129,PenaltyData[[#This Row],[Team]])</f>
        <v>1</v>
      </c>
      <c r="H129" s="1220">
        <f ca="1">INDIRECT("Penalties!"&amp;PenaltyData[[#This Row],[REF]]&amp;PenaltyData[[#This Row],[ROW]])</f>
        <v>0</v>
      </c>
      <c r="I129" s="1220" t="str">
        <f ca="1">IFERROR(VLOOKUP(PenaltyData[[#This Row],[Penalty]],PenaltyNames91419[],2,FALSE),"")</f>
        <v/>
      </c>
      <c r="J129" s="1220" t="s">
        <v>142</v>
      </c>
      <c r="K129" s="1220">
        <f t="shared" si="7"/>
        <v>18</v>
      </c>
      <c r="L129" s="1220"/>
    </row>
    <row r="130" spans="1:12" x14ac:dyDescent="0.25">
      <c r="A130" s="1230">
        <f t="shared" si="5"/>
        <v>42105</v>
      </c>
      <c r="B130" s="1231">
        <f t="shared" si="6"/>
        <v>0.83333333333333337</v>
      </c>
      <c r="C130" s="1220">
        <v>1</v>
      </c>
      <c r="D130" s="1220" t="str">
        <f t="shared" si="4"/>
        <v>Plan B</v>
      </c>
      <c r="E130" s="1220">
        <f ca="1">VALUE(INDIRECT("Penalties!"&amp;PenaltyData[[#This Row],[REF]]&amp;(PenaltyData[[#This Row],[ROW]]+1)))</f>
        <v>0</v>
      </c>
      <c r="F130" s="1220" t="str">
        <f ca="1">IF(INDIRECT("Penalties!"&amp;$N$28&amp;PenaltyData[[#This Row],[ROW]],TRUE)=0, "",INDIRECT("Penalties!"&amp;$N$28&amp;PenaltyData[[#This Row],[ROW]],TRUE))</f>
        <v>4</v>
      </c>
      <c r="G130" s="1220">
        <f ca="1">COUNTIFS($H$1:H130,"&lt;&gt;0", $F$1:F130,PenaltyData[[#This Row],[PlayerIdx]],$D$1:D130,PenaltyData[[#This Row],[Team]])</f>
        <v>1</v>
      </c>
      <c r="H130" s="1220">
        <f ca="1">INDIRECT("Penalties!"&amp;PenaltyData[[#This Row],[REF]]&amp;PenaltyData[[#This Row],[ROW]])</f>
        <v>0</v>
      </c>
      <c r="I130" s="1220" t="str">
        <f ca="1">IFERROR(VLOOKUP(PenaltyData[[#This Row],[Penalty]],PenaltyNames91419[],2,FALSE),"")</f>
        <v/>
      </c>
      <c r="J130" s="1220" t="s">
        <v>754</v>
      </c>
      <c r="K130" s="1220">
        <f t="shared" si="7"/>
        <v>18</v>
      </c>
      <c r="L130" s="1220"/>
    </row>
    <row r="131" spans="1:12" x14ac:dyDescent="0.25">
      <c r="A131" s="1230">
        <f t="shared" si="5"/>
        <v>42105</v>
      </c>
      <c r="B131" s="1231">
        <f t="shared" si="6"/>
        <v>0.83333333333333337</v>
      </c>
      <c r="C131" s="1220">
        <v>1</v>
      </c>
      <c r="D131" s="1220" t="str">
        <f t="shared" ref="D131:D194" si="8">$O$2</f>
        <v>Plan B</v>
      </c>
      <c r="E131" s="1220">
        <f ca="1">VALUE(INDIRECT("Penalties!"&amp;PenaltyData[[#This Row],[REF]]&amp;(PenaltyData[[#This Row],[ROW]]+1)))</f>
        <v>0</v>
      </c>
      <c r="F131" s="1220" t="str">
        <f ca="1">IF(INDIRECT("Penalties!"&amp;$N$28&amp;PenaltyData[[#This Row],[ROW]],TRUE)=0, "",INDIRECT("Penalties!"&amp;$N$28&amp;PenaltyData[[#This Row],[ROW]],TRUE))</f>
        <v>4</v>
      </c>
      <c r="G131" s="1220">
        <f ca="1">COUNTIFS($H$1:H131,"&lt;&gt;0", $F$1:F131,PenaltyData[[#This Row],[PlayerIdx]],$D$1:D131,PenaltyData[[#This Row],[Team]])</f>
        <v>1</v>
      </c>
      <c r="H131" s="1220">
        <f ca="1">INDIRECT("Penalties!"&amp;PenaltyData[[#This Row],[REF]]&amp;PenaltyData[[#This Row],[ROW]])</f>
        <v>0</v>
      </c>
      <c r="I131" s="1220" t="str">
        <f ca="1">IFERROR(VLOOKUP(PenaltyData[[#This Row],[Penalty]],PenaltyNames91419[],2,FALSE),"")</f>
        <v/>
      </c>
      <c r="J131" s="1220" t="s">
        <v>144</v>
      </c>
      <c r="K131" s="1220">
        <f t="shared" si="7"/>
        <v>18</v>
      </c>
      <c r="L131" s="1220"/>
    </row>
    <row r="132" spans="1:12" x14ac:dyDescent="0.25">
      <c r="A132" s="1230">
        <f t="shared" si="5"/>
        <v>42105</v>
      </c>
      <c r="B132" s="1231">
        <f t="shared" si="6"/>
        <v>0.83333333333333337</v>
      </c>
      <c r="C132" s="1220">
        <v>1</v>
      </c>
      <c r="D132" s="1220" t="str">
        <f t="shared" si="8"/>
        <v>Plan B</v>
      </c>
      <c r="E132" s="1220">
        <f ca="1">VALUE(INDIRECT("Penalties!"&amp;PenaltyData[[#This Row],[REF]]&amp;(PenaltyData[[#This Row],[ROW]]+1)))</f>
        <v>0</v>
      </c>
      <c r="F132" s="1220" t="str">
        <f ca="1">IF(INDIRECT("Penalties!"&amp;$N$28&amp;PenaltyData[[#This Row],[ROW]],TRUE)=0, "",INDIRECT("Penalties!"&amp;$N$28&amp;PenaltyData[[#This Row],[ROW]],TRUE))</f>
        <v>4</v>
      </c>
      <c r="G132" s="1220">
        <f ca="1">COUNTIFS($H$1:H132,"&lt;&gt;0", $F$1:F132,PenaltyData[[#This Row],[PlayerIdx]],$D$1:D132,PenaltyData[[#This Row],[Team]])</f>
        <v>1</v>
      </c>
      <c r="H132" s="1220">
        <f ca="1">INDIRECT("Penalties!"&amp;PenaltyData[[#This Row],[REF]]&amp;PenaltyData[[#This Row],[ROW]])</f>
        <v>0</v>
      </c>
      <c r="I132" s="1220" t="str">
        <f ca="1">IFERROR(VLOOKUP(PenaltyData[[#This Row],[Penalty]],PenaltyNames91419[],2,FALSE),"")</f>
        <v/>
      </c>
      <c r="J132" s="1220" t="s">
        <v>146</v>
      </c>
      <c r="K132" s="1220">
        <f t="shared" si="7"/>
        <v>18</v>
      </c>
      <c r="L132" s="1220"/>
    </row>
    <row r="133" spans="1:12" x14ac:dyDescent="0.25">
      <c r="A133" s="1230">
        <f t="shared" si="5"/>
        <v>42105</v>
      </c>
      <c r="B133" s="1231">
        <f t="shared" si="6"/>
        <v>0.83333333333333337</v>
      </c>
      <c r="C133" s="1220">
        <v>1</v>
      </c>
      <c r="D133" s="1220" t="str">
        <f t="shared" si="8"/>
        <v>Plan B</v>
      </c>
      <c r="E133" s="1220">
        <f ca="1">VALUE(INDIRECT("Penalties!"&amp;PenaltyData[[#This Row],[REF]]&amp;(PenaltyData[[#This Row],[ROW]]+1)))</f>
        <v>0</v>
      </c>
      <c r="F133" s="1220" t="str">
        <f ca="1">IF(INDIRECT("Penalties!"&amp;$N$28&amp;PenaltyData[[#This Row],[ROW]],TRUE)=0, "",INDIRECT("Penalties!"&amp;$N$28&amp;PenaltyData[[#This Row],[ROW]],TRUE))</f>
        <v>4</v>
      </c>
      <c r="G133" s="1220">
        <f ca="1">COUNTIFS($H$1:H133,"&lt;&gt;0", $F$1:F133,PenaltyData[[#This Row],[PlayerIdx]],$D$1:D133,PenaltyData[[#This Row],[Team]])</f>
        <v>1</v>
      </c>
      <c r="H133" s="1220">
        <f ca="1">INDIRECT("Penalties!"&amp;PenaltyData[[#This Row],[REF]]&amp;PenaltyData[[#This Row],[ROW]])</f>
        <v>0</v>
      </c>
      <c r="I133" s="1220" t="str">
        <f ca="1">IFERROR(VLOOKUP(PenaltyData[[#This Row],[Penalty]],PenaltyNames91419[],2,FALSE),"")</f>
        <v/>
      </c>
      <c r="J133" s="1220" t="s">
        <v>164</v>
      </c>
      <c r="K133" s="1220">
        <f t="shared" si="7"/>
        <v>18</v>
      </c>
      <c r="L133" s="1220"/>
    </row>
    <row r="134" spans="1:12" x14ac:dyDescent="0.25">
      <c r="A134" s="1230">
        <f t="shared" ref="A134:A197" si="9">$N$1</f>
        <v>42105</v>
      </c>
      <c r="B134" s="1231">
        <f t="shared" ref="B134:B197" si="10">$O$1</f>
        <v>0.83333333333333337</v>
      </c>
      <c r="C134" s="1220">
        <v>1</v>
      </c>
      <c r="D134" s="1220" t="str">
        <f t="shared" si="8"/>
        <v>Plan B</v>
      </c>
      <c r="E134" s="1220">
        <f ca="1">VALUE(INDIRECT("Penalties!"&amp;PenaltyData[[#This Row],[REF]]&amp;(PenaltyData[[#This Row],[ROW]]+1)))</f>
        <v>0</v>
      </c>
      <c r="F134" s="1220" t="str">
        <f ca="1">IF(INDIRECT("Penalties!"&amp;$N$28&amp;PenaltyData[[#This Row],[ROW]],TRUE)=0, "",INDIRECT("Penalties!"&amp;$N$28&amp;PenaltyData[[#This Row],[ROW]],TRUE))</f>
        <v>4</v>
      </c>
      <c r="G134" s="1220">
        <f ca="1">COUNTIFS($H$1:H134,"&lt;&gt;0", $F$1:F134,PenaltyData[[#This Row],[PlayerIdx]],$D$1:D134,PenaltyData[[#This Row],[Team]])</f>
        <v>1</v>
      </c>
      <c r="H134" s="1220">
        <f ca="1">INDIRECT("Penalties!"&amp;PenaltyData[[#This Row],[REF]]&amp;PenaltyData[[#This Row],[ROW]])</f>
        <v>0</v>
      </c>
      <c r="I134" s="1220" t="str">
        <f ca="1">IFERROR(VLOOKUP(PenaltyData[[#This Row],[Penalty]],PenaltyNames91419[],2,FALSE),"")</f>
        <v/>
      </c>
      <c r="J134" s="1220" t="s">
        <v>138</v>
      </c>
      <c r="K134" s="1220">
        <f t="shared" si="7"/>
        <v>18</v>
      </c>
      <c r="L134" s="1220"/>
    </row>
    <row r="135" spans="1:12" x14ac:dyDescent="0.25">
      <c r="A135" s="1230">
        <f t="shared" si="9"/>
        <v>42105</v>
      </c>
      <c r="B135" s="1231">
        <f t="shared" si="10"/>
        <v>0.83333333333333337</v>
      </c>
      <c r="C135" s="1220">
        <v>1</v>
      </c>
      <c r="D135" s="1220" t="str">
        <f t="shared" si="8"/>
        <v>Plan B</v>
      </c>
      <c r="E135" s="1220">
        <f ca="1">VALUE(INDIRECT("Penalties!"&amp;PenaltyData[[#This Row],[REF]]&amp;(PenaltyData[[#This Row],[ROW]]+1)))</f>
        <v>0</v>
      </c>
      <c r="F135" s="1220" t="str">
        <f ca="1">IF(INDIRECT("Penalties!"&amp;$N$28&amp;PenaltyData[[#This Row],[ROW]],TRUE)=0, "",INDIRECT("Penalties!"&amp;$N$28&amp;PenaltyData[[#This Row],[ROW]],TRUE))</f>
        <v>4</v>
      </c>
      <c r="G135" s="1220">
        <f ca="1">COUNTIFS($H$1:H135,"&lt;&gt;0", $F$1:F135,PenaltyData[[#This Row],[PlayerIdx]],$D$1:D135,PenaltyData[[#This Row],[Team]])</f>
        <v>1</v>
      </c>
      <c r="H135" s="1220">
        <f ca="1">INDIRECT("Penalties!"&amp;PenaltyData[[#This Row],[REF]]&amp;PenaltyData[[#This Row],[ROW]])</f>
        <v>0</v>
      </c>
      <c r="I135" s="1220" t="str">
        <f ca="1">IFERROR(VLOOKUP(PenaltyData[[#This Row],[Penalty]],PenaltyNames91419[],2,FALSE),"")</f>
        <v/>
      </c>
      <c r="J135" s="1220" t="s">
        <v>150</v>
      </c>
      <c r="K135" s="1220">
        <f t="shared" si="7"/>
        <v>18</v>
      </c>
      <c r="L135" s="1220"/>
    </row>
    <row r="136" spans="1:12" x14ac:dyDescent="0.25">
      <c r="A136" s="1230">
        <f t="shared" si="9"/>
        <v>42105</v>
      </c>
      <c r="B136" s="1231">
        <f t="shared" si="10"/>
        <v>0.83333333333333337</v>
      </c>
      <c r="C136" s="1220">
        <v>1</v>
      </c>
      <c r="D136" s="1220" t="str">
        <f t="shared" si="8"/>
        <v>Plan B</v>
      </c>
      <c r="E136" s="1220">
        <f ca="1">VALUE(INDIRECT("Penalties!"&amp;PenaltyData[[#This Row],[REF]]&amp;(PenaltyData[[#This Row],[ROW]]+1)))</f>
        <v>0</v>
      </c>
      <c r="F136" s="1220" t="str">
        <f ca="1">IF(INDIRECT("Penalties!"&amp;$N$28&amp;PenaltyData[[#This Row],[ROW]],TRUE)=0, "",INDIRECT("Penalties!"&amp;$N$28&amp;PenaltyData[[#This Row],[ROW]],TRUE))</f>
        <v>4</v>
      </c>
      <c r="G136" s="1220">
        <f ca="1">COUNTIFS($H$1:H136,"&lt;&gt;0", $F$1:F136,PenaltyData[[#This Row],[PlayerIdx]],$D$1:D136,PenaltyData[[#This Row],[Team]])</f>
        <v>1</v>
      </c>
      <c r="H136" s="1220">
        <f ca="1">INDIRECT("Penalties!"&amp;PenaltyData[[#This Row],[REF]]&amp;PenaltyData[[#This Row],[ROW]])</f>
        <v>0</v>
      </c>
      <c r="I136" s="1220" t="str">
        <f ca="1">IFERROR(VLOOKUP(PenaltyData[[#This Row],[Penalty]],PenaltyNames91419[],2,FALSE),"")</f>
        <v/>
      </c>
      <c r="J136" s="1220" t="s">
        <v>757</v>
      </c>
      <c r="K136" s="1220">
        <f t="shared" si="7"/>
        <v>18</v>
      </c>
      <c r="L136" s="1220"/>
    </row>
    <row r="137" spans="1:12" x14ac:dyDescent="0.25">
      <c r="A137" s="1230">
        <f t="shared" si="9"/>
        <v>42105</v>
      </c>
      <c r="B137" s="1231">
        <f t="shared" si="10"/>
        <v>0.83333333333333337</v>
      </c>
      <c r="C137" s="1220">
        <v>2</v>
      </c>
      <c r="D137" s="1220" t="str">
        <f t="shared" si="8"/>
        <v>Plan B</v>
      </c>
      <c r="E137" s="1220">
        <f ca="1">VALUE(INDIRECT("Penalties!"&amp;PenaltyData[[#This Row],[REF]]&amp;(PenaltyData[[#This Row],[ROW]]+1)))</f>
        <v>0</v>
      </c>
      <c r="F137" s="1220" t="str">
        <f ca="1">IF(INDIRECT("Penalties!"&amp;$N$28&amp;PenaltyData[[#This Row],[ROW]],TRUE)=0, "",INDIRECT("Penalties!"&amp;$N$28&amp;PenaltyData[[#This Row],[ROW]],TRUE))</f>
        <v>4</v>
      </c>
      <c r="G137" s="1220">
        <f ca="1">COUNTIFS($H$1:H137,"&lt;&gt;0", $F$1:F137,PenaltyData[[#This Row],[PlayerIdx]],$D$1:D137,PenaltyData[[#This Row],[Team]])</f>
        <v>1</v>
      </c>
      <c r="H137" s="1220">
        <f ca="1">INDIRECT("Penalties!"&amp;PenaltyData[[#This Row],[REF]]&amp;PenaltyData[[#This Row],[ROW]])</f>
        <v>0</v>
      </c>
      <c r="I137" s="1220" t="str">
        <f ca="1">IFERROR(VLOOKUP(PenaltyData[[#This Row],[Penalty]],PenaltyNames91419[],2,FALSE),"")</f>
        <v/>
      </c>
      <c r="J137" s="1220" t="s">
        <v>758</v>
      </c>
      <c r="K137" s="1220">
        <f t="shared" si="7"/>
        <v>18</v>
      </c>
      <c r="L137" s="1220"/>
    </row>
    <row r="138" spans="1:12" x14ac:dyDescent="0.25">
      <c r="A138" s="1230">
        <f t="shared" si="9"/>
        <v>42105</v>
      </c>
      <c r="B138" s="1231">
        <f t="shared" si="10"/>
        <v>0.83333333333333337</v>
      </c>
      <c r="C138" s="1220">
        <v>2</v>
      </c>
      <c r="D138" s="1220" t="str">
        <f t="shared" si="8"/>
        <v>Plan B</v>
      </c>
      <c r="E138" s="1220">
        <f ca="1">VALUE(INDIRECT("Penalties!"&amp;PenaltyData[[#This Row],[REF]]&amp;(PenaltyData[[#This Row],[ROW]]+1)))</f>
        <v>11</v>
      </c>
      <c r="F138" s="1220" t="str">
        <f ca="1">IF(INDIRECT("Penalties!"&amp;$N$28&amp;PenaltyData[[#This Row],[ROW]],TRUE)=0, "",INDIRECT("Penalties!"&amp;$N$28&amp;PenaltyData[[#This Row],[ROW]],TRUE))</f>
        <v>4</v>
      </c>
      <c r="G138" s="1220">
        <f ca="1">COUNTIFS($H$1:H138,"&lt;&gt;0", $F$1:F138,PenaltyData[[#This Row],[PlayerIdx]],$D$1:D138,PenaltyData[[#This Row],[Team]])</f>
        <v>2</v>
      </c>
      <c r="H138" s="1220" t="str">
        <f ca="1">INDIRECT("Penalties!"&amp;PenaltyData[[#This Row],[REF]]&amp;PenaltyData[[#This Row],[ROW]])</f>
        <v>B</v>
      </c>
      <c r="I138" s="1220" t="str">
        <f ca="1">IFERROR(VLOOKUP(PenaltyData[[#This Row],[Penalty]],PenaltyNames91419[],2,FALSE),"")</f>
        <v>Back Block</v>
      </c>
      <c r="J138" s="1220" t="s">
        <v>759</v>
      </c>
      <c r="K138" s="1220">
        <f t="shared" si="7"/>
        <v>18</v>
      </c>
      <c r="L138" s="1220"/>
    </row>
    <row r="139" spans="1:12" x14ac:dyDescent="0.25">
      <c r="A139" s="1230">
        <f t="shared" si="9"/>
        <v>42105</v>
      </c>
      <c r="B139" s="1231">
        <f t="shared" si="10"/>
        <v>0.83333333333333337</v>
      </c>
      <c r="C139" s="1220">
        <v>2</v>
      </c>
      <c r="D139" s="1220" t="str">
        <f t="shared" si="8"/>
        <v>Plan B</v>
      </c>
      <c r="E139" s="1220">
        <f ca="1">VALUE(INDIRECT("Penalties!"&amp;PenaltyData[[#This Row],[REF]]&amp;(PenaltyData[[#This Row],[ROW]]+1)))</f>
        <v>11</v>
      </c>
      <c r="F139" s="1220" t="str">
        <f ca="1">IF(INDIRECT("Penalties!"&amp;$N$28&amp;PenaltyData[[#This Row],[ROW]],TRUE)=0, "",INDIRECT("Penalties!"&amp;$N$28&amp;PenaltyData[[#This Row],[ROW]],TRUE))</f>
        <v>4</v>
      </c>
      <c r="G139" s="1220">
        <f ca="1">COUNTIFS($H$1:H139,"&lt;&gt;0", $F$1:F139,PenaltyData[[#This Row],[PlayerIdx]],$D$1:D139,PenaltyData[[#This Row],[Team]])</f>
        <v>3</v>
      </c>
      <c r="H139" s="1220" t="str">
        <f ca="1">INDIRECT("Penalties!"&amp;PenaltyData[[#This Row],[REF]]&amp;PenaltyData[[#This Row],[ROW]])</f>
        <v>X</v>
      </c>
      <c r="I139" s="1220" t="str">
        <f ca="1">IFERROR(VLOOKUP(PenaltyData[[#This Row],[Penalty]],PenaltyNames91419[],2,FALSE),"")</f>
        <v>Cut Track</v>
      </c>
      <c r="J139" s="1220" t="s">
        <v>760</v>
      </c>
      <c r="K139" s="1220">
        <f t="shared" si="7"/>
        <v>18</v>
      </c>
      <c r="L139" s="1220"/>
    </row>
    <row r="140" spans="1:12" x14ac:dyDescent="0.25">
      <c r="A140" s="1230">
        <f t="shared" si="9"/>
        <v>42105</v>
      </c>
      <c r="B140" s="1231">
        <f t="shared" si="10"/>
        <v>0.83333333333333337</v>
      </c>
      <c r="C140" s="1220">
        <v>2</v>
      </c>
      <c r="D140" s="1220" t="str">
        <f t="shared" si="8"/>
        <v>Plan B</v>
      </c>
      <c r="E140" s="1220">
        <f ca="1">VALUE(INDIRECT("Penalties!"&amp;PenaltyData[[#This Row],[REF]]&amp;(PenaltyData[[#This Row],[ROW]]+1)))</f>
        <v>0</v>
      </c>
      <c r="F140" s="1220" t="str">
        <f ca="1">IF(INDIRECT("Penalties!"&amp;$N$28&amp;PenaltyData[[#This Row],[ROW]],TRUE)=0, "",INDIRECT("Penalties!"&amp;$N$28&amp;PenaltyData[[#This Row],[ROW]],TRUE))</f>
        <v>4</v>
      </c>
      <c r="G140" s="1220">
        <f ca="1">COUNTIFS($H$1:H140,"&lt;&gt;0", $F$1:F140,PenaltyData[[#This Row],[PlayerIdx]],$D$1:D140,PenaltyData[[#This Row],[Team]])</f>
        <v>3</v>
      </c>
      <c r="H140" s="1220">
        <f ca="1">INDIRECT("Penalties!"&amp;PenaltyData[[#This Row],[REF]]&amp;PenaltyData[[#This Row],[ROW]])</f>
        <v>0</v>
      </c>
      <c r="I140" s="1220" t="str">
        <f ca="1">IFERROR(VLOOKUP(PenaltyData[[#This Row],[Penalty]],PenaltyNames91419[],2,FALSE),"")</f>
        <v/>
      </c>
      <c r="J140" s="1220" t="s">
        <v>761</v>
      </c>
      <c r="K140" s="1220">
        <f t="shared" si="7"/>
        <v>18</v>
      </c>
      <c r="L140" s="1220"/>
    </row>
    <row r="141" spans="1:12" x14ac:dyDescent="0.25">
      <c r="A141" s="1230">
        <f t="shared" si="9"/>
        <v>42105</v>
      </c>
      <c r="B141" s="1231">
        <f t="shared" si="10"/>
        <v>0.83333333333333337</v>
      </c>
      <c r="C141" s="1220">
        <v>2</v>
      </c>
      <c r="D141" s="1220" t="str">
        <f t="shared" si="8"/>
        <v>Plan B</v>
      </c>
      <c r="E141" s="1220">
        <f ca="1">VALUE(INDIRECT("Penalties!"&amp;PenaltyData[[#This Row],[REF]]&amp;(PenaltyData[[#This Row],[ROW]]+1)))</f>
        <v>0</v>
      </c>
      <c r="F141" s="1220" t="str">
        <f ca="1">IF(INDIRECT("Penalties!"&amp;$N$28&amp;PenaltyData[[#This Row],[ROW]],TRUE)=0, "",INDIRECT("Penalties!"&amp;$N$28&amp;PenaltyData[[#This Row],[ROW]],TRUE))</f>
        <v>4</v>
      </c>
      <c r="G141" s="1220">
        <f ca="1">COUNTIFS($H$1:H141,"&lt;&gt;0", $F$1:F141,PenaltyData[[#This Row],[PlayerIdx]],$D$1:D141,PenaltyData[[#This Row],[Team]])</f>
        <v>3</v>
      </c>
      <c r="H141" s="1220">
        <f ca="1">INDIRECT("Penalties!"&amp;PenaltyData[[#This Row],[REF]]&amp;PenaltyData[[#This Row],[ROW]])</f>
        <v>0</v>
      </c>
      <c r="I141" s="1220" t="str">
        <f ca="1">IFERROR(VLOOKUP(PenaltyData[[#This Row],[Penalty]],PenaltyNames91419[],2,FALSE),"")</f>
        <v/>
      </c>
      <c r="J141" s="1220" t="s">
        <v>762</v>
      </c>
      <c r="K141" s="1220">
        <f t="shared" si="7"/>
        <v>18</v>
      </c>
      <c r="L141" s="1220"/>
    </row>
    <row r="142" spans="1:12" x14ac:dyDescent="0.25">
      <c r="A142" s="1230">
        <f t="shared" si="9"/>
        <v>42105</v>
      </c>
      <c r="B142" s="1231">
        <f t="shared" si="10"/>
        <v>0.83333333333333337</v>
      </c>
      <c r="C142" s="1220">
        <v>2</v>
      </c>
      <c r="D142" s="1220" t="str">
        <f t="shared" si="8"/>
        <v>Plan B</v>
      </c>
      <c r="E142" s="1220">
        <f ca="1">VALUE(INDIRECT("Penalties!"&amp;PenaltyData[[#This Row],[REF]]&amp;(PenaltyData[[#This Row],[ROW]]+1)))</f>
        <v>0</v>
      </c>
      <c r="F142" s="1220" t="str">
        <f ca="1">IF(INDIRECT("Penalties!"&amp;$N$28&amp;PenaltyData[[#This Row],[ROW]],TRUE)=0, "",INDIRECT("Penalties!"&amp;$N$28&amp;PenaltyData[[#This Row],[ROW]],TRUE))</f>
        <v>4</v>
      </c>
      <c r="G142" s="1220">
        <f ca="1">COUNTIFS($H$1:H142,"&lt;&gt;0", $F$1:F142,PenaltyData[[#This Row],[PlayerIdx]],$D$1:D142,PenaltyData[[#This Row],[Team]])</f>
        <v>3</v>
      </c>
      <c r="H142" s="1220">
        <f ca="1">INDIRECT("Penalties!"&amp;PenaltyData[[#This Row],[REF]]&amp;PenaltyData[[#This Row],[ROW]])</f>
        <v>0</v>
      </c>
      <c r="I142" s="1220" t="str">
        <f ca="1">IFERROR(VLOOKUP(PenaltyData[[#This Row],[Penalty]],PenaltyNames91419[],2,FALSE),"")</f>
        <v/>
      </c>
      <c r="J142" s="1220" t="s">
        <v>763</v>
      </c>
      <c r="K142" s="1220">
        <f t="shared" si="7"/>
        <v>18</v>
      </c>
      <c r="L142" s="1220"/>
    </row>
    <row r="143" spans="1:12" x14ac:dyDescent="0.25">
      <c r="A143" s="1230">
        <f t="shared" si="9"/>
        <v>42105</v>
      </c>
      <c r="B143" s="1231">
        <f t="shared" si="10"/>
        <v>0.83333333333333337</v>
      </c>
      <c r="C143" s="1220">
        <v>2</v>
      </c>
      <c r="D143" s="1220" t="str">
        <f t="shared" si="8"/>
        <v>Plan B</v>
      </c>
      <c r="E143" s="1220">
        <f ca="1">VALUE(INDIRECT("Penalties!"&amp;PenaltyData[[#This Row],[REF]]&amp;(PenaltyData[[#This Row],[ROW]]+1)))</f>
        <v>0</v>
      </c>
      <c r="F143" s="1220" t="str">
        <f ca="1">IF(INDIRECT("Penalties!"&amp;$N$28&amp;PenaltyData[[#This Row],[ROW]],TRUE)=0, "",INDIRECT("Penalties!"&amp;$N$28&amp;PenaltyData[[#This Row],[ROW]],TRUE))</f>
        <v>4</v>
      </c>
      <c r="G143" s="1220">
        <f ca="1">COUNTIFS($H$1:H143,"&lt;&gt;0", $F$1:F143,PenaltyData[[#This Row],[PlayerIdx]],$D$1:D143,PenaltyData[[#This Row],[Team]])</f>
        <v>3</v>
      </c>
      <c r="H143" s="1220">
        <f ca="1">INDIRECT("Penalties!"&amp;PenaltyData[[#This Row],[REF]]&amp;PenaltyData[[#This Row],[ROW]])</f>
        <v>0</v>
      </c>
      <c r="I143" s="1220" t="str">
        <f ca="1">IFERROR(VLOOKUP(PenaltyData[[#This Row],[Penalty]],PenaltyNames91419[],2,FALSE),"")</f>
        <v/>
      </c>
      <c r="J143" s="1220" t="s">
        <v>765</v>
      </c>
      <c r="K143" s="1220">
        <f t="shared" si="7"/>
        <v>18</v>
      </c>
      <c r="L143" s="1220"/>
    </row>
    <row r="144" spans="1:12" x14ac:dyDescent="0.25">
      <c r="A144" s="1230">
        <f t="shared" si="9"/>
        <v>42105</v>
      </c>
      <c r="B144" s="1231">
        <f t="shared" si="10"/>
        <v>0.83333333333333337</v>
      </c>
      <c r="C144" s="1220">
        <v>2</v>
      </c>
      <c r="D144" s="1220" t="str">
        <f t="shared" si="8"/>
        <v>Plan B</v>
      </c>
      <c r="E144" s="1220">
        <f ca="1">VALUE(INDIRECT("Penalties!"&amp;PenaltyData[[#This Row],[REF]]&amp;(PenaltyData[[#This Row],[ROW]]+1)))</f>
        <v>0</v>
      </c>
      <c r="F144" s="1220" t="str">
        <f ca="1">IF(INDIRECT("Penalties!"&amp;$N$28&amp;PenaltyData[[#This Row],[ROW]],TRUE)=0, "",INDIRECT("Penalties!"&amp;$N$28&amp;PenaltyData[[#This Row],[ROW]],TRUE))</f>
        <v>4</v>
      </c>
      <c r="G144" s="1220">
        <f ca="1">COUNTIFS($H$1:H144,"&lt;&gt;0", $F$1:F144,PenaltyData[[#This Row],[PlayerIdx]],$D$1:D144,PenaltyData[[#This Row],[Team]])</f>
        <v>3</v>
      </c>
      <c r="H144" s="1220">
        <f ca="1">INDIRECT("Penalties!"&amp;PenaltyData[[#This Row],[REF]]&amp;PenaltyData[[#This Row],[ROW]])</f>
        <v>0</v>
      </c>
      <c r="I144" s="1220" t="str">
        <f ca="1">IFERROR(VLOOKUP(PenaltyData[[#This Row],[Penalty]],PenaltyNames91419[],2,FALSE),"")</f>
        <v/>
      </c>
      <c r="J144" s="1220" t="s">
        <v>766</v>
      </c>
      <c r="K144" s="1220">
        <f t="shared" si="7"/>
        <v>18</v>
      </c>
      <c r="L144" s="1220"/>
    </row>
    <row r="145" spans="1:12" x14ac:dyDescent="0.25">
      <c r="A145" s="1230">
        <f t="shared" si="9"/>
        <v>42105</v>
      </c>
      <c r="B145" s="1231">
        <f t="shared" si="10"/>
        <v>0.83333333333333337</v>
      </c>
      <c r="C145" s="1220">
        <v>2</v>
      </c>
      <c r="D145" s="1220" t="str">
        <f t="shared" si="8"/>
        <v>Plan B</v>
      </c>
      <c r="E145" s="1220">
        <f ca="1">VALUE(INDIRECT("Penalties!"&amp;PenaltyData[[#This Row],[REF]]&amp;(PenaltyData[[#This Row],[ROW]]+1)))</f>
        <v>0</v>
      </c>
      <c r="F145" s="1220" t="str">
        <f ca="1">IF(INDIRECT("Penalties!"&amp;$N$28&amp;PenaltyData[[#This Row],[ROW]],TRUE)=0, "",INDIRECT("Penalties!"&amp;$N$28&amp;PenaltyData[[#This Row],[ROW]],TRUE))</f>
        <v>4</v>
      </c>
      <c r="G145" s="1220">
        <f ca="1">COUNTIFS($H$1:H145,"&lt;&gt;0", $F$1:F145,PenaltyData[[#This Row],[PlayerIdx]],$D$1:D145,PenaltyData[[#This Row],[Team]])</f>
        <v>3</v>
      </c>
      <c r="H145" s="1220">
        <f ca="1">INDIRECT("Penalties!"&amp;PenaltyData[[#This Row],[REF]]&amp;PenaltyData[[#This Row],[ROW]])</f>
        <v>0</v>
      </c>
      <c r="I145" s="1220" t="str">
        <f ca="1">IFERROR(VLOOKUP(PenaltyData[[#This Row],[Penalty]],PenaltyNames91419[],2,FALSE),"")</f>
        <v/>
      </c>
      <c r="J145" s="1220" t="s">
        <v>767</v>
      </c>
      <c r="K145" s="1220">
        <f t="shared" si="7"/>
        <v>18</v>
      </c>
      <c r="L145" s="1220"/>
    </row>
    <row r="146" spans="1:12" x14ac:dyDescent="0.25">
      <c r="A146" s="1230">
        <f t="shared" si="9"/>
        <v>42105</v>
      </c>
      <c r="B146" s="1231">
        <f t="shared" si="10"/>
        <v>0.83333333333333337</v>
      </c>
      <c r="C146" s="1220">
        <v>1</v>
      </c>
      <c r="D146" s="1220" t="str">
        <f t="shared" si="8"/>
        <v>Plan B</v>
      </c>
      <c r="E146" s="1220">
        <f ca="1">VALUE(INDIRECT("Penalties!"&amp;PenaltyData[[#This Row],[REF]]&amp;(PenaltyData[[#This Row],[ROW]]+1)))</f>
        <v>0</v>
      </c>
      <c r="F146" s="1220" t="str">
        <f ca="1">IF(INDIRECT("Penalties!"&amp;$N$28&amp;PenaltyData[[#This Row],[ROW]],TRUE)=0, "",INDIRECT("Penalties!"&amp;$N$28&amp;PenaltyData[[#This Row],[ROW]],TRUE))</f>
        <v>42</v>
      </c>
      <c r="G146" s="1220">
        <f ca="1">COUNTIFS($H$1:H146,"&lt;&gt;0", $F$1:F146,PenaltyData[[#This Row],[PlayerIdx]],$D$1:D146,PenaltyData[[#This Row],[Team]])</f>
        <v>0</v>
      </c>
      <c r="H146" s="1220">
        <f ca="1">INDIRECT("Penalties!"&amp;PenaltyData[[#This Row],[REF]]&amp;PenaltyData[[#This Row],[ROW]])</f>
        <v>0</v>
      </c>
      <c r="I146" s="1220" t="str">
        <f ca="1">IFERROR(VLOOKUP(PenaltyData[[#This Row],[Penalty]],PenaltyNames91419[],2,FALSE),"")</f>
        <v/>
      </c>
      <c r="J146" s="1220" t="s">
        <v>136</v>
      </c>
      <c r="K146" s="1220">
        <f t="shared" si="7"/>
        <v>20</v>
      </c>
      <c r="L146" s="1220"/>
    </row>
    <row r="147" spans="1:12" x14ac:dyDescent="0.25">
      <c r="A147" s="1230">
        <f t="shared" si="9"/>
        <v>42105</v>
      </c>
      <c r="B147" s="1231">
        <f t="shared" si="10"/>
        <v>0.83333333333333337</v>
      </c>
      <c r="C147" s="1220">
        <v>1</v>
      </c>
      <c r="D147" s="1220" t="str">
        <f t="shared" si="8"/>
        <v>Plan B</v>
      </c>
      <c r="E147" s="1220">
        <f ca="1">VALUE(INDIRECT("Penalties!"&amp;PenaltyData[[#This Row],[REF]]&amp;(PenaltyData[[#This Row],[ROW]]+1)))</f>
        <v>0</v>
      </c>
      <c r="F147" s="1220" t="str">
        <f ca="1">IF(INDIRECT("Penalties!"&amp;$N$28&amp;PenaltyData[[#This Row],[ROW]],TRUE)=0, "",INDIRECT("Penalties!"&amp;$N$28&amp;PenaltyData[[#This Row],[ROW]],TRUE))</f>
        <v>42</v>
      </c>
      <c r="G147" s="1220">
        <f ca="1">COUNTIFS($H$1:H147,"&lt;&gt;0", $F$1:F147,PenaltyData[[#This Row],[PlayerIdx]],$D$1:D147,PenaltyData[[#This Row],[Team]])</f>
        <v>0</v>
      </c>
      <c r="H147" s="1220">
        <f ca="1">INDIRECT("Penalties!"&amp;PenaltyData[[#This Row],[REF]]&amp;PenaltyData[[#This Row],[ROW]])</f>
        <v>0</v>
      </c>
      <c r="I147" s="1220" t="str">
        <f ca="1">IFERROR(VLOOKUP(PenaltyData[[#This Row],[Penalty]],PenaltyNames91419[],2,FALSE),"")</f>
        <v/>
      </c>
      <c r="J147" s="1220" t="s">
        <v>142</v>
      </c>
      <c r="K147" s="1220">
        <f t="shared" si="7"/>
        <v>20</v>
      </c>
      <c r="L147" s="1220"/>
    </row>
    <row r="148" spans="1:12" x14ac:dyDescent="0.25">
      <c r="A148" s="1230">
        <f t="shared" si="9"/>
        <v>42105</v>
      </c>
      <c r="B148" s="1231">
        <f t="shared" si="10"/>
        <v>0.83333333333333337</v>
      </c>
      <c r="C148" s="1220">
        <v>1</v>
      </c>
      <c r="D148" s="1220" t="str">
        <f t="shared" si="8"/>
        <v>Plan B</v>
      </c>
      <c r="E148" s="1220">
        <f ca="1">VALUE(INDIRECT("Penalties!"&amp;PenaltyData[[#This Row],[REF]]&amp;(PenaltyData[[#This Row],[ROW]]+1)))</f>
        <v>0</v>
      </c>
      <c r="F148" s="1220" t="str">
        <f ca="1">IF(INDIRECT("Penalties!"&amp;$N$28&amp;PenaltyData[[#This Row],[ROW]],TRUE)=0, "",INDIRECT("Penalties!"&amp;$N$28&amp;PenaltyData[[#This Row],[ROW]],TRUE))</f>
        <v>42</v>
      </c>
      <c r="G148" s="1220">
        <f ca="1">COUNTIFS($H$1:H148,"&lt;&gt;0", $F$1:F148,PenaltyData[[#This Row],[PlayerIdx]],$D$1:D148,PenaltyData[[#This Row],[Team]])</f>
        <v>0</v>
      </c>
      <c r="H148" s="1220">
        <f ca="1">INDIRECT("Penalties!"&amp;PenaltyData[[#This Row],[REF]]&amp;PenaltyData[[#This Row],[ROW]])</f>
        <v>0</v>
      </c>
      <c r="I148" s="1220" t="str">
        <f ca="1">IFERROR(VLOOKUP(PenaltyData[[#This Row],[Penalty]],PenaltyNames91419[],2,FALSE),"")</f>
        <v/>
      </c>
      <c r="J148" s="1220" t="s">
        <v>754</v>
      </c>
      <c r="K148" s="1220">
        <f t="shared" si="7"/>
        <v>20</v>
      </c>
      <c r="L148" s="1220"/>
    </row>
    <row r="149" spans="1:12" x14ac:dyDescent="0.25">
      <c r="A149" s="1230">
        <f t="shared" si="9"/>
        <v>42105</v>
      </c>
      <c r="B149" s="1231">
        <f t="shared" si="10"/>
        <v>0.83333333333333337</v>
      </c>
      <c r="C149" s="1220">
        <v>1</v>
      </c>
      <c r="D149" s="1220" t="str">
        <f t="shared" si="8"/>
        <v>Plan B</v>
      </c>
      <c r="E149" s="1220">
        <f ca="1">VALUE(INDIRECT("Penalties!"&amp;PenaltyData[[#This Row],[REF]]&amp;(PenaltyData[[#This Row],[ROW]]+1)))</f>
        <v>0</v>
      </c>
      <c r="F149" s="1220" t="str">
        <f ca="1">IF(INDIRECT("Penalties!"&amp;$N$28&amp;PenaltyData[[#This Row],[ROW]],TRUE)=0, "",INDIRECT("Penalties!"&amp;$N$28&amp;PenaltyData[[#This Row],[ROW]],TRUE))</f>
        <v>42</v>
      </c>
      <c r="G149" s="1220">
        <f ca="1">COUNTIFS($H$1:H149,"&lt;&gt;0", $F$1:F149,PenaltyData[[#This Row],[PlayerIdx]],$D$1:D149,PenaltyData[[#This Row],[Team]])</f>
        <v>0</v>
      </c>
      <c r="H149" s="1220">
        <f ca="1">INDIRECT("Penalties!"&amp;PenaltyData[[#This Row],[REF]]&amp;PenaltyData[[#This Row],[ROW]])</f>
        <v>0</v>
      </c>
      <c r="I149" s="1220" t="str">
        <f ca="1">IFERROR(VLOOKUP(PenaltyData[[#This Row],[Penalty]],PenaltyNames91419[],2,FALSE),"")</f>
        <v/>
      </c>
      <c r="J149" s="1220" t="s">
        <v>144</v>
      </c>
      <c r="K149" s="1220">
        <f t="shared" ref="K149:K212" si="11">K131+2</f>
        <v>20</v>
      </c>
      <c r="L149" s="1220"/>
    </row>
    <row r="150" spans="1:12" x14ac:dyDescent="0.25">
      <c r="A150" s="1230">
        <f t="shared" si="9"/>
        <v>42105</v>
      </c>
      <c r="B150" s="1231">
        <f t="shared" si="10"/>
        <v>0.83333333333333337</v>
      </c>
      <c r="C150" s="1220">
        <v>1</v>
      </c>
      <c r="D150" s="1220" t="str">
        <f t="shared" si="8"/>
        <v>Plan B</v>
      </c>
      <c r="E150" s="1220">
        <f ca="1">VALUE(INDIRECT("Penalties!"&amp;PenaltyData[[#This Row],[REF]]&amp;(PenaltyData[[#This Row],[ROW]]+1)))</f>
        <v>0</v>
      </c>
      <c r="F150" s="1220" t="str">
        <f ca="1">IF(INDIRECT("Penalties!"&amp;$N$28&amp;PenaltyData[[#This Row],[ROW]],TRUE)=0, "",INDIRECT("Penalties!"&amp;$N$28&amp;PenaltyData[[#This Row],[ROW]],TRUE))</f>
        <v>42</v>
      </c>
      <c r="G150" s="1220">
        <f ca="1">COUNTIFS($H$1:H150,"&lt;&gt;0", $F$1:F150,PenaltyData[[#This Row],[PlayerIdx]],$D$1:D150,PenaltyData[[#This Row],[Team]])</f>
        <v>0</v>
      </c>
      <c r="H150" s="1220">
        <f ca="1">INDIRECT("Penalties!"&amp;PenaltyData[[#This Row],[REF]]&amp;PenaltyData[[#This Row],[ROW]])</f>
        <v>0</v>
      </c>
      <c r="I150" s="1220" t="str">
        <f ca="1">IFERROR(VLOOKUP(PenaltyData[[#This Row],[Penalty]],PenaltyNames91419[],2,FALSE),"")</f>
        <v/>
      </c>
      <c r="J150" s="1220" t="s">
        <v>146</v>
      </c>
      <c r="K150" s="1220">
        <f t="shared" si="11"/>
        <v>20</v>
      </c>
      <c r="L150" s="1220"/>
    </row>
    <row r="151" spans="1:12" x14ac:dyDescent="0.25">
      <c r="A151" s="1230">
        <f t="shared" si="9"/>
        <v>42105</v>
      </c>
      <c r="B151" s="1231">
        <f t="shared" si="10"/>
        <v>0.83333333333333337</v>
      </c>
      <c r="C151" s="1220">
        <v>1</v>
      </c>
      <c r="D151" s="1220" t="str">
        <f t="shared" si="8"/>
        <v>Plan B</v>
      </c>
      <c r="E151" s="1220">
        <f ca="1">VALUE(INDIRECT("Penalties!"&amp;PenaltyData[[#This Row],[REF]]&amp;(PenaltyData[[#This Row],[ROW]]+1)))</f>
        <v>0</v>
      </c>
      <c r="F151" s="1220" t="str">
        <f ca="1">IF(INDIRECT("Penalties!"&amp;$N$28&amp;PenaltyData[[#This Row],[ROW]],TRUE)=0, "",INDIRECT("Penalties!"&amp;$N$28&amp;PenaltyData[[#This Row],[ROW]],TRUE))</f>
        <v>42</v>
      </c>
      <c r="G151" s="1220">
        <f ca="1">COUNTIFS($H$1:H151,"&lt;&gt;0", $F$1:F151,PenaltyData[[#This Row],[PlayerIdx]],$D$1:D151,PenaltyData[[#This Row],[Team]])</f>
        <v>0</v>
      </c>
      <c r="H151" s="1220">
        <f ca="1">INDIRECT("Penalties!"&amp;PenaltyData[[#This Row],[REF]]&amp;PenaltyData[[#This Row],[ROW]])</f>
        <v>0</v>
      </c>
      <c r="I151" s="1220" t="str">
        <f ca="1">IFERROR(VLOOKUP(PenaltyData[[#This Row],[Penalty]],PenaltyNames91419[],2,FALSE),"")</f>
        <v/>
      </c>
      <c r="J151" s="1220" t="s">
        <v>164</v>
      </c>
      <c r="K151" s="1220">
        <f t="shared" si="11"/>
        <v>20</v>
      </c>
      <c r="L151" s="1220"/>
    </row>
    <row r="152" spans="1:12" x14ac:dyDescent="0.25">
      <c r="A152" s="1230">
        <f t="shared" si="9"/>
        <v>42105</v>
      </c>
      <c r="B152" s="1231">
        <f t="shared" si="10"/>
        <v>0.83333333333333337</v>
      </c>
      <c r="C152" s="1220">
        <v>1</v>
      </c>
      <c r="D152" s="1220" t="str">
        <f t="shared" si="8"/>
        <v>Plan B</v>
      </c>
      <c r="E152" s="1220">
        <f ca="1">VALUE(INDIRECT("Penalties!"&amp;PenaltyData[[#This Row],[REF]]&amp;(PenaltyData[[#This Row],[ROW]]+1)))</f>
        <v>0</v>
      </c>
      <c r="F152" s="1220" t="str">
        <f ca="1">IF(INDIRECT("Penalties!"&amp;$N$28&amp;PenaltyData[[#This Row],[ROW]],TRUE)=0, "",INDIRECT("Penalties!"&amp;$N$28&amp;PenaltyData[[#This Row],[ROW]],TRUE))</f>
        <v>42</v>
      </c>
      <c r="G152" s="1220">
        <f ca="1">COUNTIFS($H$1:H152,"&lt;&gt;0", $F$1:F152,PenaltyData[[#This Row],[PlayerIdx]],$D$1:D152,PenaltyData[[#This Row],[Team]])</f>
        <v>0</v>
      </c>
      <c r="H152" s="1220">
        <f ca="1">INDIRECT("Penalties!"&amp;PenaltyData[[#This Row],[REF]]&amp;PenaltyData[[#This Row],[ROW]])</f>
        <v>0</v>
      </c>
      <c r="I152" s="1220" t="str">
        <f ca="1">IFERROR(VLOOKUP(PenaltyData[[#This Row],[Penalty]],PenaltyNames91419[],2,FALSE),"")</f>
        <v/>
      </c>
      <c r="J152" s="1220" t="s">
        <v>138</v>
      </c>
      <c r="K152" s="1220">
        <f t="shared" si="11"/>
        <v>20</v>
      </c>
      <c r="L152" s="1220"/>
    </row>
    <row r="153" spans="1:12" x14ac:dyDescent="0.25">
      <c r="A153" s="1230">
        <f t="shared" si="9"/>
        <v>42105</v>
      </c>
      <c r="B153" s="1231">
        <f t="shared" si="10"/>
        <v>0.83333333333333337</v>
      </c>
      <c r="C153" s="1220">
        <v>1</v>
      </c>
      <c r="D153" s="1220" t="str">
        <f t="shared" si="8"/>
        <v>Plan B</v>
      </c>
      <c r="E153" s="1220">
        <f ca="1">VALUE(INDIRECT("Penalties!"&amp;PenaltyData[[#This Row],[REF]]&amp;(PenaltyData[[#This Row],[ROW]]+1)))</f>
        <v>0</v>
      </c>
      <c r="F153" s="1220" t="str">
        <f ca="1">IF(INDIRECT("Penalties!"&amp;$N$28&amp;PenaltyData[[#This Row],[ROW]],TRUE)=0, "",INDIRECT("Penalties!"&amp;$N$28&amp;PenaltyData[[#This Row],[ROW]],TRUE))</f>
        <v>42</v>
      </c>
      <c r="G153" s="1220">
        <f ca="1">COUNTIFS($H$1:H153,"&lt;&gt;0", $F$1:F153,PenaltyData[[#This Row],[PlayerIdx]],$D$1:D153,PenaltyData[[#This Row],[Team]])</f>
        <v>0</v>
      </c>
      <c r="H153" s="1220">
        <f ca="1">INDIRECT("Penalties!"&amp;PenaltyData[[#This Row],[REF]]&amp;PenaltyData[[#This Row],[ROW]])</f>
        <v>0</v>
      </c>
      <c r="I153" s="1220" t="str">
        <f ca="1">IFERROR(VLOOKUP(PenaltyData[[#This Row],[Penalty]],PenaltyNames91419[],2,FALSE),"")</f>
        <v/>
      </c>
      <c r="J153" s="1220" t="s">
        <v>150</v>
      </c>
      <c r="K153" s="1220">
        <f t="shared" si="11"/>
        <v>20</v>
      </c>
      <c r="L153" s="1220"/>
    </row>
    <row r="154" spans="1:12" x14ac:dyDescent="0.25">
      <c r="A154" s="1230">
        <f t="shared" si="9"/>
        <v>42105</v>
      </c>
      <c r="B154" s="1231">
        <f t="shared" si="10"/>
        <v>0.83333333333333337</v>
      </c>
      <c r="C154" s="1220">
        <v>1</v>
      </c>
      <c r="D154" s="1220" t="str">
        <f t="shared" si="8"/>
        <v>Plan B</v>
      </c>
      <c r="E154" s="1220">
        <f ca="1">VALUE(INDIRECT("Penalties!"&amp;PenaltyData[[#This Row],[REF]]&amp;(PenaltyData[[#This Row],[ROW]]+1)))</f>
        <v>0</v>
      </c>
      <c r="F154" s="1220" t="str">
        <f ca="1">IF(INDIRECT("Penalties!"&amp;$N$28&amp;PenaltyData[[#This Row],[ROW]],TRUE)=0, "",INDIRECT("Penalties!"&amp;$N$28&amp;PenaltyData[[#This Row],[ROW]],TRUE))</f>
        <v>42</v>
      </c>
      <c r="G154" s="1220">
        <f ca="1">COUNTIFS($H$1:H154,"&lt;&gt;0", $F$1:F154,PenaltyData[[#This Row],[PlayerIdx]],$D$1:D154,PenaltyData[[#This Row],[Team]])</f>
        <v>0</v>
      </c>
      <c r="H154" s="1220">
        <f ca="1">INDIRECT("Penalties!"&amp;PenaltyData[[#This Row],[REF]]&amp;PenaltyData[[#This Row],[ROW]])</f>
        <v>0</v>
      </c>
      <c r="I154" s="1220" t="str">
        <f ca="1">IFERROR(VLOOKUP(PenaltyData[[#This Row],[Penalty]],PenaltyNames91419[],2,FALSE),"")</f>
        <v/>
      </c>
      <c r="J154" s="1220" t="s">
        <v>757</v>
      </c>
      <c r="K154" s="1220">
        <f t="shared" si="11"/>
        <v>20</v>
      </c>
      <c r="L154" s="1220"/>
    </row>
    <row r="155" spans="1:12" x14ac:dyDescent="0.25">
      <c r="A155" s="1230">
        <f t="shared" si="9"/>
        <v>42105</v>
      </c>
      <c r="B155" s="1231">
        <f t="shared" si="10"/>
        <v>0.83333333333333337</v>
      </c>
      <c r="C155" s="1220">
        <v>2</v>
      </c>
      <c r="D155" s="1220" t="str">
        <f t="shared" si="8"/>
        <v>Plan B</v>
      </c>
      <c r="E155" s="1220">
        <f ca="1">VALUE(INDIRECT("Penalties!"&amp;PenaltyData[[#This Row],[REF]]&amp;(PenaltyData[[#This Row],[ROW]]+1)))</f>
        <v>12</v>
      </c>
      <c r="F155" s="1220" t="str">
        <f ca="1">IF(INDIRECT("Penalties!"&amp;$N$28&amp;PenaltyData[[#This Row],[ROW]],TRUE)=0, "",INDIRECT("Penalties!"&amp;$N$28&amp;PenaltyData[[#This Row],[ROW]],TRUE))</f>
        <v>42</v>
      </c>
      <c r="G155" s="1220">
        <f ca="1">COUNTIFS($H$1:H155,"&lt;&gt;0", $F$1:F155,PenaltyData[[#This Row],[PlayerIdx]],$D$1:D155,PenaltyData[[#This Row],[Team]])</f>
        <v>1</v>
      </c>
      <c r="H155" s="1220" t="str">
        <f ca="1">INDIRECT("Penalties!"&amp;PenaltyData[[#This Row],[REF]]&amp;PenaltyData[[#This Row],[ROW]])</f>
        <v>P</v>
      </c>
      <c r="I155" s="1220" t="str">
        <f ca="1">IFERROR(VLOOKUP(PenaltyData[[#This Row],[Penalty]],PenaltyNames91419[],2,FALSE),"")</f>
        <v>Out of Play</v>
      </c>
      <c r="J155" s="1220" t="s">
        <v>758</v>
      </c>
      <c r="K155" s="1220">
        <f t="shared" si="11"/>
        <v>20</v>
      </c>
      <c r="L155" s="1220"/>
    </row>
    <row r="156" spans="1:12" x14ac:dyDescent="0.25">
      <c r="A156" s="1230">
        <f t="shared" si="9"/>
        <v>42105</v>
      </c>
      <c r="B156" s="1231">
        <f t="shared" si="10"/>
        <v>0.83333333333333337</v>
      </c>
      <c r="C156" s="1220">
        <v>2</v>
      </c>
      <c r="D156" s="1220" t="str">
        <f t="shared" si="8"/>
        <v>Plan B</v>
      </c>
      <c r="E156" s="1220">
        <f ca="1">VALUE(INDIRECT("Penalties!"&amp;PenaltyData[[#This Row],[REF]]&amp;(PenaltyData[[#This Row],[ROW]]+1)))</f>
        <v>17</v>
      </c>
      <c r="F156" s="1220" t="str">
        <f ca="1">IF(INDIRECT("Penalties!"&amp;$N$28&amp;PenaltyData[[#This Row],[ROW]],TRUE)=0, "",INDIRECT("Penalties!"&amp;$N$28&amp;PenaltyData[[#This Row],[ROW]],TRUE))</f>
        <v>42</v>
      </c>
      <c r="G156" s="1220">
        <f ca="1">COUNTIFS($H$1:H156,"&lt;&gt;0", $F$1:F156,PenaltyData[[#This Row],[PlayerIdx]],$D$1:D156,PenaltyData[[#This Row],[Team]])</f>
        <v>2</v>
      </c>
      <c r="H156" s="1220" t="str">
        <f ca="1">INDIRECT("Penalties!"&amp;PenaltyData[[#This Row],[REF]]&amp;PenaltyData[[#This Row],[ROW]])</f>
        <v>P</v>
      </c>
      <c r="I156" s="1220" t="str">
        <f ca="1">IFERROR(VLOOKUP(PenaltyData[[#This Row],[Penalty]],PenaltyNames91419[],2,FALSE),"")</f>
        <v>Out of Play</v>
      </c>
      <c r="J156" s="1220" t="s">
        <v>759</v>
      </c>
      <c r="K156" s="1220">
        <f t="shared" si="11"/>
        <v>20</v>
      </c>
      <c r="L156" s="1220"/>
    </row>
    <row r="157" spans="1:12" x14ac:dyDescent="0.25">
      <c r="A157" s="1230">
        <f t="shared" si="9"/>
        <v>42105</v>
      </c>
      <c r="B157" s="1231">
        <f t="shared" si="10"/>
        <v>0.83333333333333337</v>
      </c>
      <c r="C157" s="1220">
        <v>2</v>
      </c>
      <c r="D157" s="1220" t="str">
        <f t="shared" si="8"/>
        <v>Plan B</v>
      </c>
      <c r="E157" s="1220">
        <f ca="1">VALUE(INDIRECT("Penalties!"&amp;PenaltyData[[#This Row],[REF]]&amp;(PenaltyData[[#This Row],[ROW]]+1)))</f>
        <v>0</v>
      </c>
      <c r="F157" s="1220" t="str">
        <f ca="1">IF(INDIRECT("Penalties!"&amp;$N$28&amp;PenaltyData[[#This Row],[ROW]],TRUE)=0, "",INDIRECT("Penalties!"&amp;$N$28&amp;PenaltyData[[#This Row],[ROW]],TRUE))</f>
        <v>42</v>
      </c>
      <c r="G157" s="1220">
        <f ca="1">COUNTIFS($H$1:H157,"&lt;&gt;0", $F$1:F157,PenaltyData[[#This Row],[PlayerIdx]],$D$1:D157,PenaltyData[[#This Row],[Team]])</f>
        <v>2</v>
      </c>
      <c r="H157" s="1220">
        <f ca="1">INDIRECT("Penalties!"&amp;PenaltyData[[#This Row],[REF]]&amp;PenaltyData[[#This Row],[ROW]])</f>
        <v>0</v>
      </c>
      <c r="I157" s="1220" t="str">
        <f ca="1">IFERROR(VLOOKUP(PenaltyData[[#This Row],[Penalty]],PenaltyNames91419[],2,FALSE),"")</f>
        <v/>
      </c>
      <c r="J157" s="1220" t="s">
        <v>760</v>
      </c>
      <c r="K157" s="1220">
        <f t="shared" si="11"/>
        <v>20</v>
      </c>
      <c r="L157" s="1220"/>
    </row>
    <row r="158" spans="1:12" x14ac:dyDescent="0.25">
      <c r="A158" s="1230">
        <f t="shared" si="9"/>
        <v>42105</v>
      </c>
      <c r="B158" s="1231">
        <f t="shared" si="10"/>
        <v>0.83333333333333337</v>
      </c>
      <c r="C158" s="1220">
        <v>2</v>
      </c>
      <c r="D158" s="1220" t="str">
        <f t="shared" si="8"/>
        <v>Plan B</v>
      </c>
      <c r="E158" s="1220">
        <f ca="1">VALUE(INDIRECT("Penalties!"&amp;PenaltyData[[#This Row],[REF]]&amp;(PenaltyData[[#This Row],[ROW]]+1)))</f>
        <v>0</v>
      </c>
      <c r="F158" s="1220" t="str">
        <f ca="1">IF(INDIRECT("Penalties!"&amp;$N$28&amp;PenaltyData[[#This Row],[ROW]],TRUE)=0, "",INDIRECT("Penalties!"&amp;$N$28&amp;PenaltyData[[#This Row],[ROW]],TRUE))</f>
        <v>42</v>
      </c>
      <c r="G158" s="1220">
        <f ca="1">COUNTIFS($H$1:H158,"&lt;&gt;0", $F$1:F158,PenaltyData[[#This Row],[PlayerIdx]],$D$1:D158,PenaltyData[[#This Row],[Team]])</f>
        <v>2</v>
      </c>
      <c r="H158" s="1220">
        <f ca="1">INDIRECT("Penalties!"&amp;PenaltyData[[#This Row],[REF]]&amp;PenaltyData[[#This Row],[ROW]])</f>
        <v>0</v>
      </c>
      <c r="I158" s="1220" t="str">
        <f ca="1">IFERROR(VLOOKUP(PenaltyData[[#This Row],[Penalty]],PenaltyNames91419[],2,FALSE),"")</f>
        <v/>
      </c>
      <c r="J158" s="1220" t="s">
        <v>761</v>
      </c>
      <c r="K158" s="1220">
        <f t="shared" si="11"/>
        <v>20</v>
      </c>
      <c r="L158" s="1220"/>
    </row>
    <row r="159" spans="1:12" x14ac:dyDescent="0.25">
      <c r="A159" s="1230">
        <f t="shared" si="9"/>
        <v>42105</v>
      </c>
      <c r="B159" s="1231">
        <f t="shared" si="10"/>
        <v>0.83333333333333337</v>
      </c>
      <c r="C159" s="1220">
        <v>2</v>
      </c>
      <c r="D159" s="1220" t="str">
        <f t="shared" si="8"/>
        <v>Plan B</v>
      </c>
      <c r="E159" s="1220">
        <f ca="1">VALUE(INDIRECT("Penalties!"&amp;PenaltyData[[#This Row],[REF]]&amp;(PenaltyData[[#This Row],[ROW]]+1)))</f>
        <v>0</v>
      </c>
      <c r="F159" s="1220" t="str">
        <f ca="1">IF(INDIRECT("Penalties!"&amp;$N$28&amp;PenaltyData[[#This Row],[ROW]],TRUE)=0, "",INDIRECT("Penalties!"&amp;$N$28&amp;PenaltyData[[#This Row],[ROW]],TRUE))</f>
        <v>42</v>
      </c>
      <c r="G159" s="1220">
        <f ca="1">COUNTIFS($H$1:H159,"&lt;&gt;0", $F$1:F159,PenaltyData[[#This Row],[PlayerIdx]],$D$1:D159,PenaltyData[[#This Row],[Team]])</f>
        <v>2</v>
      </c>
      <c r="H159" s="1220">
        <f ca="1">INDIRECT("Penalties!"&amp;PenaltyData[[#This Row],[REF]]&amp;PenaltyData[[#This Row],[ROW]])</f>
        <v>0</v>
      </c>
      <c r="I159" s="1220" t="str">
        <f ca="1">IFERROR(VLOOKUP(PenaltyData[[#This Row],[Penalty]],PenaltyNames91419[],2,FALSE),"")</f>
        <v/>
      </c>
      <c r="J159" s="1220" t="s">
        <v>762</v>
      </c>
      <c r="K159" s="1220">
        <f t="shared" si="11"/>
        <v>20</v>
      </c>
      <c r="L159" s="1220"/>
    </row>
    <row r="160" spans="1:12" x14ac:dyDescent="0.25">
      <c r="A160" s="1230">
        <f t="shared" si="9"/>
        <v>42105</v>
      </c>
      <c r="B160" s="1231">
        <f t="shared" si="10"/>
        <v>0.83333333333333337</v>
      </c>
      <c r="C160" s="1220">
        <v>2</v>
      </c>
      <c r="D160" s="1220" t="str">
        <f t="shared" si="8"/>
        <v>Plan B</v>
      </c>
      <c r="E160" s="1220">
        <f ca="1">VALUE(INDIRECT("Penalties!"&amp;PenaltyData[[#This Row],[REF]]&amp;(PenaltyData[[#This Row],[ROW]]+1)))</f>
        <v>0</v>
      </c>
      <c r="F160" s="1220" t="str">
        <f ca="1">IF(INDIRECT("Penalties!"&amp;$N$28&amp;PenaltyData[[#This Row],[ROW]],TRUE)=0, "",INDIRECT("Penalties!"&amp;$N$28&amp;PenaltyData[[#This Row],[ROW]],TRUE))</f>
        <v>42</v>
      </c>
      <c r="G160" s="1220">
        <f ca="1">COUNTIFS($H$1:H160,"&lt;&gt;0", $F$1:F160,PenaltyData[[#This Row],[PlayerIdx]],$D$1:D160,PenaltyData[[#This Row],[Team]])</f>
        <v>2</v>
      </c>
      <c r="H160" s="1220">
        <f ca="1">INDIRECT("Penalties!"&amp;PenaltyData[[#This Row],[REF]]&amp;PenaltyData[[#This Row],[ROW]])</f>
        <v>0</v>
      </c>
      <c r="I160" s="1220" t="str">
        <f ca="1">IFERROR(VLOOKUP(PenaltyData[[#This Row],[Penalty]],PenaltyNames91419[],2,FALSE),"")</f>
        <v/>
      </c>
      <c r="J160" s="1220" t="s">
        <v>763</v>
      </c>
      <c r="K160" s="1220">
        <f t="shared" si="11"/>
        <v>20</v>
      </c>
      <c r="L160" s="1220"/>
    </row>
    <row r="161" spans="1:12" x14ac:dyDescent="0.25">
      <c r="A161" s="1230">
        <f t="shared" si="9"/>
        <v>42105</v>
      </c>
      <c r="B161" s="1231">
        <f t="shared" si="10"/>
        <v>0.83333333333333337</v>
      </c>
      <c r="C161" s="1220">
        <v>2</v>
      </c>
      <c r="D161" s="1220" t="str">
        <f t="shared" si="8"/>
        <v>Plan B</v>
      </c>
      <c r="E161" s="1220">
        <f ca="1">VALUE(INDIRECT("Penalties!"&amp;PenaltyData[[#This Row],[REF]]&amp;(PenaltyData[[#This Row],[ROW]]+1)))</f>
        <v>0</v>
      </c>
      <c r="F161" s="1220" t="str">
        <f ca="1">IF(INDIRECT("Penalties!"&amp;$N$28&amp;PenaltyData[[#This Row],[ROW]],TRUE)=0, "",INDIRECT("Penalties!"&amp;$N$28&amp;PenaltyData[[#This Row],[ROW]],TRUE))</f>
        <v>42</v>
      </c>
      <c r="G161" s="1220">
        <f ca="1">COUNTIFS($H$1:H161,"&lt;&gt;0", $F$1:F161,PenaltyData[[#This Row],[PlayerIdx]],$D$1:D161,PenaltyData[[#This Row],[Team]])</f>
        <v>2</v>
      </c>
      <c r="H161" s="1220">
        <f ca="1">INDIRECT("Penalties!"&amp;PenaltyData[[#This Row],[REF]]&amp;PenaltyData[[#This Row],[ROW]])</f>
        <v>0</v>
      </c>
      <c r="I161" s="1220" t="str">
        <f ca="1">IFERROR(VLOOKUP(PenaltyData[[#This Row],[Penalty]],PenaltyNames91419[],2,FALSE),"")</f>
        <v/>
      </c>
      <c r="J161" s="1220" t="s">
        <v>765</v>
      </c>
      <c r="K161" s="1220">
        <f t="shared" si="11"/>
        <v>20</v>
      </c>
      <c r="L161" s="1220"/>
    </row>
    <row r="162" spans="1:12" x14ac:dyDescent="0.25">
      <c r="A162" s="1230">
        <f t="shared" si="9"/>
        <v>42105</v>
      </c>
      <c r="B162" s="1231">
        <f t="shared" si="10"/>
        <v>0.83333333333333337</v>
      </c>
      <c r="C162" s="1220">
        <v>2</v>
      </c>
      <c r="D162" s="1220" t="str">
        <f t="shared" si="8"/>
        <v>Plan B</v>
      </c>
      <c r="E162" s="1220">
        <f ca="1">VALUE(INDIRECT("Penalties!"&amp;PenaltyData[[#This Row],[REF]]&amp;(PenaltyData[[#This Row],[ROW]]+1)))</f>
        <v>0</v>
      </c>
      <c r="F162" s="1220" t="str">
        <f ca="1">IF(INDIRECT("Penalties!"&amp;$N$28&amp;PenaltyData[[#This Row],[ROW]],TRUE)=0, "",INDIRECT("Penalties!"&amp;$N$28&amp;PenaltyData[[#This Row],[ROW]],TRUE))</f>
        <v>42</v>
      </c>
      <c r="G162" s="1220">
        <f ca="1">COUNTIFS($H$1:H162,"&lt;&gt;0", $F$1:F162,PenaltyData[[#This Row],[PlayerIdx]],$D$1:D162,PenaltyData[[#This Row],[Team]])</f>
        <v>2</v>
      </c>
      <c r="H162" s="1220">
        <f ca="1">INDIRECT("Penalties!"&amp;PenaltyData[[#This Row],[REF]]&amp;PenaltyData[[#This Row],[ROW]])</f>
        <v>0</v>
      </c>
      <c r="I162" s="1220" t="str">
        <f ca="1">IFERROR(VLOOKUP(PenaltyData[[#This Row],[Penalty]],PenaltyNames91419[],2,FALSE),"")</f>
        <v/>
      </c>
      <c r="J162" s="1220" t="s">
        <v>766</v>
      </c>
      <c r="K162" s="1220">
        <f t="shared" si="11"/>
        <v>20</v>
      </c>
      <c r="L162" s="1220"/>
    </row>
    <row r="163" spans="1:12" x14ac:dyDescent="0.25">
      <c r="A163" s="1230">
        <f t="shared" si="9"/>
        <v>42105</v>
      </c>
      <c r="B163" s="1231">
        <f t="shared" si="10"/>
        <v>0.83333333333333337</v>
      </c>
      <c r="C163" s="1220">
        <v>2</v>
      </c>
      <c r="D163" s="1220" t="str">
        <f t="shared" si="8"/>
        <v>Plan B</v>
      </c>
      <c r="E163" s="1220">
        <f ca="1">VALUE(INDIRECT("Penalties!"&amp;PenaltyData[[#This Row],[REF]]&amp;(PenaltyData[[#This Row],[ROW]]+1)))</f>
        <v>0</v>
      </c>
      <c r="F163" s="1220" t="str">
        <f ca="1">IF(INDIRECT("Penalties!"&amp;$N$28&amp;PenaltyData[[#This Row],[ROW]],TRUE)=0, "",INDIRECT("Penalties!"&amp;$N$28&amp;PenaltyData[[#This Row],[ROW]],TRUE))</f>
        <v>42</v>
      </c>
      <c r="G163" s="1220">
        <f ca="1">COUNTIFS($H$1:H163,"&lt;&gt;0", $F$1:F163,PenaltyData[[#This Row],[PlayerIdx]],$D$1:D163,PenaltyData[[#This Row],[Team]])</f>
        <v>2</v>
      </c>
      <c r="H163" s="1220">
        <f ca="1">INDIRECT("Penalties!"&amp;PenaltyData[[#This Row],[REF]]&amp;PenaltyData[[#This Row],[ROW]])</f>
        <v>0</v>
      </c>
      <c r="I163" s="1220" t="str">
        <f ca="1">IFERROR(VLOOKUP(PenaltyData[[#This Row],[Penalty]],PenaltyNames91419[],2,FALSE),"")</f>
        <v/>
      </c>
      <c r="J163" s="1220" t="s">
        <v>767</v>
      </c>
      <c r="K163" s="1220">
        <f t="shared" si="11"/>
        <v>20</v>
      </c>
      <c r="L163" s="1220"/>
    </row>
    <row r="164" spans="1:12" x14ac:dyDescent="0.25">
      <c r="A164" s="1230">
        <f t="shared" si="9"/>
        <v>42105</v>
      </c>
      <c r="B164" s="1231">
        <f t="shared" si="10"/>
        <v>0.83333333333333337</v>
      </c>
      <c r="C164" s="1220">
        <v>1</v>
      </c>
      <c r="D164" s="1220" t="str">
        <f t="shared" si="8"/>
        <v>Plan B</v>
      </c>
      <c r="E164" s="1220">
        <f ca="1">VALUE(INDIRECT("Penalties!"&amp;PenaltyData[[#This Row],[REF]]&amp;(PenaltyData[[#This Row],[ROW]]+1)))</f>
        <v>0</v>
      </c>
      <c r="F164" s="1220" t="str">
        <f ca="1">IF(INDIRECT("Penalties!"&amp;$N$28&amp;PenaltyData[[#This Row],[ROW]],TRUE)=0, "",INDIRECT("Penalties!"&amp;$N$28&amp;PenaltyData[[#This Row],[ROW]],TRUE))</f>
        <v>44</v>
      </c>
      <c r="G164" s="1220">
        <f ca="1">COUNTIFS($H$1:H164,"&lt;&gt;0", $F$1:F164,PenaltyData[[#This Row],[PlayerIdx]],$D$1:D164,PenaltyData[[#This Row],[Team]])</f>
        <v>0</v>
      </c>
      <c r="H164" s="1220">
        <f ca="1">INDIRECT("Penalties!"&amp;PenaltyData[[#This Row],[REF]]&amp;PenaltyData[[#This Row],[ROW]])</f>
        <v>0</v>
      </c>
      <c r="I164" s="1220" t="str">
        <f ca="1">IFERROR(VLOOKUP(PenaltyData[[#This Row],[Penalty]],PenaltyNames91419[],2,FALSE),"")</f>
        <v/>
      </c>
      <c r="J164" s="1220" t="s">
        <v>136</v>
      </c>
      <c r="K164" s="1220">
        <f t="shared" si="11"/>
        <v>22</v>
      </c>
      <c r="L164" s="1220"/>
    </row>
    <row r="165" spans="1:12" x14ac:dyDescent="0.25">
      <c r="A165" s="1230">
        <f t="shared" si="9"/>
        <v>42105</v>
      </c>
      <c r="B165" s="1231">
        <f t="shared" si="10"/>
        <v>0.83333333333333337</v>
      </c>
      <c r="C165" s="1220">
        <v>1</v>
      </c>
      <c r="D165" s="1220" t="str">
        <f t="shared" si="8"/>
        <v>Plan B</v>
      </c>
      <c r="E165" s="1220">
        <f ca="1">VALUE(INDIRECT("Penalties!"&amp;PenaltyData[[#This Row],[REF]]&amp;(PenaltyData[[#This Row],[ROW]]+1)))</f>
        <v>0</v>
      </c>
      <c r="F165" s="1220" t="str">
        <f ca="1">IF(INDIRECT("Penalties!"&amp;$N$28&amp;PenaltyData[[#This Row],[ROW]],TRUE)=0, "",INDIRECT("Penalties!"&amp;$N$28&amp;PenaltyData[[#This Row],[ROW]],TRUE))</f>
        <v>44</v>
      </c>
      <c r="G165" s="1220">
        <f ca="1">COUNTIFS($H$1:H165,"&lt;&gt;0", $F$1:F165,PenaltyData[[#This Row],[PlayerIdx]],$D$1:D165,PenaltyData[[#This Row],[Team]])</f>
        <v>0</v>
      </c>
      <c r="H165" s="1220">
        <f ca="1">INDIRECT("Penalties!"&amp;PenaltyData[[#This Row],[REF]]&amp;PenaltyData[[#This Row],[ROW]])</f>
        <v>0</v>
      </c>
      <c r="I165" s="1220" t="str">
        <f ca="1">IFERROR(VLOOKUP(PenaltyData[[#This Row],[Penalty]],PenaltyNames91419[],2,FALSE),"")</f>
        <v/>
      </c>
      <c r="J165" s="1220" t="s">
        <v>142</v>
      </c>
      <c r="K165" s="1220">
        <f t="shared" si="11"/>
        <v>22</v>
      </c>
      <c r="L165" s="1220"/>
    </row>
    <row r="166" spans="1:12" x14ac:dyDescent="0.25">
      <c r="A166" s="1230">
        <f t="shared" si="9"/>
        <v>42105</v>
      </c>
      <c r="B166" s="1231">
        <f t="shared" si="10"/>
        <v>0.83333333333333337</v>
      </c>
      <c r="C166" s="1220">
        <v>1</v>
      </c>
      <c r="D166" s="1220" t="str">
        <f t="shared" si="8"/>
        <v>Plan B</v>
      </c>
      <c r="E166" s="1220">
        <f ca="1">VALUE(INDIRECT("Penalties!"&amp;PenaltyData[[#This Row],[REF]]&amp;(PenaltyData[[#This Row],[ROW]]+1)))</f>
        <v>0</v>
      </c>
      <c r="F166" s="1220" t="str">
        <f ca="1">IF(INDIRECT("Penalties!"&amp;$N$28&amp;PenaltyData[[#This Row],[ROW]],TRUE)=0, "",INDIRECT("Penalties!"&amp;$N$28&amp;PenaltyData[[#This Row],[ROW]],TRUE))</f>
        <v>44</v>
      </c>
      <c r="G166" s="1220">
        <f ca="1">COUNTIFS($H$1:H166,"&lt;&gt;0", $F$1:F166,PenaltyData[[#This Row],[PlayerIdx]],$D$1:D166,PenaltyData[[#This Row],[Team]])</f>
        <v>0</v>
      </c>
      <c r="H166" s="1220">
        <f ca="1">INDIRECT("Penalties!"&amp;PenaltyData[[#This Row],[REF]]&amp;PenaltyData[[#This Row],[ROW]])</f>
        <v>0</v>
      </c>
      <c r="I166" s="1220" t="str">
        <f ca="1">IFERROR(VLOOKUP(PenaltyData[[#This Row],[Penalty]],PenaltyNames91419[],2,FALSE),"")</f>
        <v/>
      </c>
      <c r="J166" s="1220" t="s">
        <v>754</v>
      </c>
      <c r="K166" s="1220">
        <f t="shared" si="11"/>
        <v>22</v>
      </c>
      <c r="L166" s="1220"/>
    </row>
    <row r="167" spans="1:12" x14ac:dyDescent="0.25">
      <c r="A167" s="1230">
        <f t="shared" si="9"/>
        <v>42105</v>
      </c>
      <c r="B167" s="1231">
        <f t="shared" si="10"/>
        <v>0.83333333333333337</v>
      </c>
      <c r="C167" s="1220">
        <v>1</v>
      </c>
      <c r="D167" s="1220" t="str">
        <f t="shared" si="8"/>
        <v>Plan B</v>
      </c>
      <c r="E167" s="1220">
        <f ca="1">VALUE(INDIRECT("Penalties!"&amp;PenaltyData[[#This Row],[REF]]&amp;(PenaltyData[[#This Row],[ROW]]+1)))</f>
        <v>0</v>
      </c>
      <c r="F167" s="1220" t="str">
        <f ca="1">IF(INDIRECT("Penalties!"&amp;$N$28&amp;PenaltyData[[#This Row],[ROW]],TRUE)=0, "",INDIRECT("Penalties!"&amp;$N$28&amp;PenaltyData[[#This Row],[ROW]],TRUE))</f>
        <v>44</v>
      </c>
      <c r="G167" s="1220">
        <f ca="1">COUNTIFS($H$1:H167,"&lt;&gt;0", $F$1:F167,PenaltyData[[#This Row],[PlayerIdx]],$D$1:D167,PenaltyData[[#This Row],[Team]])</f>
        <v>0</v>
      </c>
      <c r="H167" s="1220">
        <f ca="1">INDIRECT("Penalties!"&amp;PenaltyData[[#This Row],[REF]]&amp;PenaltyData[[#This Row],[ROW]])</f>
        <v>0</v>
      </c>
      <c r="I167" s="1220" t="str">
        <f ca="1">IFERROR(VLOOKUP(PenaltyData[[#This Row],[Penalty]],PenaltyNames91419[],2,FALSE),"")</f>
        <v/>
      </c>
      <c r="J167" s="1220" t="s">
        <v>144</v>
      </c>
      <c r="K167" s="1220">
        <f t="shared" si="11"/>
        <v>22</v>
      </c>
      <c r="L167" s="1220"/>
    </row>
    <row r="168" spans="1:12" x14ac:dyDescent="0.25">
      <c r="A168" s="1230">
        <f t="shared" si="9"/>
        <v>42105</v>
      </c>
      <c r="B168" s="1231">
        <f t="shared" si="10"/>
        <v>0.83333333333333337</v>
      </c>
      <c r="C168" s="1220">
        <v>1</v>
      </c>
      <c r="D168" s="1220" t="str">
        <f t="shared" si="8"/>
        <v>Plan B</v>
      </c>
      <c r="E168" s="1220">
        <f ca="1">VALUE(INDIRECT("Penalties!"&amp;PenaltyData[[#This Row],[REF]]&amp;(PenaltyData[[#This Row],[ROW]]+1)))</f>
        <v>0</v>
      </c>
      <c r="F168" s="1220" t="str">
        <f ca="1">IF(INDIRECT("Penalties!"&amp;$N$28&amp;PenaltyData[[#This Row],[ROW]],TRUE)=0, "",INDIRECT("Penalties!"&amp;$N$28&amp;PenaltyData[[#This Row],[ROW]],TRUE))</f>
        <v>44</v>
      </c>
      <c r="G168" s="1220">
        <f ca="1">COUNTIFS($H$1:H168,"&lt;&gt;0", $F$1:F168,PenaltyData[[#This Row],[PlayerIdx]],$D$1:D168,PenaltyData[[#This Row],[Team]])</f>
        <v>0</v>
      </c>
      <c r="H168" s="1220">
        <f ca="1">INDIRECT("Penalties!"&amp;PenaltyData[[#This Row],[REF]]&amp;PenaltyData[[#This Row],[ROW]])</f>
        <v>0</v>
      </c>
      <c r="I168" s="1220" t="str">
        <f ca="1">IFERROR(VLOOKUP(PenaltyData[[#This Row],[Penalty]],PenaltyNames91419[],2,FALSE),"")</f>
        <v/>
      </c>
      <c r="J168" s="1220" t="s">
        <v>146</v>
      </c>
      <c r="K168" s="1220">
        <f t="shared" si="11"/>
        <v>22</v>
      </c>
      <c r="L168" s="1220"/>
    </row>
    <row r="169" spans="1:12" x14ac:dyDescent="0.25">
      <c r="A169" s="1230">
        <f t="shared" si="9"/>
        <v>42105</v>
      </c>
      <c r="B169" s="1231">
        <f t="shared" si="10"/>
        <v>0.83333333333333337</v>
      </c>
      <c r="C169" s="1220">
        <v>1</v>
      </c>
      <c r="D169" s="1220" t="str">
        <f t="shared" si="8"/>
        <v>Plan B</v>
      </c>
      <c r="E169" s="1220">
        <f ca="1">VALUE(INDIRECT("Penalties!"&amp;PenaltyData[[#This Row],[REF]]&amp;(PenaltyData[[#This Row],[ROW]]+1)))</f>
        <v>0</v>
      </c>
      <c r="F169" s="1220" t="str">
        <f ca="1">IF(INDIRECT("Penalties!"&amp;$N$28&amp;PenaltyData[[#This Row],[ROW]],TRUE)=0, "",INDIRECT("Penalties!"&amp;$N$28&amp;PenaltyData[[#This Row],[ROW]],TRUE))</f>
        <v>44</v>
      </c>
      <c r="G169" s="1220">
        <f ca="1">COUNTIFS($H$1:H169,"&lt;&gt;0", $F$1:F169,PenaltyData[[#This Row],[PlayerIdx]],$D$1:D169,PenaltyData[[#This Row],[Team]])</f>
        <v>0</v>
      </c>
      <c r="H169" s="1220">
        <f ca="1">INDIRECT("Penalties!"&amp;PenaltyData[[#This Row],[REF]]&amp;PenaltyData[[#This Row],[ROW]])</f>
        <v>0</v>
      </c>
      <c r="I169" s="1220" t="str">
        <f ca="1">IFERROR(VLOOKUP(PenaltyData[[#This Row],[Penalty]],PenaltyNames91419[],2,FALSE),"")</f>
        <v/>
      </c>
      <c r="J169" s="1220" t="s">
        <v>164</v>
      </c>
      <c r="K169" s="1220">
        <f t="shared" si="11"/>
        <v>22</v>
      </c>
      <c r="L169" s="1220"/>
    </row>
    <row r="170" spans="1:12" x14ac:dyDescent="0.25">
      <c r="A170" s="1230">
        <f t="shared" si="9"/>
        <v>42105</v>
      </c>
      <c r="B170" s="1231">
        <f t="shared" si="10"/>
        <v>0.83333333333333337</v>
      </c>
      <c r="C170" s="1220">
        <v>1</v>
      </c>
      <c r="D170" s="1220" t="str">
        <f t="shared" si="8"/>
        <v>Plan B</v>
      </c>
      <c r="E170" s="1220">
        <f ca="1">VALUE(INDIRECT("Penalties!"&amp;PenaltyData[[#This Row],[REF]]&amp;(PenaltyData[[#This Row],[ROW]]+1)))</f>
        <v>0</v>
      </c>
      <c r="F170" s="1220" t="str">
        <f ca="1">IF(INDIRECT("Penalties!"&amp;$N$28&amp;PenaltyData[[#This Row],[ROW]],TRUE)=0, "",INDIRECT("Penalties!"&amp;$N$28&amp;PenaltyData[[#This Row],[ROW]],TRUE))</f>
        <v>44</v>
      </c>
      <c r="G170" s="1220">
        <f ca="1">COUNTIFS($H$1:H170,"&lt;&gt;0", $F$1:F170,PenaltyData[[#This Row],[PlayerIdx]],$D$1:D170,PenaltyData[[#This Row],[Team]])</f>
        <v>0</v>
      </c>
      <c r="H170" s="1220">
        <f ca="1">INDIRECT("Penalties!"&amp;PenaltyData[[#This Row],[REF]]&amp;PenaltyData[[#This Row],[ROW]])</f>
        <v>0</v>
      </c>
      <c r="I170" s="1220" t="str">
        <f ca="1">IFERROR(VLOOKUP(PenaltyData[[#This Row],[Penalty]],PenaltyNames91419[],2,FALSE),"")</f>
        <v/>
      </c>
      <c r="J170" s="1220" t="s">
        <v>138</v>
      </c>
      <c r="K170" s="1220">
        <f t="shared" si="11"/>
        <v>22</v>
      </c>
      <c r="L170" s="1220"/>
    </row>
    <row r="171" spans="1:12" x14ac:dyDescent="0.25">
      <c r="A171" s="1230">
        <f t="shared" si="9"/>
        <v>42105</v>
      </c>
      <c r="B171" s="1231">
        <f t="shared" si="10"/>
        <v>0.83333333333333337</v>
      </c>
      <c r="C171" s="1220">
        <v>1</v>
      </c>
      <c r="D171" s="1220" t="str">
        <f t="shared" si="8"/>
        <v>Plan B</v>
      </c>
      <c r="E171" s="1220">
        <f ca="1">VALUE(INDIRECT("Penalties!"&amp;PenaltyData[[#This Row],[REF]]&amp;(PenaltyData[[#This Row],[ROW]]+1)))</f>
        <v>0</v>
      </c>
      <c r="F171" s="1220" t="str">
        <f ca="1">IF(INDIRECT("Penalties!"&amp;$N$28&amp;PenaltyData[[#This Row],[ROW]],TRUE)=0, "",INDIRECT("Penalties!"&amp;$N$28&amp;PenaltyData[[#This Row],[ROW]],TRUE))</f>
        <v>44</v>
      </c>
      <c r="G171" s="1220">
        <f ca="1">COUNTIFS($H$1:H171,"&lt;&gt;0", $F$1:F171,PenaltyData[[#This Row],[PlayerIdx]],$D$1:D171,PenaltyData[[#This Row],[Team]])</f>
        <v>0</v>
      </c>
      <c r="H171" s="1220">
        <f ca="1">INDIRECT("Penalties!"&amp;PenaltyData[[#This Row],[REF]]&amp;PenaltyData[[#This Row],[ROW]])</f>
        <v>0</v>
      </c>
      <c r="I171" s="1220" t="str">
        <f ca="1">IFERROR(VLOOKUP(PenaltyData[[#This Row],[Penalty]],PenaltyNames91419[],2,FALSE),"")</f>
        <v/>
      </c>
      <c r="J171" s="1220" t="s">
        <v>150</v>
      </c>
      <c r="K171" s="1220">
        <f t="shared" si="11"/>
        <v>22</v>
      </c>
      <c r="L171" s="1220"/>
    </row>
    <row r="172" spans="1:12" x14ac:dyDescent="0.25">
      <c r="A172" s="1230">
        <f t="shared" si="9"/>
        <v>42105</v>
      </c>
      <c r="B172" s="1231">
        <f t="shared" si="10"/>
        <v>0.83333333333333337</v>
      </c>
      <c r="C172" s="1220">
        <v>1</v>
      </c>
      <c r="D172" s="1220" t="str">
        <f t="shared" si="8"/>
        <v>Plan B</v>
      </c>
      <c r="E172" s="1220">
        <f ca="1">VALUE(INDIRECT("Penalties!"&amp;PenaltyData[[#This Row],[REF]]&amp;(PenaltyData[[#This Row],[ROW]]+1)))</f>
        <v>0</v>
      </c>
      <c r="F172" s="1220" t="str">
        <f ca="1">IF(INDIRECT("Penalties!"&amp;$N$28&amp;PenaltyData[[#This Row],[ROW]],TRUE)=0, "",INDIRECT("Penalties!"&amp;$N$28&amp;PenaltyData[[#This Row],[ROW]],TRUE))</f>
        <v>44</v>
      </c>
      <c r="G172" s="1220">
        <f ca="1">COUNTIFS($H$1:H172,"&lt;&gt;0", $F$1:F172,PenaltyData[[#This Row],[PlayerIdx]],$D$1:D172,PenaltyData[[#This Row],[Team]])</f>
        <v>0</v>
      </c>
      <c r="H172" s="1220">
        <f ca="1">INDIRECT("Penalties!"&amp;PenaltyData[[#This Row],[REF]]&amp;PenaltyData[[#This Row],[ROW]])</f>
        <v>0</v>
      </c>
      <c r="I172" s="1220" t="str">
        <f ca="1">IFERROR(VLOOKUP(PenaltyData[[#This Row],[Penalty]],PenaltyNames91419[],2,FALSE),"")</f>
        <v/>
      </c>
      <c r="J172" s="1220" t="s">
        <v>757</v>
      </c>
      <c r="K172" s="1220">
        <f t="shared" si="11"/>
        <v>22</v>
      </c>
      <c r="L172" s="1220"/>
    </row>
    <row r="173" spans="1:12" x14ac:dyDescent="0.25">
      <c r="A173" s="1230">
        <f t="shared" si="9"/>
        <v>42105</v>
      </c>
      <c r="B173" s="1231">
        <f t="shared" si="10"/>
        <v>0.83333333333333337</v>
      </c>
      <c r="C173" s="1220">
        <v>2</v>
      </c>
      <c r="D173" s="1220" t="str">
        <f t="shared" si="8"/>
        <v>Plan B</v>
      </c>
      <c r="E173" s="1220">
        <f ca="1">VALUE(INDIRECT("Penalties!"&amp;PenaltyData[[#This Row],[REF]]&amp;(PenaltyData[[#This Row],[ROW]]+1)))</f>
        <v>0</v>
      </c>
      <c r="F173" s="1220" t="str">
        <f ca="1">IF(INDIRECT("Penalties!"&amp;$N$28&amp;PenaltyData[[#This Row],[ROW]],TRUE)=0, "",INDIRECT("Penalties!"&amp;$N$28&amp;PenaltyData[[#This Row],[ROW]],TRUE))</f>
        <v>44</v>
      </c>
      <c r="G173" s="1220">
        <f ca="1">COUNTIFS($H$1:H173,"&lt;&gt;0", $F$1:F173,PenaltyData[[#This Row],[PlayerIdx]],$D$1:D173,PenaltyData[[#This Row],[Team]])</f>
        <v>0</v>
      </c>
      <c r="H173" s="1220">
        <f ca="1">INDIRECT("Penalties!"&amp;PenaltyData[[#This Row],[REF]]&amp;PenaltyData[[#This Row],[ROW]])</f>
        <v>0</v>
      </c>
      <c r="I173" s="1220" t="str">
        <f ca="1">IFERROR(VLOOKUP(PenaltyData[[#This Row],[Penalty]],PenaltyNames91419[],2,FALSE),"")</f>
        <v/>
      </c>
      <c r="J173" s="1220" t="s">
        <v>758</v>
      </c>
      <c r="K173" s="1220">
        <f t="shared" si="11"/>
        <v>22</v>
      </c>
      <c r="L173" s="1220"/>
    </row>
    <row r="174" spans="1:12" x14ac:dyDescent="0.25">
      <c r="A174" s="1230">
        <f t="shared" si="9"/>
        <v>42105</v>
      </c>
      <c r="B174" s="1231">
        <f t="shared" si="10"/>
        <v>0.83333333333333337</v>
      </c>
      <c r="C174" s="1220">
        <v>2</v>
      </c>
      <c r="D174" s="1220" t="str">
        <f t="shared" si="8"/>
        <v>Plan B</v>
      </c>
      <c r="E174" s="1220">
        <f ca="1">VALUE(INDIRECT("Penalties!"&amp;PenaltyData[[#This Row],[REF]]&amp;(PenaltyData[[#This Row],[ROW]]+1)))</f>
        <v>0</v>
      </c>
      <c r="F174" s="1220" t="str">
        <f ca="1">IF(INDIRECT("Penalties!"&amp;$N$28&amp;PenaltyData[[#This Row],[ROW]],TRUE)=0, "",INDIRECT("Penalties!"&amp;$N$28&amp;PenaltyData[[#This Row],[ROW]],TRUE))</f>
        <v>44</v>
      </c>
      <c r="G174" s="1220">
        <f ca="1">COUNTIFS($H$1:H174,"&lt;&gt;0", $F$1:F174,PenaltyData[[#This Row],[PlayerIdx]],$D$1:D174,PenaltyData[[#This Row],[Team]])</f>
        <v>0</v>
      </c>
      <c r="H174" s="1220">
        <f ca="1">INDIRECT("Penalties!"&amp;PenaltyData[[#This Row],[REF]]&amp;PenaltyData[[#This Row],[ROW]])</f>
        <v>0</v>
      </c>
      <c r="I174" s="1220" t="str">
        <f ca="1">IFERROR(VLOOKUP(PenaltyData[[#This Row],[Penalty]],PenaltyNames91419[],2,FALSE),"")</f>
        <v/>
      </c>
      <c r="J174" s="1220" t="s">
        <v>759</v>
      </c>
      <c r="K174" s="1220">
        <f t="shared" si="11"/>
        <v>22</v>
      </c>
      <c r="L174" s="1220"/>
    </row>
    <row r="175" spans="1:12" x14ac:dyDescent="0.25">
      <c r="A175" s="1230">
        <f t="shared" si="9"/>
        <v>42105</v>
      </c>
      <c r="B175" s="1231">
        <f t="shared" si="10"/>
        <v>0.83333333333333337</v>
      </c>
      <c r="C175" s="1220">
        <v>2</v>
      </c>
      <c r="D175" s="1220" t="str">
        <f t="shared" si="8"/>
        <v>Plan B</v>
      </c>
      <c r="E175" s="1220">
        <f ca="1">VALUE(INDIRECT("Penalties!"&amp;PenaltyData[[#This Row],[REF]]&amp;(PenaltyData[[#This Row],[ROW]]+1)))</f>
        <v>0</v>
      </c>
      <c r="F175" s="1220" t="str">
        <f ca="1">IF(INDIRECT("Penalties!"&amp;$N$28&amp;PenaltyData[[#This Row],[ROW]],TRUE)=0, "",INDIRECT("Penalties!"&amp;$N$28&amp;PenaltyData[[#This Row],[ROW]],TRUE))</f>
        <v>44</v>
      </c>
      <c r="G175" s="1220">
        <f ca="1">COUNTIFS($H$1:H175,"&lt;&gt;0", $F$1:F175,PenaltyData[[#This Row],[PlayerIdx]],$D$1:D175,PenaltyData[[#This Row],[Team]])</f>
        <v>0</v>
      </c>
      <c r="H175" s="1220">
        <f ca="1">INDIRECT("Penalties!"&amp;PenaltyData[[#This Row],[REF]]&amp;PenaltyData[[#This Row],[ROW]])</f>
        <v>0</v>
      </c>
      <c r="I175" s="1220" t="str">
        <f ca="1">IFERROR(VLOOKUP(PenaltyData[[#This Row],[Penalty]],PenaltyNames91419[],2,FALSE),"")</f>
        <v/>
      </c>
      <c r="J175" s="1220" t="s">
        <v>760</v>
      </c>
      <c r="K175" s="1220">
        <f t="shared" si="11"/>
        <v>22</v>
      </c>
      <c r="L175" s="1220"/>
    </row>
    <row r="176" spans="1:12" x14ac:dyDescent="0.25">
      <c r="A176" s="1230">
        <f t="shared" si="9"/>
        <v>42105</v>
      </c>
      <c r="B176" s="1231">
        <f t="shared" si="10"/>
        <v>0.83333333333333337</v>
      </c>
      <c r="C176" s="1220">
        <v>2</v>
      </c>
      <c r="D176" s="1220" t="str">
        <f t="shared" si="8"/>
        <v>Plan B</v>
      </c>
      <c r="E176" s="1220">
        <f ca="1">VALUE(INDIRECT("Penalties!"&amp;PenaltyData[[#This Row],[REF]]&amp;(PenaltyData[[#This Row],[ROW]]+1)))</f>
        <v>0</v>
      </c>
      <c r="F176" s="1220" t="str">
        <f ca="1">IF(INDIRECT("Penalties!"&amp;$N$28&amp;PenaltyData[[#This Row],[ROW]],TRUE)=0, "",INDIRECT("Penalties!"&amp;$N$28&amp;PenaltyData[[#This Row],[ROW]],TRUE))</f>
        <v>44</v>
      </c>
      <c r="G176" s="1220">
        <f ca="1">COUNTIFS($H$1:H176,"&lt;&gt;0", $F$1:F176,PenaltyData[[#This Row],[PlayerIdx]],$D$1:D176,PenaltyData[[#This Row],[Team]])</f>
        <v>0</v>
      </c>
      <c r="H176" s="1220">
        <f ca="1">INDIRECT("Penalties!"&amp;PenaltyData[[#This Row],[REF]]&amp;PenaltyData[[#This Row],[ROW]])</f>
        <v>0</v>
      </c>
      <c r="I176" s="1220" t="str">
        <f ca="1">IFERROR(VLOOKUP(PenaltyData[[#This Row],[Penalty]],PenaltyNames91419[],2,FALSE),"")</f>
        <v/>
      </c>
      <c r="J176" s="1220" t="s">
        <v>761</v>
      </c>
      <c r="K176" s="1220">
        <f t="shared" si="11"/>
        <v>22</v>
      </c>
      <c r="L176" s="1220"/>
    </row>
    <row r="177" spans="1:12" x14ac:dyDescent="0.25">
      <c r="A177" s="1230">
        <f t="shared" si="9"/>
        <v>42105</v>
      </c>
      <c r="B177" s="1231">
        <f t="shared" si="10"/>
        <v>0.83333333333333337</v>
      </c>
      <c r="C177" s="1220">
        <v>2</v>
      </c>
      <c r="D177" s="1220" t="str">
        <f t="shared" si="8"/>
        <v>Plan B</v>
      </c>
      <c r="E177" s="1220">
        <f ca="1">VALUE(INDIRECT("Penalties!"&amp;PenaltyData[[#This Row],[REF]]&amp;(PenaltyData[[#This Row],[ROW]]+1)))</f>
        <v>0</v>
      </c>
      <c r="F177" s="1220" t="str">
        <f ca="1">IF(INDIRECT("Penalties!"&amp;$N$28&amp;PenaltyData[[#This Row],[ROW]],TRUE)=0, "",INDIRECT("Penalties!"&amp;$N$28&amp;PenaltyData[[#This Row],[ROW]],TRUE))</f>
        <v>44</v>
      </c>
      <c r="G177" s="1220">
        <f ca="1">COUNTIFS($H$1:H177,"&lt;&gt;0", $F$1:F177,PenaltyData[[#This Row],[PlayerIdx]],$D$1:D177,PenaltyData[[#This Row],[Team]])</f>
        <v>0</v>
      </c>
      <c r="H177" s="1220">
        <f ca="1">INDIRECT("Penalties!"&amp;PenaltyData[[#This Row],[REF]]&amp;PenaltyData[[#This Row],[ROW]])</f>
        <v>0</v>
      </c>
      <c r="I177" s="1220" t="str">
        <f ca="1">IFERROR(VLOOKUP(PenaltyData[[#This Row],[Penalty]],PenaltyNames91419[],2,FALSE),"")</f>
        <v/>
      </c>
      <c r="J177" s="1220" t="s">
        <v>762</v>
      </c>
      <c r="K177" s="1220">
        <f t="shared" si="11"/>
        <v>22</v>
      </c>
      <c r="L177" s="1220"/>
    </row>
    <row r="178" spans="1:12" x14ac:dyDescent="0.25">
      <c r="A178" s="1230">
        <f t="shared" si="9"/>
        <v>42105</v>
      </c>
      <c r="B178" s="1231">
        <f t="shared" si="10"/>
        <v>0.83333333333333337</v>
      </c>
      <c r="C178" s="1220">
        <v>2</v>
      </c>
      <c r="D178" s="1220" t="str">
        <f t="shared" si="8"/>
        <v>Plan B</v>
      </c>
      <c r="E178" s="1220">
        <f ca="1">VALUE(INDIRECT("Penalties!"&amp;PenaltyData[[#This Row],[REF]]&amp;(PenaltyData[[#This Row],[ROW]]+1)))</f>
        <v>0</v>
      </c>
      <c r="F178" s="1220" t="str">
        <f ca="1">IF(INDIRECT("Penalties!"&amp;$N$28&amp;PenaltyData[[#This Row],[ROW]],TRUE)=0, "",INDIRECT("Penalties!"&amp;$N$28&amp;PenaltyData[[#This Row],[ROW]],TRUE))</f>
        <v>44</v>
      </c>
      <c r="G178" s="1220">
        <f ca="1">COUNTIFS($H$1:H178,"&lt;&gt;0", $F$1:F178,PenaltyData[[#This Row],[PlayerIdx]],$D$1:D178,PenaltyData[[#This Row],[Team]])</f>
        <v>0</v>
      </c>
      <c r="H178" s="1220">
        <f ca="1">INDIRECT("Penalties!"&amp;PenaltyData[[#This Row],[REF]]&amp;PenaltyData[[#This Row],[ROW]])</f>
        <v>0</v>
      </c>
      <c r="I178" s="1220" t="str">
        <f ca="1">IFERROR(VLOOKUP(PenaltyData[[#This Row],[Penalty]],PenaltyNames91419[],2,FALSE),"")</f>
        <v/>
      </c>
      <c r="J178" s="1220" t="s">
        <v>763</v>
      </c>
      <c r="K178" s="1220">
        <f t="shared" si="11"/>
        <v>22</v>
      </c>
      <c r="L178" s="1220"/>
    </row>
    <row r="179" spans="1:12" x14ac:dyDescent="0.25">
      <c r="A179" s="1230">
        <f t="shared" si="9"/>
        <v>42105</v>
      </c>
      <c r="B179" s="1231">
        <f t="shared" si="10"/>
        <v>0.83333333333333337</v>
      </c>
      <c r="C179" s="1220">
        <v>2</v>
      </c>
      <c r="D179" s="1220" t="str">
        <f t="shared" si="8"/>
        <v>Plan B</v>
      </c>
      <c r="E179" s="1220">
        <f ca="1">VALUE(INDIRECT("Penalties!"&amp;PenaltyData[[#This Row],[REF]]&amp;(PenaltyData[[#This Row],[ROW]]+1)))</f>
        <v>0</v>
      </c>
      <c r="F179" s="1220" t="str">
        <f ca="1">IF(INDIRECT("Penalties!"&amp;$N$28&amp;PenaltyData[[#This Row],[ROW]],TRUE)=0, "",INDIRECT("Penalties!"&amp;$N$28&amp;PenaltyData[[#This Row],[ROW]],TRUE))</f>
        <v>44</v>
      </c>
      <c r="G179" s="1220">
        <f ca="1">COUNTIFS($H$1:H179,"&lt;&gt;0", $F$1:F179,PenaltyData[[#This Row],[PlayerIdx]],$D$1:D179,PenaltyData[[#This Row],[Team]])</f>
        <v>0</v>
      </c>
      <c r="H179" s="1220">
        <f ca="1">INDIRECT("Penalties!"&amp;PenaltyData[[#This Row],[REF]]&amp;PenaltyData[[#This Row],[ROW]])</f>
        <v>0</v>
      </c>
      <c r="I179" s="1220" t="str">
        <f ca="1">IFERROR(VLOOKUP(PenaltyData[[#This Row],[Penalty]],PenaltyNames91419[],2,FALSE),"")</f>
        <v/>
      </c>
      <c r="J179" s="1220" t="s">
        <v>765</v>
      </c>
      <c r="K179" s="1220">
        <f t="shared" si="11"/>
        <v>22</v>
      </c>
      <c r="L179" s="1220"/>
    </row>
    <row r="180" spans="1:12" x14ac:dyDescent="0.25">
      <c r="A180" s="1230">
        <f t="shared" si="9"/>
        <v>42105</v>
      </c>
      <c r="B180" s="1231">
        <f t="shared" si="10"/>
        <v>0.83333333333333337</v>
      </c>
      <c r="C180" s="1220">
        <v>2</v>
      </c>
      <c r="D180" s="1220" t="str">
        <f t="shared" si="8"/>
        <v>Plan B</v>
      </c>
      <c r="E180" s="1220">
        <f ca="1">VALUE(INDIRECT("Penalties!"&amp;PenaltyData[[#This Row],[REF]]&amp;(PenaltyData[[#This Row],[ROW]]+1)))</f>
        <v>0</v>
      </c>
      <c r="F180" s="1220" t="str">
        <f ca="1">IF(INDIRECT("Penalties!"&amp;$N$28&amp;PenaltyData[[#This Row],[ROW]],TRUE)=0, "",INDIRECT("Penalties!"&amp;$N$28&amp;PenaltyData[[#This Row],[ROW]],TRUE))</f>
        <v>44</v>
      </c>
      <c r="G180" s="1220">
        <f ca="1">COUNTIFS($H$1:H180,"&lt;&gt;0", $F$1:F180,PenaltyData[[#This Row],[PlayerIdx]],$D$1:D180,PenaltyData[[#This Row],[Team]])</f>
        <v>0</v>
      </c>
      <c r="H180" s="1220">
        <f ca="1">INDIRECT("Penalties!"&amp;PenaltyData[[#This Row],[REF]]&amp;PenaltyData[[#This Row],[ROW]])</f>
        <v>0</v>
      </c>
      <c r="I180" s="1220" t="str">
        <f ca="1">IFERROR(VLOOKUP(PenaltyData[[#This Row],[Penalty]],PenaltyNames91419[],2,FALSE),"")</f>
        <v/>
      </c>
      <c r="J180" s="1220" t="s">
        <v>766</v>
      </c>
      <c r="K180" s="1220">
        <f t="shared" si="11"/>
        <v>22</v>
      </c>
      <c r="L180" s="1220"/>
    </row>
    <row r="181" spans="1:12" x14ac:dyDescent="0.25">
      <c r="A181" s="1230">
        <f t="shared" si="9"/>
        <v>42105</v>
      </c>
      <c r="B181" s="1231">
        <f t="shared" si="10"/>
        <v>0.83333333333333337</v>
      </c>
      <c r="C181" s="1220">
        <v>2</v>
      </c>
      <c r="D181" s="1220" t="str">
        <f t="shared" si="8"/>
        <v>Plan B</v>
      </c>
      <c r="E181" s="1220">
        <f ca="1">VALUE(INDIRECT("Penalties!"&amp;PenaltyData[[#This Row],[REF]]&amp;(PenaltyData[[#This Row],[ROW]]+1)))</f>
        <v>0</v>
      </c>
      <c r="F181" s="1220" t="str">
        <f ca="1">IF(INDIRECT("Penalties!"&amp;$N$28&amp;PenaltyData[[#This Row],[ROW]],TRUE)=0, "",INDIRECT("Penalties!"&amp;$N$28&amp;PenaltyData[[#This Row],[ROW]],TRUE))</f>
        <v>44</v>
      </c>
      <c r="G181" s="1220">
        <f ca="1">COUNTIFS($H$1:H181,"&lt;&gt;0", $F$1:F181,PenaltyData[[#This Row],[PlayerIdx]],$D$1:D181,PenaltyData[[#This Row],[Team]])</f>
        <v>0</v>
      </c>
      <c r="H181" s="1220">
        <f ca="1">INDIRECT("Penalties!"&amp;PenaltyData[[#This Row],[REF]]&amp;PenaltyData[[#This Row],[ROW]])</f>
        <v>0</v>
      </c>
      <c r="I181" s="1220" t="str">
        <f ca="1">IFERROR(VLOOKUP(PenaltyData[[#This Row],[Penalty]],PenaltyNames91419[],2,FALSE),"")</f>
        <v/>
      </c>
      <c r="J181" s="1220" t="s">
        <v>767</v>
      </c>
      <c r="K181" s="1220">
        <f t="shared" si="11"/>
        <v>22</v>
      </c>
      <c r="L181" s="1220"/>
    </row>
    <row r="182" spans="1:12" x14ac:dyDescent="0.25">
      <c r="A182" s="1230">
        <f t="shared" si="9"/>
        <v>42105</v>
      </c>
      <c r="B182" s="1231">
        <f t="shared" si="10"/>
        <v>0.83333333333333337</v>
      </c>
      <c r="C182" s="1220">
        <v>1</v>
      </c>
      <c r="D182" s="1220" t="str">
        <f t="shared" si="8"/>
        <v>Plan B</v>
      </c>
      <c r="E182" s="1220">
        <f ca="1">VALUE(INDIRECT("Penalties!"&amp;PenaltyData[[#This Row],[REF]]&amp;(PenaltyData[[#This Row],[ROW]]+1)))</f>
        <v>2</v>
      </c>
      <c r="F182" s="1220" t="str">
        <f ca="1">IF(INDIRECT("Penalties!"&amp;$N$28&amp;PenaltyData[[#This Row],[ROW]],TRUE)=0, "",INDIRECT("Penalties!"&amp;$N$28&amp;PenaltyData[[#This Row],[ROW]],TRUE))</f>
        <v>480</v>
      </c>
      <c r="G182" s="1220">
        <f ca="1">COUNTIFS($H$1:H182,"&lt;&gt;0", $F$1:F182,PenaltyData[[#This Row],[PlayerIdx]],$D$1:D182,PenaltyData[[#This Row],[Team]])</f>
        <v>1</v>
      </c>
      <c r="H182" s="1220" t="str">
        <f ca="1">INDIRECT("Penalties!"&amp;PenaltyData[[#This Row],[REF]]&amp;PenaltyData[[#This Row],[ROW]])</f>
        <v>P</v>
      </c>
      <c r="I182" s="1220" t="str">
        <f ca="1">IFERROR(VLOOKUP(PenaltyData[[#This Row],[Penalty]],PenaltyNames91419[],2,FALSE),"")</f>
        <v>Out of Play</v>
      </c>
      <c r="J182" s="1220" t="s">
        <v>136</v>
      </c>
      <c r="K182" s="1220">
        <f t="shared" si="11"/>
        <v>24</v>
      </c>
      <c r="L182" s="1220"/>
    </row>
    <row r="183" spans="1:12" x14ac:dyDescent="0.25">
      <c r="A183" s="1230">
        <f t="shared" si="9"/>
        <v>42105</v>
      </c>
      <c r="B183" s="1231">
        <f t="shared" si="10"/>
        <v>0.83333333333333337</v>
      </c>
      <c r="C183" s="1220">
        <v>1</v>
      </c>
      <c r="D183" s="1220" t="str">
        <f t="shared" si="8"/>
        <v>Plan B</v>
      </c>
      <c r="E183" s="1220">
        <f ca="1">VALUE(INDIRECT("Penalties!"&amp;PenaltyData[[#This Row],[REF]]&amp;(PenaltyData[[#This Row],[ROW]]+1)))</f>
        <v>12</v>
      </c>
      <c r="F183" s="1220" t="str">
        <f ca="1">IF(INDIRECT("Penalties!"&amp;$N$28&amp;PenaltyData[[#This Row],[ROW]],TRUE)=0, "",INDIRECT("Penalties!"&amp;$N$28&amp;PenaltyData[[#This Row],[ROW]],TRUE))</f>
        <v>480</v>
      </c>
      <c r="G183" s="1220">
        <f ca="1">COUNTIFS($H$1:H183,"&lt;&gt;0", $F$1:F183,PenaltyData[[#This Row],[PlayerIdx]],$D$1:D183,PenaltyData[[#This Row],[Team]])</f>
        <v>2</v>
      </c>
      <c r="H183" s="1220" t="str">
        <f ca="1">INDIRECT("Penalties!"&amp;PenaltyData[[#This Row],[REF]]&amp;PenaltyData[[#This Row],[ROW]])</f>
        <v>L</v>
      </c>
      <c r="I183" s="1220" t="str">
        <f ca="1">IFERROR(VLOOKUP(PenaltyData[[#This Row],[Penalty]],PenaltyNames91419[],2,FALSE),"")</f>
        <v>Low Block</v>
      </c>
      <c r="J183" s="1220" t="s">
        <v>142</v>
      </c>
      <c r="K183" s="1220">
        <f t="shared" si="11"/>
        <v>24</v>
      </c>
      <c r="L183" s="1220"/>
    </row>
    <row r="184" spans="1:12" x14ac:dyDescent="0.25">
      <c r="A184" s="1230">
        <f t="shared" si="9"/>
        <v>42105</v>
      </c>
      <c r="B184" s="1231">
        <f t="shared" si="10"/>
        <v>0.83333333333333337</v>
      </c>
      <c r="C184" s="1220">
        <v>1</v>
      </c>
      <c r="D184" s="1220" t="str">
        <f t="shared" si="8"/>
        <v>Plan B</v>
      </c>
      <c r="E184" s="1220">
        <f ca="1">VALUE(INDIRECT("Penalties!"&amp;PenaltyData[[#This Row],[REF]]&amp;(PenaltyData[[#This Row],[ROW]]+1)))</f>
        <v>0</v>
      </c>
      <c r="F184" s="1220" t="str">
        <f ca="1">IF(INDIRECT("Penalties!"&amp;$N$28&amp;PenaltyData[[#This Row],[ROW]],TRUE)=0, "",INDIRECT("Penalties!"&amp;$N$28&amp;PenaltyData[[#This Row],[ROW]],TRUE))</f>
        <v>480</v>
      </c>
      <c r="G184" s="1220">
        <f ca="1">COUNTIFS($H$1:H184,"&lt;&gt;0", $F$1:F184,PenaltyData[[#This Row],[PlayerIdx]],$D$1:D184,PenaltyData[[#This Row],[Team]])</f>
        <v>2</v>
      </c>
      <c r="H184" s="1220">
        <f ca="1">INDIRECT("Penalties!"&amp;PenaltyData[[#This Row],[REF]]&amp;PenaltyData[[#This Row],[ROW]])</f>
        <v>0</v>
      </c>
      <c r="I184" s="1220" t="str">
        <f ca="1">IFERROR(VLOOKUP(PenaltyData[[#This Row],[Penalty]],PenaltyNames91419[],2,FALSE),"")</f>
        <v/>
      </c>
      <c r="J184" s="1220" t="s">
        <v>754</v>
      </c>
      <c r="K184" s="1220">
        <f t="shared" si="11"/>
        <v>24</v>
      </c>
      <c r="L184" s="1220"/>
    </row>
    <row r="185" spans="1:12" x14ac:dyDescent="0.25">
      <c r="A185" s="1230">
        <f t="shared" si="9"/>
        <v>42105</v>
      </c>
      <c r="B185" s="1231">
        <f t="shared" si="10"/>
        <v>0.83333333333333337</v>
      </c>
      <c r="C185" s="1220">
        <v>1</v>
      </c>
      <c r="D185" s="1220" t="str">
        <f t="shared" si="8"/>
        <v>Plan B</v>
      </c>
      <c r="E185" s="1220">
        <f ca="1">VALUE(INDIRECT("Penalties!"&amp;PenaltyData[[#This Row],[REF]]&amp;(PenaltyData[[#This Row],[ROW]]+1)))</f>
        <v>0</v>
      </c>
      <c r="F185" s="1220" t="str">
        <f ca="1">IF(INDIRECT("Penalties!"&amp;$N$28&amp;PenaltyData[[#This Row],[ROW]],TRUE)=0, "",INDIRECT("Penalties!"&amp;$N$28&amp;PenaltyData[[#This Row],[ROW]],TRUE))</f>
        <v>480</v>
      </c>
      <c r="G185" s="1220">
        <f ca="1">COUNTIFS($H$1:H185,"&lt;&gt;0", $F$1:F185,PenaltyData[[#This Row],[PlayerIdx]],$D$1:D185,PenaltyData[[#This Row],[Team]])</f>
        <v>2</v>
      </c>
      <c r="H185" s="1220">
        <f ca="1">INDIRECT("Penalties!"&amp;PenaltyData[[#This Row],[REF]]&amp;PenaltyData[[#This Row],[ROW]])</f>
        <v>0</v>
      </c>
      <c r="I185" s="1220" t="str">
        <f ca="1">IFERROR(VLOOKUP(PenaltyData[[#This Row],[Penalty]],PenaltyNames91419[],2,FALSE),"")</f>
        <v/>
      </c>
      <c r="J185" s="1220" t="s">
        <v>144</v>
      </c>
      <c r="K185" s="1220">
        <f t="shared" si="11"/>
        <v>24</v>
      </c>
      <c r="L185" s="1220"/>
    </row>
    <row r="186" spans="1:12" x14ac:dyDescent="0.25">
      <c r="A186" s="1230">
        <f t="shared" si="9"/>
        <v>42105</v>
      </c>
      <c r="B186" s="1231">
        <f t="shared" si="10"/>
        <v>0.83333333333333337</v>
      </c>
      <c r="C186" s="1220">
        <v>1</v>
      </c>
      <c r="D186" s="1220" t="str">
        <f t="shared" si="8"/>
        <v>Plan B</v>
      </c>
      <c r="E186" s="1220">
        <f ca="1">VALUE(INDIRECT("Penalties!"&amp;PenaltyData[[#This Row],[REF]]&amp;(PenaltyData[[#This Row],[ROW]]+1)))</f>
        <v>0</v>
      </c>
      <c r="F186" s="1220" t="str">
        <f ca="1">IF(INDIRECT("Penalties!"&amp;$N$28&amp;PenaltyData[[#This Row],[ROW]],TRUE)=0, "",INDIRECT("Penalties!"&amp;$N$28&amp;PenaltyData[[#This Row],[ROW]],TRUE))</f>
        <v>480</v>
      </c>
      <c r="G186" s="1220">
        <f ca="1">COUNTIFS($H$1:H186,"&lt;&gt;0", $F$1:F186,PenaltyData[[#This Row],[PlayerIdx]],$D$1:D186,PenaltyData[[#This Row],[Team]])</f>
        <v>2</v>
      </c>
      <c r="H186" s="1220">
        <f ca="1">INDIRECT("Penalties!"&amp;PenaltyData[[#This Row],[REF]]&amp;PenaltyData[[#This Row],[ROW]])</f>
        <v>0</v>
      </c>
      <c r="I186" s="1220" t="str">
        <f ca="1">IFERROR(VLOOKUP(PenaltyData[[#This Row],[Penalty]],PenaltyNames91419[],2,FALSE),"")</f>
        <v/>
      </c>
      <c r="J186" s="1220" t="s">
        <v>146</v>
      </c>
      <c r="K186" s="1220">
        <f t="shared" si="11"/>
        <v>24</v>
      </c>
      <c r="L186" s="1220"/>
    </row>
    <row r="187" spans="1:12" x14ac:dyDescent="0.25">
      <c r="A187" s="1230">
        <f t="shared" si="9"/>
        <v>42105</v>
      </c>
      <c r="B187" s="1231">
        <f t="shared" si="10"/>
        <v>0.83333333333333337</v>
      </c>
      <c r="C187" s="1220">
        <v>1</v>
      </c>
      <c r="D187" s="1220" t="str">
        <f t="shared" si="8"/>
        <v>Plan B</v>
      </c>
      <c r="E187" s="1220">
        <f ca="1">VALUE(INDIRECT("Penalties!"&amp;PenaltyData[[#This Row],[REF]]&amp;(PenaltyData[[#This Row],[ROW]]+1)))</f>
        <v>0</v>
      </c>
      <c r="F187" s="1220" t="str">
        <f ca="1">IF(INDIRECT("Penalties!"&amp;$N$28&amp;PenaltyData[[#This Row],[ROW]],TRUE)=0, "",INDIRECT("Penalties!"&amp;$N$28&amp;PenaltyData[[#This Row],[ROW]],TRUE))</f>
        <v>480</v>
      </c>
      <c r="G187" s="1220">
        <f ca="1">COUNTIFS($H$1:H187,"&lt;&gt;0", $F$1:F187,PenaltyData[[#This Row],[PlayerIdx]],$D$1:D187,PenaltyData[[#This Row],[Team]])</f>
        <v>2</v>
      </c>
      <c r="H187" s="1220">
        <f ca="1">INDIRECT("Penalties!"&amp;PenaltyData[[#This Row],[REF]]&amp;PenaltyData[[#This Row],[ROW]])</f>
        <v>0</v>
      </c>
      <c r="I187" s="1220" t="str">
        <f ca="1">IFERROR(VLOOKUP(PenaltyData[[#This Row],[Penalty]],PenaltyNames91419[],2,FALSE),"")</f>
        <v/>
      </c>
      <c r="J187" s="1220" t="s">
        <v>164</v>
      </c>
      <c r="K187" s="1220">
        <f t="shared" si="11"/>
        <v>24</v>
      </c>
      <c r="L187" s="1220"/>
    </row>
    <row r="188" spans="1:12" x14ac:dyDescent="0.25">
      <c r="A188" s="1230">
        <f t="shared" si="9"/>
        <v>42105</v>
      </c>
      <c r="B188" s="1231">
        <f t="shared" si="10"/>
        <v>0.83333333333333337</v>
      </c>
      <c r="C188" s="1220">
        <v>1</v>
      </c>
      <c r="D188" s="1220" t="str">
        <f t="shared" si="8"/>
        <v>Plan B</v>
      </c>
      <c r="E188" s="1220">
        <f ca="1">VALUE(INDIRECT("Penalties!"&amp;PenaltyData[[#This Row],[REF]]&amp;(PenaltyData[[#This Row],[ROW]]+1)))</f>
        <v>0</v>
      </c>
      <c r="F188" s="1220" t="str">
        <f ca="1">IF(INDIRECT("Penalties!"&amp;$N$28&amp;PenaltyData[[#This Row],[ROW]],TRUE)=0, "",INDIRECT("Penalties!"&amp;$N$28&amp;PenaltyData[[#This Row],[ROW]],TRUE))</f>
        <v>480</v>
      </c>
      <c r="G188" s="1220">
        <f ca="1">COUNTIFS($H$1:H188,"&lt;&gt;0", $F$1:F188,PenaltyData[[#This Row],[PlayerIdx]],$D$1:D188,PenaltyData[[#This Row],[Team]])</f>
        <v>2</v>
      </c>
      <c r="H188" s="1220">
        <f ca="1">INDIRECT("Penalties!"&amp;PenaltyData[[#This Row],[REF]]&amp;PenaltyData[[#This Row],[ROW]])</f>
        <v>0</v>
      </c>
      <c r="I188" s="1220" t="str">
        <f ca="1">IFERROR(VLOOKUP(PenaltyData[[#This Row],[Penalty]],PenaltyNames91419[],2,FALSE),"")</f>
        <v/>
      </c>
      <c r="J188" s="1220" t="s">
        <v>138</v>
      </c>
      <c r="K188" s="1220">
        <f t="shared" si="11"/>
        <v>24</v>
      </c>
      <c r="L188" s="1220"/>
    </row>
    <row r="189" spans="1:12" x14ac:dyDescent="0.25">
      <c r="A189" s="1230">
        <f t="shared" si="9"/>
        <v>42105</v>
      </c>
      <c r="B189" s="1231">
        <f t="shared" si="10"/>
        <v>0.83333333333333337</v>
      </c>
      <c r="C189" s="1220">
        <v>1</v>
      </c>
      <c r="D189" s="1220" t="str">
        <f t="shared" si="8"/>
        <v>Plan B</v>
      </c>
      <c r="E189" s="1220">
        <f ca="1">VALUE(INDIRECT("Penalties!"&amp;PenaltyData[[#This Row],[REF]]&amp;(PenaltyData[[#This Row],[ROW]]+1)))</f>
        <v>0</v>
      </c>
      <c r="F189" s="1220" t="str">
        <f ca="1">IF(INDIRECT("Penalties!"&amp;$N$28&amp;PenaltyData[[#This Row],[ROW]],TRUE)=0, "",INDIRECT("Penalties!"&amp;$N$28&amp;PenaltyData[[#This Row],[ROW]],TRUE))</f>
        <v>480</v>
      </c>
      <c r="G189" s="1220">
        <f ca="1">COUNTIFS($H$1:H189,"&lt;&gt;0", $F$1:F189,PenaltyData[[#This Row],[PlayerIdx]],$D$1:D189,PenaltyData[[#This Row],[Team]])</f>
        <v>2</v>
      </c>
      <c r="H189" s="1220">
        <f ca="1">INDIRECT("Penalties!"&amp;PenaltyData[[#This Row],[REF]]&amp;PenaltyData[[#This Row],[ROW]])</f>
        <v>0</v>
      </c>
      <c r="I189" s="1220" t="str">
        <f ca="1">IFERROR(VLOOKUP(PenaltyData[[#This Row],[Penalty]],PenaltyNames91419[],2,FALSE),"")</f>
        <v/>
      </c>
      <c r="J189" s="1220" t="s">
        <v>150</v>
      </c>
      <c r="K189" s="1220">
        <f t="shared" si="11"/>
        <v>24</v>
      </c>
      <c r="L189" s="1220"/>
    </row>
    <row r="190" spans="1:12" x14ac:dyDescent="0.25">
      <c r="A190" s="1230">
        <f t="shared" si="9"/>
        <v>42105</v>
      </c>
      <c r="B190" s="1231">
        <f t="shared" si="10"/>
        <v>0.83333333333333337</v>
      </c>
      <c r="C190" s="1220">
        <v>1</v>
      </c>
      <c r="D190" s="1220" t="str">
        <f t="shared" si="8"/>
        <v>Plan B</v>
      </c>
      <c r="E190" s="1220">
        <f ca="1">VALUE(INDIRECT("Penalties!"&amp;PenaltyData[[#This Row],[REF]]&amp;(PenaltyData[[#This Row],[ROW]]+1)))</f>
        <v>0</v>
      </c>
      <c r="F190" s="1220" t="str">
        <f ca="1">IF(INDIRECT("Penalties!"&amp;$N$28&amp;PenaltyData[[#This Row],[ROW]],TRUE)=0, "",INDIRECT("Penalties!"&amp;$N$28&amp;PenaltyData[[#This Row],[ROW]],TRUE))</f>
        <v>480</v>
      </c>
      <c r="G190" s="1220">
        <f ca="1">COUNTIFS($H$1:H190,"&lt;&gt;0", $F$1:F190,PenaltyData[[#This Row],[PlayerIdx]],$D$1:D190,PenaltyData[[#This Row],[Team]])</f>
        <v>2</v>
      </c>
      <c r="H190" s="1220">
        <f ca="1">INDIRECT("Penalties!"&amp;PenaltyData[[#This Row],[REF]]&amp;PenaltyData[[#This Row],[ROW]])</f>
        <v>0</v>
      </c>
      <c r="I190" s="1220" t="str">
        <f ca="1">IFERROR(VLOOKUP(PenaltyData[[#This Row],[Penalty]],PenaltyNames91419[],2,FALSE),"")</f>
        <v/>
      </c>
      <c r="J190" s="1220" t="s">
        <v>757</v>
      </c>
      <c r="K190" s="1220">
        <f t="shared" si="11"/>
        <v>24</v>
      </c>
      <c r="L190" s="1220"/>
    </row>
    <row r="191" spans="1:12" x14ac:dyDescent="0.25">
      <c r="A191" s="1230">
        <f t="shared" si="9"/>
        <v>42105</v>
      </c>
      <c r="B191" s="1231">
        <f t="shared" si="10"/>
        <v>0.83333333333333337</v>
      </c>
      <c r="C191" s="1220">
        <v>2</v>
      </c>
      <c r="D191" s="1220" t="str">
        <f t="shared" si="8"/>
        <v>Plan B</v>
      </c>
      <c r="E191" s="1220">
        <f ca="1">VALUE(INDIRECT("Penalties!"&amp;PenaltyData[[#This Row],[REF]]&amp;(PenaltyData[[#This Row],[ROW]]+1)))</f>
        <v>0</v>
      </c>
      <c r="F191" s="1220" t="str">
        <f ca="1">IF(INDIRECT("Penalties!"&amp;$N$28&amp;PenaltyData[[#This Row],[ROW]],TRUE)=0, "",INDIRECT("Penalties!"&amp;$N$28&amp;PenaltyData[[#This Row],[ROW]],TRUE))</f>
        <v>480</v>
      </c>
      <c r="G191" s="1220">
        <f ca="1">COUNTIFS($H$1:H191,"&lt;&gt;0", $F$1:F191,PenaltyData[[#This Row],[PlayerIdx]],$D$1:D191,PenaltyData[[#This Row],[Team]])</f>
        <v>2</v>
      </c>
      <c r="H191" s="1220">
        <f ca="1">INDIRECT("Penalties!"&amp;PenaltyData[[#This Row],[REF]]&amp;PenaltyData[[#This Row],[ROW]])</f>
        <v>0</v>
      </c>
      <c r="I191" s="1220" t="str">
        <f ca="1">IFERROR(VLOOKUP(PenaltyData[[#This Row],[Penalty]],PenaltyNames91419[],2,FALSE),"")</f>
        <v/>
      </c>
      <c r="J191" s="1220" t="s">
        <v>758</v>
      </c>
      <c r="K191" s="1220">
        <f t="shared" si="11"/>
        <v>24</v>
      </c>
      <c r="L191" s="1220"/>
    </row>
    <row r="192" spans="1:12" x14ac:dyDescent="0.25">
      <c r="A192" s="1230">
        <f t="shared" si="9"/>
        <v>42105</v>
      </c>
      <c r="B192" s="1231">
        <f t="shared" si="10"/>
        <v>0.83333333333333337</v>
      </c>
      <c r="C192" s="1220">
        <v>2</v>
      </c>
      <c r="D192" s="1220" t="str">
        <f t="shared" si="8"/>
        <v>Plan B</v>
      </c>
      <c r="E192" s="1220">
        <f ca="1">VALUE(INDIRECT("Penalties!"&amp;PenaltyData[[#This Row],[REF]]&amp;(PenaltyData[[#This Row],[ROW]]+1)))</f>
        <v>0</v>
      </c>
      <c r="F192" s="1220" t="str">
        <f ca="1">IF(INDIRECT("Penalties!"&amp;$N$28&amp;PenaltyData[[#This Row],[ROW]],TRUE)=0, "",INDIRECT("Penalties!"&amp;$N$28&amp;PenaltyData[[#This Row],[ROW]],TRUE))</f>
        <v>480</v>
      </c>
      <c r="G192" s="1220">
        <f ca="1">COUNTIFS($H$1:H192,"&lt;&gt;0", $F$1:F192,PenaltyData[[#This Row],[PlayerIdx]],$D$1:D192,PenaltyData[[#This Row],[Team]])</f>
        <v>2</v>
      </c>
      <c r="H192" s="1220">
        <f ca="1">INDIRECT("Penalties!"&amp;PenaltyData[[#This Row],[REF]]&amp;PenaltyData[[#This Row],[ROW]])</f>
        <v>0</v>
      </c>
      <c r="I192" s="1220" t="str">
        <f ca="1">IFERROR(VLOOKUP(PenaltyData[[#This Row],[Penalty]],PenaltyNames91419[],2,FALSE),"")</f>
        <v/>
      </c>
      <c r="J192" s="1220" t="s">
        <v>759</v>
      </c>
      <c r="K192" s="1220">
        <f t="shared" si="11"/>
        <v>24</v>
      </c>
      <c r="L192" s="1220"/>
    </row>
    <row r="193" spans="1:12" x14ac:dyDescent="0.25">
      <c r="A193" s="1230">
        <f t="shared" si="9"/>
        <v>42105</v>
      </c>
      <c r="B193" s="1231">
        <f t="shared" si="10"/>
        <v>0.83333333333333337</v>
      </c>
      <c r="C193" s="1220">
        <v>2</v>
      </c>
      <c r="D193" s="1220" t="str">
        <f t="shared" si="8"/>
        <v>Plan B</v>
      </c>
      <c r="E193" s="1220">
        <f ca="1">VALUE(INDIRECT("Penalties!"&amp;PenaltyData[[#This Row],[REF]]&amp;(PenaltyData[[#This Row],[ROW]]+1)))</f>
        <v>12</v>
      </c>
      <c r="F193" s="1220" t="str">
        <f ca="1">IF(INDIRECT("Penalties!"&amp;$N$28&amp;PenaltyData[[#This Row],[ROW]],TRUE)=0, "",INDIRECT("Penalties!"&amp;$N$28&amp;PenaltyData[[#This Row],[ROW]],TRUE))</f>
        <v>480</v>
      </c>
      <c r="G193" s="1220">
        <f ca="1">COUNTIFS($H$1:H193,"&lt;&gt;0", $F$1:F193,PenaltyData[[#This Row],[PlayerIdx]],$D$1:D193,PenaltyData[[#This Row],[Team]])</f>
        <v>3</v>
      </c>
      <c r="H193" s="1220" t="str">
        <f ca="1">INDIRECT("Penalties!"&amp;PenaltyData[[#This Row],[REF]]&amp;PenaltyData[[#This Row],[ROW]])</f>
        <v>P</v>
      </c>
      <c r="I193" s="1220" t="str">
        <f ca="1">IFERROR(VLOOKUP(PenaltyData[[#This Row],[Penalty]],PenaltyNames91419[],2,FALSE),"")</f>
        <v>Out of Play</v>
      </c>
      <c r="J193" s="1220" t="s">
        <v>760</v>
      </c>
      <c r="K193" s="1220">
        <f t="shared" si="11"/>
        <v>24</v>
      </c>
      <c r="L193" s="1220"/>
    </row>
    <row r="194" spans="1:12" x14ac:dyDescent="0.25">
      <c r="A194" s="1230">
        <f t="shared" si="9"/>
        <v>42105</v>
      </c>
      <c r="B194" s="1231">
        <f t="shared" si="10"/>
        <v>0.83333333333333337</v>
      </c>
      <c r="C194" s="1220">
        <v>2</v>
      </c>
      <c r="D194" s="1220" t="str">
        <f t="shared" si="8"/>
        <v>Plan B</v>
      </c>
      <c r="E194" s="1220">
        <f ca="1">VALUE(INDIRECT("Penalties!"&amp;PenaltyData[[#This Row],[REF]]&amp;(PenaltyData[[#This Row],[ROW]]+1)))</f>
        <v>0</v>
      </c>
      <c r="F194" s="1220" t="str">
        <f ca="1">IF(INDIRECT("Penalties!"&amp;$N$28&amp;PenaltyData[[#This Row],[ROW]],TRUE)=0, "",INDIRECT("Penalties!"&amp;$N$28&amp;PenaltyData[[#This Row],[ROW]],TRUE))</f>
        <v>480</v>
      </c>
      <c r="G194" s="1220">
        <f ca="1">COUNTIFS($H$1:H194,"&lt;&gt;0", $F$1:F194,PenaltyData[[#This Row],[PlayerIdx]],$D$1:D194,PenaltyData[[#This Row],[Team]])</f>
        <v>3</v>
      </c>
      <c r="H194" s="1220">
        <f ca="1">INDIRECT("Penalties!"&amp;PenaltyData[[#This Row],[REF]]&amp;PenaltyData[[#This Row],[ROW]])</f>
        <v>0</v>
      </c>
      <c r="I194" s="1220" t="str">
        <f ca="1">IFERROR(VLOOKUP(PenaltyData[[#This Row],[Penalty]],PenaltyNames91419[],2,FALSE),"")</f>
        <v/>
      </c>
      <c r="J194" s="1220" t="s">
        <v>761</v>
      </c>
      <c r="K194" s="1220">
        <f t="shared" si="11"/>
        <v>24</v>
      </c>
      <c r="L194" s="1220"/>
    </row>
    <row r="195" spans="1:12" x14ac:dyDescent="0.25">
      <c r="A195" s="1230">
        <f t="shared" si="9"/>
        <v>42105</v>
      </c>
      <c r="B195" s="1231">
        <f t="shared" si="10"/>
        <v>0.83333333333333337</v>
      </c>
      <c r="C195" s="1220">
        <v>2</v>
      </c>
      <c r="D195" s="1220" t="str">
        <f t="shared" ref="D195:D258" si="12">$O$2</f>
        <v>Plan B</v>
      </c>
      <c r="E195" s="1220">
        <f ca="1">VALUE(INDIRECT("Penalties!"&amp;PenaltyData[[#This Row],[REF]]&amp;(PenaltyData[[#This Row],[ROW]]+1)))</f>
        <v>0</v>
      </c>
      <c r="F195" s="1220" t="str">
        <f ca="1">IF(INDIRECT("Penalties!"&amp;$N$28&amp;PenaltyData[[#This Row],[ROW]],TRUE)=0, "",INDIRECT("Penalties!"&amp;$N$28&amp;PenaltyData[[#This Row],[ROW]],TRUE))</f>
        <v>480</v>
      </c>
      <c r="G195" s="1220">
        <f ca="1">COUNTIFS($H$1:H195,"&lt;&gt;0", $F$1:F195,PenaltyData[[#This Row],[PlayerIdx]],$D$1:D195,PenaltyData[[#This Row],[Team]])</f>
        <v>3</v>
      </c>
      <c r="H195" s="1220">
        <f ca="1">INDIRECT("Penalties!"&amp;PenaltyData[[#This Row],[REF]]&amp;PenaltyData[[#This Row],[ROW]])</f>
        <v>0</v>
      </c>
      <c r="I195" s="1220" t="str">
        <f ca="1">IFERROR(VLOOKUP(PenaltyData[[#This Row],[Penalty]],PenaltyNames91419[],2,FALSE),"")</f>
        <v/>
      </c>
      <c r="J195" s="1220" t="s">
        <v>762</v>
      </c>
      <c r="K195" s="1220">
        <f t="shared" si="11"/>
        <v>24</v>
      </c>
      <c r="L195" s="1220"/>
    </row>
    <row r="196" spans="1:12" x14ac:dyDescent="0.25">
      <c r="A196" s="1230">
        <f t="shared" si="9"/>
        <v>42105</v>
      </c>
      <c r="B196" s="1231">
        <f t="shared" si="10"/>
        <v>0.83333333333333337</v>
      </c>
      <c r="C196" s="1220">
        <v>2</v>
      </c>
      <c r="D196" s="1220" t="str">
        <f t="shared" si="12"/>
        <v>Plan B</v>
      </c>
      <c r="E196" s="1220">
        <f ca="1">VALUE(INDIRECT("Penalties!"&amp;PenaltyData[[#This Row],[REF]]&amp;(PenaltyData[[#This Row],[ROW]]+1)))</f>
        <v>0</v>
      </c>
      <c r="F196" s="1220" t="str">
        <f ca="1">IF(INDIRECT("Penalties!"&amp;$N$28&amp;PenaltyData[[#This Row],[ROW]],TRUE)=0, "",INDIRECT("Penalties!"&amp;$N$28&amp;PenaltyData[[#This Row],[ROW]],TRUE))</f>
        <v>480</v>
      </c>
      <c r="G196" s="1220">
        <f ca="1">COUNTIFS($H$1:H196,"&lt;&gt;0", $F$1:F196,PenaltyData[[#This Row],[PlayerIdx]],$D$1:D196,PenaltyData[[#This Row],[Team]])</f>
        <v>3</v>
      </c>
      <c r="H196" s="1220">
        <f ca="1">INDIRECT("Penalties!"&amp;PenaltyData[[#This Row],[REF]]&amp;PenaltyData[[#This Row],[ROW]])</f>
        <v>0</v>
      </c>
      <c r="I196" s="1220" t="str">
        <f ca="1">IFERROR(VLOOKUP(PenaltyData[[#This Row],[Penalty]],PenaltyNames91419[],2,FALSE),"")</f>
        <v/>
      </c>
      <c r="J196" s="1220" t="s">
        <v>763</v>
      </c>
      <c r="K196" s="1220">
        <f t="shared" si="11"/>
        <v>24</v>
      </c>
      <c r="L196" s="1220"/>
    </row>
    <row r="197" spans="1:12" x14ac:dyDescent="0.25">
      <c r="A197" s="1230">
        <f t="shared" si="9"/>
        <v>42105</v>
      </c>
      <c r="B197" s="1231">
        <f t="shared" si="10"/>
        <v>0.83333333333333337</v>
      </c>
      <c r="C197" s="1220">
        <v>2</v>
      </c>
      <c r="D197" s="1220" t="str">
        <f t="shared" si="12"/>
        <v>Plan B</v>
      </c>
      <c r="E197" s="1220">
        <f ca="1">VALUE(INDIRECT("Penalties!"&amp;PenaltyData[[#This Row],[REF]]&amp;(PenaltyData[[#This Row],[ROW]]+1)))</f>
        <v>0</v>
      </c>
      <c r="F197" s="1220" t="str">
        <f ca="1">IF(INDIRECT("Penalties!"&amp;$N$28&amp;PenaltyData[[#This Row],[ROW]],TRUE)=0, "",INDIRECT("Penalties!"&amp;$N$28&amp;PenaltyData[[#This Row],[ROW]],TRUE))</f>
        <v>480</v>
      </c>
      <c r="G197" s="1220">
        <f ca="1">COUNTIFS($H$1:H197,"&lt;&gt;0", $F$1:F197,PenaltyData[[#This Row],[PlayerIdx]],$D$1:D197,PenaltyData[[#This Row],[Team]])</f>
        <v>3</v>
      </c>
      <c r="H197" s="1220">
        <f ca="1">INDIRECT("Penalties!"&amp;PenaltyData[[#This Row],[REF]]&amp;PenaltyData[[#This Row],[ROW]])</f>
        <v>0</v>
      </c>
      <c r="I197" s="1220" t="str">
        <f ca="1">IFERROR(VLOOKUP(PenaltyData[[#This Row],[Penalty]],PenaltyNames91419[],2,FALSE),"")</f>
        <v/>
      </c>
      <c r="J197" s="1220" t="s">
        <v>765</v>
      </c>
      <c r="K197" s="1220">
        <f t="shared" si="11"/>
        <v>24</v>
      </c>
      <c r="L197" s="1220"/>
    </row>
    <row r="198" spans="1:12" x14ac:dyDescent="0.25">
      <c r="A198" s="1230">
        <f t="shared" ref="A198:A261" si="13">$N$1</f>
        <v>42105</v>
      </c>
      <c r="B198" s="1231">
        <f t="shared" ref="B198:B261" si="14">$O$1</f>
        <v>0.83333333333333337</v>
      </c>
      <c r="C198" s="1220">
        <v>2</v>
      </c>
      <c r="D198" s="1220" t="str">
        <f t="shared" si="12"/>
        <v>Plan B</v>
      </c>
      <c r="E198" s="1220">
        <f ca="1">VALUE(INDIRECT("Penalties!"&amp;PenaltyData[[#This Row],[REF]]&amp;(PenaltyData[[#This Row],[ROW]]+1)))</f>
        <v>0</v>
      </c>
      <c r="F198" s="1220" t="str">
        <f ca="1">IF(INDIRECT("Penalties!"&amp;$N$28&amp;PenaltyData[[#This Row],[ROW]],TRUE)=0, "",INDIRECT("Penalties!"&amp;$N$28&amp;PenaltyData[[#This Row],[ROW]],TRUE))</f>
        <v>480</v>
      </c>
      <c r="G198" s="1220">
        <f ca="1">COUNTIFS($H$1:H198,"&lt;&gt;0", $F$1:F198,PenaltyData[[#This Row],[PlayerIdx]],$D$1:D198,PenaltyData[[#This Row],[Team]])</f>
        <v>3</v>
      </c>
      <c r="H198" s="1220">
        <f ca="1">INDIRECT("Penalties!"&amp;PenaltyData[[#This Row],[REF]]&amp;PenaltyData[[#This Row],[ROW]])</f>
        <v>0</v>
      </c>
      <c r="I198" s="1220" t="str">
        <f ca="1">IFERROR(VLOOKUP(PenaltyData[[#This Row],[Penalty]],PenaltyNames91419[],2,FALSE),"")</f>
        <v/>
      </c>
      <c r="J198" s="1220" t="s">
        <v>766</v>
      </c>
      <c r="K198" s="1220">
        <f t="shared" si="11"/>
        <v>24</v>
      </c>
      <c r="L198" s="1220"/>
    </row>
    <row r="199" spans="1:12" x14ac:dyDescent="0.25">
      <c r="A199" s="1230">
        <f t="shared" si="13"/>
        <v>42105</v>
      </c>
      <c r="B199" s="1231">
        <f t="shared" si="14"/>
        <v>0.83333333333333337</v>
      </c>
      <c r="C199" s="1220">
        <v>2</v>
      </c>
      <c r="D199" s="1220" t="str">
        <f t="shared" si="12"/>
        <v>Plan B</v>
      </c>
      <c r="E199" s="1220">
        <f ca="1">VALUE(INDIRECT("Penalties!"&amp;PenaltyData[[#This Row],[REF]]&amp;(PenaltyData[[#This Row],[ROW]]+1)))</f>
        <v>0</v>
      </c>
      <c r="F199" s="1220" t="str">
        <f ca="1">IF(INDIRECT("Penalties!"&amp;$N$28&amp;PenaltyData[[#This Row],[ROW]],TRUE)=0, "",INDIRECT("Penalties!"&amp;$N$28&amp;PenaltyData[[#This Row],[ROW]],TRUE))</f>
        <v>480</v>
      </c>
      <c r="G199" s="1220">
        <f ca="1">COUNTIFS($H$1:H199,"&lt;&gt;0", $F$1:F199,PenaltyData[[#This Row],[PlayerIdx]],$D$1:D199,PenaltyData[[#This Row],[Team]])</f>
        <v>3</v>
      </c>
      <c r="H199" s="1220">
        <f ca="1">INDIRECT("Penalties!"&amp;PenaltyData[[#This Row],[REF]]&amp;PenaltyData[[#This Row],[ROW]])</f>
        <v>0</v>
      </c>
      <c r="I199" s="1220" t="str">
        <f ca="1">IFERROR(VLOOKUP(PenaltyData[[#This Row],[Penalty]],PenaltyNames91419[],2,FALSE),"")</f>
        <v/>
      </c>
      <c r="J199" s="1220" t="s">
        <v>767</v>
      </c>
      <c r="K199" s="1220">
        <f t="shared" si="11"/>
        <v>24</v>
      </c>
      <c r="L199" s="1220"/>
    </row>
    <row r="200" spans="1:12" x14ac:dyDescent="0.25">
      <c r="A200" s="1230">
        <f t="shared" si="13"/>
        <v>42105</v>
      </c>
      <c r="B200" s="1231">
        <f t="shared" si="14"/>
        <v>0.83333333333333337</v>
      </c>
      <c r="C200" s="1220">
        <v>1</v>
      </c>
      <c r="D200" s="1220" t="str">
        <f t="shared" si="12"/>
        <v>Plan B</v>
      </c>
      <c r="E200" s="1220">
        <f ca="1">VALUE(INDIRECT("Penalties!"&amp;PenaltyData[[#This Row],[REF]]&amp;(PenaltyData[[#This Row],[ROW]]+1)))</f>
        <v>3</v>
      </c>
      <c r="F200" s="1220" t="str">
        <f ca="1">IF(INDIRECT("Penalties!"&amp;$N$28&amp;PenaltyData[[#This Row],[ROW]],TRUE)=0, "",INDIRECT("Penalties!"&amp;$N$28&amp;PenaltyData[[#This Row],[ROW]],TRUE))</f>
        <v>64</v>
      </c>
      <c r="G200" s="1220">
        <f ca="1">COUNTIFS($H$1:H200,"&lt;&gt;0", $F$1:F200,PenaltyData[[#This Row],[PlayerIdx]],$D$1:D200,PenaltyData[[#This Row],[Team]])</f>
        <v>1</v>
      </c>
      <c r="H200" s="1220" t="str">
        <f ca="1">INDIRECT("Penalties!"&amp;PenaltyData[[#This Row],[REF]]&amp;PenaltyData[[#This Row],[ROW]])</f>
        <v>P</v>
      </c>
      <c r="I200" s="1220" t="str">
        <f ca="1">IFERROR(VLOOKUP(PenaltyData[[#This Row],[Penalty]],PenaltyNames91419[],2,FALSE),"")</f>
        <v>Out of Play</v>
      </c>
      <c r="J200" s="1220" t="s">
        <v>136</v>
      </c>
      <c r="K200" s="1220">
        <f t="shared" si="11"/>
        <v>26</v>
      </c>
      <c r="L200" s="1220"/>
    </row>
    <row r="201" spans="1:12" x14ac:dyDescent="0.25">
      <c r="A201" s="1230">
        <f t="shared" si="13"/>
        <v>42105</v>
      </c>
      <c r="B201" s="1231">
        <f t="shared" si="14"/>
        <v>0.83333333333333337</v>
      </c>
      <c r="C201" s="1220">
        <v>1</v>
      </c>
      <c r="D201" s="1220" t="str">
        <f t="shared" si="12"/>
        <v>Plan B</v>
      </c>
      <c r="E201" s="1220">
        <f ca="1">VALUE(INDIRECT("Penalties!"&amp;PenaltyData[[#This Row],[REF]]&amp;(PenaltyData[[#This Row],[ROW]]+1)))</f>
        <v>15</v>
      </c>
      <c r="F201" s="1220" t="str">
        <f ca="1">IF(INDIRECT("Penalties!"&amp;$N$28&amp;PenaltyData[[#This Row],[ROW]],TRUE)=0, "",INDIRECT("Penalties!"&amp;$N$28&amp;PenaltyData[[#This Row],[ROW]],TRUE))</f>
        <v>64</v>
      </c>
      <c r="G201" s="1220">
        <f ca="1">COUNTIFS($H$1:H201,"&lt;&gt;0", $F$1:F201,PenaltyData[[#This Row],[PlayerIdx]],$D$1:D201,PenaltyData[[#This Row],[Team]])</f>
        <v>2</v>
      </c>
      <c r="H201" s="1220" t="str">
        <f ca="1">INDIRECT("Penalties!"&amp;PenaltyData[[#This Row],[REF]]&amp;PenaltyData[[#This Row],[ROW]])</f>
        <v>P</v>
      </c>
      <c r="I201" s="1220" t="str">
        <f ca="1">IFERROR(VLOOKUP(PenaltyData[[#This Row],[Penalty]],PenaltyNames91419[],2,FALSE),"")</f>
        <v>Out of Play</v>
      </c>
      <c r="J201" s="1220" t="s">
        <v>142</v>
      </c>
      <c r="K201" s="1220">
        <f t="shared" si="11"/>
        <v>26</v>
      </c>
      <c r="L201" s="1220"/>
    </row>
    <row r="202" spans="1:12" x14ac:dyDescent="0.25">
      <c r="A202" s="1230">
        <f t="shared" si="13"/>
        <v>42105</v>
      </c>
      <c r="B202" s="1231">
        <f t="shared" si="14"/>
        <v>0.83333333333333337</v>
      </c>
      <c r="C202" s="1220">
        <v>1</v>
      </c>
      <c r="D202" s="1220" t="str">
        <f t="shared" si="12"/>
        <v>Plan B</v>
      </c>
      <c r="E202" s="1220">
        <f ca="1">VALUE(INDIRECT("Penalties!"&amp;PenaltyData[[#This Row],[REF]]&amp;(PenaltyData[[#This Row],[ROW]]+1)))</f>
        <v>0</v>
      </c>
      <c r="F202" s="1220" t="str">
        <f ca="1">IF(INDIRECT("Penalties!"&amp;$N$28&amp;PenaltyData[[#This Row],[ROW]],TRUE)=0, "",INDIRECT("Penalties!"&amp;$N$28&amp;PenaltyData[[#This Row],[ROW]],TRUE))</f>
        <v>64</v>
      </c>
      <c r="G202" s="1220">
        <f ca="1">COUNTIFS($H$1:H202,"&lt;&gt;0", $F$1:F202,PenaltyData[[#This Row],[PlayerIdx]],$D$1:D202,PenaltyData[[#This Row],[Team]])</f>
        <v>2</v>
      </c>
      <c r="H202" s="1220">
        <f ca="1">INDIRECT("Penalties!"&amp;PenaltyData[[#This Row],[REF]]&amp;PenaltyData[[#This Row],[ROW]])</f>
        <v>0</v>
      </c>
      <c r="I202" s="1220" t="str">
        <f ca="1">IFERROR(VLOOKUP(PenaltyData[[#This Row],[Penalty]],PenaltyNames91419[],2,FALSE),"")</f>
        <v/>
      </c>
      <c r="J202" s="1220" t="s">
        <v>754</v>
      </c>
      <c r="K202" s="1220">
        <f t="shared" si="11"/>
        <v>26</v>
      </c>
      <c r="L202" s="1220"/>
    </row>
    <row r="203" spans="1:12" x14ac:dyDescent="0.25">
      <c r="A203" s="1230">
        <f t="shared" si="13"/>
        <v>42105</v>
      </c>
      <c r="B203" s="1231">
        <f t="shared" si="14"/>
        <v>0.83333333333333337</v>
      </c>
      <c r="C203" s="1220">
        <v>1</v>
      </c>
      <c r="D203" s="1220" t="str">
        <f t="shared" si="12"/>
        <v>Plan B</v>
      </c>
      <c r="E203" s="1220">
        <f ca="1">VALUE(INDIRECT("Penalties!"&amp;PenaltyData[[#This Row],[REF]]&amp;(PenaltyData[[#This Row],[ROW]]+1)))</f>
        <v>0</v>
      </c>
      <c r="F203" s="1220" t="str">
        <f ca="1">IF(INDIRECT("Penalties!"&amp;$N$28&amp;PenaltyData[[#This Row],[ROW]],TRUE)=0, "",INDIRECT("Penalties!"&amp;$N$28&amp;PenaltyData[[#This Row],[ROW]],TRUE))</f>
        <v>64</v>
      </c>
      <c r="G203" s="1220">
        <f ca="1">COUNTIFS($H$1:H203,"&lt;&gt;0", $F$1:F203,PenaltyData[[#This Row],[PlayerIdx]],$D$1:D203,PenaltyData[[#This Row],[Team]])</f>
        <v>2</v>
      </c>
      <c r="H203" s="1220">
        <f ca="1">INDIRECT("Penalties!"&amp;PenaltyData[[#This Row],[REF]]&amp;PenaltyData[[#This Row],[ROW]])</f>
        <v>0</v>
      </c>
      <c r="I203" s="1220" t="str">
        <f ca="1">IFERROR(VLOOKUP(PenaltyData[[#This Row],[Penalty]],PenaltyNames91419[],2,FALSE),"")</f>
        <v/>
      </c>
      <c r="J203" s="1220" t="s">
        <v>144</v>
      </c>
      <c r="K203" s="1220">
        <f t="shared" si="11"/>
        <v>26</v>
      </c>
      <c r="L203" s="1220"/>
    </row>
    <row r="204" spans="1:12" x14ac:dyDescent="0.25">
      <c r="A204" s="1230">
        <f t="shared" si="13"/>
        <v>42105</v>
      </c>
      <c r="B204" s="1231">
        <f t="shared" si="14"/>
        <v>0.83333333333333337</v>
      </c>
      <c r="C204" s="1220">
        <v>1</v>
      </c>
      <c r="D204" s="1220" t="str">
        <f t="shared" si="12"/>
        <v>Plan B</v>
      </c>
      <c r="E204" s="1220">
        <f ca="1">VALUE(INDIRECT("Penalties!"&amp;PenaltyData[[#This Row],[REF]]&amp;(PenaltyData[[#This Row],[ROW]]+1)))</f>
        <v>0</v>
      </c>
      <c r="F204" s="1220" t="str">
        <f ca="1">IF(INDIRECT("Penalties!"&amp;$N$28&amp;PenaltyData[[#This Row],[ROW]],TRUE)=0, "",INDIRECT("Penalties!"&amp;$N$28&amp;PenaltyData[[#This Row],[ROW]],TRUE))</f>
        <v>64</v>
      </c>
      <c r="G204" s="1220">
        <f ca="1">COUNTIFS($H$1:H204,"&lt;&gt;0", $F$1:F204,PenaltyData[[#This Row],[PlayerIdx]],$D$1:D204,PenaltyData[[#This Row],[Team]])</f>
        <v>2</v>
      </c>
      <c r="H204" s="1220">
        <f ca="1">INDIRECT("Penalties!"&amp;PenaltyData[[#This Row],[REF]]&amp;PenaltyData[[#This Row],[ROW]])</f>
        <v>0</v>
      </c>
      <c r="I204" s="1220" t="str">
        <f ca="1">IFERROR(VLOOKUP(PenaltyData[[#This Row],[Penalty]],PenaltyNames91419[],2,FALSE),"")</f>
        <v/>
      </c>
      <c r="J204" s="1220" t="s">
        <v>146</v>
      </c>
      <c r="K204" s="1220">
        <f t="shared" si="11"/>
        <v>26</v>
      </c>
      <c r="L204" s="1220"/>
    </row>
    <row r="205" spans="1:12" x14ac:dyDescent="0.25">
      <c r="A205" s="1230">
        <f t="shared" si="13"/>
        <v>42105</v>
      </c>
      <c r="B205" s="1231">
        <f t="shared" si="14"/>
        <v>0.83333333333333337</v>
      </c>
      <c r="C205" s="1220">
        <v>1</v>
      </c>
      <c r="D205" s="1220" t="str">
        <f t="shared" si="12"/>
        <v>Plan B</v>
      </c>
      <c r="E205" s="1220">
        <f ca="1">VALUE(INDIRECT("Penalties!"&amp;PenaltyData[[#This Row],[REF]]&amp;(PenaltyData[[#This Row],[ROW]]+1)))</f>
        <v>0</v>
      </c>
      <c r="F205" s="1220" t="str">
        <f ca="1">IF(INDIRECT("Penalties!"&amp;$N$28&amp;PenaltyData[[#This Row],[ROW]],TRUE)=0, "",INDIRECT("Penalties!"&amp;$N$28&amp;PenaltyData[[#This Row],[ROW]],TRUE))</f>
        <v>64</v>
      </c>
      <c r="G205" s="1220">
        <f ca="1">COUNTIFS($H$1:H205,"&lt;&gt;0", $F$1:F205,PenaltyData[[#This Row],[PlayerIdx]],$D$1:D205,PenaltyData[[#This Row],[Team]])</f>
        <v>2</v>
      </c>
      <c r="H205" s="1220">
        <f ca="1">INDIRECT("Penalties!"&amp;PenaltyData[[#This Row],[REF]]&amp;PenaltyData[[#This Row],[ROW]])</f>
        <v>0</v>
      </c>
      <c r="I205" s="1220" t="str">
        <f ca="1">IFERROR(VLOOKUP(PenaltyData[[#This Row],[Penalty]],PenaltyNames91419[],2,FALSE),"")</f>
        <v/>
      </c>
      <c r="J205" s="1220" t="s">
        <v>164</v>
      </c>
      <c r="K205" s="1220">
        <f t="shared" si="11"/>
        <v>26</v>
      </c>
      <c r="L205" s="1220"/>
    </row>
    <row r="206" spans="1:12" x14ac:dyDescent="0.25">
      <c r="A206" s="1230">
        <f t="shared" si="13"/>
        <v>42105</v>
      </c>
      <c r="B206" s="1231">
        <f t="shared" si="14"/>
        <v>0.83333333333333337</v>
      </c>
      <c r="C206" s="1220">
        <v>1</v>
      </c>
      <c r="D206" s="1220" t="str">
        <f t="shared" si="12"/>
        <v>Plan B</v>
      </c>
      <c r="E206" s="1220">
        <f ca="1">VALUE(INDIRECT("Penalties!"&amp;PenaltyData[[#This Row],[REF]]&amp;(PenaltyData[[#This Row],[ROW]]+1)))</f>
        <v>0</v>
      </c>
      <c r="F206" s="1220" t="str">
        <f ca="1">IF(INDIRECT("Penalties!"&amp;$N$28&amp;PenaltyData[[#This Row],[ROW]],TRUE)=0, "",INDIRECT("Penalties!"&amp;$N$28&amp;PenaltyData[[#This Row],[ROW]],TRUE))</f>
        <v>64</v>
      </c>
      <c r="G206" s="1220">
        <f ca="1">COUNTIFS($H$1:H206,"&lt;&gt;0", $F$1:F206,PenaltyData[[#This Row],[PlayerIdx]],$D$1:D206,PenaltyData[[#This Row],[Team]])</f>
        <v>2</v>
      </c>
      <c r="H206" s="1220">
        <f ca="1">INDIRECT("Penalties!"&amp;PenaltyData[[#This Row],[REF]]&amp;PenaltyData[[#This Row],[ROW]])</f>
        <v>0</v>
      </c>
      <c r="I206" s="1220" t="str">
        <f ca="1">IFERROR(VLOOKUP(PenaltyData[[#This Row],[Penalty]],PenaltyNames91419[],2,FALSE),"")</f>
        <v/>
      </c>
      <c r="J206" s="1220" t="s">
        <v>138</v>
      </c>
      <c r="K206" s="1220">
        <f t="shared" si="11"/>
        <v>26</v>
      </c>
      <c r="L206" s="1220"/>
    </row>
    <row r="207" spans="1:12" x14ac:dyDescent="0.25">
      <c r="A207" s="1230">
        <f t="shared" si="13"/>
        <v>42105</v>
      </c>
      <c r="B207" s="1231">
        <f t="shared" si="14"/>
        <v>0.83333333333333337</v>
      </c>
      <c r="C207" s="1220">
        <v>1</v>
      </c>
      <c r="D207" s="1220" t="str">
        <f t="shared" si="12"/>
        <v>Plan B</v>
      </c>
      <c r="E207" s="1220">
        <f ca="1">VALUE(INDIRECT("Penalties!"&amp;PenaltyData[[#This Row],[REF]]&amp;(PenaltyData[[#This Row],[ROW]]+1)))</f>
        <v>0</v>
      </c>
      <c r="F207" s="1220" t="str">
        <f ca="1">IF(INDIRECT("Penalties!"&amp;$N$28&amp;PenaltyData[[#This Row],[ROW]],TRUE)=0, "",INDIRECT("Penalties!"&amp;$N$28&amp;PenaltyData[[#This Row],[ROW]],TRUE))</f>
        <v>64</v>
      </c>
      <c r="G207" s="1220">
        <f ca="1">COUNTIFS($H$1:H207,"&lt;&gt;0", $F$1:F207,PenaltyData[[#This Row],[PlayerIdx]],$D$1:D207,PenaltyData[[#This Row],[Team]])</f>
        <v>2</v>
      </c>
      <c r="H207" s="1220">
        <f ca="1">INDIRECT("Penalties!"&amp;PenaltyData[[#This Row],[REF]]&amp;PenaltyData[[#This Row],[ROW]])</f>
        <v>0</v>
      </c>
      <c r="I207" s="1220" t="str">
        <f ca="1">IFERROR(VLOOKUP(PenaltyData[[#This Row],[Penalty]],PenaltyNames91419[],2,FALSE),"")</f>
        <v/>
      </c>
      <c r="J207" s="1220" t="s">
        <v>150</v>
      </c>
      <c r="K207" s="1220">
        <f t="shared" si="11"/>
        <v>26</v>
      </c>
      <c r="L207" s="1220"/>
    </row>
    <row r="208" spans="1:12" x14ac:dyDescent="0.25">
      <c r="A208" s="1230">
        <f t="shared" si="13"/>
        <v>42105</v>
      </c>
      <c r="B208" s="1231">
        <f t="shared" si="14"/>
        <v>0.83333333333333337</v>
      </c>
      <c r="C208" s="1220">
        <v>1</v>
      </c>
      <c r="D208" s="1220" t="str">
        <f t="shared" si="12"/>
        <v>Plan B</v>
      </c>
      <c r="E208" s="1220">
        <f ca="1">VALUE(INDIRECT("Penalties!"&amp;PenaltyData[[#This Row],[REF]]&amp;(PenaltyData[[#This Row],[ROW]]+1)))</f>
        <v>0</v>
      </c>
      <c r="F208" s="1220" t="str">
        <f ca="1">IF(INDIRECT("Penalties!"&amp;$N$28&amp;PenaltyData[[#This Row],[ROW]],TRUE)=0, "",INDIRECT("Penalties!"&amp;$N$28&amp;PenaltyData[[#This Row],[ROW]],TRUE))</f>
        <v>64</v>
      </c>
      <c r="G208" s="1220">
        <f ca="1">COUNTIFS($H$1:H208,"&lt;&gt;0", $F$1:F208,PenaltyData[[#This Row],[PlayerIdx]],$D$1:D208,PenaltyData[[#This Row],[Team]])</f>
        <v>2</v>
      </c>
      <c r="H208" s="1220">
        <f ca="1">INDIRECT("Penalties!"&amp;PenaltyData[[#This Row],[REF]]&amp;PenaltyData[[#This Row],[ROW]])</f>
        <v>0</v>
      </c>
      <c r="I208" s="1220" t="str">
        <f ca="1">IFERROR(VLOOKUP(PenaltyData[[#This Row],[Penalty]],PenaltyNames91419[],2,FALSE),"")</f>
        <v/>
      </c>
      <c r="J208" s="1220" t="s">
        <v>757</v>
      </c>
      <c r="K208" s="1220">
        <f t="shared" si="11"/>
        <v>26</v>
      </c>
      <c r="L208" s="1220"/>
    </row>
    <row r="209" spans="1:12" x14ac:dyDescent="0.25">
      <c r="A209" s="1230">
        <f t="shared" si="13"/>
        <v>42105</v>
      </c>
      <c r="B209" s="1231">
        <f t="shared" si="14"/>
        <v>0.83333333333333337</v>
      </c>
      <c r="C209" s="1220">
        <v>2</v>
      </c>
      <c r="D209" s="1220" t="str">
        <f t="shared" si="12"/>
        <v>Plan B</v>
      </c>
      <c r="E209" s="1220">
        <f ca="1">VALUE(INDIRECT("Penalties!"&amp;PenaltyData[[#This Row],[REF]]&amp;(PenaltyData[[#This Row],[ROW]]+1)))</f>
        <v>0</v>
      </c>
      <c r="F209" s="1220" t="str">
        <f ca="1">IF(INDIRECT("Penalties!"&amp;$N$28&amp;PenaltyData[[#This Row],[ROW]],TRUE)=0, "",INDIRECT("Penalties!"&amp;$N$28&amp;PenaltyData[[#This Row],[ROW]],TRUE))</f>
        <v>64</v>
      </c>
      <c r="G209" s="1220">
        <f ca="1">COUNTIFS($H$1:H209,"&lt;&gt;0", $F$1:F209,PenaltyData[[#This Row],[PlayerIdx]],$D$1:D209,PenaltyData[[#This Row],[Team]])</f>
        <v>2</v>
      </c>
      <c r="H209" s="1220">
        <f ca="1">INDIRECT("Penalties!"&amp;PenaltyData[[#This Row],[REF]]&amp;PenaltyData[[#This Row],[ROW]])</f>
        <v>0</v>
      </c>
      <c r="I209" s="1220" t="str">
        <f ca="1">IFERROR(VLOOKUP(PenaltyData[[#This Row],[Penalty]],PenaltyNames91419[],2,FALSE),"")</f>
        <v/>
      </c>
      <c r="J209" s="1220" t="s">
        <v>758</v>
      </c>
      <c r="K209" s="1220">
        <f t="shared" si="11"/>
        <v>26</v>
      </c>
      <c r="L209" s="1220"/>
    </row>
    <row r="210" spans="1:12" x14ac:dyDescent="0.25">
      <c r="A210" s="1230">
        <f t="shared" si="13"/>
        <v>42105</v>
      </c>
      <c r="B210" s="1231">
        <f t="shared" si="14"/>
        <v>0.83333333333333337</v>
      </c>
      <c r="C210" s="1220">
        <v>2</v>
      </c>
      <c r="D210" s="1220" t="str">
        <f t="shared" si="12"/>
        <v>Plan B</v>
      </c>
      <c r="E210" s="1220">
        <f ca="1">VALUE(INDIRECT("Penalties!"&amp;PenaltyData[[#This Row],[REF]]&amp;(PenaltyData[[#This Row],[ROW]]+1)))</f>
        <v>0</v>
      </c>
      <c r="F210" s="1220" t="str">
        <f ca="1">IF(INDIRECT("Penalties!"&amp;$N$28&amp;PenaltyData[[#This Row],[ROW]],TRUE)=0, "",INDIRECT("Penalties!"&amp;$N$28&amp;PenaltyData[[#This Row],[ROW]],TRUE))</f>
        <v>64</v>
      </c>
      <c r="G210" s="1220">
        <f ca="1">COUNTIFS($H$1:H210,"&lt;&gt;0", $F$1:F210,PenaltyData[[#This Row],[PlayerIdx]],$D$1:D210,PenaltyData[[#This Row],[Team]])</f>
        <v>2</v>
      </c>
      <c r="H210" s="1220">
        <f ca="1">INDIRECT("Penalties!"&amp;PenaltyData[[#This Row],[REF]]&amp;PenaltyData[[#This Row],[ROW]])</f>
        <v>0</v>
      </c>
      <c r="I210" s="1220" t="str">
        <f ca="1">IFERROR(VLOOKUP(PenaltyData[[#This Row],[Penalty]],PenaltyNames91419[],2,FALSE),"")</f>
        <v/>
      </c>
      <c r="J210" s="1220" t="s">
        <v>759</v>
      </c>
      <c r="K210" s="1220">
        <f t="shared" si="11"/>
        <v>26</v>
      </c>
      <c r="L210" s="1220"/>
    </row>
    <row r="211" spans="1:12" x14ac:dyDescent="0.25">
      <c r="A211" s="1230">
        <f t="shared" si="13"/>
        <v>42105</v>
      </c>
      <c r="B211" s="1231">
        <f t="shared" si="14"/>
        <v>0.83333333333333337</v>
      </c>
      <c r="C211" s="1220">
        <v>2</v>
      </c>
      <c r="D211" s="1220" t="str">
        <f t="shared" si="12"/>
        <v>Plan B</v>
      </c>
      <c r="E211" s="1220">
        <f ca="1">VALUE(INDIRECT("Penalties!"&amp;PenaltyData[[#This Row],[REF]]&amp;(PenaltyData[[#This Row],[ROW]]+1)))</f>
        <v>3</v>
      </c>
      <c r="F211" s="1220" t="str">
        <f ca="1">IF(INDIRECT("Penalties!"&amp;$N$28&amp;PenaltyData[[#This Row],[ROW]],TRUE)=0, "",INDIRECT("Penalties!"&amp;$N$28&amp;PenaltyData[[#This Row],[ROW]],TRUE))</f>
        <v>64</v>
      </c>
      <c r="G211" s="1220">
        <f ca="1">COUNTIFS($H$1:H211,"&lt;&gt;0", $F$1:F211,PenaltyData[[#This Row],[PlayerIdx]],$D$1:D211,PenaltyData[[#This Row],[Team]])</f>
        <v>3</v>
      </c>
      <c r="H211" s="1220" t="str">
        <f ca="1">INDIRECT("Penalties!"&amp;PenaltyData[[#This Row],[REF]]&amp;PenaltyData[[#This Row],[ROW]])</f>
        <v>L</v>
      </c>
      <c r="I211" s="1220" t="str">
        <f ca="1">IFERROR(VLOOKUP(PenaltyData[[#This Row],[Penalty]],PenaltyNames91419[],2,FALSE),"")</f>
        <v>Low Block</v>
      </c>
      <c r="J211" s="1220" t="s">
        <v>760</v>
      </c>
      <c r="K211" s="1220">
        <f t="shared" si="11"/>
        <v>26</v>
      </c>
      <c r="L211" s="1220"/>
    </row>
    <row r="212" spans="1:12" x14ac:dyDescent="0.25">
      <c r="A212" s="1230">
        <f t="shared" si="13"/>
        <v>42105</v>
      </c>
      <c r="B212" s="1231">
        <f t="shared" si="14"/>
        <v>0.83333333333333337</v>
      </c>
      <c r="C212" s="1220">
        <v>2</v>
      </c>
      <c r="D212" s="1220" t="str">
        <f t="shared" si="12"/>
        <v>Plan B</v>
      </c>
      <c r="E212" s="1220">
        <f ca="1">VALUE(INDIRECT("Penalties!"&amp;PenaltyData[[#This Row],[REF]]&amp;(PenaltyData[[#This Row],[ROW]]+1)))</f>
        <v>5</v>
      </c>
      <c r="F212" s="1220" t="str">
        <f ca="1">IF(INDIRECT("Penalties!"&amp;$N$28&amp;PenaltyData[[#This Row],[ROW]],TRUE)=0, "",INDIRECT("Penalties!"&amp;$N$28&amp;PenaltyData[[#This Row],[ROW]],TRUE))</f>
        <v>64</v>
      </c>
      <c r="G212" s="1220">
        <f ca="1">COUNTIFS($H$1:H212,"&lt;&gt;0", $F$1:F212,PenaltyData[[#This Row],[PlayerIdx]],$D$1:D212,PenaltyData[[#This Row],[Team]])</f>
        <v>4</v>
      </c>
      <c r="H212" s="1220" t="str">
        <f ca="1">INDIRECT("Penalties!"&amp;PenaltyData[[#This Row],[REF]]&amp;PenaltyData[[#This Row],[ROW]])</f>
        <v>L</v>
      </c>
      <c r="I212" s="1220" t="str">
        <f ca="1">IFERROR(VLOOKUP(PenaltyData[[#This Row],[Penalty]],PenaltyNames91419[],2,FALSE),"")</f>
        <v>Low Block</v>
      </c>
      <c r="J212" s="1220" t="s">
        <v>761</v>
      </c>
      <c r="K212" s="1220">
        <f t="shared" si="11"/>
        <v>26</v>
      </c>
      <c r="L212" s="1234"/>
    </row>
    <row r="213" spans="1:12" x14ac:dyDescent="0.25">
      <c r="A213" s="1230">
        <f t="shared" si="13"/>
        <v>42105</v>
      </c>
      <c r="B213" s="1231">
        <f t="shared" si="14"/>
        <v>0.83333333333333337</v>
      </c>
      <c r="C213" s="1220">
        <v>2</v>
      </c>
      <c r="D213" s="1220" t="str">
        <f t="shared" si="12"/>
        <v>Plan B</v>
      </c>
      <c r="E213" s="1220">
        <f ca="1">VALUE(INDIRECT("Penalties!"&amp;PenaltyData[[#This Row],[REF]]&amp;(PenaltyData[[#This Row],[ROW]]+1)))</f>
        <v>18</v>
      </c>
      <c r="F213" s="1220" t="str">
        <f ca="1">IF(INDIRECT("Penalties!"&amp;$N$28&amp;PenaltyData[[#This Row],[ROW]],TRUE)=0, "",INDIRECT("Penalties!"&amp;$N$28&amp;PenaltyData[[#This Row],[ROW]],TRUE))</f>
        <v>64</v>
      </c>
      <c r="G213" s="1220">
        <f ca="1">COUNTIFS($H$1:H213,"&lt;&gt;0", $F$1:F213,PenaltyData[[#This Row],[PlayerIdx]],$D$1:D213,PenaltyData[[#This Row],[Team]])</f>
        <v>5</v>
      </c>
      <c r="H213" s="1220" t="str">
        <f ca="1">INDIRECT("Penalties!"&amp;PenaltyData[[#This Row],[REF]]&amp;PenaltyData[[#This Row],[ROW]])</f>
        <v>P</v>
      </c>
      <c r="I213" s="1220" t="str">
        <f ca="1">IFERROR(VLOOKUP(PenaltyData[[#This Row],[Penalty]],PenaltyNames91419[],2,FALSE),"")</f>
        <v>Out of Play</v>
      </c>
      <c r="J213" s="1220" t="s">
        <v>762</v>
      </c>
      <c r="K213" s="1220">
        <f t="shared" ref="K213:K276" si="15">K195+2</f>
        <v>26</v>
      </c>
      <c r="L213" s="1220"/>
    </row>
    <row r="214" spans="1:12" x14ac:dyDescent="0.25">
      <c r="A214" s="1230">
        <f t="shared" si="13"/>
        <v>42105</v>
      </c>
      <c r="B214" s="1231">
        <f t="shared" si="14"/>
        <v>0.83333333333333337</v>
      </c>
      <c r="C214" s="1220">
        <v>2</v>
      </c>
      <c r="D214" s="1220" t="str">
        <f t="shared" si="12"/>
        <v>Plan B</v>
      </c>
      <c r="E214" s="1220">
        <f ca="1">VALUE(INDIRECT("Penalties!"&amp;PenaltyData[[#This Row],[REF]]&amp;(PenaltyData[[#This Row],[ROW]]+1)))</f>
        <v>0</v>
      </c>
      <c r="F214" s="1220" t="str">
        <f ca="1">IF(INDIRECT("Penalties!"&amp;$N$28&amp;PenaltyData[[#This Row],[ROW]],TRUE)=0, "",INDIRECT("Penalties!"&amp;$N$28&amp;PenaltyData[[#This Row],[ROW]],TRUE))</f>
        <v>64</v>
      </c>
      <c r="G214" s="1220">
        <f ca="1">COUNTIFS($H$1:H214,"&lt;&gt;0", $F$1:F214,PenaltyData[[#This Row],[PlayerIdx]],$D$1:D214,PenaltyData[[#This Row],[Team]])</f>
        <v>5</v>
      </c>
      <c r="H214" s="1220">
        <f ca="1">INDIRECT("Penalties!"&amp;PenaltyData[[#This Row],[REF]]&amp;PenaltyData[[#This Row],[ROW]])</f>
        <v>0</v>
      </c>
      <c r="I214" s="1220" t="str">
        <f ca="1">IFERROR(VLOOKUP(PenaltyData[[#This Row],[Penalty]],PenaltyNames91419[],2,FALSE),"")</f>
        <v/>
      </c>
      <c r="J214" s="1220" t="s">
        <v>763</v>
      </c>
      <c r="K214" s="1220">
        <f t="shared" si="15"/>
        <v>26</v>
      </c>
      <c r="L214" s="1220"/>
    </row>
    <row r="215" spans="1:12" x14ac:dyDescent="0.25">
      <c r="A215" s="1230">
        <f t="shared" si="13"/>
        <v>42105</v>
      </c>
      <c r="B215" s="1231">
        <f t="shared" si="14"/>
        <v>0.83333333333333337</v>
      </c>
      <c r="C215" s="1220">
        <v>2</v>
      </c>
      <c r="D215" s="1220" t="str">
        <f t="shared" si="12"/>
        <v>Plan B</v>
      </c>
      <c r="E215" s="1220">
        <f ca="1">VALUE(INDIRECT("Penalties!"&amp;PenaltyData[[#This Row],[REF]]&amp;(PenaltyData[[#This Row],[ROW]]+1)))</f>
        <v>0</v>
      </c>
      <c r="F215" s="1220" t="str">
        <f ca="1">IF(INDIRECT("Penalties!"&amp;$N$28&amp;PenaltyData[[#This Row],[ROW]],TRUE)=0, "",INDIRECT("Penalties!"&amp;$N$28&amp;PenaltyData[[#This Row],[ROW]],TRUE))</f>
        <v>64</v>
      </c>
      <c r="G215" s="1220">
        <f ca="1">COUNTIFS($H$1:H215,"&lt;&gt;0", $F$1:F215,PenaltyData[[#This Row],[PlayerIdx]],$D$1:D215,PenaltyData[[#This Row],[Team]])</f>
        <v>5</v>
      </c>
      <c r="H215" s="1220">
        <f ca="1">INDIRECT("Penalties!"&amp;PenaltyData[[#This Row],[REF]]&amp;PenaltyData[[#This Row],[ROW]])</f>
        <v>0</v>
      </c>
      <c r="I215" s="1220" t="str">
        <f ca="1">IFERROR(VLOOKUP(PenaltyData[[#This Row],[Penalty]],PenaltyNames91419[],2,FALSE),"")</f>
        <v/>
      </c>
      <c r="J215" s="1220" t="s">
        <v>765</v>
      </c>
      <c r="K215" s="1220">
        <f t="shared" si="15"/>
        <v>26</v>
      </c>
      <c r="L215" s="1220"/>
    </row>
    <row r="216" spans="1:12" x14ac:dyDescent="0.25">
      <c r="A216" s="1230">
        <f t="shared" si="13"/>
        <v>42105</v>
      </c>
      <c r="B216" s="1231">
        <f t="shared" si="14"/>
        <v>0.83333333333333337</v>
      </c>
      <c r="C216" s="1220">
        <v>2</v>
      </c>
      <c r="D216" s="1220" t="str">
        <f t="shared" si="12"/>
        <v>Plan B</v>
      </c>
      <c r="E216" s="1220">
        <f ca="1">VALUE(INDIRECT("Penalties!"&amp;PenaltyData[[#This Row],[REF]]&amp;(PenaltyData[[#This Row],[ROW]]+1)))</f>
        <v>0</v>
      </c>
      <c r="F216" s="1220" t="str">
        <f ca="1">IF(INDIRECT("Penalties!"&amp;$N$28&amp;PenaltyData[[#This Row],[ROW]],TRUE)=0, "",INDIRECT("Penalties!"&amp;$N$28&amp;PenaltyData[[#This Row],[ROW]],TRUE))</f>
        <v>64</v>
      </c>
      <c r="G216" s="1220">
        <f ca="1">COUNTIFS($H$1:H216,"&lt;&gt;0", $F$1:F216,PenaltyData[[#This Row],[PlayerIdx]],$D$1:D216,PenaltyData[[#This Row],[Team]])</f>
        <v>5</v>
      </c>
      <c r="H216" s="1220">
        <f ca="1">INDIRECT("Penalties!"&amp;PenaltyData[[#This Row],[REF]]&amp;PenaltyData[[#This Row],[ROW]])</f>
        <v>0</v>
      </c>
      <c r="I216" s="1220" t="str">
        <f ca="1">IFERROR(VLOOKUP(PenaltyData[[#This Row],[Penalty]],PenaltyNames91419[],2,FALSE),"")</f>
        <v/>
      </c>
      <c r="J216" s="1220" t="s">
        <v>766</v>
      </c>
      <c r="K216" s="1220">
        <f t="shared" si="15"/>
        <v>26</v>
      </c>
      <c r="L216" s="1220"/>
    </row>
    <row r="217" spans="1:12" x14ac:dyDescent="0.25">
      <c r="A217" s="1230">
        <f t="shared" si="13"/>
        <v>42105</v>
      </c>
      <c r="B217" s="1231">
        <f t="shared" si="14"/>
        <v>0.83333333333333337</v>
      </c>
      <c r="C217" s="1220">
        <v>2</v>
      </c>
      <c r="D217" s="1220" t="str">
        <f t="shared" si="12"/>
        <v>Plan B</v>
      </c>
      <c r="E217" s="1220">
        <f ca="1">VALUE(INDIRECT("Penalties!"&amp;PenaltyData[[#This Row],[REF]]&amp;(PenaltyData[[#This Row],[ROW]]+1)))</f>
        <v>0</v>
      </c>
      <c r="F217" s="1220" t="str">
        <f ca="1">IF(INDIRECT("Penalties!"&amp;$N$28&amp;PenaltyData[[#This Row],[ROW]],TRUE)=0, "",INDIRECT("Penalties!"&amp;$N$28&amp;PenaltyData[[#This Row],[ROW]],TRUE))</f>
        <v>64</v>
      </c>
      <c r="G217" s="1220">
        <f ca="1">COUNTIFS($H$1:H217,"&lt;&gt;0", $F$1:F217,PenaltyData[[#This Row],[PlayerIdx]],$D$1:D217,PenaltyData[[#This Row],[Team]])</f>
        <v>5</v>
      </c>
      <c r="H217" s="1220">
        <f ca="1">INDIRECT("Penalties!"&amp;PenaltyData[[#This Row],[REF]]&amp;PenaltyData[[#This Row],[ROW]])</f>
        <v>0</v>
      </c>
      <c r="I217" s="1220" t="str">
        <f ca="1">IFERROR(VLOOKUP(PenaltyData[[#This Row],[Penalty]],PenaltyNames91419[],2,FALSE),"")</f>
        <v/>
      </c>
      <c r="J217" s="1220" t="s">
        <v>767</v>
      </c>
      <c r="K217" s="1220">
        <f t="shared" si="15"/>
        <v>26</v>
      </c>
      <c r="L217" s="1220"/>
    </row>
    <row r="218" spans="1:12" x14ac:dyDescent="0.25">
      <c r="A218" s="1230">
        <f t="shared" si="13"/>
        <v>42105</v>
      </c>
      <c r="B218" s="1231">
        <f t="shared" si="14"/>
        <v>0.83333333333333337</v>
      </c>
      <c r="C218" s="1220">
        <v>1</v>
      </c>
      <c r="D218" s="1220" t="str">
        <f t="shared" si="12"/>
        <v>Plan B</v>
      </c>
      <c r="E218" s="1220">
        <f ca="1">VALUE(INDIRECT("Penalties!"&amp;PenaltyData[[#This Row],[REF]]&amp;(PenaltyData[[#This Row],[ROW]]+1)))</f>
        <v>8</v>
      </c>
      <c r="F218" s="1220" t="str">
        <f ca="1">IF(INDIRECT("Penalties!"&amp;$N$28&amp;PenaltyData[[#This Row],[ROW]],TRUE)=0, "",INDIRECT("Penalties!"&amp;$N$28&amp;PenaltyData[[#This Row],[ROW]],TRUE))</f>
        <v>84</v>
      </c>
      <c r="G218" s="1220">
        <f ca="1">COUNTIFS($H$1:H218,"&lt;&gt;0", $F$1:F218,PenaltyData[[#This Row],[PlayerIdx]],$D$1:D218,PenaltyData[[#This Row],[Team]])</f>
        <v>1</v>
      </c>
      <c r="H218" s="1220" t="str">
        <f ca="1">INDIRECT("Penalties!"&amp;PenaltyData[[#This Row],[REF]]&amp;PenaltyData[[#This Row],[ROW]])</f>
        <v>B</v>
      </c>
      <c r="I218" s="1220" t="str">
        <f ca="1">IFERROR(VLOOKUP(PenaltyData[[#This Row],[Penalty]],PenaltyNames91419[],2,FALSE),"")</f>
        <v>Back Block</v>
      </c>
      <c r="J218" s="1220" t="s">
        <v>136</v>
      </c>
      <c r="K218" s="1220">
        <f t="shared" si="15"/>
        <v>28</v>
      </c>
      <c r="L218" s="1220"/>
    </row>
    <row r="219" spans="1:12" x14ac:dyDescent="0.25">
      <c r="A219" s="1230">
        <f t="shared" si="13"/>
        <v>42105</v>
      </c>
      <c r="B219" s="1231">
        <f t="shared" si="14"/>
        <v>0.83333333333333337</v>
      </c>
      <c r="C219" s="1220">
        <v>1</v>
      </c>
      <c r="D219" s="1220" t="str">
        <f t="shared" si="12"/>
        <v>Plan B</v>
      </c>
      <c r="E219" s="1220">
        <f ca="1">VALUE(INDIRECT("Penalties!"&amp;PenaltyData[[#This Row],[REF]]&amp;(PenaltyData[[#This Row],[ROW]]+1)))</f>
        <v>0</v>
      </c>
      <c r="F219" s="1220" t="str">
        <f ca="1">IF(INDIRECT("Penalties!"&amp;$N$28&amp;PenaltyData[[#This Row],[ROW]],TRUE)=0, "",INDIRECT("Penalties!"&amp;$N$28&amp;PenaltyData[[#This Row],[ROW]],TRUE))</f>
        <v>84</v>
      </c>
      <c r="G219" s="1220">
        <f ca="1">COUNTIFS($H$1:H219,"&lt;&gt;0", $F$1:F219,PenaltyData[[#This Row],[PlayerIdx]],$D$1:D219,PenaltyData[[#This Row],[Team]])</f>
        <v>1</v>
      </c>
      <c r="H219" s="1220">
        <f ca="1">INDIRECT("Penalties!"&amp;PenaltyData[[#This Row],[REF]]&amp;PenaltyData[[#This Row],[ROW]])</f>
        <v>0</v>
      </c>
      <c r="I219" s="1220" t="str">
        <f ca="1">IFERROR(VLOOKUP(PenaltyData[[#This Row],[Penalty]],PenaltyNames91419[],2,FALSE),"")</f>
        <v/>
      </c>
      <c r="J219" s="1220" t="s">
        <v>142</v>
      </c>
      <c r="K219" s="1220">
        <f t="shared" si="15"/>
        <v>28</v>
      </c>
      <c r="L219" s="1220"/>
    </row>
    <row r="220" spans="1:12" x14ac:dyDescent="0.25">
      <c r="A220" s="1230">
        <f t="shared" si="13"/>
        <v>42105</v>
      </c>
      <c r="B220" s="1231">
        <f t="shared" si="14"/>
        <v>0.83333333333333337</v>
      </c>
      <c r="C220" s="1220">
        <v>1</v>
      </c>
      <c r="D220" s="1220" t="str">
        <f t="shared" si="12"/>
        <v>Plan B</v>
      </c>
      <c r="E220" s="1220">
        <f ca="1">VALUE(INDIRECT("Penalties!"&amp;PenaltyData[[#This Row],[REF]]&amp;(PenaltyData[[#This Row],[ROW]]+1)))</f>
        <v>0</v>
      </c>
      <c r="F220" s="1220" t="str">
        <f ca="1">IF(INDIRECT("Penalties!"&amp;$N$28&amp;PenaltyData[[#This Row],[ROW]],TRUE)=0, "",INDIRECT("Penalties!"&amp;$N$28&amp;PenaltyData[[#This Row],[ROW]],TRUE))</f>
        <v>84</v>
      </c>
      <c r="G220" s="1220">
        <f ca="1">COUNTIFS($H$1:H220,"&lt;&gt;0", $F$1:F220,PenaltyData[[#This Row],[PlayerIdx]],$D$1:D220,PenaltyData[[#This Row],[Team]])</f>
        <v>1</v>
      </c>
      <c r="H220" s="1220">
        <f ca="1">INDIRECT("Penalties!"&amp;PenaltyData[[#This Row],[REF]]&amp;PenaltyData[[#This Row],[ROW]])</f>
        <v>0</v>
      </c>
      <c r="I220" s="1220" t="str">
        <f ca="1">IFERROR(VLOOKUP(PenaltyData[[#This Row],[Penalty]],PenaltyNames91419[],2,FALSE),"")</f>
        <v/>
      </c>
      <c r="J220" s="1220" t="s">
        <v>754</v>
      </c>
      <c r="K220" s="1220">
        <f t="shared" si="15"/>
        <v>28</v>
      </c>
      <c r="L220" s="1220"/>
    </row>
    <row r="221" spans="1:12" x14ac:dyDescent="0.25">
      <c r="A221" s="1230">
        <f t="shared" si="13"/>
        <v>42105</v>
      </c>
      <c r="B221" s="1231">
        <f t="shared" si="14"/>
        <v>0.83333333333333337</v>
      </c>
      <c r="C221" s="1220">
        <v>1</v>
      </c>
      <c r="D221" s="1220" t="str">
        <f t="shared" si="12"/>
        <v>Plan B</v>
      </c>
      <c r="E221" s="1220">
        <f ca="1">VALUE(INDIRECT("Penalties!"&amp;PenaltyData[[#This Row],[REF]]&amp;(PenaltyData[[#This Row],[ROW]]+1)))</f>
        <v>0</v>
      </c>
      <c r="F221" s="1220" t="str">
        <f ca="1">IF(INDIRECT("Penalties!"&amp;$N$28&amp;PenaltyData[[#This Row],[ROW]],TRUE)=0, "",INDIRECT("Penalties!"&amp;$N$28&amp;PenaltyData[[#This Row],[ROW]],TRUE))</f>
        <v>84</v>
      </c>
      <c r="G221" s="1220">
        <f ca="1">COUNTIFS($H$1:H221,"&lt;&gt;0", $F$1:F221,PenaltyData[[#This Row],[PlayerIdx]],$D$1:D221,PenaltyData[[#This Row],[Team]])</f>
        <v>1</v>
      </c>
      <c r="H221" s="1220">
        <f ca="1">INDIRECT("Penalties!"&amp;PenaltyData[[#This Row],[REF]]&amp;PenaltyData[[#This Row],[ROW]])</f>
        <v>0</v>
      </c>
      <c r="I221" s="1220" t="str">
        <f ca="1">IFERROR(VLOOKUP(PenaltyData[[#This Row],[Penalty]],PenaltyNames91419[],2,FALSE),"")</f>
        <v/>
      </c>
      <c r="J221" s="1220" t="s">
        <v>144</v>
      </c>
      <c r="K221" s="1220">
        <f t="shared" si="15"/>
        <v>28</v>
      </c>
      <c r="L221" s="1220"/>
    </row>
    <row r="222" spans="1:12" x14ac:dyDescent="0.25">
      <c r="A222" s="1230">
        <f t="shared" si="13"/>
        <v>42105</v>
      </c>
      <c r="B222" s="1231">
        <f t="shared" si="14"/>
        <v>0.83333333333333337</v>
      </c>
      <c r="C222" s="1220">
        <v>1</v>
      </c>
      <c r="D222" s="1220" t="str">
        <f t="shared" si="12"/>
        <v>Plan B</v>
      </c>
      <c r="E222" s="1220">
        <f ca="1">VALUE(INDIRECT("Penalties!"&amp;PenaltyData[[#This Row],[REF]]&amp;(PenaltyData[[#This Row],[ROW]]+1)))</f>
        <v>0</v>
      </c>
      <c r="F222" s="1220" t="str">
        <f ca="1">IF(INDIRECT("Penalties!"&amp;$N$28&amp;PenaltyData[[#This Row],[ROW]],TRUE)=0, "",INDIRECT("Penalties!"&amp;$N$28&amp;PenaltyData[[#This Row],[ROW]],TRUE))</f>
        <v>84</v>
      </c>
      <c r="G222" s="1220">
        <f ca="1">COUNTIFS($H$1:H222,"&lt;&gt;0", $F$1:F222,PenaltyData[[#This Row],[PlayerIdx]],$D$1:D222,PenaltyData[[#This Row],[Team]])</f>
        <v>1</v>
      </c>
      <c r="H222" s="1220">
        <f ca="1">INDIRECT("Penalties!"&amp;PenaltyData[[#This Row],[REF]]&amp;PenaltyData[[#This Row],[ROW]])</f>
        <v>0</v>
      </c>
      <c r="I222" s="1220" t="str">
        <f ca="1">IFERROR(VLOOKUP(PenaltyData[[#This Row],[Penalty]],PenaltyNames91419[],2,FALSE),"")</f>
        <v/>
      </c>
      <c r="J222" s="1220" t="s">
        <v>146</v>
      </c>
      <c r="K222" s="1220">
        <f t="shared" si="15"/>
        <v>28</v>
      </c>
      <c r="L222" s="1220"/>
    </row>
    <row r="223" spans="1:12" x14ac:dyDescent="0.25">
      <c r="A223" s="1230">
        <f t="shared" si="13"/>
        <v>42105</v>
      </c>
      <c r="B223" s="1231">
        <f t="shared" si="14"/>
        <v>0.83333333333333337</v>
      </c>
      <c r="C223" s="1220">
        <v>1</v>
      </c>
      <c r="D223" s="1220" t="str">
        <f t="shared" si="12"/>
        <v>Plan B</v>
      </c>
      <c r="E223" s="1220">
        <f ca="1">VALUE(INDIRECT("Penalties!"&amp;PenaltyData[[#This Row],[REF]]&amp;(PenaltyData[[#This Row],[ROW]]+1)))</f>
        <v>0</v>
      </c>
      <c r="F223" s="1220" t="str">
        <f ca="1">IF(INDIRECT("Penalties!"&amp;$N$28&amp;PenaltyData[[#This Row],[ROW]],TRUE)=0, "",INDIRECT("Penalties!"&amp;$N$28&amp;PenaltyData[[#This Row],[ROW]],TRUE))</f>
        <v>84</v>
      </c>
      <c r="G223" s="1220">
        <f ca="1">COUNTIFS($H$1:H223,"&lt;&gt;0", $F$1:F223,PenaltyData[[#This Row],[PlayerIdx]],$D$1:D223,PenaltyData[[#This Row],[Team]])</f>
        <v>1</v>
      </c>
      <c r="H223" s="1220">
        <f ca="1">INDIRECT("Penalties!"&amp;PenaltyData[[#This Row],[REF]]&amp;PenaltyData[[#This Row],[ROW]])</f>
        <v>0</v>
      </c>
      <c r="I223" s="1220" t="str">
        <f ca="1">IFERROR(VLOOKUP(PenaltyData[[#This Row],[Penalty]],PenaltyNames91419[],2,FALSE),"")</f>
        <v/>
      </c>
      <c r="J223" s="1220" t="s">
        <v>164</v>
      </c>
      <c r="K223" s="1220">
        <f t="shared" si="15"/>
        <v>28</v>
      </c>
      <c r="L223" s="1220"/>
    </row>
    <row r="224" spans="1:12" x14ac:dyDescent="0.25">
      <c r="A224" s="1230">
        <f t="shared" si="13"/>
        <v>42105</v>
      </c>
      <c r="B224" s="1231">
        <f t="shared" si="14"/>
        <v>0.83333333333333337</v>
      </c>
      <c r="C224" s="1220">
        <v>1</v>
      </c>
      <c r="D224" s="1220" t="str">
        <f t="shared" si="12"/>
        <v>Plan B</v>
      </c>
      <c r="E224" s="1220">
        <f ca="1">VALUE(INDIRECT("Penalties!"&amp;PenaltyData[[#This Row],[REF]]&amp;(PenaltyData[[#This Row],[ROW]]+1)))</f>
        <v>0</v>
      </c>
      <c r="F224" s="1220" t="str">
        <f ca="1">IF(INDIRECT("Penalties!"&amp;$N$28&amp;PenaltyData[[#This Row],[ROW]],TRUE)=0, "",INDIRECT("Penalties!"&amp;$N$28&amp;PenaltyData[[#This Row],[ROW]],TRUE))</f>
        <v>84</v>
      </c>
      <c r="G224" s="1220">
        <f ca="1">COUNTIFS($H$1:H224,"&lt;&gt;0", $F$1:F224,PenaltyData[[#This Row],[PlayerIdx]],$D$1:D224,PenaltyData[[#This Row],[Team]])</f>
        <v>1</v>
      </c>
      <c r="H224" s="1220">
        <f ca="1">INDIRECT("Penalties!"&amp;PenaltyData[[#This Row],[REF]]&amp;PenaltyData[[#This Row],[ROW]])</f>
        <v>0</v>
      </c>
      <c r="I224" s="1220" t="str">
        <f ca="1">IFERROR(VLOOKUP(PenaltyData[[#This Row],[Penalty]],PenaltyNames91419[],2,FALSE),"")</f>
        <v/>
      </c>
      <c r="J224" s="1220" t="s">
        <v>138</v>
      </c>
      <c r="K224" s="1220">
        <f t="shared" si="15"/>
        <v>28</v>
      </c>
      <c r="L224" s="1220"/>
    </row>
    <row r="225" spans="1:12" x14ac:dyDescent="0.25">
      <c r="A225" s="1230">
        <f t="shared" si="13"/>
        <v>42105</v>
      </c>
      <c r="B225" s="1231">
        <f t="shared" si="14"/>
        <v>0.83333333333333337</v>
      </c>
      <c r="C225" s="1220">
        <v>1</v>
      </c>
      <c r="D225" s="1220" t="str">
        <f t="shared" si="12"/>
        <v>Plan B</v>
      </c>
      <c r="E225" s="1220">
        <f ca="1">VALUE(INDIRECT("Penalties!"&amp;PenaltyData[[#This Row],[REF]]&amp;(PenaltyData[[#This Row],[ROW]]+1)))</f>
        <v>0</v>
      </c>
      <c r="F225" s="1220" t="str">
        <f ca="1">IF(INDIRECT("Penalties!"&amp;$N$28&amp;PenaltyData[[#This Row],[ROW]],TRUE)=0, "",INDIRECT("Penalties!"&amp;$N$28&amp;PenaltyData[[#This Row],[ROW]],TRUE))</f>
        <v>84</v>
      </c>
      <c r="G225" s="1220">
        <f ca="1">COUNTIFS($H$1:H225,"&lt;&gt;0", $F$1:F225,PenaltyData[[#This Row],[PlayerIdx]],$D$1:D225,PenaltyData[[#This Row],[Team]])</f>
        <v>1</v>
      </c>
      <c r="H225" s="1220">
        <f ca="1">INDIRECT("Penalties!"&amp;PenaltyData[[#This Row],[REF]]&amp;PenaltyData[[#This Row],[ROW]])</f>
        <v>0</v>
      </c>
      <c r="I225" s="1220" t="str">
        <f ca="1">IFERROR(VLOOKUP(PenaltyData[[#This Row],[Penalty]],PenaltyNames91419[],2,FALSE),"")</f>
        <v/>
      </c>
      <c r="J225" s="1220" t="s">
        <v>150</v>
      </c>
      <c r="K225" s="1220">
        <f t="shared" si="15"/>
        <v>28</v>
      </c>
      <c r="L225" s="1220"/>
    </row>
    <row r="226" spans="1:12" x14ac:dyDescent="0.25">
      <c r="A226" s="1230">
        <f t="shared" si="13"/>
        <v>42105</v>
      </c>
      <c r="B226" s="1231">
        <f t="shared" si="14"/>
        <v>0.83333333333333337</v>
      </c>
      <c r="C226" s="1220">
        <v>1</v>
      </c>
      <c r="D226" s="1220" t="str">
        <f t="shared" si="12"/>
        <v>Plan B</v>
      </c>
      <c r="E226" s="1220">
        <f ca="1">VALUE(INDIRECT("Penalties!"&amp;PenaltyData[[#This Row],[REF]]&amp;(PenaltyData[[#This Row],[ROW]]+1)))</f>
        <v>0</v>
      </c>
      <c r="F226" s="1220" t="str">
        <f ca="1">IF(INDIRECT("Penalties!"&amp;$N$28&amp;PenaltyData[[#This Row],[ROW]],TRUE)=0, "",INDIRECT("Penalties!"&amp;$N$28&amp;PenaltyData[[#This Row],[ROW]],TRUE))</f>
        <v>84</v>
      </c>
      <c r="G226" s="1220">
        <f ca="1">COUNTIFS($H$1:H226,"&lt;&gt;0", $F$1:F226,PenaltyData[[#This Row],[PlayerIdx]],$D$1:D226,PenaltyData[[#This Row],[Team]])</f>
        <v>1</v>
      </c>
      <c r="H226" s="1220">
        <f ca="1">INDIRECT("Penalties!"&amp;PenaltyData[[#This Row],[REF]]&amp;PenaltyData[[#This Row],[ROW]])</f>
        <v>0</v>
      </c>
      <c r="I226" s="1220" t="str">
        <f ca="1">IFERROR(VLOOKUP(PenaltyData[[#This Row],[Penalty]],PenaltyNames91419[],2,FALSE),"")</f>
        <v/>
      </c>
      <c r="J226" s="1220" t="s">
        <v>757</v>
      </c>
      <c r="K226" s="1220">
        <f t="shared" si="15"/>
        <v>28</v>
      </c>
      <c r="L226" s="1220"/>
    </row>
    <row r="227" spans="1:12" x14ac:dyDescent="0.25">
      <c r="A227" s="1230">
        <f t="shared" si="13"/>
        <v>42105</v>
      </c>
      <c r="B227" s="1231">
        <f t="shared" si="14"/>
        <v>0.83333333333333337</v>
      </c>
      <c r="C227" s="1220">
        <v>2</v>
      </c>
      <c r="D227" s="1220" t="str">
        <f t="shared" si="12"/>
        <v>Plan B</v>
      </c>
      <c r="E227" s="1220">
        <f ca="1">VALUE(INDIRECT("Penalties!"&amp;PenaltyData[[#This Row],[REF]]&amp;(PenaltyData[[#This Row],[ROW]]+1)))</f>
        <v>0</v>
      </c>
      <c r="F227" s="1220" t="str">
        <f ca="1">IF(INDIRECT("Penalties!"&amp;$N$28&amp;PenaltyData[[#This Row],[ROW]],TRUE)=0, "",INDIRECT("Penalties!"&amp;$N$28&amp;PenaltyData[[#This Row],[ROW]],TRUE))</f>
        <v>84</v>
      </c>
      <c r="G227" s="1220">
        <f ca="1">COUNTIFS($H$1:H227,"&lt;&gt;0", $F$1:F227,PenaltyData[[#This Row],[PlayerIdx]],$D$1:D227,PenaltyData[[#This Row],[Team]])</f>
        <v>1</v>
      </c>
      <c r="H227" s="1220">
        <f ca="1">INDIRECT("Penalties!"&amp;PenaltyData[[#This Row],[REF]]&amp;PenaltyData[[#This Row],[ROW]])</f>
        <v>0</v>
      </c>
      <c r="I227" s="1220" t="str">
        <f ca="1">IFERROR(VLOOKUP(PenaltyData[[#This Row],[Penalty]],PenaltyNames91419[],2,FALSE),"")</f>
        <v/>
      </c>
      <c r="J227" s="1220" t="s">
        <v>758</v>
      </c>
      <c r="K227" s="1220">
        <f t="shared" si="15"/>
        <v>28</v>
      </c>
      <c r="L227" s="1220"/>
    </row>
    <row r="228" spans="1:12" x14ac:dyDescent="0.25">
      <c r="A228" s="1230">
        <f t="shared" si="13"/>
        <v>42105</v>
      </c>
      <c r="B228" s="1231">
        <f t="shared" si="14"/>
        <v>0.83333333333333337</v>
      </c>
      <c r="C228" s="1220">
        <v>2</v>
      </c>
      <c r="D228" s="1220" t="str">
        <f t="shared" si="12"/>
        <v>Plan B</v>
      </c>
      <c r="E228" s="1220">
        <f ca="1">VALUE(INDIRECT("Penalties!"&amp;PenaltyData[[#This Row],[REF]]&amp;(PenaltyData[[#This Row],[ROW]]+1)))</f>
        <v>3</v>
      </c>
      <c r="F228" s="1220" t="str">
        <f ca="1">IF(INDIRECT("Penalties!"&amp;$N$28&amp;PenaltyData[[#This Row],[ROW]],TRUE)=0, "",INDIRECT("Penalties!"&amp;$N$28&amp;PenaltyData[[#This Row],[ROW]],TRUE))</f>
        <v>84</v>
      </c>
      <c r="G228" s="1220">
        <f ca="1">COUNTIFS($H$1:H228,"&lt;&gt;0", $F$1:F228,PenaltyData[[#This Row],[PlayerIdx]],$D$1:D228,PenaltyData[[#This Row],[Team]])</f>
        <v>2</v>
      </c>
      <c r="H228" s="1220" t="str">
        <f ca="1">INDIRECT("Penalties!"&amp;PenaltyData[[#This Row],[REF]]&amp;PenaltyData[[#This Row],[ROW]])</f>
        <v>F</v>
      </c>
      <c r="I228" s="1220" t="str">
        <f ca="1">IFERROR(VLOOKUP(PenaltyData[[#This Row],[Penalty]],PenaltyNames91419[],2,FALSE),"")</f>
        <v>Forearms</v>
      </c>
      <c r="J228" s="1220" t="s">
        <v>759</v>
      </c>
      <c r="K228" s="1220">
        <f t="shared" si="15"/>
        <v>28</v>
      </c>
      <c r="L228" s="1220"/>
    </row>
    <row r="229" spans="1:12" x14ac:dyDescent="0.25">
      <c r="A229" s="1230">
        <f t="shared" si="13"/>
        <v>42105</v>
      </c>
      <c r="B229" s="1231">
        <f t="shared" si="14"/>
        <v>0.83333333333333337</v>
      </c>
      <c r="C229" s="1220">
        <v>2</v>
      </c>
      <c r="D229" s="1220" t="str">
        <f t="shared" si="12"/>
        <v>Plan B</v>
      </c>
      <c r="E229" s="1220">
        <f ca="1">VALUE(INDIRECT("Penalties!"&amp;PenaltyData[[#This Row],[REF]]&amp;(PenaltyData[[#This Row],[ROW]]+1)))</f>
        <v>0</v>
      </c>
      <c r="F229" s="1220" t="str">
        <f ca="1">IF(INDIRECT("Penalties!"&amp;$N$28&amp;PenaltyData[[#This Row],[ROW]],TRUE)=0, "",INDIRECT("Penalties!"&amp;$N$28&amp;PenaltyData[[#This Row],[ROW]],TRUE))</f>
        <v>84</v>
      </c>
      <c r="G229" s="1220">
        <f ca="1">COUNTIFS($H$1:H229,"&lt;&gt;0", $F$1:F229,PenaltyData[[#This Row],[PlayerIdx]],$D$1:D229,PenaltyData[[#This Row],[Team]])</f>
        <v>2</v>
      </c>
      <c r="H229" s="1220">
        <f ca="1">INDIRECT("Penalties!"&amp;PenaltyData[[#This Row],[REF]]&amp;PenaltyData[[#This Row],[ROW]])</f>
        <v>0</v>
      </c>
      <c r="I229" s="1220" t="str">
        <f ca="1">IFERROR(VLOOKUP(PenaltyData[[#This Row],[Penalty]],PenaltyNames91419[],2,FALSE),"")</f>
        <v/>
      </c>
      <c r="J229" s="1220" t="s">
        <v>760</v>
      </c>
      <c r="K229" s="1220">
        <f t="shared" si="15"/>
        <v>28</v>
      </c>
      <c r="L229" s="1220"/>
    </row>
    <row r="230" spans="1:12" x14ac:dyDescent="0.25">
      <c r="A230" s="1230">
        <f t="shared" si="13"/>
        <v>42105</v>
      </c>
      <c r="B230" s="1231">
        <f t="shared" si="14"/>
        <v>0.83333333333333337</v>
      </c>
      <c r="C230" s="1220">
        <v>2</v>
      </c>
      <c r="D230" s="1220" t="str">
        <f t="shared" si="12"/>
        <v>Plan B</v>
      </c>
      <c r="E230" s="1220">
        <f ca="1">VALUE(INDIRECT("Penalties!"&amp;PenaltyData[[#This Row],[REF]]&amp;(PenaltyData[[#This Row],[ROW]]+1)))</f>
        <v>0</v>
      </c>
      <c r="F230" s="1220" t="str">
        <f ca="1">IF(INDIRECT("Penalties!"&amp;$N$28&amp;PenaltyData[[#This Row],[ROW]],TRUE)=0, "",INDIRECT("Penalties!"&amp;$N$28&amp;PenaltyData[[#This Row],[ROW]],TRUE))</f>
        <v>84</v>
      </c>
      <c r="G230" s="1220">
        <f ca="1">COUNTIFS($H$1:H230,"&lt;&gt;0", $F$1:F230,PenaltyData[[#This Row],[PlayerIdx]],$D$1:D230,PenaltyData[[#This Row],[Team]])</f>
        <v>2</v>
      </c>
      <c r="H230" s="1220">
        <f ca="1">INDIRECT("Penalties!"&amp;PenaltyData[[#This Row],[REF]]&amp;PenaltyData[[#This Row],[ROW]])</f>
        <v>0</v>
      </c>
      <c r="I230" s="1220" t="str">
        <f ca="1">IFERROR(VLOOKUP(PenaltyData[[#This Row],[Penalty]],PenaltyNames91419[],2,FALSE),"")</f>
        <v/>
      </c>
      <c r="J230" s="1220" t="s">
        <v>761</v>
      </c>
      <c r="K230" s="1220">
        <f t="shared" si="15"/>
        <v>28</v>
      </c>
      <c r="L230" s="1220"/>
    </row>
    <row r="231" spans="1:12" x14ac:dyDescent="0.25">
      <c r="A231" s="1230">
        <f t="shared" si="13"/>
        <v>42105</v>
      </c>
      <c r="B231" s="1231">
        <f t="shared" si="14"/>
        <v>0.83333333333333337</v>
      </c>
      <c r="C231" s="1220">
        <v>2</v>
      </c>
      <c r="D231" s="1220" t="str">
        <f t="shared" si="12"/>
        <v>Plan B</v>
      </c>
      <c r="E231" s="1220">
        <f ca="1">VALUE(INDIRECT("Penalties!"&amp;PenaltyData[[#This Row],[REF]]&amp;(PenaltyData[[#This Row],[ROW]]+1)))</f>
        <v>0</v>
      </c>
      <c r="F231" s="1220" t="str">
        <f ca="1">IF(INDIRECT("Penalties!"&amp;$N$28&amp;PenaltyData[[#This Row],[ROW]],TRUE)=0, "",INDIRECT("Penalties!"&amp;$N$28&amp;PenaltyData[[#This Row],[ROW]],TRUE))</f>
        <v>84</v>
      </c>
      <c r="G231" s="1220">
        <f ca="1">COUNTIFS($H$1:H231,"&lt;&gt;0", $F$1:F231,PenaltyData[[#This Row],[PlayerIdx]],$D$1:D231,PenaltyData[[#This Row],[Team]])</f>
        <v>2</v>
      </c>
      <c r="H231" s="1220">
        <f ca="1">INDIRECT("Penalties!"&amp;PenaltyData[[#This Row],[REF]]&amp;PenaltyData[[#This Row],[ROW]])</f>
        <v>0</v>
      </c>
      <c r="I231" s="1220" t="str">
        <f ca="1">IFERROR(VLOOKUP(PenaltyData[[#This Row],[Penalty]],PenaltyNames91419[],2,FALSE),"")</f>
        <v/>
      </c>
      <c r="J231" s="1220" t="s">
        <v>762</v>
      </c>
      <c r="K231" s="1220">
        <f t="shared" si="15"/>
        <v>28</v>
      </c>
      <c r="L231" s="1220"/>
    </row>
    <row r="232" spans="1:12" x14ac:dyDescent="0.25">
      <c r="A232" s="1230">
        <f t="shared" si="13"/>
        <v>42105</v>
      </c>
      <c r="B232" s="1231">
        <f t="shared" si="14"/>
        <v>0.83333333333333337</v>
      </c>
      <c r="C232" s="1220">
        <v>2</v>
      </c>
      <c r="D232" s="1220" t="str">
        <f t="shared" si="12"/>
        <v>Plan B</v>
      </c>
      <c r="E232" s="1220">
        <f ca="1">VALUE(INDIRECT("Penalties!"&amp;PenaltyData[[#This Row],[REF]]&amp;(PenaltyData[[#This Row],[ROW]]+1)))</f>
        <v>0</v>
      </c>
      <c r="F232" s="1220" t="str">
        <f ca="1">IF(INDIRECT("Penalties!"&amp;$N$28&amp;PenaltyData[[#This Row],[ROW]],TRUE)=0, "",INDIRECT("Penalties!"&amp;$N$28&amp;PenaltyData[[#This Row],[ROW]],TRUE))</f>
        <v>84</v>
      </c>
      <c r="G232" s="1220">
        <f ca="1">COUNTIFS($H$1:H232,"&lt;&gt;0", $F$1:F232,PenaltyData[[#This Row],[PlayerIdx]],$D$1:D232,PenaltyData[[#This Row],[Team]])</f>
        <v>2</v>
      </c>
      <c r="H232" s="1220">
        <f ca="1">INDIRECT("Penalties!"&amp;PenaltyData[[#This Row],[REF]]&amp;PenaltyData[[#This Row],[ROW]])</f>
        <v>0</v>
      </c>
      <c r="I232" s="1220" t="str">
        <f ca="1">IFERROR(VLOOKUP(PenaltyData[[#This Row],[Penalty]],PenaltyNames91419[],2,FALSE),"")</f>
        <v/>
      </c>
      <c r="J232" s="1220" t="s">
        <v>763</v>
      </c>
      <c r="K232" s="1220">
        <f t="shared" si="15"/>
        <v>28</v>
      </c>
      <c r="L232" s="1220"/>
    </row>
    <row r="233" spans="1:12" x14ac:dyDescent="0.25">
      <c r="A233" s="1230">
        <f t="shared" si="13"/>
        <v>42105</v>
      </c>
      <c r="B233" s="1231">
        <f t="shared" si="14"/>
        <v>0.83333333333333337</v>
      </c>
      <c r="C233" s="1220">
        <v>2</v>
      </c>
      <c r="D233" s="1220" t="str">
        <f t="shared" si="12"/>
        <v>Plan B</v>
      </c>
      <c r="E233" s="1220">
        <f ca="1">VALUE(INDIRECT("Penalties!"&amp;PenaltyData[[#This Row],[REF]]&amp;(PenaltyData[[#This Row],[ROW]]+1)))</f>
        <v>0</v>
      </c>
      <c r="F233" s="1220" t="str">
        <f ca="1">IF(INDIRECT("Penalties!"&amp;$N$28&amp;PenaltyData[[#This Row],[ROW]],TRUE)=0, "",INDIRECT("Penalties!"&amp;$N$28&amp;PenaltyData[[#This Row],[ROW]],TRUE))</f>
        <v>84</v>
      </c>
      <c r="G233" s="1220">
        <f ca="1">COUNTIFS($H$1:H233,"&lt;&gt;0", $F$1:F233,PenaltyData[[#This Row],[PlayerIdx]],$D$1:D233,PenaltyData[[#This Row],[Team]])</f>
        <v>2</v>
      </c>
      <c r="H233" s="1220">
        <f ca="1">INDIRECT("Penalties!"&amp;PenaltyData[[#This Row],[REF]]&amp;PenaltyData[[#This Row],[ROW]])</f>
        <v>0</v>
      </c>
      <c r="I233" s="1220" t="str">
        <f ca="1">IFERROR(VLOOKUP(PenaltyData[[#This Row],[Penalty]],PenaltyNames91419[],2,FALSE),"")</f>
        <v/>
      </c>
      <c r="J233" s="1220" t="s">
        <v>765</v>
      </c>
      <c r="K233" s="1220">
        <f t="shared" si="15"/>
        <v>28</v>
      </c>
      <c r="L233" s="1220"/>
    </row>
    <row r="234" spans="1:12" x14ac:dyDescent="0.25">
      <c r="A234" s="1230">
        <f t="shared" si="13"/>
        <v>42105</v>
      </c>
      <c r="B234" s="1231">
        <f t="shared" si="14"/>
        <v>0.83333333333333337</v>
      </c>
      <c r="C234" s="1220">
        <v>2</v>
      </c>
      <c r="D234" s="1220" t="str">
        <f t="shared" si="12"/>
        <v>Plan B</v>
      </c>
      <c r="E234" s="1220">
        <f ca="1">VALUE(INDIRECT("Penalties!"&amp;PenaltyData[[#This Row],[REF]]&amp;(PenaltyData[[#This Row],[ROW]]+1)))</f>
        <v>0</v>
      </c>
      <c r="F234" s="1220" t="str">
        <f ca="1">IF(INDIRECT("Penalties!"&amp;$N$28&amp;PenaltyData[[#This Row],[ROW]],TRUE)=0, "",INDIRECT("Penalties!"&amp;$N$28&amp;PenaltyData[[#This Row],[ROW]],TRUE))</f>
        <v>84</v>
      </c>
      <c r="G234" s="1220">
        <f ca="1">COUNTIFS($H$1:H234,"&lt;&gt;0", $F$1:F234,PenaltyData[[#This Row],[PlayerIdx]],$D$1:D234,PenaltyData[[#This Row],[Team]])</f>
        <v>2</v>
      </c>
      <c r="H234" s="1220">
        <f ca="1">INDIRECT("Penalties!"&amp;PenaltyData[[#This Row],[REF]]&amp;PenaltyData[[#This Row],[ROW]])</f>
        <v>0</v>
      </c>
      <c r="I234" s="1220" t="str">
        <f ca="1">IFERROR(VLOOKUP(PenaltyData[[#This Row],[Penalty]],PenaltyNames91419[],2,FALSE),"")</f>
        <v/>
      </c>
      <c r="J234" s="1220" t="s">
        <v>766</v>
      </c>
      <c r="K234" s="1220">
        <f t="shared" si="15"/>
        <v>28</v>
      </c>
      <c r="L234" s="1220"/>
    </row>
    <row r="235" spans="1:12" x14ac:dyDescent="0.25">
      <c r="A235" s="1230">
        <f t="shared" si="13"/>
        <v>42105</v>
      </c>
      <c r="B235" s="1231">
        <f t="shared" si="14"/>
        <v>0.83333333333333337</v>
      </c>
      <c r="C235" s="1220">
        <v>2</v>
      </c>
      <c r="D235" s="1220" t="str">
        <f t="shared" si="12"/>
        <v>Plan B</v>
      </c>
      <c r="E235" s="1220">
        <f ca="1">VALUE(INDIRECT("Penalties!"&amp;PenaltyData[[#This Row],[REF]]&amp;(PenaltyData[[#This Row],[ROW]]+1)))</f>
        <v>0</v>
      </c>
      <c r="F235" s="1220" t="str">
        <f ca="1">IF(INDIRECT("Penalties!"&amp;$N$28&amp;PenaltyData[[#This Row],[ROW]],TRUE)=0, "",INDIRECT("Penalties!"&amp;$N$28&amp;PenaltyData[[#This Row],[ROW]],TRUE))</f>
        <v>84</v>
      </c>
      <c r="G235" s="1220">
        <f ca="1">COUNTIFS($H$1:H235,"&lt;&gt;0", $F$1:F235,PenaltyData[[#This Row],[PlayerIdx]],$D$1:D235,PenaltyData[[#This Row],[Team]])</f>
        <v>2</v>
      </c>
      <c r="H235" s="1220">
        <f ca="1">INDIRECT("Penalties!"&amp;PenaltyData[[#This Row],[REF]]&amp;PenaltyData[[#This Row],[ROW]])</f>
        <v>0</v>
      </c>
      <c r="I235" s="1220" t="str">
        <f ca="1">IFERROR(VLOOKUP(PenaltyData[[#This Row],[Penalty]],PenaltyNames91419[],2,FALSE),"")</f>
        <v/>
      </c>
      <c r="J235" s="1220" t="s">
        <v>767</v>
      </c>
      <c r="K235" s="1220">
        <f t="shared" si="15"/>
        <v>28</v>
      </c>
      <c r="L235" s="1220"/>
    </row>
    <row r="236" spans="1:12" x14ac:dyDescent="0.25">
      <c r="A236" s="1230">
        <f t="shared" si="13"/>
        <v>42105</v>
      </c>
      <c r="B236" s="1231">
        <f t="shared" si="14"/>
        <v>0.83333333333333337</v>
      </c>
      <c r="C236" s="1220">
        <v>1</v>
      </c>
      <c r="D236" s="1220" t="str">
        <f t="shared" si="12"/>
        <v>Plan B</v>
      </c>
      <c r="E236" s="1220">
        <f ca="1">VALUE(INDIRECT("Penalties!"&amp;PenaltyData[[#This Row],[REF]]&amp;(PenaltyData[[#This Row],[ROW]]+1)))</f>
        <v>8</v>
      </c>
      <c r="F236" s="1220" t="str">
        <f ca="1">IF(INDIRECT("Penalties!"&amp;$N$28&amp;PenaltyData[[#This Row],[ROW]],TRUE)=0, "",INDIRECT("Penalties!"&amp;$N$28&amp;PenaltyData[[#This Row],[ROW]],TRUE))</f>
        <v>N01</v>
      </c>
      <c r="G236" s="1220">
        <f ca="1">COUNTIFS($H$1:H236,"&lt;&gt;0", $F$1:F236,PenaltyData[[#This Row],[PlayerIdx]],$D$1:D236,PenaltyData[[#This Row],[Team]])</f>
        <v>1</v>
      </c>
      <c r="H236" s="1220" t="str">
        <f ca="1">INDIRECT("Penalties!"&amp;PenaltyData[[#This Row],[REF]]&amp;PenaltyData[[#This Row],[ROW]])</f>
        <v>C</v>
      </c>
      <c r="I236" s="1220" t="str">
        <f ca="1">IFERROR(VLOOKUP(PenaltyData[[#This Row],[Penalty]],PenaltyNames91419[],2,FALSE),"")</f>
        <v>Dir of Play</v>
      </c>
      <c r="J236" s="1220" t="s">
        <v>136</v>
      </c>
      <c r="K236" s="1220">
        <f t="shared" si="15"/>
        <v>30</v>
      </c>
      <c r="L236" s="1220"/>
    </row>
    <row r="237" spans="1:12" x14ac:dyDescent="0.25">
      <c r="A237" s="1230">
        <f t="shared" si="13"/>
        <v>42105</v>
      </c>
      <c r="B237" s="1231">
        <f t="shared" si="14"/>
        <v>0.83333333333333337</v>
      </c>
      <c r="C237" s="1220">
        <v>1</v>
      </c>
      <c r="D237" s="1220" t="str">
        <f t="shared" si="12"/>
        <v>Plan B</v>
      </c>
      <c r="E237" s="1220">
        <f ca="1">VALUE(INDIRECT("Penalties!"&amp;PenaltyData[[#This Row],[REF]]&amp;(PenaltyData[[#This Row],[ROW]]+1)))</f>
        <v>18</v>
      </c>
      <c r="F237" s="1220" t="str">
        <f ca="1">IF(INDIRECT("Penalties!"&amp;$N$28&amp;PenaltyData[[#This Row],[ROW]],TRUE)=0, "",INDIRECT("Penalties!"&amp;$N$28&amp;PenaltyData[[#This Row],[ROW]],TRUE))</f>
        <v>N01</v>
      </c>
      <c r="G237" s="1220">
        <f ca="1">COUNTIFS($H$1:H237,"&lt;&gt;0", $F$1:F237,PenaltyData[[#This Row],[PlayerIdx]],$D$1:D237,PenaltyData[[#This Row],[Team]])</f>
        <v>2</v>
      </c>
      <c r="H237" s="1220" t="str">
        <f ca="1">INDIRECT("Penalties!"&amp;PenaltyData[[#This Row],[REF]]&amp;PenaltyData[[#This Row],[ROW]])</f>
        <v>C</v>
      </c>
      <c r="I237" s="1220" t="str">
        <f ca="1">IFERROR(VLOOKUP(PenaltyData[[#This Row],[Penalty]],PenaltyNames91419[],2,FALSE),"")</f>
        <v>Dir of Play</v>
      </c>
      <c r="J237" s="1220" t="s">
        <v>142</v>
      </c>
      <c r="K237" s="1220">
        <f t="shared" si="15"/>
        <v>30</v>
      </c>
      <c r="L237" s="1220"/>
    </row>
    <row r="238" spans="1:12" x14ac:dyDescent="0.25">
      <c r="A238" s="1230">
        <f t="shared" si="13"/>
        <v>42105</v>
      </c>
      <c r="B238" s="1231">
        <f t="shared" si="14"/>
        <v>0.83333333333333337</v>
      </c>
      <c r="C238" s="1220">
        <v>1</v>
      </c>
      <c r="D238" s="1220" t="str">
        <f t="shared" si="12"/>
        <v>Plan B</v>
      </c>
      <c r="E238" s="1220">
        <f ca="1">VALUE(INDIRECT("Penalties!"&amp;PenaltyData[[#This Row],[REF]]&amp;(PenaltyData[[#This Row],[ROW]]+1)))</f>
        <v>0</v>
      </c>
      <c r="F238" s="1220" t="str">
        <f ca="1">IF(INDIRECT("Penalties!"&amp;$N$28&amp;PenaltyData[[#This Row],[ROW]],TRUE)=0, "",INDIRECT("Penalties!"&amp;$N$28&amp;PenaltyData[[#This Row],[ROW]],TRUE))</f>
        <v>N01</v>
      </c>
      <c r="G238" s="1220">
        <f ca="1">COUNTIFS($H$1:H238,"&lt;&gt;0", $F$1:F238,PenaltyData[[#This Row],[PlayerIdx]],$D$1:D238,PenaltyData[[#This Row],[Team]])</f>
        <v>2</v>
      </c>
      <c r="H238" s="1220">
        <f ca="1">INDIRECT("Penalties!"&amp;PenaltyData[[#This Row],[REF]]&amp;PenaltyData[[#This Row],[ROW]])</f>
        <v>0</v>
      </c>
      <c r="I238" s="1220" t="str">
        <f ca="1">IFERROR(VLOOKUP(PenaltyData[[#This Row],[Penalty]],PenaltyNames91419[],2,FALSE),"")</f>
        <v/>
      </c>
      <c r="J238" s="1220" t="s">
        <v>754</v>
      </c>
      <c r="K238" s="1220">
        <f t="shared" si="15"/>
        <v>30</v>
      </c>
      <c r="L238" s="1220"/>
    </row>
    <row r="239" spans="1:12" x14ac:dyDescent="0.25">
      <c r="A239" s="1230">
        <f t="shared" si="13"/>
        <v>42105</v>
      </c>
      <c r="B239" s="1231">
        <f t="shared" si="14"/>
        <v>0.83333333333333337</v>
      </c>
      <c r="C239" s="1220">
        <v>1</v>
      </c>
      <c r="D239" s="1220" t="str">
        <f t="shared" si="12"/>
        <v>Plan B</v>
      </c>
      <c r="E239" s="1220">
        <f ca="1">VALUE(INDIRECT("Penalties!"&amp;PenaltyData[[#This Row],[REF]]&amp;(PenaltyData[[#This Row],[ROW]]+1)))</f>
        <v>0</v>
      </c>
      <c r="F239" s="1220" t="str">
        <f ca="1">IF(INDIRECT("Penalties!"&amp;$N$28&amp;PenaltyData[[#This Row],[ROW]],TRUE)=0, "",INDIRECT("Penalties!"&amp;$N$28&amp;PenaltyData[[#This Row],[ROW]],TRUE))</f>
        <v>N01</v>
      </c>
      <c r="G239" s="1220">
        <f ca="1">COUNTIFS($H$1:H239,"&lt;&gt;0", $F$1:F239,PenaltyData[[#This Row],[PlayerIdx]],$D$1:D239,PenaltyData[[#This Row],[Team]])</f>
        <v>2</v>
      </c>
      <c r="H239" s="1220">
        <f ca="1">INDIRECT("Penalties!"&amp;PenaltyData[[#This Row],[REF]]&amp;PenaltyData[[#This Row],[ROW]])</f>
        <v>0</v>
      </c>
      <c r="I239" s="1220" t="str">
        <f ca="1">IFERROR(VLOOKUP(PenaltyData[[#This Row],[Penalty]],PenaltyNames91419[],2,FALSE),"")</f>
        <v/>
      </c>
      <c r="J239" s="1220" t="s">
        <v>144</v>
      </c>
      <c r="K239" s="1220">
        <f t="shared" si="15"/>
        <v>30</v>
      </c>
      <c r="L239" s="1220"/>
    </row>
    <row r="240" spans="1:12" x14ac:dyDescent="0.25">
      <c r="A240" s="1230">
        <f t="shared" si="13"/>
        <v>42105</v>
      </c>
      <c r="B240" s="1231">
        <f t="shared" si="14"/>
        <v>0.83333333333333337</v>
      </c>
      <c r="C240" s="1220">
        <v>1</v>
      </c>
      <c r="D240" s="1220" t="str">
        <f t="shared" si="12"/>
        <v>Plan B</v>
      </c>
      <c r="E240" s="1220">
        <f ca="1">VALUE(INDIRECT("Penalties!"&amp;PenaltyData[[#This Row],[REF]]&amp;(PenaltyData[[#This Row],[ROW]]+1)))</f>
        <v>0</v>
      </c>
      <c r="F240" s="1220" t="str">
        <f ca="1">IF(INDIRECT("Penalties!"&amp;$N$28&amp;PenaltyData[[#This Row],[ROW]],TRUE)=0, "",INDIRECT("Penalties!"&amp;$N$28&amp;PenaltyData[[#This Row],[ROW]],TRUE))</f>
        <v>N01</v>
      </c>
      <c r="G240" s="1220">
        <f ca="1">COUNTIFS($H$1:H240,"&lt;&gt;0", $F$1:F240,PenaltyData[[#This Row],[PlayerIdx]],$D$1:D240,PenaltyData[[#This Row],[Team]])</f>
        <v>2</v>
      </c>
      <c r="H240" s="1220">
        <f ca="1">INDIRECT("Penalties!"&amp;PenaltyData[[#This Row],[REF]]&amp;PenaltyData[[#This Row],[ROW]])</f>
        <v>0</v>
      </c>
      <c r="I240" s="1220" t="str">
        <f ca="1">IFERROR(VLOOKUP(PenaltyData[[#This Row],[Penalty]],PenaltyNames91419[],2,FALSE),"")</f>
        <v/>
      </c>
      <c r="J240" s="1220" t="s">
        <v>146</v>
      </c>
      <c r="K240" s="1220">
        <f t="shared" si="15"/>
        <v>30</v>
      </c>
      <c r="L240" s="1220"/>
    </row>
    <row r="241" spans="1:12" x14ac:dyDescent="0.25">
      <c r="A241" s="1230">
        <f t="shared" si="13"/>
        <v>42105</v>
      </c>
      <c r="B241" s="1231">
        <f t="shared" si="14"/>
        <v>0.83333333333333337</v>
      </c>
      <c r="C241" s="1220">
        <v>1</v>
      </c>
      <c r="D241" s="1220" t="str">
        <f t="shared" si="12"/>
        <v>Plan B</v>
      </c>
      <c r="E241" s="1220">
        <f ca="1">VALUE(INDIRECT("Penalties!"&amp;PenaltyData[[#This Row],[REF]]&amp;(PenaltyData[[#This Row],[ROW]]+1)))</f>
        <v>0</v>
      </c>
      <c r="F241" s="1220" t="str">
        <f ca="1">IF(INDIRECT("Penalties!"&amp;$N$28&amp;PenaltyData[[#This Row],[ROW]],TRUE)=0, "",INDIRECT("Penalties!"&amp;$N$28&amp;PenaltyData[[#This Row],[ROW]],TRUE))</f>
        <v>N01</v>
      </c>
      <c r="G241" s="1220">
        <f ca="1">COUNTIFS($H$1:H241,"&lt;&gt;0", $F$1:F241,PenaltyData[[#This Row],[PlayerIdx]],$D$1:D241,PenaltyData[[#This Row],[Team]])</f>
        <v>2</v>
      </c>
      <c r="H241" s="1220">
        <f ca="1">INDIRECT("Penalties!"&amp;PenaltyData[[#This Row],[REF]]&amp;PenaltyData[[#This Row],[ROW]])</f>
        <v>0</v>
      </c>
      <c r="I241" s="1220" t="str">
        <f ca="1">IFERROR(VLOOKUP(PenaltyData[[#This Row],[Penalty]],PenaltyNames91419[],2,FALSE),"")</f>
        <v/>
      </c>
      <c r="J241" s="1220" t="s">
        <v>164</v>
      </c>
      <c r="K241" s="1220">
        <f t="shared" si="15"/>
        <v>30</v>
      </c>
      <c r="L241" s="1220"/>
    </row>
    <row r="242" spans="1:12" x14ac:dyDescent="0.25">
      <c r="A242" s="1230">
        <f t="shared" si="13"/>
        <v>42105</v>
      </c>
      <c r="B242" s="1231">
        <f t="shared" si="14"/>
        <v>0.83333333333333337</v>
      </c>
      <c r="C242" s="1220">
        <v>1</v>
      </c>
      <c r="D242" s="1220" t="str">
        <f t="shared" si="12"/>
        <v>Plan B</v>
      </c>
      <c r="E242" s="1220">
        <f ca="1">VALUE(INDIRECT("Penalties!"&amp;PenaltyData[[#This Row],[REF]]&amp;(PenaltyData[[#This Row],[ROW]]+1)))</f>
        <v>0</v>
      </c>
      <c r="F242" s="1220" t="str">
        <f ca="1">IF(INDIRECT("Penalties!"&amp;$N$28&amp;PenaltyData[[#This Row],[ROW]],TRUE)=0, "",INDIRECT("Penalties!"&amp;$N$28&amp;PenaltyData[[#This Row],[ROW]],TRUE))</f>
        <v>N01</v>
      </c>
      <c r="G242" s="1220">
        <f ca="1">COUNTIFS($H$1:H242,"&lt;&gt;0", $F$1:F242,PenaltyData[[#This Row],[PlayerIdx]],$D$1:D242,PenaltyData[[#This Row],[Team]])</f>
        <v>2</v>
      </c>
      <c r="H242" s="1220">
        <f ca="1">INDIRECT("Penalties!"&amp;PenaltyData[[#This Row],[REF]]&amp;PenaltyData[[#This Row],[ROW]])</f>
        <v>0</v>
      </c>
      <c r="I242" s="1220" t="str">
        <f ca="1">IFERROR(VLOOKUP(PenaltyData[[#This Row],[Penalty]],PenaltyNames91419[],2,FALSE),"")</f>
        <v/>
      </c>
      <c r="J242" s="1220" t="s">
        <v>138</v>
      </c>
      <c r="K242" s="1220">
        <f t="shared" si="15"/>
        <v>30</v>
      </c>
      <c r="L242" s="1220"/>
    </row>
    <row r="243" spans="1:12" x14ac:dyDescent="0.25">
      <c r="A243" s="1230">
        <f t="shared" si="13"/>
        <v>42105</v>
      </c>
      <c r="B243" s="1231">
        <f t="shared" si="14"/>
        <v>0.83333333333333337</v>
      </c>
      <c r="C243" s="1220">
        <v>1</v>
      </c>
      <c r="D243" s="1220" t="str">
        <f t="shared" si="12"/>
        <v>Plan B</v>
      </c>
      <c r="E243" s="1220">
        <f ca="1">VALUE(INDIRECT("Penalties!"&amp;PenaltyData[[#This Row],[REF]]&amp;(PenaltyData[[#This Row],[ROW]]+1)))</f>
        <v>0</v>
      </c>
      <c r="F243" s="1220" t="str">
        <f ca="1">IF(INDIRECT("Penalties!"&amp;$N$28&amp;PenaltyData[[#This Row],[ROW]],TRUE)=0, "",INDIRECT("Penalties!"&amp;$N$28&amp;PenaltyData[[#This Row],[ROW]],TRUE))</f>
        <v>N01</v>
      </c>
      <c r="G243" s="1220">
        <f ca="1">COUNTIFS($H$1:H243,"&lt;&gt;0", $F$1:F243,PenaltyData[[#This Row],[PlayerIdx]],$D$1:D243,PenaltyData[[#This Row],[Team]])</f>
        <v>2</v>
      </c>
      <c r="H243" s="1220">
        <f ca="1">INDIRECT("Penalties!"&amp;PenaltyData[[#This Row],[REF]]&amp;PenaltyData[[#This Row],[ROW]])</f>
        <v>0</v>
      </c>
      <c r="I243" s="1220" t="str">
        <f ca="1">IFERROR(VLOOKUP(PenaltyData[[#This Row],[Penalty]],PenaltyNames91419[],2,FALSE),"")</f>
        <v/>
      </c>
      <c r="J243" s="1220" t="s">
        <v>150</v>
      </c>
      <c r="K243" s="1220">
        <f t="shared" si="15"/>
        <v>30</v>
      </c>
      <c r="L243" s="1220"/>
    </row>
    <row r="244" spans="1:12" x14ac:dyDescent="0.25">
      <c r="A244" s="1230">
        <f t="shared" si="13"/>
        <v>42105</v>
      </c>
      <c r="B244" s="1231">
        <f t="shared" si="14"/>
        <v>0.83333333333333337</v>
      </c>
      <c r="C244" s="1220">
        <v>1</v>
      </c>
      <c r="D244" s="1220" t="str">
        <f t="shared" si="12"/>
        <v>Plan B</v>
      </c>
      <c r="E244" s="1220">
        <f ca="1">VALUE(INDIRECT("Penalties!"&amp;PenaltyData[[#This Row],[REF]]&amp;(PenaltyData[[#This Row],[ROW]]+1)))</f>
        <v>0</v>
      </c>
      <c r="F244" s="1220" t="str">
        <f ca="1">IF(INDIRECT("Penalties!"&amp;$N$28&amp;PenaltyData[[#This Row],[ROW]],TRUE)=0, "",INDIRECT("Penalties!"&amp;$N$28&amp;PenaltyData[[#This Row],[ROW]],TRUE))</f>
        <v>N01</v>
      </c>
      <c r="G244" s="1220">
        <f ca="1">COUNTIFS($H$1:H244,"&lt;&gt;0", $F$1:F244,PenaltyData[[#This Row],[PlayerIdx]],$D$1:D244,PenaltyData[[#This Row],[Team]])</f>
        <v>2</v>
      </c>
      <c r="H244" s="1220">
        <f ca="1">INDIRECT("Penalties!"&amp;PenaltyData[[#This Row],[REF]]&amp;PenaltyData[[#This Row],[ROW]])</f>
        <v>0</v>
      </c>
      <c r="I244" s="1220" t="str">
        <f ca="1">IFERROR(VLOOKUP(PenaltyData[[#This Row],[Penalty]],PenaltyNames91419[],2,FALSE),"")</f>
        <v/>
      </c>
      <c r="J244" s="1220" t="s">
        <v>757</v>
      </c>
      <c r="K244" s="1220">
        <f t="shared" si="15"/>
        <v>30</v>
      </c>
      <c r="L244" s="1220"/>
    </row>
    <row r="245" spans="1:12" x14ac:dyDescent="0.25">
      <c r="A245" s="1230">
        <f t="shared" si="13"/>
        <v>42105</v>
      </c>
      <c r="B245" s="1231">
        <f t="shared" si="14"/>
        <v>0.83333333333333337</v>
      </c>
      <c r="C245" s="1220">
        <v>2</v>
      </c>
      <c r="D245" s="1220" t="str">
        <f t="shared" si="12"/>
        <v>Plan B</v>
      </c>
      <c r="E245" s="1220">
        <f ca="1">VALUE(INDIRECT("Penalties!"&amp;PenaltyData[[#This Row],[REF]]&amp;(PenaltyData[[#This Row],[ROW]]+1)))</f>
        <v>0</v>
      </c>
      <c r="F245" s="1220" t="str">
        <f ca="1">IF(INDIRECT("Penalties!"&amp;$N$28&amp;PenaltyData[[#This Row],[ROW]],TRUE)=0, "",INDIRECT("Penalties!"&amp;$N$28&amp;PenaltyData[[#This Row],[ROW]],TRUE))</f>
        <v>N01</v>
      </c>
      <c r="G245" s="1220">
        <f ca="1">COUNTIFS($H$1:H245,"&lt;&gt;0", $F$1:F245,PenaltyData[[#This Row],[PlayerIdx]],$D$1:D245,PenaltyData[[#This Row],[Team]])</f>
        <v>2</v>
      </c>
      <c r="H245" s="1220">
        <f ca="1">INDIRECT("Penalties!"&amp;PenaltyData[[#This Row],[REF]]&amp;PenaltyData[[#This Row],[ROW]])</f>
        <v>0</v>
      </c>
      <c r="I245" s="1220" t="str">
        <f ca="1">IFERROR(VLOOKUP(PenaltyData[[#This Row],[Penalty]],PenaltyNames91419[],2,FALSE),"")</f>
        <v/>
      </c>
      <c r="J245" s="1220" t="s">
        <v>758</v>
      </c>
      <c r="K245" s="1220">
        <f t="shared" si="15"/>
        <v>30</v>
      </c>
      <c r="L245" s="1220"/>
    </row>
    <row r="246" spans="1:12" x14ac:dyDescent="0.25">
      <c r="A246" s="1230">
        <f t="shared" si="13"/>
        <v>42105</v>
      </c>
      <c r="B246" s="1231">
        <f t="shared" si="14"/>
        <v>0.83333333333333337</v>
      </c>
      <c r="C246" s="1220">
        <v>2</v>
      </c>
      <c r="D246" s="1220" t="str">
        <f t="shared" si="12"/>
        <v>Plan B</v>
      </c>
      <c r="E246" s="1220">
        <f ca="1">VALUE(INDIRECT("Penalties!"&amp;PenaltyData[[#This Row],[REF]]&amp;(PenaltyData[[#This Row],[ROW]]+1)))</f>
        <v>0</v>
      </c>
      <c r="F246" s="1220" t="str">
        <f ca="1">IF(INDIRECT("Penalties!"&amp;$N$28&amp;PenaltyData[[#This Row],[ROW]],TRUE)=0, "",INDIRECT("Penalties!"&amp;$N$28&amp;PenaltyData[[#This Row],[ROW]],TRUE))</f>
        <v>N01</v>
      </c>
      <c r="G246" s="1220">
        <f ca="1">COUNTIFS($H$1:H246,"&lt;&gt;0", $F$1:F246,PenaltyData[[#This Row],[PlayerIdx]],$D$1:D246,PenaltyData[[#This Row],[Team]])</f>
        <v>2</v>
      </c>
      <c r="H246" s="1220">
        <f ca="1">INDIRECT("Penalties!"&amp;PenaltyData[[#This Row],[REF]]&amp;PenaltyData[[#This Row],[ROW]])</f>
        <v>0</v>
      </c>
      <c r="I246" s="1220" t="str">
        <f ca="1">IFERROR(VLOOKUP(PenaltyData[[#This Row],[Penalty]],PenaltyNames91419[],2,FALSE),"")</f>
        <v/>
      </c>
      <c r="J246" s="1220" t="s">
        <v>759</v>
      </c>
      <c r="K246" s="1220">
        <f t="shared" si="15"/>
        <v>30</v>
      </c>
      <c r="L246" s="1220"/>
    </row>
    <row r="247" spans="1:12" x14ac:dyDescent="0.25">
      <c r="A247" s="1230">
        <f t="shared" si="13"/>
        <v>42105</v>
      </c>
      <c r="B247" s="1231">
        <f t="shared" si="14"/>
        <v>0.83333333333333337</v>
      </c>
      <c r="C247" s="1220">
        <v>2</v>
      </c>
      <c r="D247" s="1220" t="str">
        <f t="shared" si="12"/>
        <v>Plan B</v>
      </c>
      <c r="E247" s="1220">
        <f ca="1">VALUE(INDIRECT("Penalties!"&amp;PenaltyData[[#This Row],[REF]]&amp;(PenaltyData[[#This Row],[ROW]]+1)))</f>
        <v>8</v>
      </c>
      <c r="F247" s="1220" t="str">
        <f ca="1">IF(INDIRECT("Penalties!"&amp;$N$28&amp;PenaltyData[[#This Row],[ROW]],TRUE)=0, "",INDIRECT("Penalties!"&amp;$N$28&amp;PenaltyData[[#This Row],[ROW]],TRUE))</f>
        <v>N01</v>
      </c>
      <c r="G247" s="1220">
        <f ca="1">COUNTIFS($H$1:H247,"&lt;&gt;0", $F$1:F247,PenaltyData[[#This Row],[PlayerIdx]],$D$1:D247,PenaltyData[[#This Row],[Team]])</f>
        <v>3</v>
      </c>
      <c r="H247" s="1220" t="str">
        <f ca="1">INDIRECT("Penalties!"&amp;PenaltyData[[#This Row],[REF]]&amp;PenaltyData[[#This Row],[ROW]])</f>
        <v>F</v>
      </c>
      <c r="I247" s="1220" t="str">
        <f ca="1">IFERROR(VLOOKUP(PenaltyData[[#This Row],[Penalty]],PenaltyNames91419[],2,FALSE),"")</f>
        <v>Forearms</v>
      </c>
      <c r="J247" s="1220" t="s">
        <v>760</v>
      </c>
      <c r="K247" s="1220">
        <f t="shared" si="15"/>
        <v>30</v>
      </c>
      <c r="L247" s="1220"/>
    </row>
    <row r="248" spans="1:12" x14ac:dyDescent="0.25">
      <c r="A248" s="1230">
        <f t="shared" si="13"/>
        <v>42105</v>
      </c>
      <c r="B248" s="1231">
        <f t="shared" si="14"/>
        <v>0.83333333333333337</v>
      </c>
      <c r="C248" s="1220">
        <v>2</v>
      </c>
      <c r="D248" s="1220" t="str">
        <f t="shared" si="12"/>
        <v>Plan B</v>
      </c>
      <c r="E248" s="1220">
        <f ca="1">VALUE(INDIRECT("Penalties!"&amp;PenaltyData[[#This Row],[REF]]&amp;(PenaltyData[[#This Row],[ROW]]+1)))</f>
        <v>12</v>
      </c>
      <c r="F248" s="1220" t="str">
        <f ca="1">IF(INDIRECT("Penalties!"&amp;$N$28&amp;PenaltyData[[#This Row],[ROW]],TRUE)=0, "",INDIRECT("Penalties!"&amp;$N$28&amp;PenaltyData[[#This Row],[ROW]],TRUE))</f>
        <v>N01</v>
      </c>
      <c r="G248" s="1220">
        <f ca="1">COUNTIFS($H$1:H248,"&lt;&gt;0", $F$1:F248,PenaltyData[[#This Row],[PlayerIdx]],$D$1:D248,PenaltyData[[#This Row],[Team]])</f>
        <v>4</v>
      </c>
      <c r="H248" s="1220" t="str">
        <f ca="1">INDIRECT("Penalties!"&amp;PenaltyData[[#This Row],[REF]]&amp;PenaltyData[[#This Row],[ROW]])</f>
        <v>F</v>
      </c>
      <c r="I248" s="1220" t="str">
        <f ca="1">IFERROR(VLOOKUP(PenaltyData[[#This Row],[Penalty]],PenaltyNames91419[],2,FALSE),"")</f>
        <v>Forearms</v>
      </c>
      <c r="J248" s="1220" t="s">
        <v>761</v>
      </c>
      <c r="K248" s="1220">
        <f t="shared" si="15"/>
        <v>30</v>
      </c>
      <c r="L248" s="1220"/>
    </row>
    <row r="249" spans="1:12" x14ac:dyDescent="0.25">
      <c r="A249" s="1230">
        <f t="shared" si="13"/>
        <v>42105</v>
      </c>
      <c r="B249" s="1231">
        <f t="shared" si="14"/>
        <v>0.83333333333333337</v>
      </c>
      <c r="C249" s="1220">
        <v>2</v>
      </c>
      <c r="D249" s="1220" t="str">
        <f t="shared" si="12"/>
        <v>Plan B</v>
      </c>
      <c r="E249" s="1220">
        <f ca="1">VALUE(INDIRECT("Penalties!"&amp;PenaltyData[[#This Row],[REF]]&amp;(PenaltyData[[#This Row],[ROW]]+1)))</f>
        <v>0</v>
      </c>
      <c r="F249" s="1220" t="str">
        <f ca="1">IF(INDIRECT("Penalties!"&amp;$N$28&amp;PenaltyData[[#This Row],[ROW]],TRUE)=0, "",INDIRECT("Penalties!"&amp;$N$28&amp;PenaltyData[[#This Row],[ROW]],TRUE))</f>
        <v>N01</v>
      </c>
      <c r="G249" s="1220">
        <f ca="1">COUNTIFS($H$1:H249,"&lt;&gt;0", $F$1:F249,PenaltyData[[#This Row],[PlayerIdx]],$D$1:D249,PenaltyData[[#This Row],[Team]])</f>
        <v>4</v>
      </c>
      <c r="H249" s="1220">
        <f ca="1">INDIRECT("Penalties!"&amp;PenaltyData[[#This Row],[REF]]&amp;PenaltyData[[#This Row],[ROW]])</f>
        <v>0</v>
      </c>
      <c r="I249" s="1220" t="str">
        <f ca="1">IFERROR(VLOOKUP(PenaltyData[[#This Row],[Penalty]],PenaltyNames91419[],2,FALSE),"")</f>
        <v/>
      </c>
      <c r="J249" s="1220" t="s">
        <v>762</v>
      </c>
      <c r="K249" s="1220">
        <f t="shared" si="15"/>
        <v>30</v>
      </c>
      <c r="L249" s="1220"/>
    </row>
    <row r="250" spans="1:12" x14ac:dyDescent="0.25">
      <c r="A250" s="1230">
        <f t="shared" si="13"/>
        <v>42105</v>
      </c>
      <c r="B250" s="1231">
        <f t="shared" si="14"/>
        <v>0.83333333333333337</v>
      </c>
      <c r="C250" s="1220">
        <v>2</v>
      </c>
      <c r="D250" s="1220" t="str">
        <f t="shared" si="12"/>
        <v>Plan B</v>
      </c>
      <c r="E250" s="1220">
        <f ca="1">VALUE(INDIRECT("Penalties!"&amp;PenaltyData[[#This Row],[REF]]&amp;(PenaltyData[[#This Row],[ROW]]+1)))</f>
        <v>0</v>
      </c>
      <c r="F250" s="1220" t="str">
        <f ca="1">IF(INDIRECT("Penalties!"&amp;$N$28&amp;PenaltyData[[#This Row],[ROW]],TRUE)=0, "",INDIRECT("Penalties!"&amp;$N$28&amp;PenaltyData[[#This Row],[ROW]],TRUE))</f>
        <v>N01</v>
      </c>
      <c r="G250" s="1220">
        <f ca="1">COUNTIFS($H$1:H250,"&lt;&gt;0", $F$1:F250,PenaltyData[[#This Row],[PlayerIdx]],$D$1:D250,PenaltyData[[#This Row],[Team]])</f>
        <v>4</v>
      </c>
      <c r="H250" s="1220">
        <f ca="1">INDIRECT("Penalties!"&amp;PenaltyData[[#This Row],[REF]]&amp;PenaltyData[[#This Row],[ROW]])</f>
        <v>0</v>
      </c>
      <c r="I250" s="1220" t="str">
        <f ca="1">IFERROR(VLOOKUP(PenaltyData[[#This Row],[Penalty]],PenaltyNames91419[],2,FALSE),"")</f>
        <v/>
      </c>
      <c r="J250" s="1220" t="s">
        <v>763</v>
      </c>
      <c r="K250" s="1220">
        <f t="shared" si="15"/>
        <v>30</v>
      </c>
      <c r="L250" s="1220"/>
    </row>
    <row r="251" spans="1:12" x14ac:dyDescent="0.25">
      <c r="A251" s="1230">
        <f t="shared" si="13"/>
        <v>42105</v>
      </c>
      <c r="B251" s="1231">
        <f t="shared" si="14"/>
        <v>0.83333333333333337</v>
      </c>
      <c r="C251" s="1220">
        <v>2</v>
      </c>
      <c r="D251" s="1220" t="str">
        <f t="shared" si="12"/>
        <v>Plan B</v>
      </c>
      <c r="E251" s="1220">
        <f ca="1">VALUE(INDIRECT("Penalties!"&amp;PenaltyData[[#This Row],[REF]]&amp;(PenaltyData[[#This Row],[ROW]]+1)))</f>
        <v>0</v>
      </c>
      <c r="F251" s="1220" t="str">
        <f ca="1">IF(INDIRECT("Penalties!"&amp;$N$28&amp;PenaltyData[[#This Row],[ROW]],TRUE)=0, "",INDIRECT("Penalties!"&amp;$N$28&amp;PenaltyData[[#This Row],[ROW]],TRUE))</f>
        <v>N01</v>
      </c>
      <c r="G251" s="1220">
        <f ca="1">COUNTIFS($H$1:H251,"&lt;&gt;0", $F$1:F251,PenaltyData[[#This Row],[PlayerIdx]],$D$1:D251,PenaltyData[[#This Row],[Team]])</f>
        <v>4</v>
      </c>
      <c r="H251" s="1220">
        <f ca="1">INDIRECT("Penalties!"&amp;PenaltyData[[#This Row],[REF]]&amp;PenaltyData[[#This Row],[ROW]])</f>
        <v>0</v>
      </c>
      <c r="I251" s="1220" t="str">
        <f ca="1">IFERROR(VLOOKUP(PenaltyData[[#This Row],[Penalty]],PenaltyNames91419[],2,FALSE),"")</f>
        <v/>
      </c>
      <c r="J251" s="1220" t="s">
        <v>765</v>
      </c>
      <c r="K251" s="1220">
        <f t="shared" si="15"/>
        <v>30</v>
      </c>
      <c r="L251" s="1220"/>
    </row>
    <row r="252" spans="1:12" x14ac:dyDescent="0.25">
      <c r="A252" s="1230">
        <f t="shared" si="13"/>
        <v>42105</v>
      </c>
      <c r="B252" s="1231">
        <f t="shared" si="14"/>
        <v>0.83333333333333337</v>
      </c>
      <c r="C252" s="1220">
        <v>2</v>
      </c>
      <c r="D252" s="1220" t="str">
        <f t="shared" si="12"/>
        <v>Plan B</v>
      </c>
      <c r="E252" s="1220">
        <f ca="1">VALUE(INDIRECT("Penalties!"&amp;PenaltyData[[#This Row],[REF]]&amp;(PenaltyData[[#This Row],[ROW]]+1)))</f>
        <v>0</v>
      </c>
      <c r="F252" s="1220" t="str">
        <f ca="1">IF(INDIRECT("Penalties!"&amp;$N$28&amp;PenaltyData[[#This Row],[ROW]],TRUE)=0, "",INDIRECT("Penalties!"&amp;$N$28&amp;PenaltyData[[#This Row],[ROW]],TRUE))</f>
        <v>N01</v>
      </c>
      <c r="G252" s="1220">
        <f ca="1">COUNTIFS($H$1:H252,"&lt;&gt;0", $F$1:F252,PenaltyData[[#This Row],[PlayerIdx]],$D$1:D252,PenaltyData[[#This Row],[Team]])</f>
        <v>4</v>
      </c>
      <c r="H252" s="1220">
        <f ca="1">INDIRECT("Penalties!"&amp;PenaltyData[[#This Row],[REF]]&amp;PenaltyData[[#This Row],[ROW]])</f>
        <v>0</v>
      </c>
      <c r="I252" s="1220" t="str">
        <f ca="1">IFERROR(VLOOKUP(PenaltyData[[#This Row],[Penalty]],PenaltyNames91419[],2,FALSE),"")</f>
        <v/>
      </c>
      <c r="J252" s="1220" t="s">
        <v>766</v>
      </c>
      <c r="K252" s="1220">
        <f t="shared" si="15"/>
        <v>30</v>
      </c>
      <c r="L252" s="1220"/>
    </row>
    <row r="253" spans="1:12" x14ac:dyDescent="0.25">
      <c r="A253" s="1230">
        <f t="shared" si="13"/>
        <v>42105</v>
      </c>
      <c r="B253" s="1231">
        <f t="shared" si="14"/>
        <v>0.83333333333333337</v>
      </c>
      <c r="C253" s="1220">
        <v>2</v>
      </c>
      <c r="D253" s="1220" t="str">
        <f t="shared" si="12"/>
        <v>Plan B</v>
      </c>
      <c r="E253" s="1220">
        <f ca="1">VALUE(INDIRECT("Penalties!"&amp;PenaltyData[[#This Row],[REF]]&amp;(PenaltyData[[#This Row],[ROW]]+1)))</f>
        <v>0</v>
      </c>
      <c r="F253" s="1220" t="str">
        <f ca="1">IF(INDIRECT("Penalties!"&amp;$N$28&amp;PenaltyData[[#This Row],[ROW]],TRUE)=0, "",INDIRECT("Penalties!"&amp;$N$28&amp;PenaltyData[[#This Row],[ROW]],TRUE))</f>
        <v>N01</v>
      </c>
      <c r="G253" s="1220">
        <f ca="1">COUNTIFS($H$1:H253,"&lt;&gt;0", $F$1:F253,PenaltyData[[#This Row],[PlayerIdx]],$D$1:D253,PenaltyData[[#This Row],[Team]])</f>
        <v>4</v>
      </c>
      <c r="H253" s="1220">
        <f ca="1">INDIRECT("Penalties!"&amp;PenaltyData[[#This Row],[REF]]&amp;PenaltyData[[#This Row],[ROW]])</f>
        <v>0</v>
      </c>
      <c r="I253" s="1220" t="str">
        <f ca="1">IFERROR(VLOOKUP(PenaltyData[[#This Row],[Penalty]],PenaltyNames91419[],2,FALSE),"")</f>
        <v/>
      </c>
      <c r="J253" s="1220" t="s">
        <v>767</v>
      </c>
      <c r="K253" s="1220">
        <f t="shared" si="15"/>
        <v>30</v>
      </c>
      <c r="L253" s="1220"/>
    </row>
    <row r="254" spans="1:12" x14ac:dyDescent="0.25">
      <c r="A254" s="1230">
        <f t="shared" si="13"/>
        <v>42105</v>
      </c>
      <c r="B254" s="1231">
        <f t="shared" si="14"/>
        <v>0.83333333333333337</v>
      </c>
      <c r="C254" s="1220">
        <v>1</v>
      </c>
      <c r="D254" s="1220" t="str">
        <f t="shared" si="12"/>
        <v>Plan B</v>
      </c>
      <c r="E254" s="1220">
        <f ca="1">VALUE(INDIRECT("Penalties!"&amp;PenaltyData[[#This Row],[REF]]&amp;(PenaltyData[[#This Row],[ROW]]+1)))</f>
        <v>0</v>
      </c>
      <c r="F254" s="1220" t="str">
        <f ca="1">IF(INDIRECT("Penalties!"&amp;$N$28&amp;PenaltyData[[#This Row],[ROW]],TRUE)=0, "",INDIRECT("Penalties!"&amp;$N$28&amp;PenaltyData[[#This Row],[ROW]],TRUE))</f>
        <v/>
      </c>
      <c r="G254" s="1220">
        <f ca="1">COUNTIFS($H$1:H254,"&lt;&gt;0", $F$1:F254,PenaltyData[[#This Row],[PlayerIdx]],$D$1:D254,PenaltyData[[#This Row],[Team]])</f>
        <v>0</v>
      </c>
      <c r="H254" s="1220">
        <f ca="1">INDIRECT("Penalties!"&amp;PenaltyData[[#This Row],[REF]]&amp;PenaltyData[[#This Row],[ROW]])</f>
        <v>0</v>
      </c>
      <c r="I254" s="1220" t="str">
        <f ca="1">IFERROR(VLOOKUP(PenaltyData[[#This Row],[Penalty]],PenaltyNames91419[],2,FALSE),"")</f>
        <v/>
      </c>
      <c r="J254" s="1220" t="s">
        <v>136</v>
      </c>
      <c r="K254" s="1220">
        <f t="shared" si="15"/>
        <v>32</v>
      </c>
      <c r="L254" s="1220"/>
    </row>
    <row r="255" spans="1:12" x14ac:dyDescent="0.25">
      <c r="A255" s="1230">
        <f t="shared" si="13"/>
        <v>42105</v>
      </c>
      <c r="B255" s="1231">
        <f t="shared" si="14"/>
        <v>0.83333333333333337</v>
      </c>
      <c r="C255" s="1220">
        <v>1</v>
      </c>
      <c r="D255" s="1220" t="str">
        <f t="shared" si="12"/>
        <v>Plan B</v>
      </c>
      <c r="E255" s="1220">
        <f ca="1">VALUE(INDIRECT("Penalties!"&amp;PenaltyData[[#This Row],[REF]]&amp;(PenaltyData[[#This Row],[ROW]]+1)))</f>
        <v>0</v>
      </c>
      <c r="F255" s="1220" t="str">
        <f ca="1">IF(INDIRECT("Penalties!"&amp;$N$28&amp;PenaltyData[[#This Row],[ROW]],TRUE)=0, "",INDIRECT("Penalties!"&amp;$N$28&amp;PenaltyData[[#This Row],[ROW]],TRUE))</f>
        <v/>
      </c>
      <c r="G255" s="1220">
        <f ca="1">COUNTIFS($H$1:H255,"&lt;&gt;0", $F$1:F255,PenaltyData[[#This Row],[PlayerIdx]],$D$1:D255,PenaltyData[[#This Row],[Team]])</f>
        <v>0</v>
      </c>
      <c r="H255" s="1220">
        <f ca="1">INDIRECT("Penalties!"&amp;PenaltyData[[#This Row],[REF]]&amp;PenaltyData[[#This Row],[ROW]])</f>
        <v>0</v>
      </c>
      <c r="I255" s="1220" t="str">
        <f ca="1">IFERROR(VLOOKUP(PenaltyData[[#This Row],[Penalty]],PenaltyNames91419[],2,FALSE),"")</f>
        <v/>
      </c>
      <c r="J255" s="1220" t="s">
        <v>142</v>
      </c>
      <c r="K255" s="1220">
        <f t="shared" si="15"/>
        <v>32</v>
      </c>
      <c r="L255" s="1220"/>
    </row>
    <row r="256" spans="1:12" x14ac:dyDescent="0.25">
      <c r="A256" s="1230">
        <f t="shared" si="13"/>
        <v>42105</v>
      </c>
      <c r="B256" s="1231">
        <f t="shared" si="14"/>
        <v>0.83333333333333337</v>
      </c>
      <c r="C256" s="1220">
        <v>1</v>
      </c>
      <c r="D256" s="1220" t="str">
        <f t="shared" si="12"/>
        <v>Plan B</v>
      </c>
      <c r="E256" s="1220">
        <f ca="1">VALUE(INDIRECT("Penalties!"&amp;PenaltyData[[#This Row],[REF]]&amp;(PenaltyData[[#This Row],[ROW]]+1)))</f>
        <v>0</v>
      </c>
      <c r="F256" s="1220" t="str">
        <f ca="1">IF(INDIRECT("Penalties!"&amp;$N$28&amp;PenaltyData[[#This Row],[ROW]],TRUE)=0, "",INDIRECT("Penalties!"&amp;$N$28&amp;PenaltyData[[#This Row],[ROW]],TRUE))</f>
        <v/>
      </c>
      <c r="G256" s="1220">
        <f ca="1">COUNTIFS($H$1:H256,"&lt;&gt;0", $F$1:F256,PenaltyData[[#This Row],[PlayerIdx]],$D$1:D256,PenaltyData[[#This Row],[Team]])</f>
        <v>0</v>
      </c>
      <c r="H256" s="1220">
        <f ca="1">INDIRECT("Penalties!"&amp;PenaltyData[[#This Row],[REF]]&amp;PenaltyData[[#This Row],[ROW]])</f>
        <v>0</v>
      </c>
      <c r="I256" s="1220" t="str">
        <f ca="1">IFERROR(VLOOKUP(PenaltyData[[#This Row],[Penalty]],PenaltyNames91419[],2,FALSE),"")</f>
        <v/>
      </c>
      <c r="J256" s="1220" t="s">
        <v>754</v>
      </c>
      <c r="K256" s="1220">
        <f t="shared" si="15"/>
        <v>32</v>
      </c>
      <c r="L256" s="1220"/>
    </row>
    <row r="257" spans="1:12" x14ac:dyDescent="0.25">
      <c r="A257" s="1230">
        <f t="shared" si="13"/>
        <v>42105</v>
      </c>
      <c r="B257" s="1231">
        <f t="shared" si="14"/>
        <v>0.83333333333333337</v>
      </c>
      <c r="C257" s="1220">
        <v>1</v>
      </c>
      <c r="D257" s="1220" t="str">
        <f t="shared" si="12"/>
        <v>Plan B</v>
      </c>
      <c r="E257" s="1220">
        <f ca="1">VALUE(INDIRECT("Penalties!"&amp;PenaltyData[[#This Row],[REF]]&amp;(PenaltyData[[#This Row],[ROW]]+1)))</f>
        <v>0</v>
      </c>
      <c r="F257" s="1220" t="str">
        <f ca="1">IF(INDIRECT("Penalties!"&amp;$N$28&amp;PenaltyData[[#This Row],[ROW]],TRUE)=0, "",INDIRECT("Penalties!"&amp;$N$28&amp;PenaltyData[[#This Row],[ROW]],TRUE))</f>
        <v/>
      </c>
      <c r="G257" s="1220">
        <f ca="1">COUNTIFS($H$1:H257,"&lt;&gt;0", $F$1:F257,PenaltyData[[#This Row],[PlayerIdx]],$D$1:D257,PenaltyData[[#This Row],[Team]])</f>
        <v>0</v>
      </c>
      <c r="H257" s="1220">
        <f ca="1">INDIRECT("Penalties!"&amp;PenaltyData[[#This Row],[REF]]&amp;PenaltyData[[#This Row],[ROW]])</f>
        <v>0</v>
      </c>
      <c r="I257" s="1220" t="str">
        <f ca="1">IFERROR(VLOOKUP(PenaltyData[[#This Row],[Penalty]],PenaltyNames91419[],2,FALSE),"")</f>
        <v/>
      </c>
      <c r="J257" s="1220" t="s">
        <v>144</v>
      </c>
      <c r="K257" s="1220">
        <f t="shared" si="15"/>
        <v>32</v>
      </c>
      <c r="L257" s="1220"/>
    </row>
    <row r="258" spans="1:12" x14ac:dyDescent="0.25">
      <c r="A258" s="1230">
        <f t="shared" si="13"/>
        <v>42105</v>
      </c>
      <c r="B258" s="1231">
        <f t="shared" si="14"/>
        <v>0.83333333333333337</v>
      </c>
      <c r="C258" s="1220">
        <v>1</v>
      </c>
      <c r="D258" s="1220" t="str">
        <f t="shared" si="12"/>
        <v>Plan B</v>
      </c>
      <c r="E258" s="1220">
        <f ca="1">VALUE(INDIRECT("Penalties!"&amp;PenaltyData[[#This Row],[REF]]&amp;(PenaltyData[[#This Row],[ROW]]+1)))</f>
        <v>0</v>
      </c>
      <c r="F258" s="1220" t="str">
        <f ca="1">IF(INDIRECT("Penalties!"&amp;$N$28&amp;PenaltyData[[#This Row],[ROW]],TRUE)=0, "",INDIRECT("Penalties!"&amp;$N$28&amp;PenaltyData[[#This Row],[ROW]],TRUE))</f>
        <v/>
      </c>
      <c r="G258" s="1220">
        <f ca="1">COUNTIFS($H$1:H258,"&lt;&gt;0", $F$1:F258,PenaltyData[[#This Row],[PlayerIdx]],$D$1:D258,PenaltyData[[#This Row],[Team]])</f>
        <v>0</v>
      </c>
      <c r="H258" s="1220">
        <f ca="1">INDIRECT("Penalties!"&amp;PenaltyData[[#This Row],[REF]]&amp;PenaltyData[[#This Row],[ROW]])</f>
        <v>0</v>
      </c>
      <c r="I258" s="1220" t="str">
        <f ca="1">IFERROR(VLOOKUP(PenaltyData[[#This Row],[Penalty]],PenaltyNames91419[],2,FALSE),"")</f>
        <v/>
      </c>
      <c r="J258" s="1220" t="s">
        <v>146</v>
      </c>
      <c r="K258" s="1220">
        <f t="shared" si="15"/>
        <v>32</v>
      </c>
      <c r="L258" s="1220"/>
    </row>
    <row r="259" spans="1:12" x14ac:dyDescent="0.25">
      <c r="A259" s="1230">
        <f t="shared" si="13"/>
        <v>42105</v>
      </c>
      <c r="B259" s="1231">
        <f t="shared" si="14"/>
        <v>0.83333333333333337</v>
      </c>
      <c r="C259" s="1220">
        <v>1</v>
      </c>
      <c r="D259" s="1220" t="str">
        <f t="shared" ref="D259:D322" si="16">$O$2</f>
        <v>Plan B</v>
      </c>
      <c r="E259" s="1220">
        <f ca="1">VALUE(INDIRECT("Penalties!"&amp;PenaltyData[[#This Row],[REF]]&amp;(PenaltyData[[#This Row],[ROW]]+1)))</f>
        <v>0</v>
      </c>
      <c r="F259" s="1220" t="str">
        <f ca="1">IF(INDIRECT("Penalties!"&amp;$N$28&amp;PenaltyData[[#This Row],[ROW]],TRUE)=0, "",INDIRECT("Penalties!"&amp;$N$28&amp;PenaltyData[[#This Row],[ROW]],TRUE))</f>
        <v/>
      </c>
      <c r="G259" s="1220">
        <f ca="1">COUNTIFS($H$1:H259,"&lt;&gt;0", $F$1:F259,PenaltyData[[#This Row],[PlayerIdx]],$D$1:D259,PenaltyData[[#This Row],[Team]])</f>
        <v>0</v>
      </c>
      <c r="H259" s="1220">
        <f ca="1">INDIRECT("Penalties!"&amp;PenaltyData[[#This Row],[REF]]&amp;PenaltyData[[#This Row],[ROW]])</f>
        <v>0</v>
      </c>
      <c r="I259" s="1220" t="str">
        <f ca="1">IFERROR(VLOOKUP(PenaltyData[[#This Row],[Penalty]],PenaltyNames91419[],2,FALSE),"")</f>
        <v/>
      </c>
      <c r="J259" s="1220" t="s">
        <v>164</v>
      </c>
      <c r="K259" s="1220">
        <f t="shared" si="15"/>
        <v>32</v>
      </c>
      <c r="L259" s="1220"/>
    </row>
    <row r="260" spans="1:12" x14ac:dyDescent="0.25">
      <c r="A260" s="1230">
        <f t="shared" si="13"/>
        <v>42105</v>
      </c>
      <c r="B260" s="1231">
        <f t="shared" si="14"/>
        <v>0.83333333333333337</v>
      </c>
      <c r="C260" s="1220">
        <v>1</v>
      </c>
      <c r="D260" s="1220" t="str">
        <f t="shared" si="16"/>
        <v>Plan B</v>
      </c>
      <c r="E260" s="1220">
        <f ca="1">VALUE(INDIRECT("Penalties!"&amp;PenaltyData[[#This Row],[REF]]&amp;(PenaltyData[[#This Row],[ROW]]+1)))</f>
        <v>0</v>
      </c>
      <c r="F260" s="1220" t="str">
        <f ca="1">IF(INDIRECT("Penalties!"&amp;$N$28&amp;PenaltyData[[#This Row],[ROW]],TRUE)=0, "",INDIRECT("Penalties!"&amp;$N$28&amp;PenaltyData[[#This Row],[ROW]],TRUE))</f>
        <v/>
      </c>
      <c r="G260" s="1220">
        <f ca="1">COUNTIFS($H$1:H260,"&lt;&gt;0", $F$1:F260,PenaltyData[[#This Row],[PlayerIdx]],$D$1:D260,PenaltyData[[#This Row],[Team]])</f>
        <v>0</v>
      </c>
      <c r="H260" s="1220">
        <f ca="1">INDIRECT("Penalties!"&amp;PenaltyData[[#This Row],[REF]]&amp;PenaltyData[[#This Row],[ROW]])</f>
        <v>0</v>
      </c>
      <c r="I260" s="1220" t="str">
        <f ca="1">IFERROR(VLOOKUP(PenaltyData[[#This Row],[Penalty]],PenaltyNames91419[],2,FALSE),"")</f>
        <v/>
      </c>
      <c r="J260" s="1220" t="s">
        <v>138</v>
      </c>
      <c r="K260" s="1220">
        <f t="shared" si="15"/>
        <v>32</v>
      </c>
      <c r="L260" s="1220"/>
    </row>
    <row r="261" spans="1:12" x14ac:dyDescent="0.25">
      <c r="A261" s="1230">
        <f t="shared" si="13"/>
        <v>42105</v>
      </c>
      <c r="B261" s="1231">
        <f t="shared" si="14"/>
        <v>0.83333333333333337</v>
      </c>
      <c r="C261" s="1220">
        <v>1</v>
      </c>
      <c r="D261" s="1220" t="str">
        <f t="shared" si="16"/>
        <v>Plan B</v>
      </c>
      <c r="E261" s="1220">
        <f ca="1">VALUE(INDIRECT("Penalties!"&amp;PenaltyData[[#This Row],[REF]]&amp;(PenaltyData[[#This Row],[ROW]]+1)))</f>
        <v>0</v>
      </c>
      <c r="F261" s="1220" t="str">
        <f ca="1">IF(INDIRECT("Penalties!"&amp;$N$28&amp;PenaltyData[[#This Row],[ROW]],TRUE)=0, "",INDIRECT("Penalties!"&amp;$N$28&amp;PenaltyData[[#This Row],[ROW]],TRUE))</f>
        <v/>
      </c>
      <c r="G261" s="1220">
        <f ca="1">COUNTIFS($H$1:H261,"&lt;&gt;0", $F$1:F261,PenaltyData[[#This Row],[PlayerIdx]],$D$1:D261,PenaltyData[[#This Row],[Team]])</f>
        <v>0</v>
      </c>
      <c r="H261" s="1220">
        <f ca="1">INDIRECT("Penalties!"&amp;PenaltyData[[#This Row],[REF]]&amp;PenaltyData[[#This Row],[ROW]])</f>
        <v>0</v>
      </c>
      <c r="I261" s="1220" t="str">
        <f ca="1">IFERROR(VLOOKUP(PenaltyData[[#This Row],[Penalty]],PenaltyNames91419[],2,FALSE),"")</f>
        <v/>
      </c>
      <c r="J261" s="1220" t="s">
        <v>150</v>
      </c>
      <c r="K261" s="1220">
        <f t="shared" si="15"/>
        <v>32</v>
      </c>
      <c r="L261" s="1220"/>
    </row>
    <row r="262" spans="1:12" x14ac:dyDescent="0.25">
      <c r="A262" s="1230">
        <f t="shared" ref="A262:A325" si="17">$N$1</f>
        <v>42105</v>
      </c>
      <c r="B262" s="1231">
        <f t="shared" ref="B262:B325" si="18">$O$1</f>
        <v>0.83333333333333337</v>
      </c>
      <c r="C262" s="1220">
        <v>1</v>
      </c>
      <c r="D262" s="1220" t="str">
        <f t="shared" si="16"/>
        <v>Plan B</v>
      </c>
      <c r="E262" s="1220">
        <f ca="1">VALUE(INDIRECT("Penalties!"&amp;PenaltyData[[#This Row],[REF]]&amp;(PenaltyData[[#This Row],[ROW]]+1)))</f>
        <v>0</v>
      </c>
      <c r="F262" s="1220" t="str">
        <f ca="1">IF(INDIRECT("Penalties!"&amp;$N$28&amp;PenaltyData[[#This Row],[ROW]],TRUE)=0, "",INDIRECT("Penalties!"&amp;$N$28&amp;PenaltyData[[#This Row],[ROW]],TRUE))</f>
        <v/>
      </c>
      <c r="G262" s="1220">
        <f ca="1">COUNTIFS($H$1:H262,"&lt;&gt;0", $F$1:F262,PenaltyData[[#This Row],[PlayerIdx]],$D$1:D262,PenaltyData[[#This Row],[Team]])</f>
        <v>0</v>
      </c>
      <c r="H262" s="1220">
        <f ca="1">INDIRECT("Penalties!"&amp;PenaltyData[[#This Row],[REF]]&amp;PenaltyData[[#This Row],[ROW]])</f>
        <v>0</v>
      </c>
      <c r="I262" s="1220" t="str">
        <f ca="1">IFERROR(VLOOKUP(PenaltyData[[#This Row],[Penalty]],PenaltyNames91419[],2,FALSE),"")</f>
        <v/>
      </c>
      <c r="J262" s="1220" t="s">
        <v>757</v>
      </c>
      <c r="K262" s="1220">
        <f t="shared" si="15"/>
        <v>32</v>
      </c>
      <c r="L262" s="1220"/>
    </row>
    <row r="263" spans="1:12" x14ac:dyDescent="0.25">
      <c r="A263" s="1230">
        <f t="shared" si="17"/>
        <v>42105</v>
      </c>
      <c r="B263" s="1231">
        <f t="shared" si="18"/>
        <v>0.83333333333333337</v>
      </c>
      <c r="C263" s="1220">
        <v>2</v>
      </c>
      <c r="D263" s="1220" t="str">
        <f t="shared" si="16"/>
        <v>Plan B</v>
      </c>
      <c r="E263" s="1220">
        <f ca="1">VALUE(INDIRECT("Penalties!"&amp;PenaltyData[[#This Row],[REF]]&amp;(PenaltyData[[#This Row],[ROW]]+1)))</f>
        <v>0</v>
      </c>
      <c r="F263" s="1220" t="str">
        <f ca="1">IF(INDIRECT("Penalties!"&amp;$N$28&amp;PenaltyData[[#This Row],[ROW]],TRUE)=0, "",INDIRECT("Penalties!"&amp;$N$28&amp;PenaltyData[[#This Row],[ROW]],TRUE))</f>
        <v/>
      </c>
      <c r="G263" s="1220">
        <f ca="1">COUNTIFS($H$1:H263,"&lt;&gt;0", $F$1:F263,PenaltyData[[#This Row],[PlayerIdx]],$D$1:D263,PenaltyData[[#This Row],[Team]])</f>
        <v>0</v>
      </c>
      <c r="H263" s="1220">
        <f ca="1">INDIRECT("Penalties!"&amp;PenaltyData[[#This Row],[REF]]&amp;PenaltyData[[#This Row],[ROW]])</f>
        <v>0</v>
      </c>
      <c r="I263" s="1220" t="str">
        <f ca="1">IFERROR(VLOOKUP(PenaltyData[[#This Row],[Penalty]],PenaltyNames91419[],2,FALSE),"")</f>
        <v/>
      </c>
      <c r="J263" s="1220" t="s">
        <v>758</v>
      </c>
      <c r="K263" s="1220">
        <f t="shared" si="15"/>
        <v>32</v>
      </c>
      <c r="L263" s="1220"/>
    </row>
    <row r="264" spans="1:12" x14ac:dyDescent="0.25">
      <c r="A264" s="1230">
        <f t="shared" si="17"/>
        <v>42105</v>
      </c>
      <c r="B264" s="1231">
        <f t="shared" si="18"/>
        <v>0.83333333333333337</v>
      </c>
      <c r="C264" s="1220">
        <v>2</v>
      </c>
      <c r="D264" s="1220" t="str">
        <f t="shared" si="16"/>
        <v>Plan B</v>
      </c>
      <c r="E264" s="1220">
        <f ca="1">VALUE(INDIRECT("Penalties!"&amp;PenaltyData[[#This Row],[REF]]&amp;(PenaltyData[[#This Row],[ROW]]+1)))</f>
        <v>0</v>
      </c>
      <c r="F264" s="1220" t="str">
        <f ca="1">IF(INDIRECT("Penalties!"&amp;$N$28&amp;PenaltyData[[#This Row],[ROW]],TRUE)=0, "",INDIRECT("Penalties!"&amp;$N$28&amp;PenaltyData[[#This Row],[ROW]],TRUE))</f>
        <v/>
      </c>
      <c r="G264" s="1220">
        <f ca="1">COUNTIFS($H$1:H264,"&lt;&gt;0", $F$1:F264,PenaltyData[[#This Row],[PlayerIdx]],$D$1:D264,PenaltyData[[#This Row],[Team]])</f>
        <v>0</v>
      </c>
      <c r="H264" s="1220">
        <f ca="1">INDIRECT("Penalties!"&amp;PenaltyData[[#This Row],[REF]]&amp;PenaltyData[[#This Row],[ROW]])</f>
        <v>0</v>
      </c>
      <c r="I264" s="1220" t="str">
        <f ca="1">IFERROR(VLOOKUP(PenaltyData[[#This Row],[Penalty]],PenaltyNames91419[],2,FALSE),"")</f>
        <v/>
      </c>
      <c r="J264" s="1220" t="s">
        <v>759</v>
      </c>
      <c r="K264" s="1220">
        <f t="shared" si="15"/>
        <v>32</v>
      </c>
      <c r="L264" s="1220"/>
    </row>
    <row r="265" spans="1:12" x14ac:dyDescent="0.25">
      <c r="A265" s="1230">
        <f t="shared" si="17"/>
        <v>42105</v>
      </c>
      <c r="B265" s="1231">
        <f t="shared" si="18"/>
        <v>0.83333333333333337</v>
      </c>
      <c r="C265" s="1220">
        <v>2</v>
      </c>
      <c r="D265" s="1220" t="str">
        <f t="shared" si="16"/>
        <v>Plan B</v>
      </c>
      <c r="E265" s="1220">
        <f ca="1">VALUE(INDIRECT("Penalties!"&amp;PenaltyData[[#This Row],[REF]]&amp;(PenaltyData[[#This Row],[ROW]]+1)))</f>
        <v>0</v>
      </c>
      <c r="F265" s="1220" t="str">
        <f ca="1">IF(INDIRECT("Penalties!"&amp;$N$28&amp;PenaltyData[[#This Row],[ROW]],TRUE)=0, "",INDIRECT("Penalties!"&amp;$N$28&amp;PenaltyData[[#This Row],[ROW]],TRUE))</f>
        <v/>
      </c>
      <c r="G265" s="1220">
        <f ca="1">COUNTIFS($H$1:H265,"&lt;&gt;0", $F$1:F265,PenaltyData[[#This Row],[PlayerIdx]],$D$1:D265,PenaltyData[[#This Row],[Team]])</f>
        <v>0</v>
      </c>
      <c r="H265" s="1220">
        <f ca="1">INDIRECT("Penalties!"&amp;PenaltyData[[#This Row],[REF]]&amp;PenaltyData[[#This Row],[ROW]])</f>
        <v>0</v>
      </c>
      <c r="I265" s="1220" t="str">
        <f ca="1">IFERROR(VLOOKUP(PenaltyData[[#This Row],[Penalty]],PenaltyNames91419[],2,FALSE),"")</f>
        <v/>
      </c>
      <c r="J265" s="1220" t="s">
        <v>760</v>
      </c>
      <c r="K265" s="1220">
        <f t="shared" si="15"/>
        <v>32</v>
      </c>
      <c r="L265" s="1220"/>
    </row>
    <row r="266" spans="1:12" x14ac:dyDescent="0.25">
      <c r="A266" s="1230">
        <f t="shared" si="17"/>
        <v>42105</v>
      </c>
      <c r="B266" s="1231">
        <f t="shared" si="18"/>
        <v>0.83333333333333337</v>
      </c>
      <c r="C266" s="1220">
        <v>2</v>
      </c>
      <c r="D266" s="1220" t="str">
        <f t="shared" si="16"/>
        <v>Plan B</v>
      </c>
      <c r="E266" s="1220">
        <f ca="1">VALUE(INDIRECT("Penalties!"&amp;PenaltyData[[#This Row],[REF]]&amp;(PenaltyData[[#This Row],[ROW]]+1)))</f>
        <v>0</v>
      </c>
      <c r="F266" s="1220" t="str">
        <f ca="1">IF(INDIRECT("Penalties!"&amp;$N$28&amp;PenaltyData[[#This Row],[ROW]],TRUE)=0, "",INDIRECT("Penalties!"&amp;$N$28&amp;PenaltyData[[#This Row],[ROW]],TRUE))</f>
        <v/>
      </c>
      <c r="G266" s="1220">
        <f ca="1">COUNTIFS($H$1:H266,"&lt;&gt;0", $F$1:F266,PenaltyData[[#This Row],[PlayerIdx]],$D$1:D266,PenaltyData[[#This Row],[Team]])</f>
        <v>0</v>
      </c>
      <c r="H266" s="1220">
        <f ca="1">INDIRECT("Penalties!"&amp;PenaltyData[[#This Row],[REF]]&amp;PenaltyData[[#This Row],[ROW]])</f>
        <v>0</v>
      </c>
      <c r="I266" s="1220" t="str">
        <f ca="1">IFERROR(VLOOKUP(PenaltyData[[#This Row],[Penalty]],PenaltyNames91419[],2,FALSE),"")</f>
        <v/>
      </c>
      <c r="J266" s="1220" t="s">
        <v>761</v>
      </c>
      <c r="K266" s="1220">
        <f t="shared" si="15"/>
        <v>32</v>
      </c>
      <c r="L266" s="1220"/>
    </row>
    <row r="267" spans="1:12" x14ac:dyDescent="0.25">
      <c r="A267" s="1230">
        <f t="shared" si="17"/>
        <v>42105</v>
      </c>
      <c r="B267" s="1231">
        <f t="shared" si="18"/>
        <v>0.83333333333333337</v>
      </c>
      <c r="C267" s="1220">
        <v>2</v>
      </c>
      <c r="D267" s="1220" t="str">
        <f t="shared" si="16"/>
        <v>Plan B</v>
      </c>
      <c r="E267" s="1220">
        <f ca="1">VALUE(INDIRECT("Penalties!"&amp;PenaltyData[[#This Row],[REF]]&amp;(PenaltyData[[#This Row],[ROW]]+1)))</f>
        <v>0</v>
      </c>
      <c r="F267" s="1220" t="str">
        <f ca="1">IF(INDIRECT("Penalties!"&amp;$N$28&amp;PenaltyData[[#This Row],[ROW]],TRUE)=0, "",INDIRECT("Penalties!"&amp;$N$28&amp;PenaltyData[[#This Row],[ROW]],TRUE))</f>
        <v/>
      </c>
      <c r="G267" s="1220">
        <f ca="1">COUNTIFS($H$1:H267,"&lt;&gt;0", $F$1:F267,PenaltyData[[#This Row],[PlayerIdx]],$D$1:D267,PenaltyData[[#This Row],[Team]])</f>
        <v>0</v>
      </c>
      <c r="H267" s="1220">
        <f ca="1">INDIRECT("Penalties!"&amp;PenaltyData[[#This Row],[REF]]&amp;PenaltyData[[#This Row],[ROW]])</f>
        <v>0</v>
      </c>
      <c r="I267" s="1220" t="str">
        <f ca="1">IFERROR(VLOOKUP(PenaltyData[[#This Row],[Penalty]],PenaltyNames91419[],2,FALSE),"")</f>
        <v/>
      </c>
      <c r="J267" s="1220" t="s">
        <v>762</v>
      </c>
      <c r="K267" s="1220">
        <f t="shared" si="15"/>
        <v>32</v>
      </c>
      <c r="L267" s="1220"/>
    </row>
    <row r="268" spans="1:12" x14ac:dyDescent="0.25">
      <c r="A268" s="1230">
        <f t="shared" si="17"/>
        <v>42105</v>
      </c>
      <c r="B268" s="1231">
        <f t="shared" si="18"/>
        <v>0.83333333333333337</v>
      </c>
      <c r="C268" s="1220">
        <v>2</v>
      </c>
      <c r="D268" s="1220" t="str">
        <f t="shared" si="16"/>
        <v>Plan B</v>
      </c>
      <c r="E268" s="1220">
        <f ca="1">VALUE(INDIRECT("Penalties!"&amp;PenaltyData[[#This Row],[REF]]&amp;(PenaltyData[[#This Row],[ROW]]+1)))</f>
        <v>0</v>
      </c>
      <c r="F268" s="1220" t="str">
        <f ca="1">IF(INDIRECT("Penalties!"&amp;$N$28&amp;PenaltyData[[#This Row],[ROW]],TRUE)=0, "",INDIRECT("Penalties!"&amp;$N$28&amp;PenaltyData[[#This Row],[ROW]],TRUE))</f>
        <v/>
      </c>
      <c r="G268" s="1220">
        <f ca="1">COUNTIFS($H$1:H268,"&lt;&gt;0", $F$1:F268,PenaltyData[[#This Row],[PlayerIdx]],$D$1:D268,PenaltyData[[#This Row],[Team]])</f>
        <v>0</v>
      </c>
      <c r="H268" s="1220">
        <f ca="1">INDIRECT("Penalties!"&amp;PenaltyData[[#This Row],[REF]]&amp;PenaltyData[[#This Row],[ROW]])</f>
        <v>0</v>
      </c>
      <c r="I268" s="1220" t="str">
        <f ca="1">IFERROR(VLOOKUP(PenaltyData[[#This Row],[Penalty]],PenaltyNames91419[],2,FALSE),"")</f>
        <v/>
      </c>
      <c r="J268" s="1220" t="s">
        <v>763</v>
      </c>
      <c r="K268" s="1220">
        <f t="shared" si="15"/>
        <v>32</v>
      </c>
      <c r="L268" s="1220"/>
    </row>
    <row r="269" spans="1:12" x14ac:dyDescent="0.25">
      <c r="A269" s="1230">
        <f t="shared" si="17"/>
        <v>42105</v>
      </c>
      <c r="B269" s="1231">
        <f t="shared" si="18"/>
        <v>0.83333333333333337</v>
      </c>
      <c r="C269" s="1220">
        <v>2</v>
      </c>
      <c r="D269" s="1220" t="str">
        <f t="shared" si="16"/>
        <v>Plan B</v>
      </c>
      <c r="E269" s="1220">
        <f ca="1">VALUE(INDIRECT("Penalties!"&amp;PenaltyData[[#This Row],[REF]]&amp;(PenaltyData[[#This Row],[ROW]]+1)))</f>
        <v>0</v>
      </c>
      <c r="F269" s="1220" t="str">
        <f ca="1">IF(INDIRECT("Penalties!"&amp;$N$28&amp;PenaltyData[[#This Row],[ROW]],TRUE)=0, "",INDIRECT("Penalties!"&amp;$N$28&amp;PenaltyData[[#This Row],[ROW]],TRUE))</f>
        <v/>
      </c>
      <c r="G269" s="1220">
        <f ca="1">COUNTIFS($H$1:H269,"&lt;&gt;0", $F$1:F269,PenaltyData[[#This Row],[PlayerIdx]],$D$1:D269,PenaltyData[[#This Row],[Team]])</f>
        <v>0</v>
      </c>
      <c r="H269" s="1220">
        <f ca="1">INDIRECT("Penalties!"&amp;PenaltyData[[#This Row],[REF]]&amp;PenaltyData[[#This Row],[ROW]])</f>
        <v>0</v>
      </c>
      <c r="I269" s="1220" t="str">
        <f ca="1">IFERROR(VLOOKUP(PenaltyData[[#This Row],[Penalty]],PenaltyNames91419[],2,FALSE),"")</f>
        <v/>
      </c>
      <c r="J269" s="1220" t="s">
        <v>765</v>
      </c>
      <c r="K269" s="1220">
        <f t="shared" si="15"/>
        <v>32</v>
      </c>
      <c r="L269" s="1220"/>
    </row>
    <row r="270" spans="1:12" x14ac:dyDescent="0.25">
      <c r="A270" s="1230">
        <f t="shared" si="17"/>
        <v>42105</v>
      </c>
      <c r="B270" s="1231">
        <f t="shared" si="18"/>
        <v>0.83333333333333337</v>
      </c>
      <c r="C270" s="1220">
        <v>2</v>
      </c>
      <c r="D270" s="1220" t="str">
        <f t="shared" si="16"/>
        <v>Plan B</v>
      </c>
      <c r="E270" s="1220">
        <f ca="1">VALUE(INDIRECT("Penalties!"&amp;PenaltyData[[#This Row],[REF]]&amp;(PenaltyData[[#This Row],[ROW]]+1)))</f>
        <v>0</v>
      </c>
      <c r="F270" s="1220" t="str">
        <f ca="1">IF(INDIRECT("Penalties!"&amp;$N$28&amp;PenaltyData[[#This Row],[ROW]],TRUE)=0, "",INDIRECT("Penalties!"&amp;$N$28&amp;PenaltyData[[#This Row],[ROW]],TRUE))</f>
        <v/>
      </c>
      <c r="G270" s="1220">
        <f ca="1">COUNTIFS($H$1:H270,"&lt;&gt;0", $F$1:F270,PenaltyData[[#This Row],[PlayerIdx]],$D$1:D270,PenaltyData[[#This Row],[Team]])</f>
        <v>0</v>
      </c>
      <c r="H270" s="1220">
        <f ca="1">INDIRECT("Penalties!"&amp;PenaltyData[[#This Row],[REF]]&amp;PenaltyData[[#This Row],[ROW]])</f>
        <v>0</v>
      </c>
      <c r="I270" s="1220" t="str">
        <f ca="1">IFERROR(VLOOKUP(PenaltyData[[#This Row],[Penalty]],PenaltyNames91419[],2,FALSE),"")</f>
        <v/>
      </c>
      <c r="J270" s="1220" t="s">
        <v>766</v>
      </c>
      <c r="K270" s="1220">
        <f t="shared" si="15"/>
        <v>32</v>
      </c>
      <c r="L270" s="1220"/>
    </row>
    <row r="271" spans="1:12" x14ac:dyDescent="0.25">
      <c r="A271" s="1230">
        <f t="shared" si="17"/>
        <v>42105</v>
      </c>
      <c r="B271" s="1231">
        <f t="shared" si="18"/>
        <v>0.83333333333333337</v>
      </c>
      <c r="C271" s="1220">
        <v>2</v>
      </c>
      <c r="D271" s="1220" t="str">
        <f t="shared" si="16"/>
        <v>Plan B</v>
      </c>
      <c r="E271" s="1220">
        <f ca="1">VALUE(INDIRECT("Penalties!"&amp;PenaltyData[[#This Row],[REF]]&amp;(PenaltyData[[#This Row],[ROW]]+1)))</f>
        <v>0</v>
      </c>
      <c r="F271" s="1220" t="str">
        <f ca="1">IF(INDIRECT("Penalties!"&amp;$N$28&amp;PenaltyData[[#This Row],[ROW]],TRUE)=0, "",INDIRECT("Penalties!"&amp;$N$28&amp;PenaltyData[[#This Row],[ROW]],TRUE))</f>
        <v/>
      </c>
      <c r="G271" s="1220">
        <f ca="1">COUNTIFS($H$1:H271,"&lt;&gt;0", $F$1:F271,PenaltyData[[#This Row],[PlayerIdx]],$D$1:D271,PenaltyData[[#This Row],[Team]])</f>
        <v>0</v>
      </c>
      <c r="H271" s="1220">
        <f ca="1">INDIRECT("Penalties!"&amp;PenaltyData[[#This Row],[REF]]&amp;PenaltyData[[#This Row],[ROW]])</f>
        <v>0</v>
      </c>
      <c r="I271" s="1220" t="str">
        <f ca="1">IFERROR(VLOOKUP(PenaltyData[[#This Row],[Penalty]],PenaltyNames91419[],2,FALSE),"")</f>
        <v/>
      </c>
      <c r="J271" s="1220" t="s">
        <v>767</v>
      </c>
      <c r="K271" s="1220">
        <f t="shared" si="15"/>
        <v>32</v>
      </c>
      <c r="L271" s="1220"/>
    </row>
    <row r="272" spans="1:12" x14ac:dyDescent="0.25">
      <c r="A272" s="1230">
        <f t="shared" si="17"/>
        <v>42105</v>
      </c>
      <c r="B272" s="1231">
        <f t="shared" si="18"/>
        <v>0.83333333333333337</v>
      </c>
      <c r="C272" s="1220">
        <v>1</v>
      </c>
      <c r="D272" s="1220" t="str">
        <f t="shared" si="16"/>
        <v>Plan B</v>
      </c>
      <c r="E272" s="1220">
        <f ca="1">VALUE(INDIRECT("Penalties!"&amp;PenaltyData[[#This Row],[REF]]&amp;(PenaltyData[[#This Row],[ROW]]+1)))</f>
        <v>0</v>
      </c>
      <c r="F272" s="1220" t="str">
        <f ca="1">IF(INDIRECT("Penalties!"&amp;$N$28&amp;PenaltyData[[#This Row],[ROW]],TRUE)=0, "",INDIRECT("Penalties!"&amp;$N$28&amp;PenaltyData[[#This Row],[ROW]],TRUE))</f>
        <v/>
      </c>
      <c r="G272" s="1220">
        <f ca="1">COUNTIFS($H$1:H272,"&lt;&gt;0", $F$1:F272,PenaltyData[[#This Row],[PlayerIdx]],$D$1:D272,PenaltyData[[#This Row],[Team]])</f>
        <v>0</v>
      </c>
      <c r="H272" s="1220">
        <f ca="1">INDIRECT("Penalties!"&amp;PenaltyData[[#This Row],[REF]]&amp;PenaltyData[[#This Row],[ROW]])</f>
        <v>0</v>
      </c>
      <c r="I272" s="1220" t="str">
        <f ca="1">IFERROR(VLOOKUP(PenaltyData[[#This Row],[Penalty]],PenaltyNames91419[],2,FALSE),"")</f>
        <v/>
      </c>
      <c r="J272" s="1220" t="s">
        <v>136</v>
      </c>
      <c r="K272" s="1220">
        <f t="shared" si="15"/>
        <v>34</v>
      </c>
      <c r="L272" s="1220"/>
    </row>
    <row r="273" spans="1:12" x14ac:dyDescent="0.25">
      <c r="A273" s="1230">
        <f t="shared" si="17"/>
        <v>42105</v>
      </c>
      <c r="B273" s="1231">
        <f t="shared" si="18"/>
        <v>0.83333333333333337</v>
      </c>
      <c r="C273" s="1220">
        <v>1</v>
      </c>
      <c r="D273" s="1220" t="str">
        <f t="shared" si="16"/>
        <v>Plan B</v>
      </c>
      <c r="E273" s="1220">
        <f ca="1">VALUE(INDIRECT("Penalties!"&amp;PenaltyData[[#This Row],[REF]]&amp;(PenaltyData[[#This Row],[ROW]]+1)))</f>
        <v>0</v>
      </c>
      <c r="F273" s="1220" t="str">
        <f ca="1">IF(INDIRECT("Penalties!"&amp;$N$28&amp;PenaltyData[[#This Row],[ROW]],TRUE)=0, "",INDIRECT("Penalties!"&amp;$N$28&amp;PenaltyData[[#This Row],[ROW]],TRUE))</f>
        <v/>
      </c>
      <c r="G273" s="1220">
        <f ca="1">COUNTIFS($H$1:H273,"&lt;&gt;0", $F$1:F273,PenaltyData[[#This Row],[PlayerIdx]],$D$1:D273,PenaltyData[[#This Row],[Team]])</f>
        <v>0</v>
      </c>
      <c r="H273" s="1220">
        <f ca="1">INDIRECT("Penalties!"&amp;PenaltyData[[#This Row],[REF]]&amp;PenaltyData[[#This Row],[ROW]])</f>
        <v>0</v>
      </c>
      <c r="I273" s="1220" t="str">
        <f ca="1">IFERROR(VLOOKUP(PenaltyData[[#This Row],[Penalty]],PenaltyNames91419[],2,FALSE),"")</f>
        <v/>
      </c>
      <c r="J273" s="1220" t="s">
        <v>142</v>
      </c>
      <c r="K273" s="1220">
        <f t="shared" si="15"/>
        <v>34</v>
      </c>
      <c r="L273" s="1220"/>
    </row>
    <row r="274" spans="1:12" x14ac:dyDescent="0.25">
      <c r="A274" s="1230">
        <f t="shared" si="17"/>
        <v>42105</v>
      </c>
      <c r="B274" s="1231">
        <f t="shared" si="18"/>
        <v>0.83333333333333337</v>
      </c>
      <c r="C274" s="1220">
        <v>1</v>
      </c>
      <c r="D274" s="1220" t="str">
        <f t="shared" si="16"/>
        <v>Plan B</v>
      </c>
      <c r="E274" s="1220">
        <f ca="1">VALUE(INDIRECT("Penalties!"&amp;PenaltyData[[#This Row],[REF]]&amp;(PenaltyData[[#This Row],[ROW]]+1)))</f>
        <v>0</v>
      </c>
      <c r="F274" s="1220" t="str">
        <f ca="1">IF(INDIRECT("Penalties!"&amp;$N$28&amp;PenaltyData[[#This Row],[ROW]],TRUE)=0, "",INDIRECT("Penalties!"&amp;$N$28&amp;PenaltyData[[#This Row],[ROW]],TRUE))</f>
        <v/>
      </c>
      <c r="G274" s="1220">
        <f ca="1">COUNTIFS($H$1:H274,"&lt;&gt;0", $F$1:F274,PenaltyData[[#This Row],[PlayerIdx]],$D$1:D274,PenaltyData[[#This Row],[Team]])</f>
        <v>0</v>
      </c>
      <c r="H274" s="1220">
        <f ca="1">INDIRECT("Penalties!"&amp;PenaltyData[[#This Row],[REF]]&amp;PenaltyData[[#This Row],[ROW]])</f>
        <v>0</v>
      </c>
      <c r="I274" s="1220" t="str">
        <f ca="1">IFERROR(VLOOKUP(PenaltyData[[#This Row],[Penalty]],PenaltyNames91419[],2,FALSE),"")</f>
        <v/>
      </c>
      <c r="J274" s="1220" t="s">
        <v>754</v>
      </c>
      <c r="K274" s="1220">
        <f t="shared" si="15"/>
        <v>34</v>
      </c>
      <c r="L274" s="1220"/>
    </row>
    <row r="275" spans="1:12" x14ac:dyDescent="0.25">
      <c r="A275" s="1230">
        <f t="shared" si="17"/>
        <v>42105</v>
      </c>
      <c r="B275" s="1231">
        <f t="shared" si="18"/>
        <v>0.83333333333333337</v>
      </c>
      <c r="C275" s="1220">
        <v>1</v>
      </c>
      <c r="D275" s="1220" t="str">
        <f t="shared" si="16"/>
        <v>Plan B</v>
      </c>
      <c r="E275" s="1220">
        <f ca="1">VALUE(INDIRECT("Penalties!"&amp;PenaltyData[[#This Row],[REF]]&amp;(PenaltyData[[#This Row],[ROW]]+1)))</f>
        <v>0</v>
      </c>
      <c r="F275" s="1220" t="str">
        <f ca="1">IF(INDIRECT("Penalties!"&amp;$N$28&amp;PenaltyData[[#This Row],[ROW]],TRUE)=0, "",INDIRECT("Penalties!"&amp;$N$28&amp;PenaltyData[[#This Row],[ROW]],TRUE))</f>
        <v/>
      </c>
      <c r="G275" s="1220">
        <f ca="1">COUNTIFS($H$1:H275,"&lt;&gt;0", $F$1:F275,PenaltyData[[#This Row],[PlayerIdx]],$D$1:D275,PenaltyData[[#This Row],[Team]])</f>
        <v>0</v>
      </c>
      <c r="H275" s="1220">
        <f ca="1">INDIRECT("Penalties!"&amp;PenaltyData[[#This Row],[REF]]&amp;PenaltyData[[#This Row],[ROW]])</f>
        <v>0</v>
      </c>
      <c r="I275" s="1220" t="str">
        <f ca="1">IFERROR(VLOOKUP(PenaltyData[[#This Row],[Penalty]],PenaltyNames91419[],2,FALSE),"")</f>
        <v/>
      </c>
      <c r="J275" s="1220" t="s">
        <v>144</v>
      </c>
      <c r="K275" s="1220">
        <f t="shared" si="15"/>
        <v>34</v>
      </c>
      <c r="L275" s="1220"/>
    </row>
    <row r="276" spans="1:12" x14ac:dyDescent="0.25">
      <c r="A276" s="1230">
        <f t="shared" si="17"/>
        <v>42105</v>
      </c>
      <c r="B276" s="1231">
        <f t="shared" si="18"/>
        <v>0.83333333333333337</v>
      </c>
      <c r="C276" s="1220">
        <v>1</v>
      </c>
      <c r="D276" s="1220" t="str">
        <f t="shared" si="16"/>
        <v>Plan B</v>
      </c>
      <c r="E276" s="1220">
        <f ca="1">VALUE(INDIRECT("Penalties!"&amp;PenaltyData[[#This Row],[REF]]&amp;(PenaltyData[[#This Row],[ROW]]+1)))</f>
        <v>0</v>
      </c>
      <c r="F276" s="1220" t="str">
        <f ca="1">IF(INDIRECT("Penalties!"&amp;$N$28&amp;PenaltyData[[#This Row],[ROW]],TRUE)=0, "",INDIRECT("Penalties!"&amp;$N$28&amp;PenaltyData[[#This Row],[ROW]],TRUE))</f>
        <v/>
      </c>
      <c r="G276" s="1220">
        <f ca="1">COUNTIFS($H$1:H276,"&lt;&gt;0", $F$1:F276,PenaltyData[[#This Row],[PlayerIdx]],$D$1:D276,PenaltyData[[#This Row],[Team]])</f>
        <v>0</v>
      </c>
      <c r="H276" s="1220">
        <f ca="1">INDIRECT("Penalties!"&amp;PenaltyData[[#This Row],[REF]]&amp;PenaltyData[[#This Row],[ROW]])</f>
        <v>0</v>
      </c>
      <c r="I276" s="1220" t="str">
        <f ca="1">IFERROR(VLOOKUP(PenaltyData[[#This Row],[Penalty]],PenaltyNames91419[],2,FALSE),"")</f>
        <v/>
      </c>
      <c r="J276" s="1220" t="s">
        <v>146</v>
      </c>
      <c r="K276" s="1220">
        <f t="shared" si="15"/>
        <v>34</v>
      </c>
      <c r="L276" s="1220"/>
    </row>
    <row r="277" spans="1:12" x14ac:dyDescent="0.25">
      <c r="A277" s="1230">
        <f t="shared" si="17"/>
        <v>42105</v>
      </c>
      <c r="B277" s="1231">
        <f t="shared" si="18"/>
        <v>0.83333333333333337</v>
      </c>
      <c r="C277" s="1220">
        <v>1</v>
      </c>
      <c r="D277" s="1220" t="str">
        <f t="shared" si="16"/>
        <v>Plan B</v>
      </c>
      <c r="E277" s="1220">
        <f ca="1">VALUE(INDIRECT("Penalties!"&amp;PenaltyData[[#This Row],[REF]]&amp;(PenaltyData[[#This Row],[ROW]]+1)))</f>
        <v>0</v>
      </c>
      <c r="F277" s="1220" t="str">
        <f ca="1">IF(INDIRECT("Penalties!"&amp;$N$28&amp;PenaltyData[[#This Row],[ROW]],TRUE)=0, "",INDIRECT("Penalties!"&amp;$N$28&amp;PenaltyData[[#This Row],[ROW]],TRUE))</f>
        <v/>
      </c>
      <c r="G277" s="1220">
        <f ca="1">COUNTIFS($H$1:H277,"&lt;&gt;0", $F$1:F277,PenaltyData[[#This Row],[PlayerIdx]],$D$1:D277,PenaltyData[[#This Row],[Team]])</f>
        <v>0</v>
      </c>
      <c r="H277" s="1220">
        <f ca="1">INDIRECT("Penalties!"&amp;PenaltyData[[#This Row],[REF]]&amp;PenaltyData[[#This Row],[ROW]])</f>
        <v>0</v>
      </c>
      <c r="I277" s="1220" t="str">
        <f ca="1">IFERROR(VLOOKUP(PenaltyData[[#This Row],[Penalty]],PenaltyNames91419[],2,FALSE),"")</f>
        <v/>
      </c>
      <c r="J277" s="1220" t="s">
        <v>164</v>
      </c>
      <c r="K277" s="1220">
        <f t="shared" ref="K277:K340" si="19">K259+2</f>
        <v>34</v>
      </c>
      <c r="L277" s="1220"/>
    </row>
    <row r="278" spans="1:12" x14ac:dyDescent="0.25">
      <c r="A278" s="1230">
        <f t="shared" si="17"/>
        <v>42105</v>
      </c>
      <c r="B278" s="1231">
        <f t="shared" si="18"/>
        <v>0.83333333333333337</v>
      </c>
      <c r="C278" s="1220">
        <v>1</v>
      </c>
      <c r="D278" s="1220" t="str">
        <f t="shared" si="16"/>
        <v>Plan B</v>
      </c>
      <c r="E278" s="1220">
        <f ca="1">VALUE(INDIRECT("Penalties!"&amp;PenaltyData[[#This Row],[REF]]&amp;(PenaltyData[[#This Row],[ROW]]+1)))</f>
        <v>0</v>
      </c>
      <c r="F278" s="1220" t="str">
        <f ca="1">IF(INDIRECT("Penalties!"&amp;$N$28&amp;PenaltyData[[#This Row],[ROW]],TRUE)=0, "",INDIRECT("Penalties!"&amp;$N$28&amp;PenaltyData[[#This Row],[ROW]],TRUE))</f>
        <v/>
      </c>
      <c r="G278" s="1220">
        <f ca="1">COUNTIFS($H$1:H278,"&lt;&gt;0", $F$1:F278,PenaltyData[[#This Row],[PlayerIdx]],$D$1:D278,PenaltyData[[#This Row],[Team]])</f>
        <v>0</v>
      </c>
      <c r="H278" s="1220">
        <f ca="1">INDIRECT("Penalties!"&amp;PenaltyData[[#This Row],[REF]]&amp;PenaltyData[[#This Row],[ROW]])</f>
        <v>0</v>
      </c>
      <c r="I278" s="1220" t="str">
        <f ca="1">IFERROR(VLOOKUP(PenaltyData[[#This Row],[Penalty]],PenaltyNames91419[],2,FALSE),"")</f>
        <v/>
      </c>
      <c r="J278" s="1220" t="s">
        <v>138</v>
      </c>
      <c r="K278" s="1220">
        <f t="shared" si="19"/>
        <v>34</v>
      </c>
      <c r="L278" s="1220"/>
    </row>
    <row r="279" spans="1:12" x14ac:dyDescent="0.25">
      <c r="A279" s="1230">
        <f t="shared" si="17"/>
        <v>42105</v>
      </c>
      <c r="B279" s="1231">
        <f t="shared" si="18"/>
        <v>0.83333333333333337</v>
      </c>
      <c r="C279" s="1220">
        <v>1</v>
      </c>
      <c r="D279" s="1220" t="str">
        <f t="shared" si="16"/>
        <v>Plan B</v>
      </c>
      <c r="E279" s="1220">
        <f ca="1">VALUE(INDIRECT("Penalties!"&amp;PenaltyData[[#This Row],[REF]]&amp;(PenaltyData[[#This Row],[ROW]]+1)))</f>
        <v>0</v>
      </c>
      <c r="F279" s="1220" t="str">
        <f ca="1">IF(INDIRECT("Penalties!"&amp;$N$28&amp;PenaltyData[[#This Row],[ROW]],TRUE)=0, "",INDIRECT("Penalties!"&amp;$N$28&amp;PenaltyData[[#This Row],[ROW]],TRUE))</f>
        <v/>
      </c>
      <c r="G279" s="1220">
        <f ca="1">COUNTIFS($H$1:H279,"&lt;&gt;0", $F$1:F279,PenaltyData[[#This Row],[PlayerIdx]],$D$1:D279,PenaltyData[[#This Row],[Team]])</f>
        <v>0</v>
      </c>
      <c r="H279" s="1220">
        <f ca="1">INDIRECT("Penalties!"&amp;PenaltyData[[#This Row],[REF]]&amp;PenaltyData[[#This Row],[ROW]])</f>
        <v>0</v>
      </c>
      <c r="I279" s="1220" t="str">
        <f ca="1">IFERROR(VLOOKUP(PenaltyData[[#This Row],[Penalty]],PenaltyNames91419[],2,FALSE),"")</f>
        <v/>
      </c>
      <c r="J279" s="1220" t="s">
        <v>150</v>
      </c>
      <c r="K279" s="1220">
        <f t="shared" si="19"/>
        <v>34</v>
      </c>
      <c r="L279" s="1220"/>
    </row>
    <row r="280" spans="1:12" x14ac:dyDescent="0.25">
      <c r="A280" s="1230">
        <f t="shared" si="17"/>
        <v>42105</v>
      </c>
      <c r="B280" s="1231">
        <f t="shared" si="18"/>
        <v>0.83333333333333337</v>
      </c>
      <c r="C280" s="1220">
        <v>1</v>
      </c>
      <c r="D280" s="1220" t="str">
        <f t="shared" si="16"/>
        <v>Plan B</v>
      </c>
      <c r="E280" s="1220">
        <f ca="1">VALUE(INDIRECT("Penalties!"&amp;PenaltyData[[#This Row],[REF]]&amp;(PenaltyData[[#This Row],[ROW]]+1)))</f>
        <v>0</v>
      </c>
      <c r="F280" s="1220" t="str">
        <f ca="1">IF(INDIRECT("Penalties!"&amp;$N$28&amp;PenaltyData[[#This Row],[ROW]],TRUE)=0, "",INDIRECT("Penalties!"&amp;$N$28&amp;PenaltyData[[#This Row],[ROW]],TRUE))</f>
        <v/>
      </c>
      <c r="G280" s="1220">
        <f ca="1">COUNTIFS($H$1:H280,"&lt;&gt;0", $F$1:F280,PenaltyData[[#This Row],[PlayerIdx]],$D$1:D280,PenaltyData[[#This Row],[Team]])</f>
        <v>0</v>
      </c>
      <c r="H280" s="1220">
        <f ca="1">INDIRECT("Penalties!"&amp;PenaltyData[[#This Row],[REF]]&amp;PenaltyData[[#This Row],[ROW]])</f>
        <v>0</v>
      </c>
      <c r="I280" s="1220" t="str">
        <f ca="1">IFERROR(VLOOKUP(PenaltyData[[#This Row],[Penalty]],PenaltyNames91419[],2,FALSE),"")</f>
        <v/>
      </c>
      <c r="J280" s="1220" t="s">
        <v>757</v>
      </c>
      <c r="K280" s="1220">
        <f t="shared" si="19"/>
        <v>34</v>
      </c>
      <c r="L280" s="1220"/>
    </row>
    <row r="281" spans="1:12" x14ac:dyDescent="0.25">
      <c r="A281" s="1230">
        <f t="shared" si="17"/>
        <v>42105</v>
      </c>
      <c r="B281" s="1231">
        <f t="shared" si="18"/>
        <v>0.83333333333333337</v>
      </c>
      <c r="C281" s="1220">
        <v>2</v>
      </c>
      <c r="D281" s="1220" t="str">
        <f t="shared" si="16"/>
        <v>Plan B</v>
      </c>
      <c r="E281" s="1220">
        <f ca="1">VALUE(INDIRECT("Penalties!"&amp;PenaltyData[[#This Row],[REF]]&amp;(PenaltyData[[#This Row],[ROW]]+1)))</f>
        <v>0</v>
      </c>
      <c r="F281" s="1220" t="str">
        <f ca="1">IF(INDIRECT("Penalties!"&amp;$N$28&amp;PenaltyData[[#This Row],[ROW]],TRUE)=0, "",INDIRECT("Penalties!"&amp;$N$28&amp;PenaltyData[[#This Row],[ROW]],TRUE))</f>
        <v/>
      </c>
      <c r="G281" s="1220">
        <f ca="1">COUNTIFS($H$1:H281,"&lt;&gt;0", $F$1:F281,PenaltyData[[#This Row],[PlayerIdx]],$D$1:D281,PenaltyData[[#This Row],[Team]])</f>
        <v>0</v>
      </c>
      <c r="H281" s="1220">
        <f ca="1">INDIRECT("Penalties!"&amp;PenaltyData[[#This Row],[REF]]&amp;PenaltyData[[#This Row],[ROW]])</f>
        <v>0</v>
      </c>
      <c r="I281" s="1220" t="str">
        <f ca="1">IFERROR(VLOOKUP(PenaltyData[[#This Row],[Penalty]],PenaltyNames91419[],2,FALSE),"")</f>
        <v/>
      </c>
      <c r="J281" s="1220" t="s">
        <v>758</v>
      </c>
      <c r="K281" s="1220">
        <f t="shared" si="19"/>
        <v>34</v>
      </c>
      <c r="L281" s="1220"/>
    </row>
    <row r="282" spans="1:12" x14ac:dyDescent="0.25">
      <c r="A282" s="1230">
        <f t="shared" si="17"/>
        <v>42105</v>
      </c>
      <c r="B282" s="1231">
        <f t="shared" si="18"/>
        <v>0.83333333333333337</v>
      </c>
      <c r="C282" s="1220">
        <v>2</v>
      </c>
      <c r="D282" s="1220" t="str">
        <f t="shared" si="16"/>
        <v>Plan B</v>
      </c>
      <c r="E282" s="1220">
        <f ca="1">VALUE(INDIRECT("Penalties!"&amp;PenaltyData[[#This Row],[REF]]&amp;(PenaltyData[[#This Row],[ROW]]+1)))</f>
        <v>0</v>
      </c>
      <c r="F282" s="1220" t="str">
        <f ca="1">IF(INDIRECT("Penalties!"&amp;$N$28&amp;PenaltyData[[#This Row],[ROW]],TRUE)=0, "",INDIRECT("Penalties!"&amp;$N$28&amp;PenaltyData[[#This Row],[ROW]],TRUE))</f>
        <v/>
      </c>
      <c r="G282" s="1220">
        <f ca="1">COUNTIFS($H$1:H282,"&lt;&gt;0", $F$1:F282,PenaltyData[[#This Row],[PlayerIdx]],$D$1:D282,PenaltyData[[#This Row],[Team]])</f>
        <v>0</v>
      </c>
      <c r="H282" s="1220">
        <f ca="1">INDIRECT("Penalties!"&amp;PenaltyData[[#This Row],[REF]]&amp;PenaltyData[[#This Row],[ROW]])</f>
        <v>0</v>
      </c>
      <c r="I282" s="1220" t="str">
        <f ca="1">IFERROR(VLOOKUP(PenaltyData[[#This Row],[Penalty]],PenaltyNames91419[],2,FALSE),"")</f>
        <v/>
      </c>
      <c r="J282" s="1220" t="s">
        <v>759</v>
      </c>
      <c r="K282" s="1220">
        <f t="shared" si="19"/>
        <v>34</v>
      </c>
      <c r="L282" s="1220"/>
    </row>
    <row r="283" spans="1:12" x14ac:dyDescent="0.25">
      <c r="A283" s="1230">
        <f t="shared" si="17"/>
        <v>42105</v>
      </c>
      <c r="B283" s="1231">
        <f t="shared" si="18"/>
        <v>0.83333333333333337</v>
      </c>
      <c r="C283" s="1220">
        <v>2</v>
      </c>
      <c r="D283" s="1220" t="str">
        <f t="shared" si="16"/>
        <v>Plan B</v>
      </c>
      <c r="E283" s="1220">
        <f ca="1">VALUE(INDIRECT("Penalties!"&amp;PenaltyData[[#This Row],[REF]]&amp;(PenaltyData[[#This Row],[ROW]]+1)))</f>
        <v>0</v>
      </c>
      <c r="F283" s="1220" t="str">
        <f ca="1">IF(INDIRECT("Penalties!"&amp;$N$28&amp;PenaltyData[[#This Row],[ROW]],TRUE)=0, "",INDIRECT("Penalties!"&amp;$N$28&amp;PenaltyData[[#This Row],[ROW]],TRUE))</f>
        <v/>
      </c>
      <c r="G283" s="1220">
        <f ca="1">COUNTIFS($H$1:H283,"&lt;&gt;0", $F$1:F283,PenaltyData[[#This Row],[PlayerIdx]],$D$1:D283,PenaltyData[[#This Row],[Team]])</f>
        <v>0</v>
      </c>
      <c r="H283" s="1220">
        <f ca="1">INDIRECT("Penalties!"&amp;PenaltyData[[#This Row],[REF]]&amp;PenaltyData[[#This Row],[ROW]])</f>
        <v>0</v>
      </c>
      <c r="I283" s="1220" t="str">
        <f ca="1">IFERROR(VLOOKUP(PenaltyData[[#This Row],[Penalty]],PenaltyNames91419[],2,FALSE),"")</f>
        <v/>
      </c>
      <c r="J283" s="1220" t="s">
        <v>760</v>
      </c>
      <c r="K283" s="1220">
        <f t="shared" si="19"/>
        <v>34</v>
      </c>
      <c r="L283" s="1220"/>
    </row>
    <row r="284" spans="1:12" x14ac:dyDescent="0.25">
      <c r="A284" s="1230">
        <f t="shared" si="17"/>
        <v>42105</v>
      </c>
      <c r="B284" s="1231">
        <f t="shared" si="18"/>
        <v>0.83333333333333337</v>
      </c>
      <c r="C284" s="1220">
        <v>2</v>
      </c>
      <c r="D284" s="1220" t="str">
        <f t="shared" si="16"/>
        <v>Plan B</v>
      </c>
      <c r="E284" s="1220">
        <f ca="1">VALUE(INDIRECT("Penalties!"&amp;PenaltyData[[#This Row],[REF]]&amp;(PenaltyData[[#This Row],[ROW]]+1)))</f>
        <v>0</v>
      </c>
      <c r="F284" s="1220" t="str">
        <f ca="1">IF(INDIRECT("Penalties!"&amp;$N$28&amp;PenaltyData[[#This Row],[ROW]],TRUE)=0, "",INDIRECT("Penalties!"&amp;$N$28&amp;PenaltyData[[#This Row],[ROW]],TRUE))</f>
        <v/>
      </c>
      <c r="G284" s="1220">
        <f ca="1">COUNTIFS($H$1:H284,"&lt;&gt;0", $F$1:F284,PenaltyData[[#This Row],[PlayerIdx]],$D$1:D284,PenaltyData[[#This Row],[Team]])</f>
        <v>0</v>
      </c>
      <c r="H284" s="1220">
        <f ca="1">INDIRECT("Penalties!"&amp;PenaltyData[[#This Row],[REF]]&amp;PenaltyData[[#This Row],[ROW]])</f>
        <v>0</v>
      </c>
      <c r="I284" s="1220" t="str">
        <f ca="1">IFERROR(VLOOKUP(PenaltyData[[#This Row],[Penalty]],PenaltyNames91419[],2,FALSE),"")</f>
        <v/>
      </c>
      <c r="J284" s="1220" t="s">
        <v>761</v>
      </c>
      <c r="K284" s="1220">
        <f t="shared" si="19"/>
        <v>34</v>
      </c>
      <c r="L284" s="1220"/>
    </row>
    <row r="285" spans="1:12" x14ac:dyDescent="0.25">
      <c r="A285" s="1230">
        <f t="shared" si="17"/>
        <v>42105</v>
      </c>
      <c r="B285" s="1231">
        <f t="shared" si="18"/>
        <v>0.83333333333333337</v>
      </c>
      <c r="C285" s="1220">
        <v>2</v>
      </c>
      <c r="D285" s="1220" t="str">
        <f t="shared" si="16"/>
        <v>Plan B</v>
      </c>
      <c r="E285" s="1220">
        <f ca="1">VALUE(INDIRECT("Penalties!"&amp;PenaltyData[[#This Row],[REF]]&amp;(PenaltyData[[#This Row],[ROW]]+1)))</f>
        <v>0</v>
      </c>
      <c r="F285" s="1220" t="str">
        <f ca="1">IF(INDIRECT("Penalties!"&amp;$N$28&amp;PenaltyData[[#This Row],[ROW]],TRUE)=0, "",INDIRECT("Penalties!"&amp;$N$28&amp;PenaltyData[[#This Row],[ROW]],TRUE))</f>
        <v/>
      </c>
      <c r="G285" s="1220">
        <f ca="1">COUNTIFS($H$1:H285,"&lt;&gt;0", $F$1:F285,PenaltyData[[#This Row],[PlayerIdx]],$D$1:D285,PenaltyData[[#This Row],[Team]])</f>
        <v>0</v>
      </c>
      <c r="H285" s="1220">
        <f ca="1">INDIRECT("Penalties!"&amp;PenaltyData[[#This Row],[REF]]&amp;PenaltyData[[#This Row],[ROW]])</f>
        <v>0</v>
      </c>
      <c r="I285" s="1220" t="str">
        <f ca="1">IFERROR(VLOOKUP(PenaltyData[[#This Row],[Penalty]],PenaltyNames91419[],2,FALSE),"")</f>
        <v/>
      </c>
      <c r="J285" s="1220" t="s">
        <v>762</v>
      </c>
      <c r="K285" s="1220">
        <f t="shared" si="19"/>
        <v>34</v>
      </c>
      <c r="L285" s="1220"/>
    </row>
    <row r="286" spans="1:12" x14ac:dyDescent="0.25">
      <c r="A286" s="1230">
        <f t="shared" si="17"/>
        <v>42105</v>
      </c>
      <c r="B286" s="1231">
        <f t="shared" si="18"/>
        <v>0.83333333333333337</v>
      </c>
      <c r="C286" s="1220">
        <v>2</v>
      </c>
      <c r="D286" s="1220" t="str">
        <f t="shared" si="16"/>
        <v>Plan B</v>
      </c>
      <c r="E286" s="1220">
        <f ca="1">VALUE(INDIRECT("Penalties!"&amp;PenaltyData[[#This Row],[REF]]&amp;(PenaltyData[[#This Row],[ROW]]+1)))</f>
        <v>0</v>
      </c>
      <c r="F286" s="1220" t="str">
        <f ca="1">IF(INDIRECT("Penalties!"&amp;$N$28&amp;PenaltyData[[#This Row],[ROW]],TRUE)=0, "",INDIRECT("Penalties!"&amp;$N$28&amp;PenaltyData[[#This Row],[ROW]],TRUE))</f>
        <v/>
      </c>
      <c r="G286" s="1220">
        <f ca="1">COUNTIFS($H$1:H286,"&lt;&gt;0", $F$1:F286,PenaltyData[[#This Row],[PlayerIdx]],$D$1:D286,PenaltyData[[#This Row],[Team]])</f>
        <v>0</v>
      </c>
      <c r="H286" s="1220">
        <f ca="1">INDIRECT("Penalties!"&amp;PenaltyData[[#This Row],[REF]]&amp;PenaltyData[[#This Row],[ROW]])</f>
        <v>0</v>
      </c>
      <c r="I286" s="1220" t="str">
        <f ca="1">IFERROR(VLOOKUP(PenaltyData[[#This Row],[Penalty]],PenaltyNames91419[],2,FALSE),"")</f>
        <v/>
      </c>
      <c r="J286" s="1220" t="s">
        <v>763</v>
      </c>
      <c r="K286" s="1220">
        <f t="shared" si="19"/>
        <v>34</v>
      </c>
      <c r="L286" s="1220"/>
    </row>
    <row r="287" spans="1:12" x14ac:dyDescent="0.25">
      <c r="A287" s="1230">
        <f t="shared" si="17"/>
        <v>42105</v>
      </c>
      <c r="B287" s="1231">
        <f t="shared" si="18"/>
        <v>0.83333333333333337</v>
      </c>
      <c r="C287" s="1220">
        <v>2</v>
      </c>
      <c r="D287" s="1220" t="str">
        <f t="shared" si="16"/>
        <v>Plan B</v>
      </c>
      <c r="E287" s="1220">
        <f ca="1">VALUE(INDIRECT("Penalties!"&amp;PenaltyData[[#This Row],[REF]]&amp;(PenaltyData[[#This Row],[ROW]]+1)))</f>
        <v>0</v>
      </c>
      <c r="F287" s="1220" t="str">
        <f ca="1">IF(INDIRECT("Penalties!"&amp;$N$28&amp;PenaltyData[[#This Row],[ROW]],TRUE)=0, "",INDIRECT("Penalties!"&amp;$N$28&amp;PenaltyData[[#This Row],[ROW]],TRUE))</f>
        <v/>
      </c>
      <c r="G287" s="1220">
        <f ca="1">COUNTIFS($H$1:H287,"&lt;&gt;0", $F$1:F287,PenaltyData[[#This Row],[PlayerIdx]],$D$1:D287,PenaltyData[[#This Row],[Team]])</f>
        <v>0</v>
      </c>
      <c r="H287" s="1220">
        <f ca="1">INDIRECT("Penalties!"&amp;PenaltyData[[#This Row],[REF]]&amp;PenaltyData[[#This Row],[ROW]])</f>
        <v>0</v>
      </c>
      <c r="I287" s="1220" t="str">
        <f ca="1">IFERROR(VLOOKUP(PenaltyData[[#This Row],[Penalty]],PenaltyNames91419[],2,FALSE),"")</f>
        <v/>
      </c>
      <c r="J287" s="1220" t="s">
        <v>765</v>
      </c>
      <c r="K287" s="1220">
        <f t="shared" si="19"/>
        <v>34</v>
      </c>
      <c r="L287" s="1220"/>
    </row>
    <row r="288" spans="1:12" x14ac:dyDescent="0.25">
      <c r="A288" s="1230">
        <f t="shared" si="17"/>
        <v>42105</v>
      </c>
      <c r="B288" s="1231">
        <f t="shared" si="18"/>
        <v>0.83333333333333337</v>
      </c>
      <c r="C288" s="1220">
        <v>2</v>
      </c>
      <c r="D288" s="1220" t="str">
        <f t="shared" si="16"/>
        <v>Plan B</v>
      </c>
      <c r="E288" s="1220">
        <f ca="1">VALUE(INDIRECT("Penalties!"&amp;PenaltyData[[#This Row],[REF]]&amp;(PenaltyData[[#This Row],[ROW]]+1)))</f>
        <v>0</v>
      </c>
      <c r="F288" s="1220" t="str">
        <f ca="1">IF(INDIRECT("Penalties!"&amp;$N$28&amp;PenaltyData[[#This Row],[ROW]],TRUE)=0, "",INDIRECT("Penalties!"&amp;$N$28&amp;PenaltyData[[#This Row],[ROW]],TRUE))</f>
        <v/>
      </c>
      <c r="G288" s="1220">
        <f ca="1">COUNTIFS($H$1:H288,"&lt;&gt;0", $F$1:F288,PenaltyData[[#This Row],[PlayerIdx]],$D$1:D288,PenaltyData[[#This Row],[Team]])</f>
        <v>0</v>
      </c>
      <c r="H288" s="1220">
        <f ca="1">INDIRECT("Penalties!"&amp;PenaltyData[[#This Row],[REF]]&amp;PenaltyData[[#This Row],[ROW]])</f>
        <v>0</v>
      </c>
      <c r="I288" s="1220" t="str">
        <f ca="1">IFERROR(VLOOKUP(PenaltyData[[#This Row],[Penalty]],PenaltyNames91419[],2,FALSE),"")</f>
        <v/>
      </c>
      <c r="J288" s="1220" t="s">
        <v>766</v>
      </c>
      <c r="K288" s="1220">
        <f t="shared" si="19"/>
        <v>34</v>
      </c>
      <c r="L288" s="1220"/>
    </row>
    <row r="289" spans="1:12" x14ac:dyDescent="0.25">
      <c r="A289" s="1230">
        <f t="shared" si="17"/>
        <v>42105</v>
      </c>
      <c r="B289" s="1231">
        <f t="shared" si="18"/>
        <v>0.83333333333333337</v>
      </c>
      <c r="C289" s="1220">
        <v>2</v>
      </c>
      <c r="D289" s="1220" t="str">
        <f t="shared" si="16"/>
        <v>Plan B</v>
      </c>
      <c r="E289" s="1220">
        <f ca="1">VALUE(INDIRECT("Penalties!"&amp;PenaltyData[[#This Row],[REF]]&amp;(PenaltyData[[#This Row],[ROW]]+1)))</f>
        <v>0</v>
      </c>
      <c r="F289" s="1220" t="str">
        <f ca="1">IF(INDIRECT("Penalties!"&amp;$N$28&amp;PenaltyData[[#This Row],[ROW]],TRUE)=0, "",INDIRECT("Penalties!"&amp;$N$28&amp;PenaltyData[[#This Row],[ROW]],TRUE))</f>
        <v/>
      </c>
      <c r="G289" s="1220">
        <f ca="1">COUNTIFS($H$1:H289,"&lt;&gt;0", $F$1:F289,PenaltyData[[#This Row],[PlayerIdx]],$D$1:D289,PenaltyData[[#This Row],[Team]])</f>
        <v>0</v>
      </c>
      <c r="H289" s="1220">
        <f ca="1">INDIRECT("Penalties!"&amp;PenaltyData[[#This Row],[REF]]&amp;PenaltyData[[#This Row],[ROW]])</f>
        <v>0</v>
      </c>
      <c r="I289" s="1220" t="str">
        <f ca="1">IFERROR(VLOOKUP(PenaltyData[[#This Row],[Penalty]],PenaltyNames91419[],2,FALSE),"")</f>
        <v/>
      </c>
      <c r="J289" s="1220" t="s">
        <v>767</v>
      </c>
      <c r="K289" s="1220">
        <f t="shared" si="19"/>
        <v>34</v>
      </c>
      <c r="L289" s="1220"/>
    </row>
    <row r="290" spans="1:12" x14ac:dyDescent="0.25">
      <c r="A290" s="1230">
        <f t="shared" si="17"/>
        <v>42105</v>
      </c>
      <c r="B290" s="1231">
        <f t="shared" si="18"/>
        <v>0.83333333333333337</v>
      </c>
      <c r="C290" s="1220">
        <v>1</v>
      </c>
      <c r="D290" s="1220" t="str">
        <f t="shared" si="16"/>
        <v>Plan B</v>
      </c>
      <c r="E290" s="1220">
        <f ca="1">VALUE(INDIRECT("Penalties!"&amp;PenaltyData[[#This Row],[REF]]&amp;(PenaltyData[[#This Row],[ROW]]+1)))</f>
        <v>0</v>
      </c>
      <c r="F290" s="1220" t="str">
        <f ca="1">IF(INDIRECT("Penalties!"&amp;$N$28&amp;PenaltyData[[#This Row],[ROW]],TRUE)=0, "",INDIRECT("Penalties!"&amp;$N$28&amp;PenaltyData[[#This Row],[ROW]],TRUE))</f>
        <v/>
      </c>
      <c r="G290" s="1220">
        <f ca="1">COUNTIFS($H$1:H290,"&lt;&gt;0", $F$1:F290,PenaltyData[[#This Row],[PlayerIdx]],$D$1:D290,PenaltyData[[#This Row],[Team]])</f>
        <v>0</v>
      </c>
      <c r="H290" s="1220">
        <f ca="1">INDIRECT("Penalties!"&amp;PenaltyData[[#This Row],[REF]]&amp;PenaltyData[[#This Row],[ROW]])</f>
        <v>0</v>
      </c>
      <c r="I290" s="1220" t="str">
        <f ca="1">IFERROR(VLOOKUP(PenaltyData[[#This Row],[Penalty]],PenaltyNames91419[],2,FALSE),"")</f>
        <v/>
      </c>
      <c r="J290" s="1220" t="s">
        <v>136</v>
      </c>
      <c r="K290" s="1220">
        <f t="shared" si="19"/>
        <v>36</v>
      </c>
      <c r="L290" s="1220"/>
    </row>
    <row r="291" spans="1:12" x14ac:dyDescent="0.25">
      <c r="A291" s="1230">
        <f t="shared" si="17"/>
        <v>42105</v>
      </c>
      <c r="B291" s="1231">
        <f t="shared" si="18"/>
        <v>0.83333333333333337</v>
      </c>
      <c r="C291" s="1220">
        <v>1</v>
      </c>
      <c r="D291" s="1220" t="str">
        <f t="shared" si="16"/>
        <v>Plan B</v>
      </c>
      <c r="E291" s="1220">
        <f ca="1">VALUE(INDIRECT("Penalties!"&amp;PenaltyData[[#This Row],[REF]]&amp;(PenaltyData[[#This Row],[ROW]]+1)))</f>
        <v>0</v>
      </c>
      <c r="F291" s="1220" t="str">
        <f ca="1">IF(INDIRECT("Penalties!"&amp;$N$28&amp;PenaltyData[[#This Row],[ROW]],TRUE)=0, "",INDIRECT("Penalties!"&amp;$N$28&amp;PenaltyData[[#This Row],[ROW]],TRUE))</f>
        <v/>
      </c>
      <c r="G291" s="1220">
        <f ca="1">COUNTIFS($H$1:H291,"&lt;&gt;0", $F$1:F291,PenaltyData[[#This Row],[PlayerIdx]],$D$1:D291,PenaltyData[[#This Row],[Team]])</f>
        <v>0</v>
      </c>
      <c r="H291" s="1220">
        <f ca="1">INDIRECT("Penalties!"&amp;PenaltyData[[#This Row],[REF]]&amp;PenaltyData[[#This Row],[ROW]])</f>
        <v>0</v>
      </c>
      <c r="I291" s="1220" t="str">
        <f ca="1">IFERROR(VLOOKUP(PenaltyData[[#This Row],[Penalty]],PenaltyNames91419[],2,FALSE),"")</f>
        <v/>
      </c>
      <c r="J291" s="1220" t="s">
        <v>142</v>
      </c>
      <c r="K291" s="1220">
        <f t="shared" si="19"/>
        <v>36</v>
      </c>
      <c r="L291" s="1220"/>
    </row>
    <row r="292" spans="1:12" x14ac:dyDescent="0.25">
      <c r="A292" s="1230">
        <f t="shared" si="17"/>
        <v>42105</v>
      </c>
      <c r="B292" s="1231">
        <f t="shared" si="18"/>
        <v>0.83333333333333337</v>
      </c>
      <c r="C292" s="1220">
        <v>1</v>
      </c>
      <c r="D292" s="1220" t="str">
        <f t="shared" si="16"/>
        <v>Plan B</v>
      </c>
      <c r="E292" s="1220">
        <f ca="1">VALUE(INDIRECT("Penalties!"&amp;PenaltyData[[#This Row],[REF]]&amp;(PenaltyData[[#This Row],[ROW]]+1)))</f>
        <v>0</v>
      </c>
      <c r="F292" s="1220" t="str">
        <f ca="1">IF(INDIRECT("Penalties!"&amp;$N$28&amp;PenaltyData[[#This Row],[ROW]],TRUE)=0, "",INDIRECT("Penalties!"&amp;$N$28&amp;PenaltyData[[#This Row],[ROW]],TRUE))</f>
        <v/>
      </c>
      <c r="G292" s="1220">
        <f ca="1">COUNTIFS($H$1:H292,"&lt;&gt;0", $F$1:F292,PenaltyData[[#This Row],[PlayerIdx]],$D$1:D292,PenaltyData[[#This Row],[Team]])</f>
        <v>0</v>
      </c>
      <c r="H292" s="1220">
        <f ca="1">INDIRECT("Penalties!"&amp;PenaltyData[[#This Row],[REF]]&amp;PenaltyData[[#This Row],[ROW]])</f>
        <v>0</v>
      </c>
      <c r="I292" s="1220" t="str">
        <f ca="1">IFERROR(VLOOKUP(PenaltyData[[#This Row],[Penalty]],PenaltyNames91419[],2,FALSE),"")</f>
        <v/>
      </c>
      <c r="J292" s="1220" t="s">
        <v>754</v>
      </c>
      <c r="K292" s="1220">
        <f t="shared" si="19"/>
        <v>36</v>
      </c>
      <c r="L292" s="1220"/>
    </row>
    <row r="293" spans="1:12" x14ac:dyDescent="0.25">
      <c r="A293" s="1230">
        <f t="shared" si="17"/>
        <v>42105</v>
      </c>
      <c r="B293" s="1231">
        <f t="shared" si="18"/>
        <v>0.83333333333333337</v>
      </c>
      <c r="C293" s="1220">
        <v>1</v>
      </c>
      <c r="D293" s="1220" t="str">
        <f t="shared" si="16"/>
        <v>Plan B</v>
      </c>
      <c r="E293" s="1220">
        <f ca="1">VALUE(INDIRECT("Penalties!"&amp;PenaltyData[[#This Row],[REF]]&amp;(PenaltyData[[#This Row],[ROW]]+1)))</f>
        <v>0</v>
      </c>
      <c r="F293" s="1220" t="str">
        <f ca="1">IF(INDIRECT("Penalties!"&amp;$N$28&amp;PenaltyData[[#This Row],[ROW]],TRUE)=0, "",INDIRECT("Penalties!"&amp;$N$28&amp;PenaltyData[[#This Row],[ROW]],TRUE))</f>
        <v/>
      </c>
      <c r="G293" s="1220">
        <f ca="1">COUNTIFS($H$1:H293,"&lt;&gt;0", $F$1:F293,PenaltyData[[#This Row],[PlayerIdx]],$D$1:D293,PenaltyData[[#This Row],[Team]])</f>
        <v>0</v>
      </c>
      <c r="H293" s="1220">
        <f ca="1">INDIRECT("Penalties!"&amp;PenaltyData[[#This Row],[REF]]&amp;PenaltyData[[#This Row],[ROW]])</f>
        <v>0</v>
      </c>
      <c r="I293" s="1220" t="str">
        <f ca="1">IFERROR(VLOOKUP(PenaltyData[[#This Row],[Penalty]],PenaltyNames91419[],2,FALSE),"")</f>
        <v/>
      </c>
      <c r="J293" s="1220" t="s">
        <v>144</v>
      </c>
      <c r="K293" s="1220">
        <f t="shared" si="19"/>
        <v>36</v>
      </c>
      <c r="L293" s="1220"/>
    </row>
    <row r="294" spans="1:12" x14ac:dyDescent="0.25">
      <c r="A294" s="1230">
        <f t="shared" si="17"/>
        <v>42105</v>
      </c>
      <c r="B294" s="1231">
        <f t="shared" si="18"/>
        <v>0.83333333333333337</v>
      </c>
      <c r="C294" s="1220">
        <v>1</v>
      </c>
      <c r="D294" s="1220" t="str">
        <f t="shared" si="16"/>
        <v>Plan B</v>
      </c>
      <c r="E294" s="1220">
        <f ca="1">VALUE(INDIRECT("Penalties!"&amp;PenaltyData[[#This Row],[REF]]&amp;(PenaltyData[[#This Row],[ROW]]+1)))</f>
        <v>0</v>
      </c>
      <c r="F294" s="1220" t="str">
        <f ca="1">IF(INDIRECT("Penalties!"&amp;$N$28&amp;PenaltyData[[#This Row],[ROW]],TRUE)=0, "",INDIRECT("Penalties!"&amp;$N$28&amp;PenaltyData[[#This Row],[ROW]],TRUE))</f>
        <v/>
      </c>
      <c r="G294" s="1220">
        <f ca="1">COUNTIFS($H$1:H294,"&lt;&gt;0", $F$1:F294,PenaltyData[[#This Row],[PlayerIdx]],$D$1:D294,PenaltyData[[#This Row],[Team]])</f>
        <v>0</v>
      </c>
      <c r="H294" s="1220">
        <f ca="1">INDIRECT("Penalties!"&amp;PenaltyData[[#This Row],[REF]]&amp;PenaltyData[[#This Row],[ROW]])</f>
        <v>0</v>
      </c>
      <c r="I294" s="1220" t="str">
        <f ca="1">IFERROR(VLOOKUP(PenaltyData[[#This Row],[Penalty]],PenaltyNames91419[],2,FALSE),"")</f>
        <v/>
      </c>
      <c r="J294" s="1220" t="s">
        <v>146</v>
      </c>
      <c r="K294" s="1220">
        <f t="shared" si="19"/>
        <v>36</v>
      </c>
      <c r="L294" s="1220"/>
    </row>
    <row r="295" spans="1:12" x14ac:dyDescent="0.25">
      <c r="A295" s="1230">
        <f t="shared" si="17"/>
        <v>42105</v>
      </c>
      <c r="B295" s="1231">
        <f t="shared" si="18"/>
        <v>0.83333333333333337</v>
      </c>
      <c r="C295" s="1220">
        <v>1</v>
      </c>
      <c r="D295" s="1220" t="str">
        <f t="shared" si="16"/>
        <v>Plan B</v>
      </c>
      <c r="E295" s="1220">
        <f ca="1">VALUE(INDIRECT("Penalties!"&amp;PenaltyData[[#This Row],[REF]]&amp;(PenaltyData[[#This Row],[ROW]]+1)))</f>
        <v>0</v>
      </c>
      <c r="F295" s="1220" t="str">
        <f ca="1">IF(INDIRECT("Penalties!"&amp;$N$28&amp;PenaltyData[[#This Row],[ROW]],TRUE)=0, "",INDIRECT("Penalties!"&amp;$N$28&amp;PenaltyData[[#This Row],[ROW]],TRUE))</f>
        <v/>
      </c>
      <c r="G295" s="1220">
        <f ca="1">COUNTIFS($H$1:H295,"&lt;&gt;0", $F$1:F295,PenaltyData[[#This Row],[PlayerIdx]],$D$1:D295,PenaltyData[[#This Row],[Team]])</f>
        <v>0</v>
      </c>
      <c r="H295" s="1220">
        <f ca="1">INDIRECT("Penalties!"&amp;PenaltyData[[#This Row],[REF]]&amp;PenaltyData[[#This Row],[ROW]])</f>
        <v>0</v>
      </c>
      <c r="I295" s="1220" t="str">
        <f ca="1">IFERROR(VLOOKUP(PenaltyData[[#This Row],[Penalty]],PenaltyNames91419[],2,FALSE),"")</f>
        <v/>
      </c>
      <c r="J295" s="1220" t="s">
        <v>164</v>
      </c>
      <c r="K295" s="1220">
        <f t="shared" si="19"/>
        <v>36</v>
      </c>
      <c r="L295" s="1220"/>
    </row>
    <row r="296" spans="1:12" x14ac:dyDescent="0.25">
      <c r="A296" s="1230">
        <f t="shared" si="17"/>
        <v>42105</v>
      </c>
      <c r="B296" s="1231">
        <f t="shared" si="18"/>
        <v>0.83333333333333337</v>
      </c>
      <c r="C296" s="1220">
        <v>1</v>
      </c>
      <c r="D296" s="1220" t="str">
        <f t="shared" si="16"/>
        <v>Plan B</v>
      </c>
      <c r="E296" s="1220">
        <f ca="1">VALUE(INDIRECT("Penalties!"&amp;PenaltyData[[#This Row],[REF]]&amp;(PenaltyData[[#This Row],[ROW]]+1)))</f>
        <v>0</v>
      </c>
      <c r="F296" s="1220" t="str">
        <f ca="1">IF(INDIRECT("Penalties!"&amp;$N$28&amp;PenaltyData[[#This Row],[ROW]],TRUE)=0, "",INDIRECT("Penalties!"&amp;$N$28&amp;PenaltyData[[#This Row],[ROW]],TRUE))</f>
        <v/>
      </c>
      <c r="G296" s="1220">
        <f ca="1">COUNTIFS($H$1:H296,"&lt;&gt;0", $F$1:F296,PenaltyData[[#This Row],[PlayerIdx]],$D$1:D296,PenaltyData[[#This Row],[Team]])</f>
        <v>0</v>
      </c>
      <c r="H296" s="1220">
        <f ca="1">INDIRECT("Penalties!"&amp;PenaltyData[[#This Row],[REF]]&amp;PenaltyData[[#This Row],[ROW]])</f>
        <v>0</v>
      </c>
      <c r="I296" s="1220" t="str">
        <f ca="1">IFERROR(VLOOKUP(PenaltyData[[#This Row],[Penalty]],PenaltyNames91419[],2,FALSE),"")</f>
        <v/>
      </c>
      <c r="J296" s="1220" t="s">
        <v>138</v>
      </c>
      <c r="K296" s="1220">
        <f t="shared" si="19"/>
        <v>36</v>
      </c>
      <c r="L296" s="1220"/>
    </row>
    <row r="297" spans="1:12" x14ac:dyDescent="0.25">
      <c r="A297" s="1230">
        <f t="shared" si="17"/>
        <v>42105</v>
      </c>
      <c r="B297" s="1231">
        <f t="shared" si="18"/>
        <v>0.83333333333333337</v>
      </c>
      <c r="C297" s="1220">
        <v>1</v>
      </c>
      <c r="D297" s="1220" t="str">
        <f t="shared" si="16"/>
        <v>Plan B</v>
      </c>
      <c r="E297" s="1220">
        <f ca="1">VALUE(INDIRECT("Penalties!"&amp;PenaltyData[[#This Row],[REF]]&amp;(PenaltyData[[#This Row],[ROW]]+1)))</f>
        <v>0</v>
      </c>
      <c r="F297" s="1220" t="str">
        <f ca="1">IF(INDIRECT("Penalties!"&amp;$N$28&amp;PenaltyData[[#This Row],[ROW]],TRUE)=0, "",INDIRECT("Penalties!"&amp;$N$28&amp;PenaltyData[[#This Row],[ROW]],TRUE))</f>
        <v/>
      </c>
      <c r="G297" s="1220">
        <f ca="1">COUNTIFS($H$1:H297,"&lt;&gt;0", $F$1:F297,PenaltyData[[#This Row],[PlayerIdx]],$D$1:D297,PenaltyData[[#This Row],[Team]])</f>
        <v>0</v>
      </c>
      <c r="H297" s="1220">
        <f ca="1">INDIRECT("Penalties!"&amp;PenaltyData[[#This Row],[REF]]&amp;PenaltyData[[#This Row],[ROW]])</f>
        <v>0</v>
      </c>
      <c r="I297" s="1220" t="str">
        <f ca="1">IFERROR(VLOOKUP(PenaltyData[[#This Row],[Penalty]],PenaltyNames91419[],2,FALSE),"")</f>
        <v/>
      </c>
      <c r="J297" s="1220" t="s">
        <v>150</v>
      </c>
      <c r="K297" s="1220">
        <f t="shared" si="19"/>
        <v>36</v>
      </c>
      <c r="L297" s="1220"/>
    </row>
    <row r="298" spans="1:12" x14ac:dyDescent="0.25">
      <c r="A298" s="1230">
        <f t="shared" si="17"/>
        <v>42105</v>
      </c>
      <c r="B298" s="1231">
        <f t="shared" si="18"/>
        <v>0.83333333333333337</v>
      </c>
      <c r="C298" s="1220">
        <v>1</v>
      </c>
      <c r="D298" s="1220" t="str">
        <f t="shared" si="16"/>
        <v>Plan B</v>
      </c>
      <c r="E298" s="1220">
        <f ca="1">VALUE(INDIRECT("Penalties!"&amp;PenaltyData[[#This Row],[REF]]&amp;(PenaltyData[[#This Row],[ROW]]+1)))</f>
        <v>0</v>
      </c>
      <c r="F298" s="1220" t="str">
        <f ca="1">IF(INDIRECT("Penalties!"&amp;$N$28&amp;PenaltyData[[#This Row],[ROW]],TRUE)=0, "",INDIRECT("Penalties!"&amp;$N$28&amp;PenaltyData[[#This Row],[ROW]],TRUE))</f>
        <v/>
      </c>
      <c r="G298" s="1220">
        <f ca="1">COUNTIFS($H$1:H298,"&lt;&gt;0", $F$1:F298,PenaltyData[[#This Row],[PlayerIdx]],$D$1:D298,PenaltyData[[#This Row],[Team]])</f>
        <v>0</v>
      </c>
      <c r="H298" s="1220">
        <f ca="1">INDIRECT("Penalties!"&amp;PenaltyData[[#This Row],[REF]]&amp;PenaltyData[[#This Row],[ROW]])</f>
        <v>0</v>
      </c>
      <c r="I298" s="1220" t="str">
        <f ca="1">IFERROR(VLOOKUP(PenaltyData[[#This Row],[Penalty]],PenaltyNames91419[],2,FALSE),"")</f>
        <v/>
      </c>
      <c r="J298" s="1220" t="s">
        <v>757</v>
      </c>
      <c r="K298" s="1220">
        <f t="shared" si="19"/>
        <v>36</v>
      </c>
      <c r="L298" s="1220"/>
    </row>
    <row r="299" spans="1:12" x14ac:dyDescent="0.25">
      <c r="A299" s="1230">
        <f t="shared" si="17"/>
        <v>42105</v>
      </c>
      <c r="B299" s="1231">
        <f t="shared" si="18"/>
        <v>0.83333333333333337</v>
      </c>
      <c r="C299" s="1220">
        <v>2</v>
      </c>
      <c r="D299" s="1220" t="str">
        <f t="shared" si="16"/>
        <v>Plan B</v>
      </c>
      <c r="E299" s="1220">
        <f ca="1">VALUE(INDIRECT("Penalties!"&amp;PenaltyData[[#This Row],[REF]]&amp;(PenaltyData[[#This Row],[ROW]]+1)))</f>
        <v>0</v>
      </c>
      <c r="F299" s="1220" t="str">
        <f ca="1">IF(INDIRECT("Penalties!"&amp;$N$28&amp;PenaltyData[[#This Row],[ROW]],TRUE)=0, "",INDIRECT("Penalties!"&amp;$N$28&amp;PenaltyData[[#This Row],[ROW]],TRUE))</f>
        <v/>
      </c>
      <c r="G299" s="1220">
        <f ca="1">COUNTIFS($H$1:H299,"&lt;&gt;0", $F$1:F299,PenaltyData[[#This Row],[PlayerIdx]],$D$1:D299,PenaltyData[[#This Row],[Team]])</f>
        <v>0</v>
      </c>
      <c r="H299" s="1220">
        <f ca="1">INDIRECT("Penalties!"&amp;PenaltyData[[#This Row],[REF]]&amp;PenaltyData[[#This Row],[ROW]])</f>
        <v>0</v>
      </c>
      <c r="I299" s="1220" t="str">
        <f ca="1">IFERROR(VLOOKUP(PenaltyData[[#This Row],[Penalty]],PenaltyNames91419[],2,FALSE),"")</f>
        <v/>
      </c>
      <c r="J299" s="1220" t="s">
        <v>758</v>
      </c>
      <c r="K299" s="1220">
        <f t="shared" si="19"/>
        <v>36</v>
      </c>
      <c r="L299" s="1220"/>
    </row>
    <row r="300" spans="1:12" x14ac:dyDescent="0.25">
      <c r="A300" s="1230">
        <f t="shared" si="17"/>
        <v>42105</v>
      </c>
      <c r="B300" s="1231">
        <f t="shared" si="18"/>
        <v>0.83333333333333337</v>
      </c>
      <c r="C300" s="1220">
        <v>2</v>
      </c>
      <c r="D300" s="1220" t="str">
        <f t="shared" si="16"/>
        <v>Plan B</v>
      </c>
      <c r="E300" s="1220">
        <f ca="1">VALUE(INDIRECT("Penalties!"&amp;PenaltyData[[#This Row],[REF]]&amp;(PenaltyData[[#This Row],[ROW]]+1)))</f>
        <v>0</v>
      </c>
      <c r="F300" s="1220" t="str">
        <f ca="1">IF(INDIRECT("Penalties!"&amp;$N$28&amp;PenaltyData[[#This Row],[ROW]],TRUE)=0, "",INDIRECT("Penalties!"&amp;$N$28&amp;PenaltyData[[#This Row],[ROW]],TRUE))</f>
        <v/>
      </c>
      <c r="G300" s="1220">
        <f ca="1">COUNTIFS($H$1:H300,"&lt;&gt;0", $F$1:F300,PenaltyData[[#This Row],[PlayerIdx]],$D$1:D300,PenaltyData[[#This Row],[Team]])</f>
        <v>0</v>
      </c>
      <c r="H300" s="1220">
        <f ca="1">INDIRECT("Penalties!"&amp;PenaltyData[[#This Row],[REF]]&amp;PenaltyData[[#This Row],[ROW]])</f>
        <v>0</v>
      </c>
      <c r="I300" s="1220" t="str">
        <f ca="1">IFERROR(VLOOKUP(PenaltyData[[#This Row],[Penalty]],PenaltyNames91419[],2,FALSE),"")</f>
        <v/>
      </c>
      <c r="J300" s="1220" t="s">
        <v>759</v>
      </c>
      <c r="K300" s="1220">
        <f t="shared" si="19"/>
        <v>36</v>
      </c>
      <c r="L300" s="1220"/>
    </row>
    <row r="301" spans="1:12" x14ac:dyDescent="0.25">
      <c r="A301" s="1230">
        <f t="shared" si="17"/>
        <v>42105</v>
      </c>
      <c r="B301" s="1231">
        <f t="shared" si="18"/>
        <v>0.83333333333333337</v>
      </c>
      <c r="C301" s="1220">
        <v>2</v>
      </c>
      <c r="D301" s="1220" t="str">
        <f t="shared" si="16"/>
        <v>Plan B</v>
      </c>
      <c r="E301" s="1220">
        <f ca="1">VALUE(INDIRECT("Penalties!"&amp;PenaltyData[[#This Row],[REF]]&amp;(PenaltyData[[#This Row],[ROW]]+1)))</f>
        <v>0</v>
      </c>
      <c r="F301" s="1220" t="str">
        <f ca="1">IF(INDIRECT("Penalties!"&amp;$N$28&amp;PenaltyData[[#This Row],[ROW]],TRUE)=0, "",INDIRECT("Penalties!"&amp;$N$28&amp;PenaltyData[[#This Row],[ROW]],TRUE))</f>
        <v/>
      </c>
      <c r="G301" s="1220">
        <f ca="1">COUNTIFS($H$1:H301,"&lt;&gt;0", $F$1:F301,PenaltyData[[#This Row],[PlayerIdx]],$D$1:D301,PenaltyData[[#This Row],[Team]])</f>
        <v>0</v>
      </c>
      <c r="H301" s="1220">
        <f ca="1">INDIRECT("Penalties!"&amp;PenaltyData[[#This Row],[REF]]&amp;PenaltyData[[#This Row],[ROW]])</f>
        <v>0</v>
      </c>
      <c r="I301" s="1220" t="str">
        <f ca="1">IFERROR(VLOOKUP(PenaltyData[[#This Row],[Penalty]],PenaltyNames91419[],2,FALSE),"")</f>
        <v/>
      </c>
      <c r="J301" s="1220" t="s">
        <v>760</v>
      </c>
      <c r="K301" s="1220">
        <f t="shared" si="19"/>
        <v>36</v>
      </c>
      <c r="L301" s="1220"/>
    </row>
    <row r="302" spans="1:12" x14ac:dyDescent="0.25">
      <c r="A302" s="1230">
        <f t="shared" si="17"/>
        <v>42105</v>
      </c>
      <c r="B302" s="1231">
        <f t="shared" si="18"/>
        <v>0.83333333333333337</v>
      </c>
      <c r="C302" s="1220">
        <v>2</v>
      </c>
      <c r="D302" s="1220" t="str">
        <f t="shared" si="16"/>
        <v>Plan B</v>
      </c>
      <c r="E302" s="1220">
        <f ca="1">VALUE(INDIRECT("Penalties!"&amp;PenaltyData[[#This Row],[REF]]&amp;(PenaltyData[[#This Row],[ROW]]+1)))</f>
        <v>0</v>
      </c>
      <c r="F302" s="1220" t="str">
        <f ca="1">IF(INDIRECT("Penalties!"&amp;$N$28&amp;PenaltyData[[#This Row],[ROW]],TRUE)=0, "",INDIRECT("Penalties!"&amp;$N$28&amp;PenaltyData[[#This Row],[ROW]],TRUE))</f>
        <v/>
      </c>
      <c r="G302" s="1220">
        <f ca="1">COUNTIFS($H$1:H302,"&lt;&gt;0", $F$1:F302,PenaltyData[[#This Row],[PlayerIdx]],$D$1:D302,PenaltyData[[#This Row],[Team]])</f>
        <v>0</v>
      </c>
      <c r="H302" s="1220">
        <f ca="1">INDIRECT("Penalties!"&amp;PenaltyData[[#This Row],[REF]]&amp;PenaltyData[[#This Row],[ROW]])</f>
        <v>0</v>
      </c>
      <c r="I302" s="1220" t="str">
        <f ca="1">IFERROR(VLOOKUP(PenaltyData[[#This Row],[Penalty]],PenaltyNames91419[],2,FALSE),"")</f>
        <v/>
      </c>
      <c r="J302" s="1220" t="s">
        <v>761</v>
      </c>
      <c r="K302" s="1220">
        <f t="shared" si="19"/>
        <v>36</v>
      </c>
      <c r="L302" s="1220"/>
    </row>
    <row r="303" spans="1:12" x14ac:dyDescent="0.25">
      <c r="A303" s="1230">
        <f t="shared" si="17"/>
        <v>42105</v>
      </c>
      <c r="B303" s="1231">
        <f t="shared" si="18"/>
        <v>0.83333333333333337</v>
      </c>
      <c r="C303" s="1220">
        <v>2</v>
      </c>
      <c r="D303" s="1220" t="str">
        <f t="shared" si="16"/>
        <v>Plan B</v>
      </c>
      <c r="E303" s="1220">
        <f ca="1">VALUE(INDIRECT("Penalties!"&amp;PenaltyData[[#This Row],[REF]]&amp;(PenaltyData[[#This Row],[ROW]]+1)))</f>
        <v>0</v>
      </c>
      <c r="F303" s="1220" t="str">
        <f ca="1">IF(INDIRECT("Penalties!"&amp;$N$28&amp;PenaltyData[[#This Row],[ROW]],TRUE)=0, "",INDIRECT("Penalties!"&amp;$N$28&amp;PenaltyData[[#This Row],[ROW]],TRUE))</f>
        <v/>
      </c>
      <c r="G303" s="1220">
        <f ca="1">COUNTIFS($H$1:H303,"&lt;&gt;0", $F$1:F303,PenaltyData[[#This Row],[PlayerIdx]],$D$1:D303,PenaltyData[[#This Row],[Team]])</f>
        <v>0</v>
      </c>
      <c r="H303" s="1220">
        <f ca="1">INDIRECT("Penalties!"&amp;PenaltyData[[#This Row],[REF]]&amp;PenaltyData[[#This Row],[ROW]])</f>
        <v>0</v>
      </c>
      <c r="I303" s="1220" t="str">
        <f ca="1">IFERROR(VLOOKUP(PenaltyData[[#This Row],[Penalty]],PenaltyNames91419[],2,FALSE),"")</f>
        <v/>
      </c>
      <c r="J303" s="1220" t="s">
        <v>762</v>
      </c>
      <c r="K303" s="1220">
        <f t="shared" si="19"/>
        <v>36</v>
      </c>
      <c r="L303" s="1220"/>
    </row>
    <row r="304" spans="1:12" x14ac:dyDescent="0.25">
      <c r="A304" s="1230">
        <f t="shared" si="17"/>
        <v>42105</v>
      </c>
      <c r="B304" s="1231">
        <f t="shared" si="18"/>
        <v>0.83333333333333337</v>
      </c>
      <c r="C304" s="1220">
        <v>2</v>
      </c>
      <c r="D304" s="1220" t="str">
        <f t="shared" si="16"/>
        <v>Plan B</v>
      </c>
      <c r="E304" s="1220">
        <f ca="1">VALUE(INDIRECT("Penalties!"&amp;PenaltyData[[#This Row],[REF]]&amp;(PenaltyData[[#This Row],[ROW]]+1)))</f>
        <v>0</v>
      </c>
      <c r="F304" s="1220" t="str">
        <f ca="1">IF(INDIRECT("Penalties!"&amp;$N$28&amp;PenaltyData[[#This Row],[ROW]],TRUE)=0, "",INDIRECT("Penalties!"&amp;$N$28&amp;PenaltyData[[#This Row],[ROW]],TRUE))</f>
        <v/>
      </c>
      <c r="G304" s="1220">
        <f ca="1">COUNTIFS($H$1:H304,"&lt;&gt;0", $F$1:F304,PenaltyData[[#This Row],[PlayerIdx]],$D$1:D304,PenaltyData[[#This Row],[Team]])</f>
        <v>0</v>
      </c>
      <c r="H304" s="1220">
        <f ca="1">INDIRECT("Penalties!"&amp;PenaltyData[[#This Row],[REF]]&amp;PenaltyData[[#This Row],[ROW]])</f>
        <v>0</v>
      </c>
      <c r="I304" s="1220" t="str">
        <f ca="1">IFERROR(VLOOKUP(PenaltyData[[#This Row],[Penalty]],PenaltyNames91419[],2,FALSE),"")</f>
        <v/>
      </c>
      <c r="J304" s="1220" t="s">
        <v>763</v>
      </c>
      <c r="K304" s="1220">
        <f t="shared" si="19"/>
        <v>36</v>
      </c>
      <c r="L304" s="1220"/>
    </row>
    <row r="305" spans="1:12" x14ac:dyDescent="0.25">
      <c r="A305" s="1230">
        <f t="shared" si="17"/>
        <v>42105</v>
      </c>
      <c r="B305" s="1231">
        <f t="shared" si="18"/>
        <v>0.83333333333333337</v>
      </c>
      <c r="C305" s="1220">
        <v>2</v>
      </c>
      <c r="D305" s="1220" t="str">
        <f t="shared" si="16"/>
        <v>Plan B</v>
      </c>
      <c r="E305" s="1220">
        <f ca="1">VALUE(INDIRECT("Penalties!"&amp;PenaltyData[[#This Row],[REF]]&amp;(PenaltyData[[#This Row],[ROW]]+1)))</f>
        <v>0</v>
      </c>
      <c r="F305" s="1220" t="str">
        <f ca="1">IF(INDIRECT("Penalties!"&amp;$N$28&amp;PenaltyData[[#This Row],[ROW]],TRUE)=0, "",INDIRECT("Penalties!"&amp;$N$28&amp;PenaltyData[[#This Row],[ROW]],TRUE))</f>
        <v/>
      </c>
      <c r="G305" s="1220">
        <f ca="1">COUNTIFS($H$1:H305,"&lt;&gt;0", $F$1:F305,PenaltyData[[#This Row],[PlayerIdx]],$D$1:D305,PenaltyData[[#This Row],[Team]])</f>
        <v>0</v>
      </c>
      <c r="H305" s="1220">
        <f ca="1">INDIRECT("Penalties!"&amp;PenaltyData[[#This Row],[REF]]&amp;PenaltyData[[#This Row],[ROW]])</f>
        <v>0</v>
      </c>
      <c r="I305" s="1220" t="str">
        <f ca="1">IFERROR(VLOOKUP(PenaltyData[[#This Row],[Penalty]],PenaltyNames91419[],2,FALSE),"")</f>
        <v/>
      </c>
      <c r="J305" s="1220" t="s">
        <v>765</v>
      </c>
      <c r="K305" s="1220">
        <f t="shared" si="19"/>
        <v>36</v>
      </c>
      <c r="L305" s="1220"/>
    </row>
    <row r="306" spans="1:12" x14ac:dyDescent="0.25">
      <c r="A306" s="1230">
        <f t="shared" si="17"/>
        <v>42105</v>
      </c>
      <c r="B306" s="1231">
        <f t="shared" si="18"/>
        <v>0.83333333333333337</v>
      </c>
      <c r="C306" s="1220">
        <v>2</v>
      </c>
      <c r="D306" s="1220" t="str">
        <f t="shared" si="16"/>
        <v>Plan B</v>
      </c>
      <c r="E306" s="1220">
        <f ca="1">VALUE(INDIRECT("Penalties!"&amp;PenaltyData[[#This Row],[REF]]&amp;(PenaltyData[[#This Row],[ROW]]+1)))</f>
        <v>0</v>
      </c>
      <c r="F306" s="1220" t="str">
        <f ca="1">IF(INDIRECT("Penalties!"&amp;$N$28&amp;PenaltyData[[#This Row],[ROW]],TRUE)=0, "",INDIRECT("Penalties!"&amp;$N$28&amp;PenaltyData[[#This Row],[ROW]],TRUE))</f>
        <v/>
      </c>
      <c r="G306" s="1220">
        <f ca="1">COUNTIFS($H$1:H306,"&lt;&gt;0", $F$1:F306,PenaltyData[[#This Row],[PlayerIdx]],$D$1:D306,PenaltyData[[#This Row],[Team]])</f>
        <v>0</v>
      </c>
      <c r="H306" s="1220">
        <f ca="1">INDIRECT("Penalties!"&amp;PenaltyData[[#This Row],[REF]]&amp;PenaltyData[[#This Row],[ROW]])</f>
        <v>0</v>
      </c>
      <c r="I306" s="1220" t="str">
        <f ca="1">IFERROR(VLOOKUP(PenaltyData[[#This Row],[Penalty]],PenaltyNames91419[],2,FALSE),"")</f>
        <v/>
      </c>
      <c r="J306" s="1220" t="s">
        <v>766</v>
      </c>
      <c r="K306" s="1220">
        <f t="shared" si="19"/>
        <v>36</v>
      </c>
      <c r="L306" s="1220"/>
    </row>
    <row r="307" spans="1:12" x14ac:dyDescent="0.25">
      <c r="A307" s="1230">
        <f t="shared" si="17"/>
        <v>42105</v>
      </c>
      <c r="B307" s="1231">
        <f t="shared" si="18"/>
        <v>0.83333333333333337</v>
      </c>
      <c r="C307" s="1220">
        <v>2</v>
      </c>
      <c r="D307" s="1220" t="str">
        <f t="shared" si="16"/>
        <v>Plan B</v>
      </c>
      <c r="E307" s="1220">
        <f ca="1">VALUE(INDIRECT("Penalties!"&amp;PenaltyData[[#This Row],[REF]]&amp;(PenaltyData[[#This Row],[ROW]]+1)))</f>
        <v>0</v>
      </c>
      <c r="F307" s="1220" t="str">
        <f ca="1">IF(INDIRECT("Penalties!"&amp;$N$28&amp;PenaltyData[[#This Row],[ROW]],TRUE)=0, "",INDIRECT("Penalties!"&amp;$N$28&amp;PenaltyData[[#This Row],[ROW]],TRUE))</f>
        <v/>
      </c>
      <c r="G307" s="1220">
        <f ca="1">COUNTIFS($H$1:H307,"&lt;&gt;0", $F$1:F307,PenaltyData[[#This Row],[PlayerIdx]],$D$1:D307,PenaltyData[[#This Row],[Team]])</f>
        <v>0</v>
      </c>
      <c r="H307" s="1220">
        <f ca="1">INDIRECT("Penalties!"&amp;PenaltyData[[#This Row],[REF]]&amp;PenaltyData[[#This Row],[ROW]])</f>
        <v>0</v>
      </c>
      <c r="I307" s="1220" t="str">
        <f ca="1">IFERROR(VLOOKUP(PenaltyData[[#This Row],[Penalty]],PenaltyNames91419[],2,FALSE),"")</f>
        <v/>
      </c>
      <c r="J307" s="1220" t="s">
        <v>767</v>
      </c>
      <c r="K307" s="1220">
        <f t="shared" si="19"/>
        <v>36</v>
      </c>
      <c r="L307" s="1220"/>
    </row>
    <row r="308" spans="1:12" x14ac:dyDescent="0.25">
      <c r="A308" s="1230">
        <f t="shared" si="17"/>
        <v>42105</v>
      </c>
      <c r="B308" s="1231">
        <f t="shared" si="18"/>
        <v>0.83333333333333337</v>
      </c>
      <c r="C308" s="1220">
        <v>1</v>
      </c>
      <c r="D308" s="1220" t="str">
        <f t="shared" si="16"/>
        <v>Plan B</v>
      </c>
      <c r="E308" s="1220">
        <f ca="1">VALUE(INDIRECT("Penalties!"&amp;PenaltyData[[#This Row],[REF]]&amp;(PenaltyData[[#This Row],[ROW]]+1)))</f>
        <v>0</v>
      </c>
      <c r="F308" s="1220" t="str">
        <f ca="1">IF(INDIRECT("Penalties!"&amp;$N$28&amp;PenaltyData[[#This Row],[ROW]],TRUE)=0, "",INDIRECT("Penalties!"&amp;$N$28&amp;PenaltyData[[#This Row],[ROW]],TRUE))</f>
        <v/>
      </c>
      <c r="G308" s="1220">
        <f ca="1">COUNTIFS($H$1:H308,"&lt;&gt;0", $F$1:F308,PenaltyData[[#This Row],[PlayerIdx]],$D$1:D308,PenaltyData[[#This Row],[Team]])</f>
        <v>0</v>
      </c>
      <c r="H308" s="1220">
        <f ca="1">INDIRECT("Penalties!"&amp;PenaltyData[[#This Row],[REF]]&amp;PenaltyData[[#This Row],[ROW]])</f>
        <v>0</v>
      </c>
      <c r="I308" s="1220" t="str">
        <f ca="1">IFERROR(VLOOKUP(PenaltyData[[#This Row],[Penalty]],PenaltyNames91419[],2,FALSE),"")</f>
        <v/>
      </c>
      <c r="J308" s="1220" t="s">
        <v>136</v>
      </c>
      <c r="K308" s="1220">
        <f t="shared" si="19"/>
        <v>38</v>
      </c>
      <c r="L308" s="1220"/>
    </row>
    <row r="309" spans="1:12" x14ac:dyDescent="0.25">
      <c r="A309" s="1230">
        <f t="shared" si="17"/>
        <v>42105</v>
      </c>
      <c r="B309" s="1231">
        <f t="shared" si="18"/>
        <v>0.83333333333333337</v>
      </c>
      <c r="C309" s="1220">
        <v>1</v>
      </c>
      <c r="D309" s="1220" t="str">
        <f t="shared" si="16"/>
        <v>Plan B</v>
      </c>
      <c r="E309" s="1220">
        <f ca="1">VALUE(INDIRECT("Penalties!"&amp;PenaltyData[[#This Row],[REF]]&amp;(PenaltyData[[#This Row],[ROW]]+1)))</f>
        <v>0</v>
      </c>
      <c r="F309" s="1220" t="str">
        <f ca="1">IF(INDIRECT("Penalties!"&amp;$N$28&amp;PenaltyData[[#This Row],[ROW]],TRUE)=0, "",INDIRECT("Penalties!"&amp;$N$28&amp;PenaltyData[[#This Row],[ROW]],TRUE))</f>
        <v/>
      </c>
      <c r="G309" s="1220">
        <f ca="1">COUNTIFS($H$1:H309,"&lt;&gt;0", $F$1:F309,PenaltyData[[#This Row],[PlayerIdx]],$D$1:D309,PenaltyData[[#This Row],[Team]])</f>
        <v>0</v>
      </c>
      <c r="H309" s="1220">
        <f ca="1">INDIRECT("Penalties!"&amp;PenaltyData[[#This Row],[REF]]&amp;PenaltyData[[#This Row],[ROW]])</f>
        <v>0</v>
      </c>
      <c r="I309" s="1220" t="str">
        <f ca="1">IFERROR(VLOOKUP(PenaltyData[[#This Row],[Penalty]],PenaltyNames91419[],2,FALSE),"")</f>
        <v/>
      </c>
      <c r="J309" s="1220" t="s">
        <v>142</v>
      </c>
      <c r="K309" s="1220">
        <f t="shared" si="19"/>
        <v>38</v>
      </c>
      <c r="L309" s="1220"/>
    </row>
    <row r="310" spans="1:12" x14ac:dyDescent="0.25">
      <c r="A310" s="1230">
        <f t="shared" si="17"/>
        <v>42105</v>
      </c>
      <c r="B310" s="1231">
        <f t="shared" si="18"/>
        <v>0.83333333333333337</v>
      </c>
      <c r="C310" s="1220">
        <v>1</v>
      </c>
      <c r="D310" s="1220" t="str">
        <f t="shared" si="16"/>
        <v>Plan B</v>
      </c>
      <c r="E310" s="1220">
        <f ca="1">VALUE(INDIRECT("Penalties!"&amp;PenaltyData[[#This Row],[REF]]&amp;(PenaltyData[[#This Row],[ROW]]+1)))</f>
        <v>0</v>
      </c>
      <c r="F310" s="1220" t="str">
        <f ca="1">IF(INDIRECT("Penalties!"&amp;$N$28&amp;PenaltyData[[#This Row],[ROW]],TRUE)=0, "",INDIRECT("Penalties!"&amp;$N$28&amp;PenaltyData[[#This Row],[ROW]],TRUE))</f>
        <v/>
      </c>
      <c r="G310" s="1220">
        <f ca="1">COUNTIFS($H$1:H310,"&lt;&gt;0", $F$1:F310,PenaltyData[[#This Row],[PlayerIdx]],$D$1:D310,PenaltyData[[#This Row],[Team]])</f>
        <v>0</v>
      </c>
      <c r="H310" s="1220">
        <f ca="1">INDIRECT("Penalties!"&amp;PenaltyData[[#This Row],[REF]]&amp;PenaltyData[[#This Row],[ROW]])</f>
        <v>0</v>
      </c>
      <c r="I310" s="1220" t="str">
        <f ca="1">IFERROR(VLOOKUP(PenaltyData[[#This Row],[Penalty]],PenaltyNames91419[],2,FALSE),"")</f>
        <v/>
      </c>
      <c r="J310" s="1220" t="s">
        <v>754</v>
      </c>
      <c r="K310" s="1220">
        <f t="shared" si="19"/>
        <v>38</v>
      </c>
      <c r="L310" s="1220"/>
    </row>
    <row r="311" spans="1:12" x14ac:dyDescent="0.25">
      <c r="A311" s="1230">
        <f t="shared" si="17"/>
        <v>42105</v>
      </c>
      <c r="B311" s="1231">
        <f t="shared" si="18"/>
        <v>0.83333333333333337</v>
      </c>
      <c r="C311" s="1220">
        <v>1</v>
      </c>
      <c r="D311" s="1220" t="str">
        <f t="shared" si="16"/>
        <v>Plan B</v>
      </c>
      <c r="E311" s="1220">
        <f ca="1">VALUE(INDIRECT("Penalties!"&amp;PenaltyData[[#This Row],[REF]]&amp;(PenaltyData[[#This Row],[ROW]]+1)))</f>
        <v>0</v>
      </c>
      <c r="F311" s="1220" t="str">
        <f ca="1">IF(INDIRECT("Penalties!"&amp;$N$28&amp;PenaltyData[[#This Row],[ROW]],TRUE)=0, "",INDIRECT("Penalties!"&amp;$N$28&amp;PenaltyData[[#This Row],[ROW]],TRUE))</f>
        <v/>
      </c>
      <c r="G311" s="1220">
        <f ca="1">COUNTIFS($H$1:H311,"&lt;&gt;0", $F$1:F311,PenaltyData[[#This Row],[PlayerIdx]],$D$1:D311,PenaltyData[[#This Row],[Team]])</f>
        <v>0</v>
      </c>
      <c r="H311" s="1220">
        <f ca="1">INDIRECT("Penalties!"&amp;PenaltyData[[#This Row],[REF]]&amp;PenaltyData[[#This Row],[ROW]])</f>
        <v>0</v>
      </c>
      <c r="I311" s="1220" t="str">
        <f ca="1">IFERROR(VLOOKUP(PenaltyData[[#This Row],[Penalty]],PenaltyNames91419[],2,FALSE),"")</f>
        <v/>
      </c>
      <c r="J311" s="1220" t="s">
        <v>144</v>
      </c>
      <c r="K311" s="1220">
        <f t="shared" si="19"/>
        <v>38</v>
      </c>
      <c r="L311" s="1220"/>
    </row>
    <row r="312" spans="1:12" x14ac:dyDescent="0.25">
      <c r="A312" s="1230">
        <f t="shared" si="17"/>
        <v>42105</v>
      </c>
      <c r="B312" s="1231">
        <f t="shared" si="18"/>
        <v>0.83333333333333337</v>
      </c>
      <c r="C312" s="1220">
        <v>1</v>
      </c>
      <c r="D312" s="1220" t="str">
        <f t="shared" si="16"/>
        <v>Plan B</v>
      </c>
      <c r="E312" s="1220">
        <f ca="1">VALUE(INDIRECT("Penalties!"&amp;PenaltyData[[#This Row],[REF]]&amp;(PenaltyData[[#This Row],[ROW]]+1)))</f>
        <v>0</v>
      </c>
      <c r="F312" s="1220" t="str">
        <f ca="1">IF(INDIRECT("Penalties!"&amp;$N$28&amp;PenaltyData[[#This Row],[ROW]],TRUE)=0, "",INDIRECT("Penalties!"&amp;$N$28&amp;PenaltyData[[#This Row],[ROW]],TRUE))</f>
        <v/>
      </c>
      <c r="G312" s="1220">
        <f ca="1">COUNTIFS($H$1:H312,"&lt;&gt;0", $F$1:F312,PenaltyData[[#This Row],[PlayerIdx]],$D$1:D312,PenaltyData[[#This Row],[Team]])</f>
        <v>0</v>
      </c>
      <c r="H312" s="1220">
        <f ca="1">INDIRECT("Penalties!"&amp;PenaltyData[[#This Row],[REF]]&amp;PenaltyData[[#This Row],[ROW]])</f>
        <v>0</v>
      </c>
      <c r="I312" s="1220" t="str">
        <f ca="1">IFERROR(VLOOKUP(PenaltyData[[#This Row],[Penalty]],PenaltyNames91419[],2,FALSE),"")</f>
        <v/>
      </c>
      <c r="J312" s="1220" t="s">
        <v>146</v>
      </c>
      <c r="K312" s="1220">
        <f t="shared" si="19"/>
        <v>38</v>
      </c>
      <c r="L312" s="1220"/>
    </row>
    <row r="313" spans="1:12" x14ac:dyDescent="0.25">
      <c r="A313" s="1230">
        <f t="shared" si="17"/>
        <v>42105</v>
      </c>
      <c r="B313" s="1231">
        <f t="shared" si="18"/>
        <v>0.83333333333333337</v>
      </c>
      <c r="C313" s="1220">
        <v>1</v>
      </c>
      <c r="D313" s="1220" t="str">
        <f t="shared" si="16"/>
        <v>Plan B</v>
      </c>
      <c r="E313" s="1220">
        <f ca="1">VALUE(INDIRECT("Penalties!"&amp;PenaltyData[[#This Row],[REF]]&amp;(PenaltyData[[#This Row],[ROW]]+1)))</f>
        <v>0</v>
      </c>
      <c r="F313" s="1220" t="str">
        <f ca="1">IF(INDIRECT("Penalties!"&amp;$N$28&amp;PenaltyData[[#This Row],[ROW]],TRUE)=0, "",INDIRECT("Penalties!"&amp;$N$28&amp;PenaltyData[[#This Row],[ROW]],TRUE))</f>
        <v/>
      </c>
      <c r="G313" s="1220">
        <f ca="1">COUNTIFS($H$1:H313,"&lt;&gt;0", $F$1:F313,PenaltyData[[#This Row],[PlayerIdx]],$D$1:D313,PenaltyData[[#This Row],[Team]])</f>
        <v>0</v>
      </c>
      <c r="H313" s="1220">
        <f ca="1">INDIRECT("Penalties!"&amp;PenaltyData[[#This Row],[REF]]&amp;PenaltyData[[#This Row],[ROW]])</f>
        <v>0</v>
      </c>
      <c r="I313" s="1220" t="str">
        <f ca="1">IFERROR(VLOOKUP(PenaltyData[[#This Row],[Penalty]],PenaltyNames91419[],2,FALSE),"")</f>
        <v/>
      </c>
      <c r="J313" s="1220" t="s">
        <v>164</v>
      </c>
      <c r="K313" s="1220">
        <f t="shared" si="19"/>
        <v>38</v>
      </c>
      <c r="L313" s="1220"/>
    </row>
    <row r="314" spans="1:12" x14ac:dyDescent="0.25">
      <c r="A314" s="1230">
        <f t="shared" si="17"/>
        <v>42105</v>
      </c>
      <c r="B314" s="1231">
        <f t="shared" si="18"/>
        <v>0.83333333333333337</v>
      </c>
      <c r="C314" s="1220">
        <v>1</v>
      </c>
      <c r="D314" s="1220" t="str">
        <f t="shared" si="16"/>
        <v>Plan B</v>
      </c>
      <c r="E314" s="1220">
        <f ca="1">VALUE(INDIRECT("Penalties!"&amp;PenaltyData[[#This Row],[REF]]&amp;(PenaltyData[[#This Row],[ROW]]+1)))</f>
        <v>0</v>
      </c>
      <c r="F314" s="1220" t="str">
        <f ca="1">IF(INDIRECT("Penalties!"&amp;$N$28&amp;PenaltyData[[#This Row],[ROW]],TRUE)=0, "",INDIRECT("Penalties!"&amp;$N$28&amp;PenaltyData[[#This Row],[ROW]],TRUE))</f>
        <v/>
      </c>
      <c r="G314" s="1220">
        <f ca="1">COUNTIFS($H$1:H314,"&lt;&gt;0", $F$1:F314,PenaltyData[[#This Row],[PlayerIdx]],$D$1:D314,PenaltyData[[#This Row],[Team]])</f>
        <v>0</v>
      </c>
      <c r="H314" s="1220">
        <f ca="1">INDIRECT("Penalties!"&amp;PenaltyData[[#This Row],[REF]]&amp;PenaltyData[[#This Row],[ROW]])</f>
        <v>0</v>
      </c>
      <c r="I314" s="1220" t="str">
        <f ca="1">IFERROR(VLOOKUP(PenaltyData[[#This Row],[Penalty]],PenaltyNames91419[],2,FALSE),"")</f>
        <v/>
      </c>
      <c r="J314" s="1220" t="s">
        <v>138</v>
      </c>
      <c r="K314" s="1220">
        <f t="shared" si="19"/>
        <v>38</v>
      </c>
      <c r="L314" s="1220"/>
    </row>
    <row r="315" spans="1:12" x14ac:dyDescent="0.25">
      <c r="A315" s="1230">
        <f t="shared" si="17"/>
        <v>42105</v>
      </c>
      <c r="B315" s="1231">
        <f t="shared" si="18"/>
        <v>0.83333333333333337</v>
      </c>
      <c r="C315" s="1220">
        <v>1</v>
      </c>
      <c r="D315" s="1220" t="str">
        <f t="shared" si="16"/>
        <v>Plan B</v>
      </c>
      <c r="E315" s="1220">
        <f ca="1">VALUE(INDIRECT("Penalties!"&amp;PenaltyData[[#This Row],[REF]]&amp;(PenaltyData[[#This Row],[ROW]]+1)))</f>
        <v>0</v>
      </c>
      <c r="F315" s="1220" t="str">
        <f ca="1">IF(INDIRECT("Penalties!"&amp;$N$28&amp;PenaltyData[[#This Row],[ROW]],TRUE)=0, "",INDIRECT("Penalties!"&amp;$N$28&amp;PenaltyData[[#This Row],[ROW]],TRUE))</f>
        <v/>
      </c>
      <c r="G315" s="1220">
        <f ca="1">COUNTIFS($H$1:H315,"&lt;&gt;0", $F$1:F315,PenaltyData[[#This Row],[PlayerIdx]],$D$1:D315,PenaltyData[[#This Row],[Team]])</f>
        <v>0</v>
      </c>
      <c r="H315" s="1220">
        <f ca="1">INDIRECT("Penalties!"&amp;PenaltyData[[#This Row],[REF]]&amp;PenaltyData[[#This Row],[ROW]])</f>
        <v>0</v>
      </c>
      <c r="I315" s="1220" t="str">
        <f ca="1">IFERROR(VLOOKUP(PenaltyData[[#This Row],[Penalty]],PenaltyNames91419[],2,FALSE),"")</f>
        <v/>
      </c>
      <c r="J315" s="1220" t="s">
        <v>150</v>
      </c>
      <c r="K315" s="1220">
        <f t="shared" si="19"/>
        <v>38</v>
      </c>
      <c r="L315" s="1220"/>
    </row>
    <row r="316" spans="1:12" x14ac:dyDescent="0.25">
      <c r="A316" s="1230">
        <f t="shared" si="17"/>
        <v>42105</v>
      </c>
      <c r="B316" s="1231">
        <f t="shared" si="18"/>
        <v>0.83333333333333337</v>
      </c>
      <c r="C316" s="1220">
        <v>1</v>
      </c>
      <c r="D316" s="1220" t="str">
        <f t="shared" si="16"/>
        <v>Plan B</v>
      </c>
      <c r="E316" s="1220">
        <f ca="1">VALUE(INDIRECT("Penalties!"&amp;PenaltyData[[#This Row],[REF]]&amp;(PenaltyData[[#This Row],[ROW]]+1)))</f>
        <v>0</v>
      </c>
      <c r="F316" s="1220" t="str">
        <f ca="1">IF(INDIRECT("Penalties!"&amp;$N$28&amp;PenaltyData[[#This Row],[ROW]],TRUE)=0, "",INDIRECT("Penalties!"&amp;$N$28&amp;PenaltyData[[#This Row],[ROW]],TRUE))</f>
        <v/>
      </c>
      <c r="G316" s="1220">
        <f ca="1">COUNTIFS($H$1:H316,"&lt;&gt;0", $F$1:F316,PenaltyData[[#This Row],[PlayerIdx]],$D$1:D316,PenaltyData[[#This Row],[Team]])</f>
        <v>0</v>
      </c>
      <c r="H316" s="1220">
        <f ca="1">INDIRECT("Penalties!"&amp;PenaltyData[[#This Row],[REF]]&amp;PenaltyData[[#This Row],[ROW]])</f>
        <v>0</v>
      </c>
      <c r="I316" s="1220" t="str">
        <f ca="1">IFERROR(VLOOKUP(PenaltyData[[#This Row],[Penalty]],PenaltyNames91419[],2,FALSE),"")</f>
        <v/>
      </c>
      <c r="J316" s="1220" t="s">
        <v>757</v>
      </c>
      <c r="K316" s="1220">
        <f t="shared" si="19"/>
        <v>38</v>
      </c>
      <c r="L316" s="1220"/>
    </row>
    <row r="317" spans="1:12" x14ac:dyDescent="0.25">
      <c r="A317" s="1230">
        <f t="shared" si="17"/>
        <v>42105</v>
      </c>
      <c r="B317" s="1231">
        <f t="shared" si="18"/>
        <v>0.83333333333333337</v>
      </c>
      <c r="C317" s="1220">
        <v>2</v>
      </c>
      <c r="D317" s="1220" t="str">
        <f t="shared" si="16"/>
        <v>Plan B</v>
      </c>
      <c r="E317" s="1220">
        <f ca="1">VALUE(INDIRECT("Penalties!"&amp;PenaltyData[[#This Row],[REF]]&amp;(PenaltyData[[#This Row],[ROW]]+1)))</f>
        <v>0</v>
      </c>
      <c r="F317" s="1220" t="str">
        <f ca="1">IF(INDIRECT("Penalties!"&amp;$N$28&amp;PenaltyData[[#This Row],[ROW]],TRUE)=0, "",INDIRECT("Penalties!"&amp;$N$28&amp;PenaltyData[[#This Row],[ROW]],TRUE))</f>
        <v/>
      </c>
      <c r="G317" s="1220">
        <f ca="1">COUNTIFS($H$1:H317,"&lt;&gt;0", $F$1:F317,PenaltyData[[#This Row],[PlayerIdx]],$D$1:D317,PenaltyData[[#This Row],[Team]])</f>
        <v>0</v>
      </c>
      <c r="H317" s="1220">
        <f ca="1">INDIRECT("Penalties!"&amp;PenaltyData[[#This Row],[REF]]&amp;PenaltyData[[#This Row],[ROW]])</f>
        <v>0</v>
      </c>
      <c r="I317" s="1220" t="str">
        <f ca="1">IFERROR(VLOOKUP(PenaltyData[[#This Row],[Penalty]],PenaltyNames91419[],2,FALSE),"")</f>
        <v/>
      </c>
      <c r="J317" s="1220" t="s">
        <v>758</v>
      </c>
      <c r="K317" s="1220">
        <f t="shared" si="19"/>
        <v>38</v>
      </c>
      <c r="L317" s="1220"/>
    </row>
    <row r="318" spans="1:12" x14ac:dyDescent="0.25">
      <c r="A318" s="1230">
        <f t="shared" si="17"/>
        <v>42105</v>
      </c>
      <c r="B318" s="1231">
        <f t="shared" si="18"/>
        <v>0.83333333333333337</v>
      </c>
      <c r="C318" s="1220">
        <v>2</v>
      </c>
      <c r="D318" s="1220" t="str">
        <f t="shared" si="16"/>
        <v>Plan B</v>
      </c>
      <c r="E318" s="1220">
        <f ca="1">VALUE(INDIRECT("Penalties!"&amp;PenaltyData[[#This Row],[REF]]&amp;(PenaltyData[[#This Row],[ROW]]+1)))</f>
        <v>0</v>
      </c>
      <c r="F318" s="1220" t="str">
        <f ca="1">IF(INDIRECT("Penalties!"&amp;$N$28&amp;PenaltyData[[#This Row],[ROW]],TRUE)=0, "",INDIRECT("Penalties!"&amp;$N$28&amp;PenaltyData[[#This Row],[ROW]],TRUE))</f>
        <v/>
      </c>
      <c r="G318" s="1220">
        <f ca="1">COUNTIFS($H$1:H318,"&lt;&gt;0", $F$1:F318,PenaltyData[[#This Row],[PlayerIdx]],$D$1:D318,PenaltyData[[#This Row],[Team]])</f>
        <v>0</v>
      </c>
      <c r="H318" s="1220">
        <f ca="1">INDIRECT("Penalties!"&amp;PenaltyData[[#This Row],[REF]]&amp;PenaltyData[[#This Row],[ROW]])</f>
        <v>0</v>
      </c>
      <c r="I318" s="1220" t="str">
        <f ca="1">IFERROR(VLOOKUP(PenaltyData[[#This Row],[Penalty]],PenaltyNames91419[],2,FALSE),"")</f>
        <v/>
      </c>
      <c r="J318" s="1220" t="s">
        <v>759</v>
      </c>
      <c r="K318" s="1220">
        <f t="shared" si="19"/>
        <v>38</v>
      </c>
      <c r="L318" s="1220"/>
    </row>
    <row r="319" spans="1:12" x14ac:dyDescent="0.25">
      <c r="A319" s="1230">
        <f t="shared" si="17"/>
        <v>42105</v>
      </c>
      <c r="B319" s="1231">
        <f t="shared" si="18"/>
        <v>0.83333333333333337</v>
      </c>
      <c r="C319" s="1220">
        <v>2</v>
      </c>
      <c r="D319" s="1220" t="str">
        <f t="shared" si="16"/>
        <v>Plan B</v>
      </c>
      <c r="E319" s="1220">
        <f ca="1">VALUE(INDIRECT("Penalties!"&amp;PenaltyData[[#This Row],[REF]]&amp;(PenaltyData[[#This Row],[ROW]]+1)))</f>
        <v>0</v>
      </c>
      <c r="F319" s="1220" t="str">
        <f ca="1">IF(INDIRECT("Penalties!"&amp;$N$28&amp;PenaltyData[[#This Row],[ROW]],TRUE)=0, "",INDIRECT("Penalties!"&amp;$N$28&amp;PenaltyData[[#This Row],[ROW]],TRUE))</f>
        <v/>
      </c>
      <c r="G319" s="1220">
        <f ca="1">COUNTIFS($H$1:H319,"&lt;&gt;0", $F$1:F319,PenaltyData[[#This Row],[PlayerIdx]],$D$1:D319,PenaltyData[[#This Row],[Team]])</f>
        <v>0</v>
      </c>
      <c r="H319" s="1220">
        <f ca="1">INDIRECT("Penalties!"&amp;PenaltyData[[#This Row],[REF]]&amp;PenaltyData[[#This Row],[ROW]])</f>
        <v>0</v>
      </c>
      <c r="I319" s="1220" t="str">
        <f ca="1">IFERROR(VLOOKUP(PenaltyData[[#This Row],[Penalty]],PenaltyNames91419[],2,FALSE),"")</f>
        <v/>
      </c>
      <c r="J319" s="1220" t="s">
        <v>760</v>
      </c>
      <c r="K319" s="1220">
        <f t="shared" si="19"/>
        <v>38</v>
      </c>
      <c r="L319" s="1220"/>
    </row>
    <row r="320" spans="1:12" x14ac:dyDescent="0.25">
      <c r="A320" s="1230">
        <f t="shared" si="17"/>
        <v>42105</v>
      </c>
      <c r="B320" s="1231">
        <f t="shared" si="18"/>
        <v>0.83333333333333337</v>
      </c>
      <c r="C320" s="1220">
        <v>2</v>
      </c>
      <c r="D320" s="1220" t="str">
        <f t="shared" si="16"/>
        <v>Plan B</v>
      </c>
      <c r="E320" s="1220">
        <f ca="1">VALUE(INDIRECT("Penalties!"&amp;PenaltyData[[#This Row],[REF]]&amp;(PenaltyData[[#This Row],[ROW]]+1)))</f>
        <v>0</v>
      </c>
      <c r="F320" s="1220" t="str">
        <f ca="1">IF(INDIRECT("Penalties!"&amp;$N$28&amp;PenaltyData[[#This Row],[ROW]],TRUE)=0, "",INDIRECT("Penalties!"&amp;$N$28&amp;PenaltyData[[#This Row],[ROW]],TRUE))</f>
        <v/>
      </c>
      <c r="G320" s="1220">
        <f ca="1">COUNTIFS($H$1:H320,"&lt;&gt;0", $F$1:F320,PenaltyData[[#This Row],[PlayerIdx]],$D$1:D320,PenaltyData[[#This Row],[Team]])</f>
        <v>0</v>
      </c>
      <c r="H320" s="1220">
        <f ca="1">INDIRECT("Penalties!"&amp;PenaltyData[[#This Row],[REF]]&amp;PenaltyData[[#This Row],[ROW]])</f>
        <v>0</v>
      </c>
      <c r="I320" s="1220" t="str">
        <f ca="1">IFERROR(VLOOKUP(PenaltyData[[#This Row],[Penalty]],PenaltyNames91419[],2,FALSE),"")</f>
        <v/>
      </c>
      <c r="J320" s="1220" t="s">
        <v>761</v>
      </c>
      <c r="K320" s="1220">
        <f t="shared" si="19"/>
        <v>38</v>
      </c>
      <c r="L320" s="1220"/>
    </row>
    <row r="321" spans="1:12" x14ac:dyDescent="0.25">
      <c r="A321" s="1230">
        <f t="shared" si="17"/>
        <v>42105</v>
      </c>
      <c r="B321" s="1231">
        <f t="shared" si="18"/>
        <v>0.83333333333333337</v>
      </c>
      <c r="C321" s="1220">
        <v>2</v>
      </c>
      <c r="D321" s="1220" t="str">
        <f t="shared" si="16"/>
        <v>Plan B</v>
      </c>
      <c r="E321" s="1220">
        <f ca="1">VALUE(INDIRECT("Penalties!"&amp;PenaltyData[[#This Row],[REF]]&amp;(PenaltyData[[#This Row],[ROW]]+1)))</f>
        <v>0</v>
      </c>
      <c r="F321" s="1220" t="str">
        <f ca="1">IF(INDIRECT("Penalties!"&amp;$N$28&amp;PenaltyData[[#This Row],[ROW]],TRUE)=0, "",INDIRECT("Penalties!"&amp;$N$28&amp;PenaltyData[[#This Row],[ROW]],TRUE))</f>
        <v/>
      </c>
      <c r="G321" s="1220">
        <f ca="1">COUNTIFS($H$1:H321,"&lt;&gt;0", $F$1:F321,PenaltyData[[#This Row],[PlayerIdx]],$D$1:D321,PenaltyData[[#This Row],[Team]])</f>
        <v>0</v>
      </c>
      <c r="H321" s="1220">
        <f ca="1">INDIRECT("Penalties!"&amp;PenaltyData[[#This Row],[REF]]&amp;PenaltyData[[#This Row],[ROW]])</f>
        <v>0</v>
      </c>
      <c r="I321" s="1220" t="str">
        <f ca="1">IFERROR(VLOOKUP(PenaltyData[[#This Row],[Penalty]],PenaltyNames91419[],2,FALSE),"")</f>
        <v/>
      </c>
      <c r="J321" s="1220" t="s">
        <v>762</v>
      </c>
      <c r="K321" s="1220">
        <f t="shared" si="19"/>
        <v>38</v>
      </c>
      <c r="L321" s="1220"/>
    </row>
    <row r="322" spans="1:12" x14ac:dyDescent="0.25">
      <c r="A322" s="1230">
        <f t="shared" si="17"/>
        <v>42105</v>
      </c>
      <c r="B322" s="1231">
        <f t="shared" si="18"/>
        <v>0.83333333333333337</v>
      </c>
      <c r="C322" s="1220">
        <v>2</v>
      </c>
      <c r="D322" s="1220" t="str">
        <f t="shared" si="16"/>
        <v>Plan B</v>
      </c>
      <c r="E322" s="1220">
        <f ca="1">VALUE(INDIRECT("Penalties!"&amp;PenaltyData[[#This Row],[REF]]&amp;(PenaltyData[[#This Row],[ROW]]+1)))</f>
        <v>0</v>
      </c>
      <c r="F322" s="1220" t="str">
        <f ca="1">IF(INDIRECT("Penalties!"&amp;$N$28&amp;PenaltyData[[#This Row],[ROW]],TRUE)=0, "",INDIRECT("Penalties!"&amp;$N$28&amp;PenaltyData[[#This Row],[ROW]],TRUE))</f>
        <v/>
      </c>
      <c r="G322" s="1220">
        <f ca="1">COUNTIFS($H$1:H322,"&lt;&gt;0", $F$1:F322,PenaltyData[[#This Row],[PlayerIdx]],$D$1:D322,PenaltyData[[#This Row],[Team]])</f>
        <v>0</v>
      </c>
      <c r="H322" s="1220">
        <f ca="1">INDIRECT("Penalties!"&amp;PenaltyData[[#This Row],[REF]]&amp;PenaltyData[[#This Row],[ROW]])</f>
        <v>0</v>
      </c>
      <c r="I322" s="1220" t="str">
        <f ca="1">IFERROR(VLOOKUP(PenaltyData[[#This Row],[Penalty]],PenaltyNames91419[],2,FALSE),"")</f>
        <v/>
      </c>
      <c r="J322" s="1220" t="s">
        <v>763</v>
      </c>
      <c r="K322" s="1220">
        <f t="shared" si="19"/>
        <v>38</v>
      </c>
      <c r="L322" s="1220"/>
    </row>
    <row r="323" spans="1:12" x14ac:dyDescent="0.25">
      <c r="A323" s="1230">
        <f t="shared" si="17"/>
        <v>42105</v>
      </c>
      <c r="B323" s="1231">
        <f t="shared" si="18"/>
        <v>0.83333333333333337</v>
      </c>
      <c r="C323" s="1220">
        <v>2</v>
      </c>
      <c r="D323" s="1220" t="str">
        <f t="shared" ref="D323:D361" si="20">$O$2</f>
        <v>Plan B</v>
      </c>
      <c r="E323" s="1220">
        <f ca="1">VALUE(INDIRECT("Penalties!"&amp;PenaltyData[[#This Row],[REF]]&amp;(PenaltyData[[#This Row],[ROW]]+1)))</f>
        <v>0</v>
      </c>
      <c r="F323" s="1220" t="str">
        <f ca="1">IF(INDIRECT("Penalties!"&amp;$N$28&amp;PenaltyData[[#This Row],[ROW]],TRUE)=0, "",INDIRECT("Penalties!"&amp;$N$28&amp;PenaltyData[[#This Row],[ROW]],TRUE))</f>
        <v/>
      </c>
      <c r="G323" s="1220">
        <f ca="1">COUNTIFS($H$1:H323,"&lt;&gt;0", $F$1:F323,PenaltyData[[#This Row],[PlayerIdx]],$D$1:D323,PenaltyData[[#This Row],[Team]])</f>
        <v>0</v>
      </c>
      <c r="H323" s="1220">
        <f ca="1">INDIRECT("Penalties!"&amp;PenaltyData[[#This Row],[REF]]&amp;PenaltyData[[#This Row],[ROW]])</f>
        <v>0</v>
      </c>
      <c r="I323" s="1220" t="str">
        <f ca="1">IFERROR(VLOOKUP(PenaltyData[[#This Row],[Penalty]],PenaltyNames91419[],2,FALSE),"")</f>
        <v/>
      </c>
      <c r="J323" s="1220" t="s">
        <v>765</v>
      </c>
      <c r="K323" s="1220">
        <f t="shared" si="19"/>
        <v>38</v>
      </c>
      <c r="L323" s="1220"/>
    </row>
    <row r="324" spans="1:12" x14ac:dyDescent="0.25">
      <c r="A324" s="1230">
        <f t="shared" si="17"/>
        <v>42105</v>
      </c>
      <c r="B324" s="1231">
        <f t="shared" si="18"/>
        <v>0.83333333333333337</v>
      </c>
      <c r="C324" s="1220">
        <v>2</v>
      </c>
      <c r="D324" s="1220" t="str">
        <f t="shared" si="20"/>
        <v>Plan B</v>
      </c>
      <c r="E324" s="1220">
        <f ca="1">VALUE(INDIRECT("Penalties!"&amp;PenaltyData[[#This Row],[REF]]&amp;(PenaltyData[[#This Row],[ROW]]+1)))</f>
        <v>0</v>
      </c>
      <c r="F324" s="1220" t="str">
        <f ca="1">IF(INDIRECT("Penalties!"&amp;$N$28&amp;PenaltyData[[#This Row],[ROW]],TRUE)=0, "",INDIRECT("Penalties!"&amp;$N$28&amp;PenaltyData[[#This Row],[ROW]],TRUE))</f>
        <v/>
      </c>
      <c r="G324" s="1220">
        <f ca="1">COUNTIFS($H$1:H324,"&lt;&gt;0", $F$1:F324,PenaltyData[[#This Row],[PlayerIdx]],$D$1:D324,PenaltyData[[#This Row],[Team]])</f>
        <v>0</v>
      </c>
      <c r="H324" s="1220">
        <f ca="1">INDIRECT("Penalties!"&amp;PenaltyData[[#This Row],[REF]]&amp;PenaltyData[[#This Row],[ROW]])</f>
        <v>0</v>
      </c>
      <c r="I324" s="1220" t="str">
        <f ca="1">IFERROR(VLOOKUP(PenaltyData[[#This Row],[Penalty]],PenaltyNames91419[],2,FALSE),"")</f>
        <v/>
      </c>
      <c r="J324" s="1220" t="s">
        <v>766</v>
      </c>
      <c r="K324" s="1220">
        <f t="shared" si="19"/>
        <v>38</v>
      </c>
      <c r="L324" s="1220"/>
    </row>
    <row r="325" spans="1:12" x14ac:dyDescent="0.25">
      <c r="A325" s="1230">
        <f t="shared" si="17"/>
        <v>42105</v>
      </c>
      <c r="B325" s="1231">
        <f t="shared" si="18"/>
        <v>0.83333333333333337</v>
      </c>
      <c r="C325" s="1220">
        <v>2</v>
      </c>
      <c r="D325" s="1220" t="str">
        <f t="shared" si="20"/>
        <v>Plan B</v>
      </c>
      <c r="E325" s="1220">
        <f ca="1">VALUE(INDIRECT("Penalties!"&amp;PenaltyData[[#This Row],[REF]]&amp;(PenaltyData[[#This Row],[ROW]]+1)))</f>
        <v>0</v>
      </c>
      <c r="F325" s="1220" t="str">
        <f ca="1">IF(INDIRECT("Penalties!"&amp;$N$28&amp;PenaltyData[[#This Row],[ROW]],TRUE)=0, "",INDIRECT("Penalties!"&amp;$N$28&amp;PenaltyData[[#This Row],[ROW]],TRUE))</f>
        <v/>
      </c>
      <c r="G325" s="1220">
        <f ca="1">COUNTIFS($H$1:H325,"&lt;&gt;0", $F$1:F325,PenaltyData[[#This Row],[PlayerIdx]],$D$1:D325,PenaltyData[[#This Row],[Team]])</f>
        <v>0</v>
      </c>
      <c r="H325" s="1220">
        <f ca="1">INDIRECT("Penalties!"&amp;PenaltyData[[#This Row],[REF]]&amp;PenaltyData[[#This Row],[ROW]])</f>
        <v>0</v>
      </c>
      <c r="I325" s="1220" t="str">
        <f ca="1">IFERROR(VLOOKUP(PenaltyData[[#This Row],[Penalty]],PenaltyNames91419[],2,FALSE),"")</f>
        <v/>
      </c>
      <c r="J325" s="1220" t="s">
        <v>767</v>
      </c>
      <c r="K325" s="1220">
        <f t="shared" si="19"/>
        <v>38</v>
      </c>
      <c r="L325" s="1220"/>
    </row>
    <row r="326" spans="1:12" x14ac:dyDescent="0.25">
      <c r="A326" s="1230">
        <f t="shared" ref="A326:A389" si="21">$N$1</f>
        <v>42105</v>
      </c>
      <c r="B326" s="1231">
        <f t="shared" ref="B326:B389" si="22">$O$1</f>
        <v>0.83333333333333337</v>
      </c>
      <c r="C326" s="1220">
        <v>1</v>
      </c>
      <c r="D326" s="1220" t="str">
        <f t="shared" si="20"/>
        <v>Plan B</v>
      </c>
      <c r="E326" s="1220">
        <f ca="1">VALUE(INDIRECT("Penalties!"&amp;PenaltyData[[#This Row],[REF]]&amp;(PenaltyData[[#This Row],[ROW]]+1)))</f>
        <v>0</v>
      </c>
      <c r="F326" s="1220" t="str">
        <f ca="1">IF(INDIRECT("Penalties!"&amp;$N$28&amp;PenaltyData[[#This Row],[ROW]],TRUE)=0, "",INDIRECT("Penalties!"&amp;$N$28&amp;PenaltyData[[#This Row],[ROW]],TRUE))</f>
        <v/>
      </c>
      <c r="G326" s="1220">
        <f ca="1">COUNTIFS($H$1:H326,"&lt;&gt;0", $F$1:F326,PenaltyData[[#This Row],[PlayerIdx]],$D$1:D326,PenaltyData[[#This Row],[Team]])</f>
        <v>0</v>
      </c>
      <c r="H326" s="1220">
        <f ca="1">INDIRECT("Penalties!"&amp;PenaltyData[[#This Row],[REF]]&amp;PenaltyData[[#This Row],[ROW]])</f>
        <v>0</v>
      </c>
      <c r="I326" s="1220" t="str">
        <f ca="1">IFERROR(VLOOKUP(PenaltyData[[#This Row],[Penalty]],PenaltyNames91419[],2,FALSE),"")</f>
        <v/>
      </c>
      <c r="J326" s="1220" t="s">
        <v>136</v>
      </c>
      <c r="K326" s="1220">
        <f t="shared" si="19"/>
        <v>40</v>
      </c>
      <c r="L326" s="1220"/>
    </row>
    <row r="327" spans="1:12" x14ac:dyDescent="0.25">
      <c r="A327" s="1230">
        <f t="shared" si="21"/>
        <v>42105</v>
      </c>
      <c r="B327" s="1231">
        <f t="shared" si="22"/>
        <v>0.83333333333333337</v>
      </c>
      <c r="C327" s="1220">
        <v>1</v>
      </c>
      <c r="D327" s="1220" t="str">
        <f t="shared" si="20"/>
        <v>Plan B</v>
      </c>
      <c r="E327" s="1220">
        <f ca="1">VALUE(INDIRECT("Penalties!"&amp;PenaltyData[[#This Row],[REF]]&amp;(PenaltyData[[#This Row],[ROW]]+1)))</f>
        <v>0</v>
      </c>
      <c r="F327" s="1220" t="str">
        <f ca="1">IF(INDIRECT("Penalties!"&amp;$N$28&amp;PenaltyData[[#This Row],[ROW]],TRUE)=0, "",INDIRECT("Penalties!"&amp;$N$28&amp;PenaltyData[[#This Row],[ROW]],TRUE))</f>
        <v/>
      </c>
      <c r="G327" s="1220">
        <f ca="1">COUNTIFS($H$1:H327,"&lt;&gt;0", $F$1:F327,PenaltyData[[#This Row],[PlayerIdx]],$D$1:D327,PenaltyData[[#This Row],[Team]])</f>
        <v>0</v>
      </c>
      <c r="H327" s="1220">
        <f ca="1">INDIRECT("Penalties!"&amp;PenaltyData[[#This Row],[REF]]&amp;PenaltyData[[#This Row],[ROW]])</f>
        <v>0</v>
      </c>
      <c r="I327" s="1220" t="str">
        <f ca="1">IFERROR(VLOOKUP(PenaltyData[[#This Row],[Penalty]],PenaltyNames91419[],2,FALSE),"")</f>
        <v/>
      </c>
      <c r="J327" s="1220" t="s">
        <v>142</v>
      </c>
      <c r="K327" s="1220">
        <f t="shared" si="19"/>
        <v>40</v>
      </c>
      <c r="L327" s="1220"/>
    </row>
    <row r="328" spans="1:12" x14ac:dyDescent="0.25">
      <c r="A328" s="1230">
        <f t="shared" si="21"/>
        <v>42105</v>
      </c>
      <c r="B328" s="1231">
        <f t="shared" si="22"/>
        <v>0.83333333333333337</v>
      </c>
      <c r="C328" s="1220">
        <v>1</v>
      </c>
      <c r="D328" s="1220" t="str">
        <f t="shared" si="20"/>
        <v>Plan B</v>
      </c>
      <c r="E328" s="1220">
        <f ca="1">VALUE(INDIRECT("Penalties!"&amp;PenaltyData[[#This Row],[REF]]&amp;(PenaltyData[[#This Row],[ROW]]+1)))</f>
        <v>0</v>
      </c>
      <c r="F328" s="1220" t="str">
        <f ca="1">IF(INDIRECT("Penalties!"&amp;$N$28&amp;PenaltyData[[#This Row],[ROW]],TRUE)=0, "",INDIRECT("Penalties!"&amp;$N$28&amp;PenaltyData[[#This Row],[ROW]],TRUE))</f>
        <v/>
      </c>
      <c r="G328" s="1220">
        <f ca="1">COUNTIFS($H$1:H328,"&lt;&gt;0", $F$1:F328,PenaltyData[[#This Row],[PlayerIdx]],$D$1:D328,PenaltyData[[#This Row],[Team]])</f>
        <v>0</v>
      </c>
      <c r="H328" s="1220">
        <f ca="1">INDIRECT("Penalties!"&amp;PenaltyData[[#This Row],[REF]]&amp;PenaltyData[[#This Row],[ROW]])</f>
        <v>0</v>
      </c>
      <c r="I328" s="1220" t="str">
        <f ca="1">IFERROR(VLOOKUP(PenaltyData[[#This Row],[Penalty]],PenaltyNames91419[],2,FALSE),"")</f>
        <v/>
      </c>
      <c r="J328" s="1220" t="s">
        <v>754</v>
      </c>
      <c r="K328" s="1220">
        <f t="shared" si="19"/>
        <v>40</v>
      </c>
      <c r="L328" s="1220"/>
    </row>
    <row r="329" spans="1:12" x14ac:dyDescent="0.25">
      <c r="A329" s="1230">
        <f t="shared" si="21"/>
        <v>42105</v>
      </c>
      <c r="B329" s="1231">
        <f t="shared" si="22"/>
        <v>0.83333333333333337</v>
      </c>
      <c r="C329" s="1220">
        <v>1</v>
      </c>
      <c r="D329" s="1220" t="str">
        <f t="shared" si="20"/>
        <v>Plan B</v>
      </c>
      <c r="E329" s="1220">
        <f ca="1">VALUE(INDIRECT("Penalties!"&amp;PenaltyData[[#This Row],[REF]]&amp;(PenaltyData[[#This Row],[ROW]]+1)))</f>
        <v>0</v>
      </c>
      <c r="F329" s="1220" t="str">
        <f ca="1">IF(INDIRECT("Penalties!"&amp;$N$28&amp;PenaltyData[[#This Row],[ROW]],TRUE)=0, "",INDIRECT("Penalties!"&amp;$N$28&amp;PenaltyData[[#This Row],[ROW]],TRUE))</f>
        <v/>
      </c>
      <c r="G329" s="1220">
        <f ca="1">COUNTIFS($H$1:H329,"&lt;&gt;0", $F$1:F329,PenaltyData[[#This Row],[PlayerIdx]],$D$1:D329,PenaltyData[[#This Row],[Team]])</f>
        <v>0</v>
      </c>
      <c r="H329" s="1220">
        <f ca="1">INDIRECT("Penalties!"&amp;PenaltyData[[#This Row],[REF]]&amp;PenaltyData[[#This Row],[ROW]])</f>
        <v>0</v>
      </c>
      <c r="I329" s="1220" t="str">
        <f ca="1">IFERROR(VLOOKUP(PenaltyData[[#This Row],[Penalty]],PenaltyNames91419[],2,FALSE),"")</f>
        <v/>
      </c>
      <c r="J329" s="1220" t="s">
        <v>144</v>
      </c>
      <c r="K329" s="1220">
        <f t="shared" si="19"/>
        <v>40</v>
      </c>
      <c r="L329" s="1220"/>
    </row>
    <row r="330" spans="1:12" x14ac:dyDescent="0.25">
      <c r="A330" s="1230">
        <f t="shared" si="21"/>
        <v>42105</v>
      </c>
      <c r="B330" s="1231">
        <f t="shared" si="22"/>
        <v>0.83333333333333337</v>
      </c>
      <c r="C330" s="1220">
        <v>1</v>
      </c>
      <c r="D330" s="1220" t="str">
        <f t="shared" si="20"/>
        <v>Plan B</v>
      </c>
      <c r="E330" s="1220">
        <f ca="1">VALUE(INDIRECT("Penalties!"&amp;PenaltyData[[#This Row],[REF]]&amp;(PenaltyData[[#This Row],[ROW]]+1)))</f>
        <v>0</v>
      </c>
      <c r="F330" s="1220" t="str">
        <f ca="1">IF(INDIRECT("Penalties!"&amp;$N$28&amp;PenaltyData[[#This Row],[ROW]],TRUE)=0, "",INDIRECT("Penalties!"&amp;$N$28&amp;PenaltyData[[#This Row],[ROW]],TRUE))</f>
        <v/>
      </c>
      <c r="G330" s="1220">
        <f ca="1">COUNTIFS($H$1:H330,"&lt;&gt;0", $F$1:F330,PenaltyData[[#This Row],[PlayerIdx]],$D$1:D330,PenaltyData[[#This Row],[Team]])</f>
        <v>0</v>
      </c>
      <c r="H330" s="1220">
        <f ca="1">INDIRECT("Penalties!"&amp;PenaltyData[[#This Row],[REF]]&amp;PenaltyData[[#This Row],[ROW]])</f>
        <v>0</v>
      </c>
      <c r="I330" s="1220" t="str">
        <f ca="1">IFERROR(VLOOKUP(PenaltyData[[#This Row],[Penalty]],PenaltyNames91419[],2,FALSE),"")</f>
        <v/>
      </c>
      <c r="J330" s="1220" t="s">
        <v>146</v>
      </c>
      <c r="K330" s="1220">
        <f t="shared" si="19"/>
        <v>40</v>
      </c>
      <c r="L330" s="1220"/>
    </row>
    <row r="331" spans="1:12" x14ac:dyDescent="0.25">
      <c r="A331" s="1230">
        <f t="shared" si="21"/>
        <v>42105</v>
      </c>
      <c r="B331" s="1231">
        <f t="shared" si="22"/>
        <v>0.83333333333333337</v>
      </c>
      <c r="C331" s="1220">
        <v>1</v>
      </c>
      <c r="D331" s="1220" t="str">
        <f t="shared" si="20"/>
        <v>Plan B</v>
      </c>
      <c r="E331" s="1220">
        <f ca="1">VALUE(INDIRECT("Penalties!"&amp;PenaltyData[[#This Row],[REF]]&amp;(PenaltyData[[#This Row],[ROW]]+1)))</f>
        <v>0</v>
      </c>
      <c r="F331" s="1220" t="str">
        <f ca="1">IF(INDIRECT("Penalties!"&amp;$N$28&amp;PenaltyData[[#This Row],[ROW]],TRUE)=0, "",INDIRECT("Penalties!"&amp;$N$28&amp;PenaltyData[[#This Row],[ROW]],TRUE))</f>
        <v/>
      </c>
      <c r="G331" s="1220">
        <f ca="1">COUNTIFS($H$1:H331,"&lt;&gt;0", $F$1:F331,PenaltyData[[#This Row],[PlayerIdx]],$D$1:D331,PenaltyData[[#This Row],[Team]])</f>
        <v>0</v>
      </c>
      <c r="H331" s="1220">
        <f ca="1">INDIRECT("Penalties!"&amp;PenaltyData[[#This Row],[REF]]&amp;PenaltyData[[#This Row],[ROW]])</f>
        <v>0</v>
      </c>
      <c r="I331" s="1220" t="str">
        <f ca="1">IFERROR(VLOOKUP(PenaltyData[[#This Row],[Penalty]],PenaltyNames91419[],2,FALSE),"")</f>
        <v/>
      </c>
      <c r="J331" s="1220" t="s">
        <v>164</v>
      </c>
      <c r="K331" s="1220">
        <f t="shared" si="19"/>
        <v>40</v>
      </c>
      <c r="L331" s="1220"/>
    </row>
    <row r="332" spans="1:12" x14ac:dyDescent="0.25">
      <c r="A332" s="1230">
        <f t="shared" si="21"/>
        <v>42105</v>
      </c>
      <c r="B332" s="1231">
        <f t="shared" si="22"/>
        <v>0.83333333333333337</v>
      </c>
      <c r="C332" s="1220">
        <v>1</v>
      </c>
      <c r="D332" s="1220" t="str">
        <f t="shared" si="20"/>
        <v>Plan B</v>
      </c>
      <c r="E332" s="1220">
        <f ca="1">VALUE(INDIRECT("Penalties!"&amp;PenaltyData[[#This Row],[REF]]&amp;(PenaltyData[[#This Row],[ROW]]+1)))</f>
        <v>0</v>
      </c>
      <c r="F332" s="1220" t="str">
        <f ca="1">IF(INDIRECT("Penalties!"&amp;$N$28&amp;PenaltyData[[#This Row],[ROW]],TRUE)=0, "",INDIRECT("Penalties!"&amp;$N$28&amp;PenaltyData[[#This Row],[ROW]],TRUE))</f>
        <v/>
      </c>
      <c r="G332" s="1220">
        <f ca="1">COUNTIFS($H$1:H332,"&lt;&gt;0", $F$1:F332,PenaltyData[[#This Row],[PlayerIdx]],$D$1:D332,PenaltyData[[#This Row],[Team]])</f>
        <v>0</v>
      </c>
      <c r="H332" s="1220">
        <f ca="1">INDIRECT("Penalties!"&amp;PenaltyData[[#This Row],[REF]]&amp;PenaltyData[[#This Row],[ROW]])</f>
        <v>0</v>
      </c>
      <c r="I332" s="1220" t="str">
        <f ca="1">IFERROR(VLOOKUP(PenaltyData[[#This Row],[Penalty]],PenaltyNames91419[],2,FALSE),"")</f>
        <v/>
      </c>
      <c r="J332" s="1220" t="s">
        <v>138</v>
      </c>
      <c r="K332" s="1220">
        <f t="shared" si="19"/>
        <v>40</v>
      </c>
      <c r="L332" s="1220"/>
    </row>
    <row r="333" spans="1:12" x14ac:dyDescent="0.25">
      <c r="A333" s="1230">
        <f t="shared" si="21"/>
        <v>42105</v>
      </c>
      <c r="B333" s="1231">
        <f t="shared" si="22"/>
        <v>0.83333333333333337</v>
      </c>
      <c r="C333" s="1220">
        <v>1</v>
      </c>
      <c r="D333" s="1220" t="str">
        <f t="shared" si="20"/>
        <v>Plan B</v>
      </c>
      <c r="E333" s="1220">
        <f ca="1">VALUE(INDIRECT("Penalties!"&amp;PenaltyData[[#This Row],[REF]]&amp;(PenaltyData[[#This Row],[ROW]]+1)))</f>
        <v>0</v>
      </c>
      <c r="F333" s="1220" t="str">
        <f ca="1">IF(INDIRECT("Penalties!"&amp;$N$28&amp;PenaltyData[[#This Row],[ROW]],TRUE)=0, "",INDIRECT("Penalties!"&amp;$N$28&amp;PenaltyData[[#This Row],[ROW]],TRUE))</f>
        <v/>
      </c>
      <c r="G333" s="1220">
        <f ca="1">COUNTIFS($H$1:H333,"&lt;&gt;0", $F$1:F333,PenaltyData[[#This Row],[PlayerIdx]],$D$1:D333,PenaltyData[[#This Row],[Team]])</f>
        <v>0</v>
      </c>
      <c r="H333" s="1220">
        <f ca="1">INDIRECT("Penalties!"&amp;PenaltyData[[#This Row],[REF]]&amp;PenaltyData[[#This Row],[ROW]])</f>
        <v>0</v>
      </c>
      <c r="I333" s="1220" t="str">
        <f ca="1">IFERROR(VLOOKUP(PenaltyData[[#This Row],[Penalty]],PenaltyNames91419[],2,FALSE),"")</f>
        <v/>
      </c>
      <c r="J333" s="1220" t="s">
        <v>150</v>
      </c>
      <c r="K333" s="1220">
        <f t="shared" si="19"/>
        <v>40</v>
      </c>
      <c r="L333" s="1220"/>
    </row>
    <row r="334" spans="1:12" x14ac:dyDescent="0.25">
      <c r="A334" s="1230">
        <f t="shared" si="21"/>
        <v>42105</v>
      </c>
      <c r="B334" s="1231">
        <f t="shared" si="22"/>
        <v>0.83333333333333337</v>
      </c>
      <c r="C334" s="1220">
        <v>1</v>
      </c>
      <c r="D334" s="1220" t="str">
        <f t="shared" si="20"/>
        <v>Plan B</v>
      </c>
      <c r="E334" s="1220">
        <f ca="1">VALUE(INDIRECT("Penalties!"&amp;PenaltyData[[#This Row],[REF]]&amp;(PenaltyData[[#This Row],[ROW]]+1)))</f>
        <v>0</v>
      </c>
      <c r="F334" s="1220" t="str">
        <f ca="1">IF(INDIRECT("Penalties!"&amp;$N$28&amp;PenaltyData[[#This Row],[ROW]],TRUE)=0, "",INDIRECT("Penalties!"&amp;$N$28&amp;PenaltyData[[#This Row],[ROW]],TRUE))</f>
        <v/>
      </c>
      <c r="G334" s="1220">
        <f ca="1">COUNTIFS($H$1:H334,"&lt;&gt;0", $F$1:F334,PenaltyData[[#This Row],[PlayerIdx]],$D$1:D334,PenaltyData[[#This Row],[Team]])</f>
        <v>0</v>
      </c>
      <c r="H334" s="1220">
        <f ca="1">INDIRECT("Penalties!"&amp;PenaltyData[[#This Row],[REF]]&amp;PenaltyData[[#This Row],[ROW]])</f>
        <v>0</v>
      </c>
      <c r="I334" s="1220" t="str">
        <f ca="1">IFERROR(VLOOKUP(PenaltyData[[#This Row],[Penalty]],PenaltyNames91419[],2,FALSE),"")</f>
        <v/>
      </c>
      <c r="J334" s="1220" t="s">
        <v>757</v>
      </c>
      <c r="K334" s="1220">
        <f t="shared" si="19"/>
        <v>40</v>
      </c>
      <c r="L334" s="1220"/>
    </row>
    <row r="335" spans="1:12" x14ac:dyDescent="0.25">
      <c r="A335" s="1230">
        <f t="shared" si="21"/>
        <v>42105</v>
      </c>
      <c r="B335" s="1231">
        <f t="shared" si="22"/>
        <v>0.83333333333333337</v>
      </c>
      <c r="C335" s="1220">
        <v>2</v>
      </c>
      <c r="D335" s="1220" t="str">
        <f t="shared" si="20"/>
        <v>Plan B</v>
      </c>
      <c r="E335" s="1220">
        <f ca="1">VALUE(INDIRECT("Penalties!"&amp;PenaltyData[[#This Row],[REF]]&amp;(PenaltyData[[#This Row],[ROW]]+1)))</f>
        <v>0</v>
      </c>
      <c r="F335" s="1220" t="str">
        <f ca="1">IF(INDIRECT("Penalties!"&amp;$N$28&amp;PenaltyData[[#This Row],[ROW]],TRUE)=0, "",INDIRECT("Penalties!"&amp;$N$28&amp;PenaltyData[[#This Row],[ROW]],TRUE))</f>
        <v/>
      </c>
      <c r="G335" s="1220">
        <f ca="1">COUNTIFS($H$1:H335,"&lt;&gt;0", $F$1:F335,PenaltyData[[#This Row],[PlayerIdx]],$D$1:D335,PenaltyData[[#This Row],[Team]])</f>
        <v>0</v>
      </c>
      <c r="H335" s="1220">
        <f ca="1">INDIRECT("Penalties!"&amp;PenaltyData[[#This Row],[REF]]&amp;PenaltyData[[#This Row],[ROW]])</f>
        <v>0</v>
      </c>
      <c r="I335" s="1220" t="str">
        <f ca="1">IFERROR(VLOOKUP(PenaltyData[[#This Row],[Penalty]],PenaltyNames91419[],2,FALSE),"")</f>
        <v/>
      </c>
      <c r="J335" s="1220" t="s">
        <v>758</v>
      </c>
      <c r="K335" s="1220">
        <f t="shared" si="19"/>
        <v>40</v>
      </c>
      <c r="L335" s="1220"/>
    </row>
    <row r="336" spans="1:12" x14ac:dyDescent="0.25">
      <c r="A336" s="1230">
        <f t="shared" si="21"/>
        <v>42105</v>
      </c>
      <c r="B336" s="1231">
        <f t="shared" si="22"/>
        <v>0.83333333333333337</v>
      </c>
      <c r="C336" s="1220">
        <v>2</v>
      </c>
      <c r="D336" s="1220" t="str">
        <f t="shared" si="20"/>
        <v>Plan B</v>
      </c>
      <c r="E336" s="1220">
        <f ca="1">VALUE(INDIRECT("Penalties!"&amp;PenaltyData[[#This Row],[REF]]&amp;(PenaltyData[[#This Row],[ROW]]+1)))</f>
        <v>0</v>
      </c>
      <c r="F336" s="1220" t="str">
        <f ca="1">IF(INDIRECT("Penalties!"&amp;$N$28&amp;PenaltyData[[#This Row],[ROW]],TRUE)=0, "",INDIRECT("Penalties!"&amp;$N$28&amp;PenaltyData[[#This Row],[ROW]],TRUE))</f>
        <v/>
      </c>
      <c r="G336" s="1220">
        <f ca="1">COUNTIFS($H$1:H336,"&lt;&gt;0", $F$1:F336,PenaltyData[[#This Row],[PlayerIdx]],$D$1:D336,PenaltyData[[#This Row],[Team]])</f>
        <v>0</v>
      </c>
      <c r="H336" s="1220">
        <f ca="1">INDIRECT("Penalties!"&amp;PenaltyData[[#This Row],[REF]]&amp;PenaltyData[[#This Row],[ROW]])</f>
        <v>0</v>
      </c>
      <c r="I336" s="1220" t="str">
        <f ca="1">IFERROR(VLOOKUP(PenaltyData[[#This Row],[Penalty]],PenaltyNames91419[],2,FALSE),"")</f>
        <v/>
      </c>
      <c r="J336" s="1220" t="s">
        <v>759</v>
      </c>
      <c r="K336" s="1220">
        <f t="shared" si="19"/>
        <v>40</v>
      </c>
      <c r="L336" s="1220"/>
    </row>
    <row r="337" spans="1:12" x14ac:dyDescent="0.25">
      <c r="A337" s="1230">
        <f t="shared" si="21"/>
        <v>42105</v>
      </c>
      <c r="B337" s="1231">
        <f t="shared" si="22"/>
        <v>0.83333333333333337</v>
      </c>
      <c r="C337" s="1220">
        <v>2</v>
      </c>
      <c r="D337" s="1220" t="str">
        <f t="shared" si="20"/>
        <v>Plan B</v>
      </c>
      <c r="E337" s="1220">
        <f ca="1">VALUE(INDIRECT("Penalties!"&amp;PenaltyData[[#This Row],[REF]]&amp;(PenaltyData[[#This Row],[ROW]]+1)))</f>
        <v>0</v>
      </c>
      <c r="F337" s="1220" t="str">
        <f ca="1">IF(INDIRECT("Penalties!"&amp;$N$28&amp;PenaltyData[[#This Row],[ROW]],TRUE)=0, "",INDIRECT("Penalties!"&amp;$N$28&amp;PenaltyData[[#This Row],[ROW]],TRUE))</f>
        <v/>
      </c>
      <c r="G337" s="1220">
        <f ca="1">COUNTIFS($H$1:H337,"&lt;&gt;0", $F$1:F337,PenaltyData[[#This Row],[PlayerIdx]],$D$1:D337,PenaltyData[[#This Row],[Team]])</f>
        <v>0</v>
      </c>
      <c r="H337" s="1220">
        <f ca="1">INDIRECT("Penalties!"&amp;PenaltyData[[#This Row],[REF]]&amp;PenaltyData[[#This Row],[ROW]])</f>
        <v>0</v>
      </c>
      <c r="I337" s="1220" t="str">
        <f ca="1">IFERROR(VLOOKUP(PenaltyData[[#This Row],[Penalty]],PenaltyNames91419[],2,FALSE),"")</f>
        <v/>
      </c>
      <c r="J337" s="1220" t="s">
        <v>760</v>
      </c>
      <c r="K337" s="1220">
        <f t="shared" si="19"/>
        <v>40</v>
      </c>
      <c r="L337" s="1220"/>
    </row>
    <row r="338" spans="1:12" x14ac:dyDescent="0.25">
      <c r="A338" s="1230">
        <f t="shared" si="21"/>
        <v>42105</v>
      </c>
      <c r="B338" s="1231">
        <f t="shared" si="22"/>
        <v>0.83333333333333337</v>
      </c>
      <c r="C338" s="1220">
        <v>2</v>
      </c>
      <c r="D338" s="1220" t="str">
        <f t="shared" si="20"/>
        <v>Plan B</v>
      </c>
      <c r="E338" s="1220">
        <f ca="1">VALUE(INDIRECT("Penalties!"&amp;PenaltyData[[#This Row],[REF]]&amp;(PenaltyData[[#This Row],[ROW]]+1)))</f>
        <v>0</v>
      </c>
      <c r="F338" s="1220" t="str">
        <f ca="1">IF(INDIRECT("Penalties!"&amp;$N$28&amp;PenaltyData[[#This Row],[ROW]],TRUE)=0, "",INDIRECT("Penalties!"&amp;$N$28&amp;PenaltyData[[#This Row],[ROW]],TRUE))</f>
        <v/>
      </c>
      <c r="G338" s="1220">
        <f ca="1">COUNTIFS($H$1:H338,"&lt;&gt;0", $F$1:F338,PenaltyData[[#This Row],[PlayerIdx]],$D$1:D338,PenaltyData[[#This Row],[Team]])</f>
        <v>0</v>
      </c>
      <c r="H338" s="1220">
        <f ca="1">INDIRECT("Penalties!"&amp;PenaltyData[[#This Row],[REF]]&amp;PenaltyData[[#This Row],[ROW]])</f>
        <v>0</v>
      </c>
      <c r="I338" s="1220" t="str">
        <f ca="1">IFERROR(VLOOKUP(PenaltyData[[#This Row],[Penalty]],PenaltyNames91419[],2,FALSE),"")</f>
        <v/>
      </c>
      <c r="J338" s="1220" t="s">
        <v>761</v>
      </c>
      <c r="K338" s="1220">
        <f t="shared" si="19"/>
        <v>40</v>
      </c>
      <c r="L338" s="1220"/>
    </row>
    <row r="339" spans="1:12" x14ac:dyDescent="0.25">
      <c r="A339" s="1230">
        <f t="shared" si="21"/>
        <v>42105</v>
      </c>
      <c r="B339" s="1231">
        <f t="shared" si="22"/>
        <v>0.83333333333333337</v>
      </c>
      <c r="C339" s="1220">
        <v>2</v>
      </c>
      <c r="D339" s="1220" t="str">
        <f t="shared" si="20"/>
        <v>Plan B</v>
      </c>
      <c r="E339" s="1220">
        <f ca="1">VALUE(INDIRECT("Penalties!"&amp;PenaltyData[[#This Row],[REF]]&amp;(PenaltyData[[#This Row],[ROW]]+1)))</f>
        <v>0</v>
      </c>
      <c r="F339" s="1220" t="str">
        <f ca="1">IF(INDIRECT("Penalties!"&amp;$N$28&amp;PenaltyData[[#This Row],[ROW]],TRUE)=0, "",INDIRECT("Penalties!"&amp;$N$28&amp;PenaltyData[[#This Row],[ROW]],TRUE))</f>
        <v/>
      </c>
      <c r="G339" s="1220">
        <f ca="1">COUNTIFS($H$1:H339,"&lt;&gt;0", $F$1:F339,PenaltyData[[#This Row],[PlayerIdx]],$D$1:D339,PenaltyData[[#This Row],[Team]])</f>
        <v>0</v>
      </c>
      <c r="H339" s="1220">
        <f ca="1">INDIRECT("Penalties!"&amp;PenaltyData[[#This Row],[REF]]&amp;PenaltyData[[#This Row],[ROW]])</f>
        <v>0</v>
      </c>
      <c r="I339" s="1220" t="str">
        <f ca="1">IFERROR(VLOOKUP(PenaltyData[[#This Row],[Penalty]],PenaltyNames91419[],2,FALSE),"")</f>
        <v/>
      </c>
      <c r="J339" s="1220" t="s">
        <v>762</v>
      </c>
      <c r="K339" s="1220">
        <f t="shared" si="19"/>
        <v>40</v>
      </c>
      <c r="L339" s="1220"/>
    </row>
    <row r="340" spans="1:12" x14ac:dyDescent="0.25">
      <c r="A340" s="1230">
        <f t="shared" si="21"/>
        <v>42105</v>
      </c>
      <c r="B340" s="1231">
        <f t="shared" si="22"/>
        <v>0.83333333333333337</v>
      </c>
      <c r="C340" s="1220">
        <v>2</v>
      </c>
      <c r="D340" s="1220" t="str">
        <f t="shared" si="20"/>
        <v>Plan B</v>
      </c>
      <c r="E340" s="1220">
        <f ca="1">VALUE(INDIRECT("Penalties!"&amp;PenaltyData[[#This Row],[REF]]&amp;(PenaltyData[[#This Row],[ROW]]+1)))</f>
        <v>0</v>
      </c>
      <c r="F340" s="1220" t="str">
        <f ca="1">IF(INDIRECT("Penalties!"&amp;$N$28&amp;PenaltyData[[#This Row],[ROW]],TRUE)=0, "",INDIRECT("Penalties!"&amp;$N$28&amp;PenaltyData[[#This Row],[ROW]],TRUE))</f>
        <v/>
      </c>
      <c r="G340" s="1220">
        <f ca="1">COUNTIFS($H$1:H340,"&lt;&gt;0", $F$1:F340,PenaltyData[[#This Row],[PlayerIdx]],$D$1:D340,PenaltyData[[#This Row],[Team]])</f>
        <v>0</v>
      </c>
      <c r="H340" s="1220">
        <f ca="1">INDIRECT("Penalties!"&amp;PenaltyData[[#This Row],[REF]]&amp;PenaltyData[[#This Row],[ROW]])</f>
        <v>0</v>
      </c>
      <c r="I340" s="1220" t="str">
        <f ca="1">IFERROR(VLOOKUP(PenaltyData[[#This Row],[Penalty]],PenaltyNames91419[],2,FALSE),"")</f>
        <v/>
      </c>
      <c r="J340" s="1220" t="s">
        <v>763</v>
      </c>
      <c r="K340" s="1220">
        <f t="shared" si="19"/>
        <v>40</v>
      </c>
      <c r="L340" s="1220"/>
    </row>
    <row r="341" spans="1:12" x14ac:dyDescent="0.25">
      <c r="A341" s="1230">
        <f t="shared" si="21"/>
        <v>42105</v>
      </c>
      <c r="B341" s="1231">
        <f t="shared" si="22"/>
        <v>0.83333333333333337</v>
      </c>
      <c r="C341" s="1220">
        <v>2</v>
      </c>
      <c r="D341" s="1220" t="str">
        <f t="shared" si="20"/>
        <v>Plan B</v>
      </c>
      <c r="E341" s="1220">
        <f ca="1">VALUE(INDIRECT("Penalties!"&amp;PenaltyData[[#This Row],[REF]]&amp;(PenaltyData[[#This Row],[ROW]]+1)))</f>
        <v>0</v>
      </c>
      <c r="F341" s="1220" t="str">
        <f ca="1">IF(INDIRECT("Penalties!"&amp;$N$28&amp;PenaltyData[[#This Row],[ROW]],TRUE)=0, "",INDIRECT("Penalties!"&amp;$N$28&amp;PenaltyData[[#This Row],[ROW]],TRUE))</f>
        <v/>
      </c>
      <c r="G341" s="1220">
        <f ca="1">COUNTIFS($H$1:H341,"&lt;&gt;0", $F$1:F341,PenaltyData[[#This Row],[PlayerIdx]],$D$1:D341,PenaltyData[[#This Row],[Team]])</f>
        <v>0</v>
      </c>
      <c r="H341" s="1220">
        <f ca="1">INDIRECT("Penalties!"&amp;PenaltyData[[#This Row],[REF]]&amp;PenaltyData[[#This Row],[ROW]])</f>
        <v>0</v>
      </c>
      <c r="I341" s="1220" t="str">
        <f ca="1">IFERROR(VLOOKUP(PenaltyData[[#This Row],[Penalty]],PenaltyNames91419[],2,FALSE),"")</f>
        <v/>
      </c>
      <c r="J341" s="1220" t="s">
        <v>765</v>
      </c>
      <c r="K341" s="1220">
        <f t="shared" ref="K341:K361" si="23">K323+2</f>
        <v>40</v>
      </c>
      <c r="L341" s="1220"/>
    </row>
    <row r="342" spans="1:12" x14ac:dyDescent="0.25">
      <c r="A342" s="1230">
        <f t="shared" si="21"/>
        <v>42105</v>
      </c>
      <c r="B342" s="1231">
        <f t="shared" si="22"/>
        <v>0.83333333333333337</v>
      </c>
      <c r="C342" s="1220">
        <v>2</v>
      </c>
      <c r="D342" s="1220" t="str">
        <f t="shared" si="20"/>
        <v>Plan B</v>
      </c>
      <c r="E342" s="1220">
        <f ca="1">VALUE(INDIRECT("Penalties!"&amp;PenaltyData[[#This Row],[REF]]&amp;(PenaltyData[[#This Row],[ROW]]+1)))</f>
        <v>0</v>
      </c>
      <c r="F342" s="1220" t="str">
        <f ca="1">IF(INDIRECT("Penalties!"&amp;$N$28&amp;PenaltyData[[#This Row],[ROW]],TRUE)=0, "",INDIRECT("Penalties!"&amp;$N$28&amp;PenaltyData[[#This Row],[ROW]],TRUE))</f>
        <v/>
      </c>
      <c r="G342" s="1220">
        <f ca="1">COUNTIFS($H$1:H342,"&lt;&gt;0", $F$1:F342,PenaltyData[[#This Row],[PlayerIdx]],$D$1:D342,PenaltyData[[#This Row],[Team]])</f>
        <v>0</v>
      </c>
      <c r="H342" s="1220">
        <f ca="1">INDIRECT("Penalties!"&amp;PenaltyData[[#This Row],[REF]]&amp;PenaltyData[[#This Row],[ROW]])</f>
        <v>0</v>
      </c>
      <c r="I342" s="1220" t="str">
        <f ca="1">IFERROR(VLOOKUP(PenaltyData[[#This Row],[Penalty]],PenaltyNames91419[],2,FALSE),"")</f>
        <v/>
      </c>
      <c r="J342" s="1220" t="s">
        <v>766</v>
      </c>
      <c r="K342" s="1220">
        <f t="shared" si="23"/>
        <v>40</v>
      </c>
      <c r="L342" s="1220"/>
    </row>
    <row r="343" spans="1:12" x14ac:dyDescent="0.25">
      <c r="A343" s="1230">
        <f t="shared" si="21"/>
        <v>42105</v>
      </c>
      <c r="B343" s="1231">
        <f t="shared" si="22"/>
        <v>0.83333333333333337</v>
      </c>
      <c r="C343" s="1220">
        <v>2</v>
      </c>
      <c r="D343" s="1220" t="str">
        <f t="shared" si="20"/>
        <v>Plan B</v>
      </c>
      <c r="E343" s="1220">
        <f ca="1">VALUE(INDIRECT("Penalties!"&amp;PenaltyData[[#This Row],[REF]]&amp;(PenaltyData[[#This Row],[ROW]]+1)))</f>
        <v>0</v>
      </c>
      <c r="F343" s="1220" t="str">
        <f ca="1">IF(INDIRECT("Penalties!"&amp;$N$28&amp;PenaltyData[[#This Row],[ROW]],TRUE)=0, "",INDIRECT("Penalties!"&amp;$N$28&amp;PenaltyData[[#This Row],[ROW]],TRUE))</f>
        <v/>
      </c>
      <c r="G343" s="1220">
        <f ca="1">COUNTIFS($H$1:H343,"&lt;&gt;0", $F$1:F343,PenaltyData[[#This Row],[PlayerIdx]],$D$1:D343,PenaltyData[[#This Row],[Team]])</f>
        <v>0</v>
      </c>
      <c r="H343" s="1220">
        <f ca="1">INDIRECT("Penalties!"&amp;PenaltyData[[#This Row],[REF]]&amp;PenaltyData[[#This Row],[ROW]])</f>
        <v>0</v>
      </c>
      <c r="I343" s="1220" t="str">
        <f ca="1">IFERROR(VLOOKUP(PenaltyData[[#This Row],[Penalty]],PenaltyNames91419[],2,FALSE),"")</f>
        <v/>
      </c>
      <c r="J343" s="1220" t="s">
        <v>767</v>
      </c>
      <c r="K343" s="1220">
        <f t="shared" si="23"/>
        <v>40</v>
      </c>
      <c r="L343" s="1220"/>
    </row>
    <row r="344" spans="1:12" x14ac:dyDescent="0.25">
      <c r="A344" s="1230">
        <f t="shared" si="21"/>
        <v>42105</v>
      </c>
      <c r="B344" s="1231">
        <f t="shared" si="22"/>
        <v>0.83333333333333337</v>
      </c>
      <c r="C344" s="1220">
        <v>1</v>
      </c>
      <c r="D344" s="1220" t="str">
        <f t="shared" si="20"/>
        <v>Plan B</v>
      </c>
      <c r="E344" s="1220">
        <f ca="1">VALUE(INDIRECT("Penalties!"&amp;PenaltyData[[#This Row],[REF]]&amp;(PenaltyData[[#This Row],[ROW]]+1)))</f>
        <v>0</v>
      </c>
      <c r="F344" s="1220" t="str">
        <f ca="1">IF(INDIRECT("Penalties!"&amp;$N$28&amp;PenaltyData[[#This Row],[ROW]],TRUE)=0, "",INDIRECT("Penalties!"&amp;$N$28&amp;PenaltyData[[#This Row],[ROW]],TRUE))</f>
        <v/>
      </c>
      <c r="G344" s="1220">
        <f ca="1">COUNTIFS($H$1:H344,"&lt;&gt;0", $F$1:F344,PenaltyData[[#This Row],[PlayerIdx]],$D$1:D344,PenaltyData[[#This Row],[Team]])</f>
        <v>0</v>
      </c>
      <c r="H344" s="1220">
        <f ca="1">INDIRECT("Penalties!"&amp;PenaltyData[[#This Row],[REF]]&amp;PenaltyData[[#This Row],[ROW]])</f>
        <v>0</v>
      </c>
      <c r="I344" s="1220" t="str">
        <f ca="1">IFERROR(VLOOKUP(PenaltyData[[#This Row],[Penalty]],PenaltyNames91419[],2,FALSE),"")</f>
        <v/>
      </c>
      <c r="J344" s="1220" t="s">
        <v>136</v>
      </c>
      <c r="K344" s="1220">
        <f t="shared" si="23"/>
        <v>42</v>
      </c>
      <c r="L344" s="1220"/>
    </row>
    <row r="345" spans="1:12" x14ac:dyDescent="0.25">
      <c r="A345" s="1230">
        <f t="shared" si="21"/>
        <v>42105</v>
      </c>
      <c r="B345" s="1231">
        <f t="shared" si="22"/>
        <v>0.83333333333333337</v>
      </c>
      <c r="C345" s="1220">
        <v>1</v>
      </c>
      <c r="D345" s="1220" t="str">
        <f t="shared" si="20"/>
        <v>Plan B</v>
      </c>
      <c r="E345" s="1220">
        <f ca="1">VALUE(INDIRECT("Penalties!"&amp;PenaltyData[[#This Row],[REF]]&amp;(PenaltyData[[#This Row],[ROW]]+1)))</f>
        <v>0</v>
      </c>
      <c r="F345" s="1220" t="str">
        <f ca="1">IF(INDIRECT("Penalties!"&amp;$N$28&amp;PenaltyData[[#This Row],[ROW]],TRUE)=0, "",INDIRECT("Penalties!"&amp;$N$28&amp;PenaltyData[[#This Row],[ROW]],TRUE))</f>
        <v/>
      </c>
      <c r="G345" s="1220">
        <f ca="1">COUNTIFS($H$1:H345,"&lt;&gt;0", $F$1:F345,PenaltyData[[#This Row],[PlayerIdx]],$D$1:D345,PenaltyData[[#This Row],[Team]])</f>
        <v>0</v>
      </c>
      <c r="H345" s="1220">
        <f ca="1">INDIRECT("Penalties!"&amp;PenaltyData[[#This Row],[REF]]&amp;PenaltyData[[#This Row],[ROW]])</f>
        <v>0</v>
      </c>
      <c r="I345" s="1220" t="str">
        <f ca="1">IFERROR(VLOOKUP(PenaltyData[[#This Row],[Penalty]],PenaltyNames91419[],2,FALSE),"")</f>
        <v/>
      </c>
      <c r="J345" s="1220" t="s">
        <v>142</v>
      </c>
      <c r="K345" s="1220">
        <f t="shared" si="23"/>
        <v>42</v>
      </c>
      <c r="L345" s="1220"/>
    </row>
    <row r="346" spans="1:12" x14ac:dyDescent="0.25">
      <c r="A346" s="1230">
        <f t="shared" si="21"/>
        <v>42105</v>
      </c>
      <c r="B346" s="1231">
        <f t="shared" si="22"/>
        <v>0.83333333333333337</v>
      </c>
      <c r="C346" s="1220">
        <v>1</v>
      </c>
      <c r="D346" s="1220" t="str">
        <f t="shared" si="20"/>
        <v>Plan B</v>
      </c>
      <c r="E346" s="1220">
        <f ca="1">VALUE(INDIRECT("Penalties!"&amp;PenaltyData[[#This Row],[REF]]&amp;(PenaltyData[[#This Row],[ROW]]+1)))</f>
        <v>0</v>
      </c>
      <c r="F346" s="1220" t="str">
        <f ca="1">IF(INDIRECT("Penalties!"&amp;$N$28&amp;PenaltyData[[#This Row],[ROW]],TRUE)=0, "",INDIRECT("Penalties!"&amp;$N$28&amp;PenaltyData[[#This Row],[ROW]],TRUE))</f>
        <v/>
      </c>
      <c r="G346" s="1220">
        <f ca="1">COUNTIFS($H$1:H346,"&lt;&gt;0", $F$1:F346,PenaltyData[[#This Row],[PlayerIdx]],$D$1:D346,PenaltyData[[#This Row],[Team]])</f>
        <v>0</v>
      </c>
      <c r="H346" s="1220">
        <f ca="1">INDIRECT("Penalties!"&amp;PenaltyData[[#This Row],[REF]]&amp;PenaltyData[[#This Row],[ROW]])</f>
        <v>0</v>
      </c>
      <c r="I346" s="1220" t="str">
        <f ca="1">IFERROR(VLOOKUP(PenaltyData[[#This Row],[Penalty]],PenaltyNames91419[],2,FALSE),"")</f>
        <v/>
      </c>
      <c r="J346" s="1220" t="s">
        <v>754</v>
      </c>
      <c r="K346" s="1220">
        <f t="shared" si="23"/>
        <v>42</v>
      </c>
      <c r="L346" s="1220"/>
    </row>
    <row r="347" spans="1:12" x14ac:dyDescent="0.25">
      <c r="A347" s="1230">
        <f t="shared" si="21"/>
        <v>42105</v>
      </c>
      <c r="B347" s="1231">
        <f t="shared" si="22"/>
        <v>0.83333333333333337</v>
      </c>
      <c r="C347" s="1220">
        <v>1</v>
      </c>
      <c r="D347" s="1220" t="str">
        <f t="shared" si="20"/>
        <v>Plan B</v>
      </c>
      <c r="E347" s="1220">
        <f ca="1">VALUE(INDIRECT("Penalties!"&amp;PenaltyData[[#This Row],[REF]]&amp;(PenaltyData[[#This Row],[ROW]]+1)))</f>
        <v>0</v>
      </c>
      <c r="F347" s="1220" t="str">
        <f ca="1">IF(INDIRECT("Penalties!"&amp;$N$28&amp;PenaltyData[[#This Row],[ROW]],TRUE)=0, "",INDIRECT("Penalties!"&amp;$N$28&amp;PenaltyData[[#This Row],[ROW]],TRUE))</f>
        <v/>
      </c>
      <c r="G347" s="1220">
        <f ca="1">COUNTIFS($H$1:H347,"&lt;&gt;0", $F$1:F347,PenaltyData[[#This Row],[PlayerIdx]],$D$1:D347,PenaltyData[[#This Row],[Team]])</f>
        <v>0</v>
      </c>
      <c r="H347" s="1220">
        <f ca="1">INDIRECT("Penalties!"&amp;PenaltyData[[#This Row],[REF]]&amp;PenaltyData[[#This Row],[ROW]])</f>
        <v>0</v>
      </c>
      <c r="I347" s="1220" t="str">
        <f ca="1">IFERROR(VLOOKUP(PenaltyData[[#This Row],[Penalty]],PenaltyNames91419[],2,FALSE),"")</f>
        <v/>
      </c>
      <c r="J347" s="1220" t="s">
        <v>144</v>
      </c>
      <c r="K347" s="1220">
        <f t="shared" si="23"/>
        <v>42</v>
      </c>
      <c r="L347" s="1220"/>
    </row>
    <row r="348" spans="1:12" x14ac:dyDescent="0.25">
      <c r="A348" s="1230">
        <f t="shared" si="21"/>
        <v>42105</v>
      </c>
      <c r="B348" s="1231">
        <f t="shared" si="22"/>
        <v>0.83333333333333337</v>
      </c>
      <c r="C348" s="1220">
        <v>1</v>
      </c>
      <c r="D348" s="1220" t="str">
        <f t="shared" si="20"/>
        <v>Plan B</v>
      </c>
      <c r="E348" s="1220">
        <f ca="1">VALUE(INDIRECT("Penalties!"&amp;PenaltyData[[#This Row],[REF]]&amp;(PenaltyData[[#This Row],[ROW]]+1)))</f>
        <v>0</v>
      </c>
      <c r="F348" s="1220" t="str">
        <f ca="1">IF(INDIRECT("Penalties!"&amp;$N$28&amp;PenaltyData[[#This Row],[ROW]],TRUE)=0, "",INDIRECT("Penalties!"&amp;$N$28&amp;PenaltyData[[#This Row],[ROW]],TRUE))</f>
        <v/>
      </c>
      <c r="G348" s="1220">
        <f ca="1">COUNTIFS($H$1:H348,"&lt;&gt;0", $F$1:F348,PenaltyData[[#This Row],[PlayerIdx]],$D$1:D348,PenaltyData[[#This Row],[Team]])</f>
        <v>0</v>
      </c>
      <c r="H348" s="1220">
        <f ca="1">INDIRECT("Penalties!"&amp;PenaltyData[[#This Row],[REF]]&amp;PenaltyData[[#This Row],[ROW]])</f>
        <v>0</v>
      </c>
      <c r="I348" s="1220" t="str">
        <f ca="1">IFERROR(VLOOKUP(PenaltyData[[#This Row],[Penalty]],PenaltyNames91419[],2,FALSE),"")</f>
        <v/>
      </c>
      <c r="J348" s="1220" t="s">
        <v>146</v>
      </c>
      <c r="K348" s="1220">
        <f t="shared" si="23"/>
        <v>42</v>
      </c>
      <c r="L348" s="1220"/>
    </row>
    <row r="349" spans="1:12" x14ac:dyDescent="0.25">
      <c r="A349" s="1230">
        <f t="shared" si="21"/>
        <v>42105</v>
      </c>
      <c r="B349" s="1231">
        <f t="shared" si="22"/>
        <v>0.83333333333333337</v>
      </c>
      <c r="C349" s="1220">
        <v>1</v>
      </c>
      <c r="D349" s="1220" t="str">
        <f t="shared" si="20"/>
        <v>Plan B</v>
      </c>
      <c r="E349" s="1220">
        <f ca="1">VALUE(INDIRECT("Penalties!"&amp;PenaltyData[[#This Row],[REF]]&amp;(PenaltyData[[#This Row],[ROW]]+1)))</f>
        <v>0</v>
      </c>
      <c r="F349" s="1220" t="str">
        <f ca="1">IF(INDIRECT("Penalties!"&amp;$N$28&amp;PenaltyData[[#This Row],[ROW]],TRUE)=0, "",INDIRECT("Penalties!"&amp;$N$28&amp;PenaltyData[[#This Row],[ROW]],TRUE))</f>
        <v/>
      </c>
      <c r="G349" s="1220">
        <f ca="1">COUNTIFS($H$1:H349,"&lt;&gt;0", $F$1:F349,PenaltyData[[#This Row],[PlayerIdx]],$D$1:D349,PenaltyData[[#This Row],[Team]])</f>
        <v>0</v>
      </c>
      <c r="H349" s="1220">
        <f ca="1">INDIRECT("Penalties!"&amp;PenaltyData[[#This Row],[REF]]&amp;PenaltyData[[#This Row],[ROW]])</f>
        <v>0</v>
      </c>
      <c r="I349" s="1220" t="str">
        <f ca="1">IFERROR(VLOOKUP(PenaltyData[[#This Row],[Penalty]],PenaltyNames91419[],2,FALSE),"")</f>
        <v/>
      </c>
      <c r="J349" s="1220" t="s">
        <v>164</v>
      </c>
      <c r="K349" s="1220">
        <f t="shared" si="23"/>
        <v>42</v>
      </c>
      <c r="L349" s="1220"/>
    </row>
    <row r="350" spans="1:12" x14ac:dyDescent="0.25">
      <c r="A350" s="1230">
        <f t="shared" si="21"/>
        <v>42105</v>
      </c>
      <c r="B350" s="1231">
        <f t="shared" si="22"/>
        <v>0.83333333333333337</v>
      </c>
      <c r="C350" s="1220">
        <v>1</v>
      </c>
      <c r="D350" s="1220" t="str">
        <f t="shared" si="20"/>
        <v>Plan B</v>
      </c>
      <c r="E350" s="1220">
        <f ca="1">VALUE(INDIRECT("Penalties!"&amp;PenaltyData[[#This Row],[REF]]&amp;(PenaltyData[[#This Row],[ROW]]+1)))</f>
        <v>0</v>
      </c>
      <c r="F350" s="1220" t="str">
        <f ca="1">IF(INDIRECT("Penalties!"&amp;$N$28&amp;PenaltyData[[#This Row],[ROW]],TRUE)=0, "",INDIRECT("Penalties!"&amp;$N$28&amp;PenaltyData[[#This Row],[ROW]],TRUE))</f>
        <v/>
      </c>
      <c r="G350" s="1220">
        <f ca="1">COUNTIFS($H$1:H350,"&lt;&gt;0", $F$1:F350,PenaltyData[[#This Row],[PlayerIdx]],$D$1:D350,PenaltyData[[#This Row],[Team]])</f>
        <v>0</v>
      </c>
      <c r="H350" s="1220">
        <f ca="1">INDIRECT("Penalties!"&amp;PenaltyData[[#This Row],[REF]]&amp;PenaltyData[[#This Row],[ROW]])</f>
        <v>0</v>
      </c>
      <c r="I350" s="1220" t="str">
        <f ca="1">IFERROR(VLOOKUP(PenaltyData[[#This Row],[Penalty]],PenaltyNames91419[],2,FALSE),"")</f>
        <v/>
      </c>
      <c r="J350" s="1220" t="s">
        <v>138</v>
      </c>
      <c r="K350" s="1220">
        <f t="shared" si="23"/>
        <v>42</v>
      </c>
      <c r="L350" s="1220"/>
    </row>
    <row r="351" spans="1:12" x14ac:dyDescent="0.25">
      <c r="A351" s="1230">
        <f t="shared" si="21"/>
        <v>42105</v>
      </c>
      <c r="B351" s="1231">
        <f t="shared" si="22"/>
        <v>0.83333333333333337</v>
      </c>
      <c r="C351" s="1220">
        <v>1</v>
      </c>
      <c r="D351" s="1220" t="str">
        <f t="shared" si="20"/>
        <v>Plan B</v>
      </c>
      <c r="E351" s="1220">
        <f ca="1">VALUE(INDIRECT("Penalties!"&amp;PenaltyData[[#This Row],[REF]]&amp;(PenaltyData[[#This Row],[ROW]]+1)))</f>
        <v>0</v>
      </c>
      <c r="F351" s="1220" t="str">
        <f ca="1">IF(INDIRECT("Penalties!"&amp;$N$28&amp;PenaltyData[[#This Row],[ROW]],TRUE)=0, "",INDIRECT("Penalties!"&amp;$N$28&amp;PenaltyData[[#This Row],[ROW]],TRUE))</f>
        <v/>
      </c>
      <c r="G351" s="1220">
        <f ca="1">COUNTIFS($H$1:H351,"&lt;&gt;0", $F$1:F351,PenaltyData[[#This Row],[PlayerIdx]],$D$1:D351,PenaltyData[[#This Row],[Team]])</f>
        <v>0</v>
      </c>
      <c r="H351" s="1220">
        <f ca="1">INDIRECT("Penalties!"&amp;PenaltyData[[#This Row],[REF]]&amp;PenaltyData[[#This Row],[ROW]])</f>
        <v>0</v>
      </c>
      <c r="I351" s="1220" t="str">
        <f ca="1">IFERROR(VLOOKUP(PenaltyData[[#This Row],[Penalty]],PenaltyNames91419[],2,FALSE),"")</f>
        <v/>
      </c>
      <c r="J351" s="1220" t="s">
        <v>150</v>
      </c>
      <c r="K351" s="1220">
        <f t="shared" si="23"/>
        <v>42</v>
      </c>
      <c r="L351" s="1220"/>
    </row>
    <row r="352" spans="1:12" x14ac:dyDescent="0.25">
      <c r="A352" s="1230">
        <f t="shared" si="21"/>
        <v>42105</v>
      </c>
      <c r="B352" s="1231">
        <f t="shared" si="22"/>
        <v>0.83333333333333337</v>
      </c>
      <c r="C352" s="1220">
        <v>1</v>
      </c>
      <c r="D352" s="1220" t="str">
        <f t="shared" si="20"/>
        <v>Plan B</v>
      </c>
      <c r="E352" s="1220">
        <f ca="1">VALUE(INDIRECT("Penalties!"&amp;PenaltyData[[#This Row],[REF]]&amp;(PenaltyData[[#This Row],[ROW]]+1)))</f>
        <v>0</v>
      </c>
      <c r="F352" s="1220" t="str">
        <f ca="1">IF(INDIRECT("Penalties!"&amp;$N$28&amp;PenaltyData[[#This Row],[ROW]],TRUE)=0, "",INDIRECT("Penalties!"&amp;$N$28&amp;PenaltyData[[#This Row],[ROW]],TRUE))</f>
        <v/>
      </c>
      <c r="G352" s="1220">
        <f ca="1">COUNTIFS($H$1:H352,"&lt;&gt;0", $F$1:F352,PenaltyData[[#This Row],[PlayerIdx]],$D$1:D352,PenaltyData[[#This Row],[Team]])</f>
        <v>0</v>
      </c>
      <c r="H352" s="1220">
        <f ca="1">INDIRECT("Penalties!"&amp;PenaltyData[[#This Row],[REF]]&amp;PenaltyData[[#This Row],[ROW]])</f>
        <v>0</v>
      </c>
      <c r="I352" s="1220" t="str">
        <f ca="1">IFERROR(VLOOKUP(PenaltyData[[#This Row],[Penalty]],PenaltyNames91419[],2,FALSE),"")</f>
        <v/>
      </c>
      <c r="J352" s="1220" t="s">
        <v>757</v>
      </c>
      <c r="K352" s="1220">
        <f t="shared" si="23"/>
        <v>42</v>
      </c>
      <c r="L352" s="1220"/>
    </row>
    <row r="353" spans="1:12" x14ac:dyDescent="0.25">
      <c r="A353" s="1230">
        <f t="shared" si="21"/>
        <v>42105</v>
      </c>
      <c r="B353" s="1231">
        <f t="shared" si="22"/>
        <v>0.83333333333333337</v>
      </c>
      <c r="C353" s="1220">
        <v>2</v>
      </c>
      <c r="D353" s="1220" t="str">
        <f t="shared" si="20"/>
        <v>Plan B</v>
      </c>
      <c r="E353" s="1220">
        <f ca="1">VALUE(INDIRECT("Penalties!"&amp;PenaltyData[[#This Row],[REF]]&amp;(PenaltyData[[#This Row],[ROW]]+1)))</f>
        <v>0</v>
      </c>
      <c r="F353" s="1220" t="str">
        <f ca="1">IF(INDIRECT("Penalties!"&amp;$N$28&amp;PenaltyData[[#This Row],[ROW]],TRUE)=0, "",INDIRECT("Penalties!"&amp;$N$28&amp;PenaltyData[[#This Row],[ROW]],TRUE))</f>
        <v/>
      </c>
      <c r="G353" s="1220">
        <f ca="1">COUNTIFS($H$1:H353,"&lt;&gt;0", $F$1:F353,PenaltyData[[#This Row],[PlayerIdx]],$D$1:D353,PenaltyData[[#This Row],[Team]])</f>
        <v>0</v>
      </c>
      <c r="H353" s="1220">
        <f ca="1">INDIRECT("Penalties!"&amp;PenaltyData[[#This Row],[REF]]&amp;PenaltyData[[#This Row],[ROW]])</f>
        <v>0</v>
      </c>
      <c r="I353" s="1220" t="str">
        <f ca="1">IFERROR(VLOOKUP(PenaltyData[[#This Row],[Penalty]],PenaltyNames91419[],2,FALSE),"")</f>
        <v/>
      </c>
      <c r="J353" s="1220" t="s">
        <v>758</v>
      </c>
      <c r="K353" s="1220">
        <f t="shared" si="23"/>
        <v>42</v>
      </c>
      <c r="L353" s="1220"/>
    </row>
    <row r="354" spans="1:12" x14ac:dyDescent="0.25">
      <c r="A354" s="1230">
        <f t="shared" si="21"/>
        <v>42105</v>
      </c>
      <c r="B354" s="1231">
        <f t="shared" si="22"/>
        <v>0.83333333333333337</v>
      </c>
      <c r="C354" s="1220">
        <v>2</v>
      </c>
      <c r="D354" s="1220" t="str">
        <f t="shared" si="20"/>
        <v>Plan B</v>
      </c>
      <c r="E354" s="1220">
        <f ca="1">VALUE(INDIRECT("Penalties!"&amp;PenaltyData[[#This Row],[REF]]&amp;(PenaltyData[[#This Row],[ROW]]+1)))</f>
        <v>0</v>
      </c>
      <c r="F354" s="1220" t="str">
        <f ca="1">IF(INDIRECT("Penalties!"&amp;$N$28&amp;PenaltyData[[#This Row],[ROW]],TRUE)=0, "",INDIRECT("Penalties!"&amp;$N$28&amp;PenaltyData[[#This Row],[ROW]],TRUE))</f>
        <v/>
      </c>
      <c r="G354" s="1220">
        <f ca="1">COUNTIFS($H$1:H354,"&lt;&gt;0", $F$1:F354,PenaltyData[[#This Row],[PlayerIdx]],$D$1:D354,PenaltyData[[#This Row],[Team]])</f>
        <v>0</v>
      </c>
      <c r="H354" s="1220">
        <f ca="1">INDIRECT("Penalties!"&amp;PenaltyData[[#This Row],[REF]]&amp;PenaltyData[[#This Row],[ROW]])</f>
        <v>0</v>
      </c>
      <c r="I354" s="1220" t="str">
        <f ca="1">IFERROR(VLOOKUP(PenaltyData[[#This Row],[Penalty]],PenaltyNames91419[],2,FALSE),"")</f>
        <v/>
      </c>
      <c r="J354" s="1220" t="s">
        <v>759</v>
      </c>
      <c r="K354" s="1220">
        <f t="shared" si="23"/>
        <v>42</v>
      </c>
      <c r="L354" s="1220"/>
    </row>
    <row r="355" spans="1:12" x14ac:dyDescent="0.25">
      <c r="A355" s="1230">
        <f t="shared" si="21"/>
        <v>42105</v>
      </c>
      <c r="B355" s="1231">
        <f t="shared" si="22"/>
        <v>0.83333333333333337</v>
      </c>
      <c r="C355" s="1220">
        <v>2</v>
      </c>
      <c r="D355" s="1220" t="str">
        <f t="shared" si="20"/>
        <v>Plan B</v>
      </c>
      <c r="E355" s="1220">
        <f ca="1">VALUE(INDIRECT("Penalties!"&amp;PenaltyData[[#This Row],[REF]]&amp;(PenaltyData[[#This Row],[ROW]]+1)))</f>
        <v>0</v>
      </c>
      <c r="F355" s="1220" t="str">
        <f ca="1">IF(INDIRECT("Penalties!"&amp;$N$28&amp;PenaltyData[[#This Row],[ROW]],TRUE)=0, "",INDIRECT("Penalties!"&amp;$N$28&amp;PenaltyData[[#This Row],[ROW]],TRUE))</f>
        <v/>
      </c>
      <c r="G355" s="1220">
        <f ca="1">COUNTIFS($H$1:H355,"&lt;&gt;0", $F$1:F355,PenaltyData[[#This Row],[PlayerIdx]],$D$1:D355,PenaltyData[[#This Row],[Team]])</f>
        <v>0</v>
      </c>
      <c r="H355" s="1220">
        <f ca="1">INDIRECT("Penalties!"&amp;PenaltyData[[#This Row],[REF]]&amp;PenaltyData[[#This Row],[ROW]])</f>
        <v>0</v>
      </c>
      <c r="I355" s="1220" t="str">
        <f ca="1">IFERROR(VLOOKUP(PenaltyData[[#This Row],[Penalty]],PenaltyNames91419[],2,FALSE),"")</f>
        <v/>
      </c>
      <c r="J355" s="1220" t="s">
        <v>760</v>
      </c>
      <c r="K355" s="1220">
        <f t="shared" si="23"/>
        <v>42</v>
      </c>
      <c r="L355" s="1220"/>
    </row>
    <row r="356" spans="1:12" x14ac:dyDescent="0.25">
      <c r="A356" s="1230">
        <f t="shared" si="21"/>
        <v>42105</v>
      </c>
      <c r="B356" s="1231">
        <f t="shared" si="22"/>
        <v>0.83333333333333337</v>
      </c>
      <c r="C356" s="1220">
        <v>2</v>
      </c>
      <c r="D356" s="1220" t="str">
        <f t="shared" si="20"/>
        <v>Plan B</v>
      </c>
      <c r="E356" s="1220">
        <f ca="1">VALUE(INDIRECT("Penalties!"&amp;PenaltyData[[#This Row],[REF]]&amp;(PenaltyData[[#This Row],[ROW]]+1)))</f>
        <v>0</v>
      </c>
      <c r="F356" s="1220" t="str">
        <f ca="1">IF(INDIRECT("Penalties!"&amp;$N$28&amp;PenaltyData[[#This Row],[ROW]],TRUE)=0, "",INDIRECT("Penalties!"&amp;$N$28&amp;PenaltyData[[#This Row],[ROW]],TRUE))</f>
        <v/>
      </c>
      <c r="G356" s="1220">
        <f ca="1">COUNTIFS($H$1:H356,"&lt;&gt;0", $F$1:F356,PenaltyData[[#This Row],[PlayerIdx]],$D$1:D356,PenaltyData[[#This Row],[Team]])</f>
        <v>0</v>
      </c>
      <c r="H356" s="1220">
        <f ca="1">INDIRECT("Penalties!"&amp;PenaltyData[[#This Row],[REF]]&amp;PenaltyData[[#This Row],[ROW]])</f>
        <v>0</v>
      </c>
      <c r="I356" s="1220" t="str">
        <f ca="1">IFERROR(VLOOKUP(PenaltyData[[#This Row],[Penalty]],PenaltyNames91419[],2,FALSE),"")</f>
        <v/>
      </c>
      <c r="J356" s="1220" t="s">
        <v>761</v>
      </c>
      <c r="K356" s="1220">
        <f t="shared" si="23"/>
        <v>42</v>
      </c>
      <c r="L356" s="1220"/>
    </row>
    <row r="357" spans="1:12" x14ac:dyDescent="0.25">
      <c r="A357" s="1230">
        <f t="shared" si="21"/>
        <v>42105</v>
      </c>
      <c r="B357" s="1231">
        <f t="shared" si="22"/>
        <v>0.83333333333333337</v>
      </c>
      <c r="C357" s="1220">
        <v>2</v>
      </c>
      <c r="D357" s="1220" t="str">
        <f t="shared" si="20"/>
        <v>Plan B</v>
      </c>
      <c r="E357" s="1220">
        <f ca="1">VALUE(INDIRECT("Penalties!"&amp;PenaltyData[[#This Row],[REF]]&amp;(PenaltyData[[#This Row],[ROW]]+1)))</f>
        <v>0</v>
      </c>
      <c r="F357" s="1220" t="str">
        <f ca="1">IF(INDIRECT("Penalties!"&amp;$N$28&amp;PenaltyData[[#This Row],[ROW]],TRUE)=0, "",INDIRECT("Penalties!"&amp;$N$28&amp;PenaltyData[[#This Row],[ROW]],TRUE))</f>
        <v/>
      </c>
      <c r="G357" s="1220">
        <f ca="1">COUNTIFS($H$1:H357,"&lt;&gt;0", $F$1:F357,PenaltyData[[#This Row],[PlayerIdx]],$D$1:D357,PenaltyData[[#This Row],[Team]])</f>
        <v>0</v>
      </c>
      <c r="H357" s="1220">
        <f ca="1">INDIRECT("Penalties!"&amp;PenaltyData[[#This Row],[REF]]&amp;PenaltyData[[#This Row],[ROW]])</f>
        <v>0</v>
      </c>
      <c r="I357" s="1220" t="str">
        <f ca="1">IFERROR(VLOOKUP(PenaltyData[[#This Row],[Penalty]],PenaltyNames91419[],2,FALSE),"")</f>
        <v/>
      </c>
      <c r="J357" s="1220" t="s">
        <v>762</v>
      </c>
      <c r="K357" s="1220">
        <f t="shared" si="23"/>
        <v>42</v>
      </c>
      <c r="L357" s="1220"/>
    </row>
    <row r="358" spans="1:12" x14ac:dyDescent="0.25">
      <c r="A358" s="1230">
        <f t="shared" si="21"/>
        <v>42105</v>
      </c>
      <c r="B358" s="1231">
        <f t="shared" si="22"/>
        <v>0.83333333333333337</v>
      </c>
      <c r="C358" s="1220">
        <v>2</v>
      </c>
      <c r="D358" s="1220" t="str">
        <f t="shared" si="20"/>
        <v>Plan B</v>
      </c>
      <c r="E358" s="1220">
        <f ca="1">VALUE(INDIRECT("Penalties!"&amp;PenaltyData[[#This Row],[REF]]&amp;(PenaltyData[[#This Row],[ROW]]+1)))</f>
        <v>0</v>
      </c>
      <c r="F358" s="1220" t="str">
        <f ca="1">IF(INDIRECT("Penalties!"&amp;$N$28&amp;PenaltyData[[#This Row],[ROW]],TRUE)=0, "",INDIRECT("Penalties!"&amp;$N$28&amp;PenaltyData[[#This Row],[ROW]],TRUE))</f>
        <v/>
      </c>
      <c r="G358" s="1220">
        <f ca="1">COUNTIFS($H$1:H358,"&lt;&gt;0", $F$1:F358,PenaltyData[[#This Row],[PlayerIdx]],$D$1:D358,PenaltyData[[#This Row],[Team]])</f>
        <v>0</v>
      </c>
      <c r="H358" s="1220">
        <f ca="1">INDIRECT("Penalties!"&amp;PenaltyData[[#This Row],[REF]]&amp;PenaltyData[[#This Row],[ROW]])</f>
        <v>0</v>
      </c>
      <c r="I358" s="1220" t="str">
        <f ca="1">IFERROR(VLOOKUP(PenaltyData[[#This Row],[Penalty]],PenaltyNames91419[],2,FALSE),"")</f>
        <v/>
      </c>
      <c r="J358" s="1220" t="s">
        <v>763</v>
      </c>
      <c r="K358" s="1220">
        <f t="shared" si="23"/>
        <v>42</v>
      </c>
      <c r="L358" s="1220"/>
    </row>
    <row r="359" spans="1:12" x14ac:dyDescent="0.25">
      <c r="A359" s="1230">
        <f t="shared" si="21"/>
        <v>42105</v>
      </c>
      <c r="B359" s="1231">
        <f t="shared" si="22"/>
        <v>0.83333333333333337</v>
      </c>
      <c r="C359" s="1220">
        <v>2</v>
      </c>
      <c r="D359" s="1220" t="str">
        <f t="shared" si="20"/>
        <v>Plan B</v>
      </c>
      <c r="E359" s="1220">
        <f ca="1">VALUE(INDIRECT("Penalties!"&amp;PenaltyData[[#This Row],[REF]]&amp;(PenaltyData[[#This Row],[ROW]]+1)))</f>
        <v>0</v>
      </c>
      <c r="F359" s="1220" t="str">
        <f ca="1">IF(INDIRECT("Penalties!"&amp;$N$28&amp;PenaltyData[[#This Row],[ROW]],TRUE)=0, "",INDIRECT("Penalties!"&amp;$N$28&amp;PenaltyData[[#This Row],[ROW]],TRUE))</f>
        <v/>
      </c>
      <c r="G359" s="1220">
        <f ca="1">COUNTIFS($H$1:H359,"&lt;&gt;0", $F$1:F359,PenaltyData[[#This Row],[PlayerIdx]],$D$1:D359,PenaltyData[[#This Row],[Team]])</f>
        <v>0</v>
      </c>
      <c r="H359" s="1220">
        <f ca="1">INDIRECT("Penalties!"&amp;PenaltyData[[#This Row],[REF]]&amp;PenaltyData[[#This Row],[ROW]])</f>
        <v>0</v>
      </c>
      <c r="I359" s="1220" t="str">
        <f ca="1">IFERROR(VLOOKUP(PenaltyData[[#This Row],[Penalty]],PenaltyNames91419[],2,FALSE),"")</f>
        <v/>
      </c>
      <c r="J359" s="1220" t="s">
        <v>765</v>
      </c>
      <c r="K359" s="1220">
        <f t="shared" si="23"/>
        <v>42</v>
      </c>
      <c r="L359" s="1220"/>
    </row>
    <row r="360" spans="1:12" x14ac:dyDescent="0.25">
      <c r="A360" s="1230">
        <f t="shared" si="21"/>
        <v>42105</v>
      </c>
      <c r="B360" s="1231">
        <f t="shared" si="22"/>
        <v>0.83333333333333337</v>
      </c>
      <c r="C360" s="1220">
        <v>2</v>
      </c>
      <c r="D360" s="1220" t="str">
        <f t="shared" si="20"/>
        <v>Plan B</v>
      </c>
      <c r="E360" s="1220">
        <f ca="1">VALUE(INDIRECT("Penalties!"&amp;PenaltyData[[#This Row],[REF]]&amp;(PenaltyData[[#This Row],[ROW]]+1)))</f>
        <v>0</v>
      </c>
      <c r="F360" s="1220" t="str">
        <f ca="1">IF(INDIRECT("Penalties!"&amp;$N$28&amp;PenaltyData[[#This Row],[ROW]],TRUE)=0, "",INDIRECT("Penalties!"&amp;$N$28&amp;PenaltyData[[#This Row],[ROW]],TRUE))</f>
        <v/>
      </c>
      <c r="G360" s="1220">
        <f ca="1">COUNTIFS($H$1:H360,"&lt;&gt;0", $F$1:F360,PenaltyData[[#This Row],[PlayerIdx]],$D$1:D360,PenaltyData[[#This Row],[Team]])</f>
        <v>0</v>
      </c>
      <c r="H360" s="1220">
        <f ca="1">INDIRECT("Penalties!"&amp;PenaltyData[[#This Row],[REF]]&amp;PenaltyData[[#This Row],[ROW]])</f>
        <v>0</v>
      </c>
      <c r="I360" s="1220" t="str">
        <f ca="1">IFERROR(VLOOKUP(PenaltyData[[#This Row],[Penalty]],PenaltyNames91419[],2,FALSE),"")</f>
        <v/>
      </c>
      <c r="J360" s="1220" t="s">
        <v>766</v>
      </c>
      <c r="K360" s="1220">
        <f t="shared" si="23"/>
        <v>42</v>
      </c>
      <c r="L360" s="1220"/>
    </row>
    <row r="361" spans="1:12" x14ac:dyDescent="0.25">
      <c r="A361" s="1230">
        <f t="shared" si="21"/>
        <v>42105</v>
      </c>
      <c r="B361" s="1231">
        <f t="shared" si="22"/>
        <v>0.83333333333333337</v>
      </c>
      <c r="C361" s="1220">
        <v>2</v>
      </c>
      <c r="D361" s="1220" t="str">
        <f t="shared" si="20"/>
        <v>Plan B</v>
      </c>
      <c r="E361" s="1220">
        <f ca="1">VALUE(INDIRECT("Penalties!"&amp;PenaltyData[[#This Row],[REF]]&amp;(PenaltyData[[#This Row],[ROW]]+1)))</f>
        <v>0</v>
      </c>
      <c r="F361" s="1220" t="str">
        <f ca="1">IF(INDIRECT("Penalties!"&amp;$N$28&amp;PenaltyData[[#This Row],[ROW]],TRUE)=0, "",INDIRECT("Penalties!"&amp;$N$28&amp;PenaltyData[[#This Row],[ROW]],TRUE))</f>
        <v/>
      </c>
      <c r="G361" s="1220">
        <f ca="1">COUNTIFS($H$1:H361,"&lt;&gt;0", $F$1:F361,PenaltyData[[#This Row],[PlayerIdx]],$D$1:D361,PenaltyData[[#This Row],[Team]])</f>
        <v>0</v>
      </c>
      <c r="H361" s="1220">
        <f ca="1">INDIRECT("Penalties!"&amp;PenaltyData[[#This Row],[REF]]&amp;PenaltyData[[#This Row],[ROW]])</f>
        <v>0</v>
      </c>
      <c r="I361" s="1220" t="str">
        <f ca="1">IFERROR(VLOOKUP(PenaltyData[[#This Row],[Penalty]],PenaltyNames91419[],2,FALSE),"")</f>
        <v/>
      </c>
      <c r="J361" s="1220" t="s">
        <v>767</v>
      </c>
      <c r="K361" s="1220">
        <f t="shared" si="23"/>
        <v>42</v>
      </c>
      <c r="L361" s="1220"/>
    </row>
    <row r="362" spans="1:12" x14ac:dyDescent="0.25">
      <c r="A362" s="1230">
        <f t="shared" si="21"/>
        <v>42105</v>
      </c>
      <c r="B362" s="1231">
        <f t="shared" si="22"/>
        <v>0.83333333333333337</v>
      </c>
      <c r="C362" s="1220">
        <v>1</v>
      </c>
      <c r="D362" s="1220" t="str">
        <f>$O$3</f>
        <v>Harlots</v>
      </c>
      <c r="E362" s="1220">
        <f ca="1">VALUE(INDIRECT("Penalties!"&amp;PenaltyData[[#This Row],[REF]]&amp;(PenaltyData[[#This Row],[ROW]]+1)))</f>
        <v>14</v>
      </c>
      <c r="F362" s="1220" t="str">
        <f ca="1">IF(INDIRECT("Penalties!"&amp;$N$29&amp;PenaltyData[[#This Row],[ROW]],TRUE)=0, "",INDIRECT("Penalties!"&amp;$N$29&amp;PenaltyData[[#This Row],[ROW]],TRUE))</f>
        <v>11</v>
      </c>
      <c r="G362" s="1220">
        <f ca="1">COUNTIFS($H$1:H362,"&lt;&gt;0", $F$1:F362,PenaltyData[[#This Row],[PlayerIdx]],$D$1:D362,PenaltyData[[#This Row],[Team]])</f>
        <v>1</v>
      </c>
      <c r="H362" s="1220" t="str">
        <f ca="1">INDIRECT("Penalties!"&amp;PenaltyData[[#This Row],[REF]]&amp;PenaltyData[[#This Row],[ROW]])</f>
        <v>X</v>
      </c>
      <c r="I362" s="1220" t="str">
        <f ca="1">IFERROR(VLOOKUP(PenaltyData[[#This Row],[Penalty]],PenaltyNames91419[],2,FALSE),"")</f>
        <v>Cut Track</v>
      </c>
      <c r="J362" s="1220" t="s">
        <v>771</v>
      </c>
      <c r="K362" s="1220">
        <v>4</v>
      </c>
      <c r="L362" s="1220"/>
    </row>
    <row r="363" spans="1:12" x14ac:dyDescent="0.25">
      <c r="A363" s="1230">
        <f t="shared" si="21"/>
        <v>42105</v>
      </c>
      <c r="B363" s="1231">
        <f t="shared" si="22"/>
        <v>0.83333333333333337</v>
      </c>
      <c r="C363" s="1220">
        <v>1</v>
      </c>
      <c r="D363" s="1220" t="str">
        <f t="shared" ref="D363:D426" si="24">$O$3</f>
        <v>Harlots</v>
      </c>
      <c r="E363" s="1220">
        <f ca="1">VALUE(INDIRECT("Penalties!"&amp;PenaltyData[[#This Row],[REF]]&amp;(PenaltyData[[#This Row],[ROW]]+1)))</f>
        <v>0</v>
      </c>
      <c r="F363" s="1220" t="str">
        <f ca="1">IF(INDIRECT("Penalties!"&amp;$N$29&amp;PenaltyData[[#This Row],[ROW]],TRUE)=0, "",INDIRECT("Penalties!"&amp;$N$29&amp;PenaltyData[[#This Row],[ROW]],TRUE))</f>
        <v>11</v>
      </c>
      <c r="G363" s="1220">
        <f ca="1">COUNTIFS($H$1:H363,"&lt;&gt;0", $F$1:F363,PenaltyData[[#This Row],[PlayerIdx]],$D$1:D363,PenaltyData[[#This Row],[Team]])</f>
        <v>1</v>
      </c>
      <c r="H363" s="1220">
        <f ca="1">INDIRECT("Penalties!"&amp;PenaltyData[[#This Row],[REF]]&amp;PenaltyData[[#This Row],[ROW]])</f>
        <v>0</v>
      </c>
      <c r="I363" s="1220" t="str">
        <f ca="1">IFERROR(VLOOKUP(PenaltyData[[#This Row],[Penalty]],PenaltyNames91419[],2,FALSE),"")</f>
        <v/>
      </c>
      <c r="J363" s="1220" t="s">
        <v>772</v>
      </c>
      <c r="K363" s="1220">
        <v>4</v>
      </c>
      <c r="L363" s="1220"/>
    </row>
    <row r="364" spans="1:12" x14ac:dyDescent="0.25">
      <c r="A364" s="1230">
        <f t="shared" si="21"/>
        <v>42105</v>
      </c>
      <c r="B364" s="1231">
        <f t="shared" si="22"/>
        <v>0.83333333333333337</v>
      </c>
      <c r="C364" s="1220">
        <v>1</v>
      </c>
      <c r="D364" s="1220" t="str">
        <f t="shared" si="24"/>
        <v>Harlots</v>
      </c>
      <c r="E364" s="1220">
        <f ca="1">VALUE(INDIRECT("Penalties!"&amp;PenaltyData[[#This Row],[REF]]&amp;(PenaltyData[[#This Row],[ROW]]+1)))</f>
        <v>0</v>
      </c>
      <c r="F364" s="1220" t="str">
        <f ca="1">IF(INDIRECT("Penalties!"&amp;$N$29&amp;PenaltyData[[#This Row],[ROW]],TRUE)=0, "",INDIRECT("Penalties!"&amp;$N$29&amp;PenaltyData[[#This Row],[ROW]],TRUE))</f>
        <v>11</v>
      </c>
      <c r="G364" s="1220">
        <f ca="1">COUNTIFS($H$1:H364,"&lt;&gt;0", $F$1:F364,PenaltyData[[#This Row],[PlayerIdx]],$D$1:D364,PenaltyData[[#This Row],[Team]])</f>
        <v>1</v>
      </c>
      <c r="H364" s="1220">
        <f ca="1">INDIRECT("Penalties!"&amp;PenaltyData[[#This Row],[REF]]&amp;PenaltyData[[#This Row],[ROW]])</f>
        <v>0</v>
      </c>
      <c r="I364" s="1220" t="str">
        <f ca="1">IFERROR(VLOOKUP(PenaltyData[[#This Row],[Penalty]],PenaltyNames91419[],2,FALSE),"")</f>
        <v/>
      </c>
      <c r="J364" s="1220" t="s">
        <v>159</v>
      </c>
      <c r="K364" s="1220">
        <v>4</v>
      </c>
      <c r="L364" s="1220"/>
    </row>
    <row r="365" spans="1:12" x14ac:dyDescent="0.25">
      <c r="A365" s="1230">
        <f t="shared" si="21"/>
        <v>42105</v>
      </c>
      <c r="B365" s="1231">
        <f t="shared" si="22"/>
        <v>0.83333333333333337</v>
      </c>
      <c r="C365" s="1220">
        <v>1</v>
      </c>
      <c r="D365" s="1220" t="str">
        <f t="shared" si="24"/>
        <v>Harlots</v>
      </c>
      <c r="E365" s="1220">
        <f ca="1">VALUE(INDIRECT("Penalties!"&amp;PenaltyData[[#This Row],[REF]]&amp;(PenaltyData[[#This Row],[ROW]]+1)))</f>
        <v>0</v>
      </c>
      <c r="F365" s="1220" t="str">
        <f ca="1">IF(INDIRECT("Penalties!"&amp;$N$29&amp;PenaltyData[[#This Row],[ROW]],TRUE)=0, "",INDIRECT("Penalties!"&amp;$N$29&amp;PenaltyData[[#This Row],[ROW]],TRUE))</f>
        <v>11</v>
      </c>
      <c r="G365" s="1220">
        <f ca="1">COUNTIFS($H$1:H365,"&lt;&gt;0", $F$1:F365,PenaltyData[[#This Row],[PlayerIdx]],$D$1:D365,PenaltyData[[#This Row],[Team]])</f>
        <v>1</v>
      </c>
      <c r="H365" s="1220">
        <f ca="1">INDIRECT("Penalties!"&amp;PenaltyData[[#This Row],[REF]]&amp;PenaltyData[[#This Row],[ROW]])</f>
        <v>0</v>
      </c>
      <c r="I365" s="1220" t="str">
        <f ca="1">IFERROR(VLOOKUP(PenaltyData[[#This Row],[Penalty]],PenaltyNames91419[],2,FALSE),"")</f>
        <v/>
      </c>
      <c r="J365" s="1220" t="s">
        <v>773</v>
      </c>
      <c r="K365" s="1220">
        <v>4</v>
      </c>
      <c r="L365" s="1220"/>
    </row>
    <row r="366" spans="1:12" x14ac:dyDescent="0.25">
      <c r="A366" s="1230">
        <f t="shared" si="21"/>
        <v>42105</v>
      </c>
      <c r="B366" s="1231">
        <f t="shared" si="22"/>
        <v>0.83333333333333337</v>
      </c>
      <c r="C366" s="1220">
        <v>1</v>
      </c>
      <c r="D366" s="1220" t="str">
        <f t="shared" si="24"/>
        <v>Harlots</v>
      </c>
      <c r="E366" s="1220">
        <f ca="1">VALUE(INDIRECT("Penalties!"&amp;PenaltyData[[#This Row],[REF]]&amp;(PenaltyData[[#This Row],[ROW]]+1)))</f>
        <v>0</v>
      </c>
      <c r="F366" s="1220" t="str">
        <f ca="1">IF(INDIRECT("Penalties!"&amp;$N$29&amp;PenaltyData[[#This Row],[ROW]],TRUE)=0, "",INDIRECT("Penalties!"&amp;$N$29&amp;PenaltyData[[#This Row],[ROW]],TRUE))</f>
        <v>11</v>
      </c>
      <c r="G366" s="1220">
        <f ca="1">COUNTIFS($H$1:H366,"&lt;&gt;0", $F$1:F366,PenaltyData[[#This Row],[PlayerIdx]],$D$1:D366,PenaltyData[[#This Row],[Team]])</f>
        <v>1</v>
      </c>
      <c r="H366" s="1220">
        <f ca="1">INDIRECT("Penalties!"&amp;PenaltyData[[#This Row],[REF]]&amp;PenaltyData[[#This Row],[ROW]])</f>
        <v>0</v>
      </c>
      <c r="I366" s="1220" t="str">
        <f ca="1">IFERROR(VLOOKUP(PenaltyData[[#This Row],[Penalty]],PenaltyNames91419[],2,FALSE),"")</f>
        <v/>
      </c>
      <c r="J366" s="1220" t="s">
        <v>774</v>
      </c>
      <c r="K366" s="1220">
        <v>4</v>
      </c>
      <c r="L366" s="1220"/>
    </row>
    <row r="367" spans="1:12" x14ac:dyDescent="0.25">
      <c r="A367" s="1230">
        <f t="shared" si="21"/>
        <v>42105</v>
      </c>
      <c r="B367" s="1231">
        <f t="shared" si="22"/>
        <v>0.83333333333333337</v>
      </c>
      <c r="C367" s="1220">
        <v>1</v>
      </c>
      <c r="D367" s="1220" t="str">
        <f t="shared" si="24"/>
        <v>Harlots</v>
      </c>
      <c r="E367" s="1220">
        <f ca="1">VALUE(INDIRECT("Penalties!"&amp;PenaltyData[[#This Row],[REF]]&amp;(PenaltyData[[#This Row],[ROW]]+1)))</f>
        <v>0</v>
      </c>
      <c r="F367" s="1220" t="str">
        <f ca="1">IF(INDIRECT("Penalties!"&amp;$N$29&amp;PenaltyData[[#This Row],[ROW]],TRUE)=0, "",INDIRECT("Penalties!"&amp;$N$29&amp;PenaltyData[[#This Row],[ROW]],TRUE))</f>
        <v>11</v>
      </c>
      <c r="G367" s="1220">
        <f ca="1">COUNTIFS($H$1:H367,"&lt;&gt;0", $F$1:F367,PenaltyData[[#This Row],[PlayerIdx]],$D$1:D367,PenaltyData[[#This Row],[Team]])</f>
        <v>1</v>
      </c>
      <c r="H367" s="1220">
        <f ca="1">INDIRECT("Penalties!"&amp;PenaltyData[[#This Row],[REF]]&amp;PenaltyData[[#This Row],[ROW]])</f>
        <v>0</v>
      </c>
      <c r="I367" s="1220" t="str">
        <f ca="1">IFERROR(VLOOKUP(PenaltyData[[#This Row],[Penalty]],PenaltyNames91419[],2,FALSE),"")</f>
        <v/>
      </c>
      <c r="J367" s="1220" t="s">
        <v>775</v>
      </c>
      <c r="K367" s="1220">
        <v>4</v>
      </c>
      <c r="L367" s="1220"/>
    </row>
    <row r="368" spans="1:12" x14ac:dyDescent="0.25">
      <c r="A368" s="1230">
        <f t="shared" si="21"/>
        <v>42105</v>
      </c>
      <c r="B368" s="1231">
        <f t="shared" si="22"/>
        <v>0.83333333333333337</v>
      </c>
      <c r="C368" s="1220">
        <v>1</v>
      </c>
      <c r="D368" s="1220" t="str">
        <f t="shared" si="24"/>
        <v>Harlots</v>
      </c>
      <c r="E368" s="1220">
        <f ca="1">VALUE(INDIRECT("Penalties!"&amp;PenaltyData[[#This Row],[REF]]&amp;(PenaltyData[[#This Row],[ROW]]+1)))</f>
        <v>0</v>
      </c>
      <c r="F368" s="1220" t="str">
        <f ca="1">IF(INDIRECT("Penalties!"&amp;$N$29&amp;PenaltyData[[#This Row],[ROW]],TRUE)=0, "",INDIRECT("Penalties!"&amp;$N$29&amp;PenaltyData[[#This Row],[ROW]],TRUE))</f>
        <v>11</v>
      </c>
      <c r="G368" s="1220">
        <f ca="1">COUNTIFS($H$1:H368,"&lt;&gt;0", $F$1:F368,PenaltyData[[#This Row],[PlayerIdx]],$D$1:D368,PenaltyData[[#This Row],[Team]])</f>
        <v>1</v>
      </c>
      <c r="H368" s="1220">
        <f ca="1">INDIRECT("Penalties!"&amp;PenaltyData[[#This Row],[REF]]&amp;PenaltyData[[#This Row],[ROW]])</f>
        <v>0</v>
      </c>
      <c r="I368" s="1220" t="str">
        <f ca="1">IFERROR(VLOOKUP(PenaltyData[[#This Row],[Penalty]],PenaltyNames91419[],2,FALSE),"")</f>
        <v/>
      </c>
      <c r="J368" s="1220" t="s">
        <v>776</v>
      </c>
      <c r="K368" s="1220">
        <v>4</v>
      </c>
      <c r="L368" s="1220"/>
    </row>
    <row r="369" spans="1:12" x14ac:dyDescent="0.25">
      <c r="A369" s="1230">
        <f t="shared" si="21"/>
        <v>42105</v>
      </c>
      <c r="B369" s="1231">
        <f t="shared" si="22"/>
        <v>0.83333333333333337</v>
      </c>
      <c r="C369" s="1220">
        <v>1</v>
      </c>
      <c r="D369" s="1220" t="str">
        <f t="shared" si="24"/>
        <v>Harlots</v>
      </c>
      <c r="E369" s="1220">
        <f ca="1">VALUE(INDIRECT("Penalties!"&amp;PenaltyData[[#This Row],[REF]]&amp;(PenaltyData[[#This Row],[ROW]]+1)))</f>
        <v>0</v>
      </c>
      <c r="F369" s="1220" t="str">
        <f ca="1">IF(INDIRECT("Penalties!"&amp;$N$29&amp;PenaltyData[[#This Row],[ROW]],TRUE)=0, "",INDIRECT("Penalties!"&amp;$N$29&amp;PenaltyData[[#This Row],[ROW]],TRUE))</f>
        <v>11</v>
      </c>
      <c r="G369" s="1220">
        <f ca="1">COUNTIFS($H$1:H369,"&lt;&gt;0", $F$1:F369,PenaltyData[[#This Row],[PlayerIdx]],$D$1:D369,PenaltyData[[#This Row],[Team]])</f>
        <v>1</v>
      </c>
      <c r="H369" s="1220">
        <f ca="1">INDIRECT("Penalties!"&amp;PenaltyData[[#This Row],[REF]]&amp;PenaltyData[[#This Row],[ROW]])</f>
        <v>0</v>
      </c>
      <c r="I369" s="1220" t="str">
        <f ca="1">IFERROR(VLOOKUP(PenaltyData[[#This Row],[Penalty]],PenaltyNames91419[],2,FALSE),"")</f>
        <v/>
      </c>
      <c r="J369" s="1220" t="s">
        <v>140</v>
      </c>
      <c r="K369" s="1220">
        <v>4</v>
      </c>
      <c r="L369" s="1220"/>
    </row>
    <row r="370" spans="1:12" x14ac:dyDescent="0.25">
      <c r="A370" s="1230">
        <f t="shared" si="21"/>
        <v>42105</v>
      </c>
      <c r="B370" s="1231">
        <f t="shared" si="22"/>
        <v>0.83333333333333337</v>
      </c>
      <c r="C370" s="1220">
        <v>1</v>
      </c>
      <c r="D370" s="1220" t="str">
        <f t="shared" si="24"/>
        <v>Harlots</v>
      </c>
      <c r="E370" s="1220">
        <f ca="1">VALUE(INDIRECT("Penalties!"&amp;PenaltyData[[#This Row],[REF]]&amp;(PenaltyData[[#This Row],[ROW]]+1)))</f>
        <v>0</v>
      </c>
      <c r="F370" s="1220" t="str">
        <f ca="1">IF(INDIRECT("Penalties!"&amp;$N$29&amp;PenaltyData[[#This Row],[ROW]],TRUE)=0, "",INDIRECT("Penalties!"&amp;$N$29&amp;PenaltyData[[#This Row],[ROW]],TRUE))</f>
        <v>11</v>
      </c>
      <c r="G370" s="1220">
        <f ca="1">COUNTIFS($H$1:H370,"&lt;&gt;0", $F$1:F370,PenaltyData[[#This Row],[PlayerIdx]],$D$1:D370,PenaltyData[[#This Row],[Team]])</f>
        <v>1</v>
      </c>
      <c r="H370" s="1220">
        <f ca="1">INDIRECT("Penalties!"&amp;PenaltyData[[#This Row],[REF]]&amp;PenaltyData[[#This Row],[ROW]])</f>
        <v>0</v>
      </c>
      <c r="I370" s="1220" t="str">
        <f ca="1">IFERROR(VLOOKUP(PenaltyData[[#This Row],[Penalty]],PenaltyNames91419[],2,FALSE),"")</f>
        <v/>
      </c>
      <c r="J370" s="1220" t="s">
        <v>777</v>
      </c>
      <c r="K370" s="1220">
        <v>4</v>
      </c>
      <c r="L370" s="1220"/>
    </row>
    <row r="371" spans="1:12" x14ac:dyDescent="0.25">
      <c r="A371" s="1230">
        <f t="shared" si="21"/>
        <v>42105</v>
      </c>
      <c r="B371" s="1231">
        <f t="shared" si="22"/>
        <v>0.83333333333333337</v>
      </c>
      <c r="C371" s="1220">
        <v>2</v>
      </c>
      <c r="D371" s="1220" t="str">
        <f t="shared" si="24"/>
        <v>Harlots</v>
      </c>
      <c r="E371" s="1220">
        <f ca="1">VALUE(INDIRECT("Penalties!"&amp;PenaltyData[[#This Row],[REF]]&amp;(PenaltyData[[#This Row],[ROW]]+1)))</f>
        <v>0</v>
      </c>
      <c r="F371" s="1220" t="str">
        <f ca="1">IF(INDIRECT("Penalties!"&amp;$N$29&amp;PenaltyData[[#This Row],[ROW]],TRUE)=0, "",INDIRECT("Penalties!"&amp;$N$29&amp;PenaltyData[[#This Row],[ROW]],TRUE))</f>
        <v>11</v>
      </c>
      <c r="G371" s="1220">
        <f ca="1">COUNTIFS($H$1:H371,"&lt;&gt;0", $F$1:F371,PenaltyData[[#This Row],[PlayerIdx]],$D$1:D371,PenaltyData[[#This Row],[Team]])</f>
        <v>1</v>
      </c>
      <c r="H371" s="1220">
        <f ca="1">INDIRECT("Penalties!"&amp;PenaltyData[[#This Row],[REF]]&amp;PenaltyData[[#This Row],[ROW]])</f>
        <v>0</v>
      </c>
      <c r="I371" s="1220" t="str">
        <f ca="1">IFERROR(VLOOKUP(PenaltyData[[#This Row],[Penalty]],PenaltyNames91419[],2,FALSE),"")</f>
        <v/>
      </c>
      <c r="J371" s="1220" t="s">
        <v>778</v>
      </c>
      <c r="K371" s="1220">
        <v>4</v>
      </c>
      <c r="L371" s="1220"/>
    </row>
    <row r="372" spans="1:12" x14ac:dyDescent="0.25">
      <c r="A372" s="1230">
        <f t="shared" si="21"/>
        <v>42105</v>
      </c>
      <c r="B372" s="1231">
        <f t="shared" si="22"/>
        <v>0.83333333333333337</v>
      </c>
      <c r="C372" s="1220">
        <v>2</v>
      </c>
      <c r="D372" s="1220" t="str">
        <f t="shared" si="24"/>
        <v>Harlots</v>
      </c>
      <c r="E372" s="1220">
        <f ca="1">VALUE(INDIRECT("Penalties!"&amp;PenaltyData[[#This Row],[REF]]&amp;(PenaltyData[[#This Row],[ROW]]+1)))</f>
        <v>0</v>
      </c>
      <c r="F372" s="1220" t="str">
        <f ca="1">IF(INDIRECT("Penalties!"&amp;$N$29&amp;PenaltyData[[#This Row],[ROW]],TRUE)=0, "",INDIRECT("Penalties!"&amp;$N$29&amp;PenaltyData[[#This Row],[ROW]],TRUE))</f>
        <v>11</v>
      </c>
      <c r="G372" s="1220">
        <f ca="1">COUNTIFS($H$1:H372,"&lt;&gt;0", $F$1:F372,PenaltyData[[#This Row],[PlayerIdx]],$D$1:D372,PenaltyData[[#This Row],[Team]])</f>
        <v>1</v>
      </c>
      <c r="H372" s="1220">
        <f ca="1">INDIRECT("Penalties!"&amp;PenaltyData[[#This Row],[REF]]&amp;PenaltyData[[#This Row],[ROW]])</f>
        <v>0</v>
      </c>
      <c r="I372" s="1220" t="str">
        <f ca="1">IFERROR(VLOOKUP(PenaltyData[[#This Row],[Penalty]],PenaltyNames91419[],2,FALSE),"")</f>
        <v/>
      </c>
      <c r="J372" s="1220" t="s">
        <v>779</v>
      </c>
      <c r="K372" s="1220">
        <v>4</v>
      </c>
      <c r="L372" s="1220"/>
    </row>
    <row r="373" spans="1:12" x14ac:dyDescent="0.25">
      <c r="A373" s="1230">
        <f t="shared" si="21"/>
        <v>42105</v>
      </c>
      <c r="B373" s="1231">
        <f t="shared" si="22"/>
        <v>0.83333333333333337</v>
      </c>
      <c r="C373" s="1220">
        <v>2</v>
      </c>
      <c r="D373" s="1220" t="str">
        <f t="shared" si="24"/>
        <v>Harlots</v>
      </c>
      <c r="E373" s="1220">
        <f ca="1">VALUE(INDIRECT("Penalties!"&amp;PenaltyData[[#This Row],[REF]]&amp;(PenaltyData[[#This Row],[ROW]]+1)))</f>
        <v>0</v>
      </c>
      <c r="F373" s="1220" t="str">
        <f ca="1">IF(INDIRECT("Penalties!"&amp;$N$29&amp;PenaltyData[[#This Row],[ROW]],TRUE)=0, "",INDIRECT("Penalties!"&amp;$N$29&amp;PenaltyData[[#This Row],[ROW]],TRUE))</f>
        <v>11</v>
      </c>
      <c r="G373" s="1220">
        <f ca="1">COUNTIFS($H$1:H373,"&lt;&gt;0", $F$1:F373,PenaltyData[[#This Row],[PlayerIdx]],$D$1:D373,PenaltyData[[#This Row],[Team]])</f>
        <v>1</v>
      </c>
      <c r="H373" s="1220">
        <f ca="1">INDIRECT("Penalties!"&amp;PenaltyData[[#This Row],[REF]]&amp;PenaltyData[[#This Row],[ROW]])</f>
        <v>0</v>
      </c>
      <c r="I373" s="1220" t="str">
        <f ca="1">IFERROR(VLOOKUP(PenaltyData[[#This Row],[Penalty]],PenaltyNames91419[],2,FALSE),"")</f>
        <v/>
      </c>
      <c r="J373" s="1220" t="s">
        <v>780</v>
      </c>
      <c r="K373" s="1220">
        <v>4</v>
      </c>
      <c r="L373" s="1220"/>
    </row>
    <row r="374" spans="1:12" x14ac:dyDescent="0.25">
      <c r="A374" s="1230">
        <f t="shared" si="21"/>
        <v>42105</v>
      </c>
      <c r="B374" s="1231">
        <f t="shared" si="22"/>
        <v>0.83333333333333337</v>
      </c>
      <c r="C374" s="1220">
        <v>2</v>
      </c>
      <c r="D374" s="1220" t="str">
        <f t="shared" si="24"/>
        <v>Harlots</v>
      </c>
      <c r="E374" s="1220">
        <f ca="1">VALUE(INDIRECT("Penalties!"&amp;PenaltyData[[#This Row],[REF]]&amp;(PenaltyData[[#This Row],[ROW]]+1)))</f>
        <v>0</v>
      </c>
      <c r="F374" s="1220" t="str">
        <f ca="1">IF(INDIRECT("Penalties!"&amp;$N$29&amp;PenaltyData[[#This Row],[ROW]],TRUE)=0, "",INDIRECT("Penalties!"&amp;$N$29&amp;PenaltyData[[#This Row],[ROW]],TRUE))</f>
        <v>11</v>
      </c>
      <c r="G374" s="1220">
        <f ca="1">COUNTIFS($H$1:H374,"&lt;&gt;0", $F$1:F374,PenaltyData[[#This Row],[PlayerIdx]],$D$1:D374,PenaltyData[[#This Row],[Team]])</f>
        <v>1</v>
      </c>
      <c r="H374" s="1220">
        <f ca="1">INDIRECT("Penalties!"&amp;PenaltyData[[#This Row],[REF]]&amp;PenaltyData[[#This Row],[ROW]])</f>
        <v>0</v>
      </c>
      <c r="I374" s="1220" t="str">
        <f ca="1">IFERROR(VLOOKUP(PenaltyData[[#This Row],[Penalty]],PenaltyNames91419[],2,FALSE),"")</f>
        <v/>
      </c>
      <c r="J374" s="1220" t="s">
        <v>781</v>
      </c>
      <c r="K374" s="1220">
        <v>4</v>
      </c>
      <c r="L374" s="1220"/>
    </row>
    <row r="375" spans="1:12" x14ac:dyDescent="0.25">
      <c r="A375" s="1230">
        <f t="shared" si="21"/>
        <v>42105</v>
      </c>
      <c r="B375" s="1231">
        <f t="shared" si="22"/>
        <v>0.83333333333333337</v>
      </c>
      <c r="C375" s="1220">
        <v>2</v>
      </c>
      <c r="D375" s="1220" t="str">
        <f t="shared" si="24"/>
        <v>Harlots</v>
      </c>
      <c r="E375" s="1220">
        <f ca="1">VALUE(INDIRECT("Penalties!"&amp;PenaltyData[[#This Row],[REF]]&amp;(PenaltyData[[#This Row],[ROW]]+1)))</f>
        <v>0</v>
      </c>
      <c r="F375" s="1220" t="str">
        <f ca="1">IF(INDIRECT("Penalties!"&amp;$N$29&amp;PenaltyData[[#This Row],[ROW]],TRUE)=0, "",INDIRECT("Penalties!"&amp;$N$29&amp;PenaltyData[[#This Row],[ROW]],TRUE))</f>
        <v>11</v>
      </c>
      <c r="G375" s="1220">
        <f ca="1">COUNTIFS($H$1:H375,"&lt;&gt;0", $F$1:F375,PenaltyData[[#This Row],[PlayerIdx]],$D$1:D375,PenaltyData[[#This Row],[Team]])</f>
        <v>1</v>
      </c>
      <c r="H375" s="1220">
        <f ca="1">INDIRECT("Penalties!"&amp;PenaltyData[[#This Row],[REF]]&amp;PenaltyData[[#This Row],[ROW]])</f>
        <v>0</v>
      </c>
      <c r="I375" s="1220" t="str">
        <f ca="1">IFERROR(VLOOKUP(PenaltyData[[#This Row],[Penalty]],PenaltyNames91419[],2,FALSE),"")</f>
        <v/>
      </c>
      <c r="J375" s="1220" t="s">
        <v>782</v>
      </c>
      <c r="K375" s="1220">
        <v>4</v>
      </c>
      <c r="L375" s="1220"/>
    </row>
    <row r="376" spans="1:12" x14ac:dyDescent="0.25">
      <c r="A376" s="1230">
        <f t="shared" si="21"/>
        <v>42105</v>
      </c>
      <c r="B376" s="1231">
        <f t="shared" si="22"/>
        <v>0.83333333333333337</v>
      </c>
      <c r="C376" s="1220">
        <v>2</v>
      </c>
      <c r="D376" s="1220" t="str">
        <f t="shared" si="24"/>
        <v>Harlots</v>
      </c>
      <c r="E376" s="1220">
        <f ca="1">VALUE(INDIRECT("Penalties!"&amp;PenaltyData[[#This Row],[REF]]&amp;(PenaltyData[[#This Row],[ROW]]+1)))</f>
        <v>0</v>
      </c>
      <c r="F376" s="1220" t="str">
        <f ca="1">IF(INDIRECT("Penalties!"&amp;$N$29&amp;PenaltyData[[#This Row],[ROW]],TRUE)=0, "",INDIRECT("Penalties!"&amp;$N$29&amp;PenaltyData[[#This Row],[ROW]],TRUE))</f>
        <v>11</v>
      </c>
      <c r="G376" s="1220">
        <f ca="1">COUNTIFS($H$1:H376,"&lt;&gt;0", $F$1:F376,PenaltyData[[#This Row],[PlayerIdx]],$D$1:D376,PenaltyData[[#This Row],[Team]])</f>
        <v>1</v>
      </c>
      <c r="H376" s="1220">
        <f ca="1">INDIRECT("Penalties!"&amp;PenaltyData[[#This Row],[REF]]&amp;PenaltyData[[#This Row],[ROW]])</f>
        <v>0</v>
      </c>
      <c r="I376" s="1220" t="str">
        <f ca="1">IFERROR(VLOOKUP(PenaltyData[[#This Row],[Penalty]],PenaltyNames91419[],2,FALSE),"")</f>
        <v/>
      </c>
      <c r="J376" s="1220" t="s">
        <v>783</v>
      </c>
      <c r="K376" s="1220">
        <v>4</v>
      </c>
      <c r="L376" s="1220"/>
    </row>
    <row r="377" spans="1:12" x14ac:dyDescent="0.25">
      <c r="A377" s="1230">
        <f t="shared" si="21"/>
        <v>42105</v>
      </c>
      <c r="B377" s="1231">
        <f t="shared" si="22"/>
        <v>0.83333333333333337</v>
      </c>
      <c r="C377" s="1220">
        <v>2</v>
      </c>
      <c r="D377" s="1220" t="str">
        <f t="shared" si="24"/>
        <v>Harlots</v>
      </c>
      <c r="E377" s="1220">
        <f ca="1">VALUE(INDIRECT("Penalties!"&amp;PenaltyData[[#This Row],[REF]]&amp;(PenaltyData[[#This Row],[ROW]]+1)))</f>
        <v>0</v>
      </c>
      <c r="F377" s="1220" t="str">
        <f ca="1">IF(INDIRECT("Penalties!"&amp;$N$29&amp;PenaltyData[[#This Row],[ROW]],TRUE)=0, "",INDIRECT("Penalties!"&amp;$N$29&amp;PenaltyData[[#This Row],[ROW]],TRUE))</f>
        <v>11</v>
      </c>
      <c r="G377" s="1220">
        <f ca="1">COUNTIFS($H$1:H377,"&lt;&gt;0", $F$1:F377,PenaltyData[[#This Row],[PlayerIdx]],$D$1:D377,PenaltyData[[#This Row],[Team]])</f>
        <v>1</v>
      </c>
      <c r="H377" s="1220">
        <f ca="1">INDIRECT("Penalties!"&amp;PenaltyData[[#This Row],[REF]]&amp;PenaltyData[[#This Row],[ROW]])</f>
        <v>0</v>
      </c>
      <c r="I377" s="1220" t="str">
        <f ca="1">IFERROR(VLOOKUP(PenaltyData[[#This Row],[Penalty]],PenaltyNames91419[],2,FALSE),"")</f>
        <v/>
      </c>
      <c r="J377" s="1220" t="s">
        <v>784</v>
      </c>
      <c r="K377" s="1220">
        <v>4</v>
      </c>
      <c r="L377" s="1220"/>
    </row>
    <row r="378" spans="1:12" x14ac:dyDescent="0.25">
      <c r="A378" s="1230">
        <f t="shared" si="21"/>
        <v>42105</v>
      </c>
      <c r="B378" s="1231">
        <f t="shared" si="22"/>
        <v>0.83333333333333337</v>
      </c>
      <c r="C378" s="1220">
        <v>2</v>
      </c>
      <c r="D378" s="1220" t="str">
        <f t="shared" si="24"/>
        <v>Harlots</v>
      </c>
      <c r="E378" s="1220">
        <f ca="1">VALUE(INDIRECT("Penalties!"&amp;PenaltyData[[#This Row],[REF]]&amp;(PenaltyData[[#This Row],[ROW]]+1)))</f>
        <v>0</v>
      </c>
      <c r="F378" s="1220" t="str">
        <f ca="1">IF(INDIRECT("Penalties!"&amp;$N$29&amp;PenaltyData[[#This Row],[ROW]],TRUE)=0, "",INDIRECT("Penalties!"&amp;$N$29&amp;PenaltyData[[#This Row],[ROW]],TRUE))</f>
        <v>11</v>
      </c>
      <c r="G378" s="1220">
        <f ca="1">COUNTIFS($H$1:H378,"&lt;&gt;0", $F$1:F378,PenaltyData[[#This Row],[PlayerIdx]],$D$1:D378,PenaltyData[[#This Row],[Team]])</f>
        <v>1</v>
      </c>
      <c r="H378" s="1220">
        <f ca="1">INDIRECT("Penalties!"&amp;PenaltyData[[#This Row],[REF]]&amp;PenaltyData[[#This Row],[ROW]])</f>
        <v>0</v>
      </c>
      <c r="I378" s="1220" t="str">
        <f ca="1">IFERROR(VLOOKUP(PenaltyData[[#This Row],[Penalty]],PenaltyNames91419[],2,FALSE),"")</f>
        <v/>
      </c>
      <c r="J378" s="1220" t="s">
        <v>785</v>
      </c>
      <c r="K378" s="1220">
        <v>4</v>
      </c>
      <c r="L378" s="1220"/>
    </row>
    <row r="379" spans="1:12" x14ac:dyDescent="0.25">
      <c r="A379" s="1230">
        <f t="shared" si="21"/>
        <v>42105</v>
      </c>
      <c r="B379" s="1231">
        <f t="shared" si="22"/>
        <v>0.83333333333333337</v>
      </c>
      <c r="C379" s="1220">
        <v>2</v>
      </c>
      <c r="D379" s="1220" t="str">
        <f t="shared" si="24"/>
        <v>Harlots</v>
      </c>
      <c r="E379" s="1220">
        <f ca="1">VALUE(INDIRECT("Penalties!"&amp;PenaltyData[[#This Row],[REF]]&amp;(PenaltyData[[#This Row],[ROW]]+1)))</f>
        <v>0</v>
      </c>
      <c r="F379" s="1220" t="str">
        <f ca="1">IF(INDIRECT("Penalties!"&amp;$N$29&amp;PenaltyData[[#This Row],[ROW]],TRUE)=0, "",INDIRECT("Penalties!"&amp;$N$29&amp;PenaltyData[[#This Row],[ROW]],TRUE))</f>
        <v>11</v>
      </c>
      <c r="G379" s="1220">
        <f ca="1">COUNTIFS($H$1:H379,"&lt;&gt;0", $F$1:F379,PenaltyData[[#This Row],[PlayerIdx]],$D$1:D379,PenaltyData[[#This Row],[Team]])</f>
        <v>1</v>
      </c>
      <c r="H379" s="1220">
        <f ca="1">INDIRECT("Penalties!"&amp;PenaltyData[[#This Row],[REF]]&amp;PenaltyData[[#This Row],[ROW]])</f>
        <v>0</v>
      </c>
      <c r="I379" s="1220" t="str">
        <f ca="1">IFERROR(VLOOKUP(PenaltyData[[#This Row],[Penalty]],PenaltyNames91419[],2,FALSE),"")</f>
        <v/>
      </c>
      <c r="J379" s="1220" t="s">
        <v>786</v>
      </c>
      <c r="K379" s="1220">
        <v>4</v>
      </c>
      <c r="L379" s="1220"/>
    </row>
    <row r="380" spans="1:12" x14ac:dyDescent="0.25">
      <c r="A380" s="1230">
        <f t="shared" si="21"/>
        <v>42105</v>
      </c>
      <c r="B380" s="1231">
        <f t="shared" si="22"/>
        <v>0.83333333333333337</v>
      </c>
      <c r="C380" s="1220">
        <v>1</v>
      </c>
      <c r="D380" s="1220" t="str">
        <f t="shared" si="24"/>
        <v>Harlots</v>
      </c>
      <c r="E380" s="1220">
        <f ca="1">VALUE(INDIRECT("Penalties!"&amp;PenaltyData[[#This Row],[REF]]&amp;(PenaltyData[[#This Row],[ROW]]+1)))</f>
        <v>1</v>
      </c>
      <c r="F380" s="1220" t="str">
        <f ca="1">IF(INDIRECT("Penalties!"&amp;$N$29&amp;PenaltyData[[#This Row],[ROW]],TRUE)=0, "",INDIRECT("Penalties!"&amp;$N$29&amp;PenaltyData[[#This Row],[ROW]],TRUE))</f>
        <v>11G6</v>
      </c>
      <c r="G380" s="1220">
        <f ca="1">COUNTIFS($H$1:H380,"&lt;&gt;0", $F$1:F380,PenaltyData[[#This Row],[PlayerIdx]],$D$1:D380,PenaltyData[[#This Row],[Team]])</f>
        <v>1</v>
      </c>
      <c r="H380" s="1220" t="str">
        <f ca="1">INDIRECT("Penalties!"&amp;PenaltyData[[#This Row],[REF]]&amp;PenaltyData[[#This Row],[ROW]])</f>
        <v>B</v>
      </c>
      <c r="I380" s="1220" t="str">
        <f ca="1">IFERROR(VLOOKUP(PenaltyData[[#This Row],[Penalty]],PenaltyNames91419[],2,FALSE),"")</f>
        <v>Back Block</v>
      </c>
      <c r="J380" s="1220" t="s">
        <v>771</v>
      </c>
      <c r="K380" s="1220">
        <f>K362+2</f>
        <v>6</v>
      </c>
      <c r="L380" s="1220"/>
    </row>
    <row r="381" spans="1:12" x14ac:dyDescent="0.25">
      <c r="A381" s="1230">
        <f t="shared" si="21"/>
        <v>42105</v>
      </c>
      <c r="B381" s="1231">
        <f t="shared" si="22"/>
        <v>0.83333333333333337</v>
      </c>
      <c r="C381" s="1220">
        <v>1</v>
      </c>
      <c r="D381" s="1220" t="str">
        <f t="shared" si="24"/>
        <v>Harlots</v>
      </c>
      <c r="E381" s="1220">
        <f ca="1">VALUE(INDIRECT("Penalties!"&amp;PenaltyData[[#This Row],[REF]]&amp;(PenaltyData[[#This Row],[ROW]]+1)))</f>
        <v>9</v>
      </c>
      <c r="F381" s="1220" t="str">
        <f ca="1">IF(INDIRECT("Penalties!"&amp;$N$29&amp;PenaltyData[[#This Row],[ROW]],TRUE)=0, "",INDIRECT("Penalties!"&amp;$N$29&amp;PenaltyData[[#This Row],[ROW]],TRUE))</f>
        <v>11G6</v>
      </c>
      <c r="G381" s="1220">
        <f ca="1">COUNTIFS($H$1:H381,"&lt;&gt;0", $F$1:F381,PenaltyData[[#This Row],[PlayerIdx]],$D$1:D381,PenaltyData[[#This Row],[Team]])</f>
        <v>2</v>
      </c>
      <c r="H381" s="1220" t="str">
        <f ca="1">INDIRECT("Penalties!"&amp;PenaltyData[[#This Row],[REF]]&amp;PenaltyData[[#This Row],[ROW]])</f>
        <v>X</v>
      </c>
      <c r="I381" s="1220" t="str">
        <f ca="1">IFERROR(VLOOKUP(PenaltyData[[#This Row],[Penalty]],PenaltyNames91419[],2,FALSE),"")</f>
        <v>Cut Track</v>
      </c>
      <c r="J381" s="1220" t="s">
        <v>772</v>
      </c>
      <c r="K381" s="1220">
        <f t="shared" ref="K381:K444" si="25">K363+2</f>
        <v>6</v>
      </c>
      <c r="L381" s="1220"/>
    </row>
    <row r="382" spans="1:12" x14ac:dyDescent="0.25">
      <c r="A382" s="1230">
        <f t="shared" si="21"/>
        <v>42105</v>
      </c>
      <c r="B382" s="1231">
        <f t="shared" si="22"/>
        <v>0.83333333333333337</v>
      </c>
      <c r="C382" s="1220">
        <v>1</v>
      </c>
      <c r="D382" s="1220" t="str">
        <f t="shared" si="24"/>
        <v>Harlots</v>
      </c>
      <c r="E382" s="1220">
        <f ca="1">VALUE(INDIRECT("Penalties!"&amp;PenaltyData[[#This Row],[REF]]&amp;(PenaltyData[[#This Row],[ROW]]+1)))</f>
        <v>0</v>
      </c>
      <c r="F382" s="1220" t="str">
        <f ca="1">IF(INDIRECT("Penalties!"&amp;$N$29&amp;PenaltyData[[#This Row],[ROW]],TRUE)=0, "",INDIRECT("Penalties!"&amp;$N$29&amp;PenaltyData[[#This Row],[ROW]],TRUE))</f>
        <v>11G6</v>
      </c>
      <c r="G382" s="1220">
        <f ca="1">COUNTIFS($H$1:H382,"&lt;&gt;0", $F$1:F382,PenaltyData[[#This Row],[PlayerIdx]],$D$1:D382,PenaltyData[[#This Row],[Team]])</f>
        <v>2</v>
      </c>
      <c r="H382" s="1220">
        <f ca="1">INDIRECT("Penalties!"&amp;PenaltyData[[#This Row],[REF]]&amp;PenaltyData[[#This Row],[ROW]])</f>
        <v>0</v>
      </c>
      <c r="I382" s="1220" t="str">
        <f ca="1">IFERROR(VLOOKUP(PenaltyData[[#This Row],[Penalty]],PenaltyNames91419[],2,FALSE),"")</f>
        <v/>
      </c>
      <c r="J382" s="1220" t="s">
        <v>159</v>
      </c>
      <c r="K382" s="1220">
        <f t="shared" si="25"/>
        <v>6</v>
      </c>
      <c r="L382" s="1220"/>
    </row>
    <row r="383" spans="1:12" x14ac:dyDescent="0.25">
      <c r="A383" s="1230">
        <f t="shared" si="21"/>
        <v>42105</v>
      </c>
      <c r="B383" s="1231">
        <f t="shared" si="22"/>
        <v>0.83333333333333337</v>
      </c>
      <c r="C383" s="1220">
        <v>1</v>
      </c>
      <c r="D383" s="1220" t="str">
        <f t="shared" si="24"/>
        <v>Harlots</v>
      </c>
      <c r="E383" s="1220">
        <f ca="1">VALUE(INDIRECT("Penalties!"&amp;PenaltyData[[#This Row],[REF]]&amp;(PenaltyData[[#This Row],[ROW]]+1)))</f>
        <v>0</v>
      </c>
      <c r="F383" s="1220" t="str">
        <f ca="1">IF(INDIRECT("Penalties!"&amp;$N$29&amp;PenaltyData[[#This Row],[ROW]],TRUE)=0, "",INDIRECT("Penalties!"&amp;$N$29&amp;PenaltyData[[#This Row],[ROW]],TRUE))</f>
        <v>11G6</v>
      </c>
      <c r="G383" s="1220">
        <f ca="1">COUNTIFS($H$1:H383,"&lt;&gt;0", $F$1:F383,PenaltyData[[#This Row],[PlayerIdx]],$D$1:D383,PenaltyData[[#This Row],[Team]])</f>
        <v>2</v>
      </c>
      <c r="H383" s="1220">
        <f ca="1">INDIRECT("Penalties!"&amp;PenaltyData[[#This Row],[REF]]&amp;PenaltyData[[#This Row],[ROW]])</f>
        <v>0</v>
      </c>
      <c r="I383" s="1220" t="str">
        <f ca="1">IFERROR(VLOOKUP(PenaltyData[[#This Row],[Penalty]],PenaltyNames91419[],2,FALSE),"")</f>
        <v/>
      </c>
      <c r="J383" s="1220" t="s">
        <v>773</v>
      </c>
      <c r="K383" s="1220">
        <f t="shared" si="25"/>
        <v>6</v>
      </c>
      <c r="L383" s="1220"/>
    </row>
    <row r="384" spans="1:12" x14ac:dyDescent="0.25">
      <c r="A384" s="1230">
        <f t="shared" si="21"/>
        <v>42105</v>
      </c>
      <c r="B384" s="1231">
        <f t="shared" si="22"/>
        <v>0.83333333333333337</v>
      </c>
      <c r="C384" s="1220">
        <v>1</v>
      </c>
      <c r="D384" s="1220" t="str">
        <f t="shared" si="24"/>
        <v>Harlots</v>
      </c>
      <c r="E384" s="1220">
        <f ca="1">VALUE(INDIRECT("Penalties!"&amp;PenaltyData[[#This Row],[REF]]&amp;(PenaltyData[[#This Row],[ROW]]+1)))</f>
        <v>0</v>
      </c>
      <c r="F384" s="1220" t="str">
        <f ca="1">IF(INDIRECT("Penalties!"&amp;$N$29&amp;PenaltyData[[#This Row],[ROW]],TRUE)=0, "",INDIRECT("Penalties!"&amp;$N$29&amp;PenaltyData[[#This Row],[ROW]],TRUE))</f>
        <v>11G6</v>
      </c>
      <c r="G384" s="1220">
        <f ca="1">COUNTIFS($H$1:H384,"&lt;&gt;0", $F$1:F384,PenaltyData[[#This Row],[PlayerIdx]],$D$1:D384,PenaltyData[[#This Row],[Team]])</f>
        <v>2</v>
      </c>
      <c r="H384" s="1220">
        <f ca="1">INDIRECT("Penalties!"&amp;PenaltyData[[#This Row],[REF]]&amp;PenaltyData[[#This Row],[ROW]])</f>
        <v>0</v>
      </c>
      <c r="I384" s="1220" t="str">
        <f ca="1">IFERROR(VLOOKUP(PenaltyData[[#This Row],[Penalty]],PenaltyNames91419[],2,FALSE),"")</f>
        <v/>
      </c>
      <c r="J384" s="1220" t="s">
        <v>774</v>
      </c>
      <c r="K384" s="1220">
        <f t="shared" si="25"/>
        <v>6</v>
      </c>
      <c r="L384" s="1220"/>
    </row>
    <row r="385" spans="1:12" x14ac:dyDescent="0.25">
      <c r="A385" s="1230">
        <f t="shared" si="21"/>
        <v>42105</v>
      </c>
      <c r="B385" s="1231">
        <f t="shared" si="22"/>
        <v>0.83333333333333337</v>
      </c>
      <c r="C385" s="1220">
        <v>1</v>
      </c>
      <c r="D385" s="1220" t="str">
        <f t="shared" si="24"/>
        <v>Harlots</v>
      </c>
      <c r="E385" s="1220">
        <f ca="1">VALUE(INDIRECT("Penalties!"&amp;PenaltyData[[#This Row],[REF]]&amp;(PenaltyData[[#This Row],[ROW]]+1)))</f>
        <v>0</v>
      </c>
      <c r="F385" s="1220" t="str">
        <f ca="1">IF(INDIRECT("Penalties!"&amp;$N$29&amp;PenaltyData[[#This Row],[ROW]],TRUE)=0, "",INDIRECT("Penalties!"&amp;$N$29&amp;PenaltyData[[#This Row],[ROW]],TRUE))</f>
        <v>11G6</v>
      </c>
      <c r="G385" s="1220">
        <f ca="1">COUNTIFS($H$1:H385,"&lt;&gt;0", $F$1:F385,PenaltyData[[#This Row],[PlayerIdx]],$D$1:D385,PenaltyData[[#This Row],[Team]])</f>
        <v>2</v>
      </c>
      <c r="H385" s="1220">
        <f ca="1">INDIRECT("Penalties!"&amp;PenaltyData[[#This Row],[REF]]&amp;PenaltyData[[#This Row],[ROW]])</f>
        <v>0</v>
      </c>
      <c r="I385" s="1220" t="str">
        <f ca="1">IFERROR(VLOOKUP(PenaltyData[[#This Row],[Penalty]],PenaltyNames91419[],2,FALSE),"")</f>
        <v/>
      </c>
      <c r="J385" s="1220" t="s">
        <v>775</v>
      </c>
      <c r="K385" s="1220">
        <f t="shared" si="25"/>
        <v>6</v>
      </c>
      <c r="L385" s="1220"/>
    </row>
    <row r="386" spans="1:12" x14ac:dyDescent="0.25">
      <c r="A386" s="1230">
        <f t="shared" si="21"/>
        <v>42105</v>
      </c>
      <c r="B386" s="1231">
        <f t="shared" si="22"/>
        <v>0.83333333333333337</v>
      </c>
      <c r="C386" s="1220">
        <v>1</v>
      </c>
      <c r="D386" s="1220" t="str">
        <f t="shared" si="24"/>
        <v>Harlots</v>
      </c>
      <c r="E386" s="1220">
        <f ca="1">VALUE(INDIRECT("Penalties!"&amp;PenaltyData[[#This Row],[REF]]&amp;(PenaltyData[[#This Row],[ROW]]+1)))</f>
        <v>0</v>
      </c>
      <c r="F386" s="1220" t="str">
        <f ca="1">IF(INDIRECT("Penalties!"&amp;$N$29&amp;PenaltyData[[#This Row],[ROW]],TRUE)=0, "",INDIRECT("Penalties!"&amp;$N$29&amp;PenaltyData[[#This Row],[ROW]],TRUE))</f>
        <v>11G6</v>
      </c>
      <c r="G386" s="1220">
        <f ca="1">COUNTIFS($H$1:H386,"&lt;&gt;0", $F$1:F386,PenaltyData[[#This Row],[PlayerIdx]],$D$1:D386,PenaltyData[[#This Row],[Team]])</f>
        <v>2</v>
      </c>
      <c r="H386" s="1220">
        <f ca="1">INDIRECT("Penalties!"&amp;PenaltyData[[#This Row],[REF]]&amp;PenaltyData[[#This Row],[ROW]])</f>
        <v>0</v>
      </c>
      <c r="I386" s="1220" t="str">
        <f ca="1">IFERROR(VLOOKUP(PenaltyData[[#This Row],[Penalty]],PenaltyNames91419[],2,FALSE),"")</f>
        <v/>
      </c>
      <c r="J386" s="1220" t="s">
        <v>776</v>
      </c>
      <c r="K386" s="1220">
        <f t="shared" si="25"/>
        <v>6</v>
      </c>
      <c r="L386" s="1220"/>
    </row>
    <row r="387" spans="1:12" x14ac:dyDescent="0.25">
      <c r="A387" s="1230">
        <f t="shared" si="21"/>
        <v>42105</v>
      </c>
      <c r="B387" s="1231">
        <f t="shared" si="22"/>
        <v>0.83333333333333337</v>
      </c>
      <c r="C387" s="1220">
        <v>1</v>
      </c>
      <c r="D387" s="1220" t="str">
        <f t="shared" si="24"/>
        <v>Harlots</v>
      </c>
      <c r="E387" s="1220">
        <f ca="1">VALUE(INDIRECT("Penalties!"&amp;PenaltyData[[#This Row],[REF]]&amp;(PenaltyData[[#This Row],[ROW]]+1)))</f>
        <v>0</v>
      </c>
      <c r="F387" s="1220" t="str">
        <f ca="1">IF(INDIRECT("Penalties!"&amp;$N$29&amp;PenaltyData[[#This Row],[ROW]],TRUE)=0, "",INDIRECT("Penalties!"&amp;$N$29&amp;PenaltyData[[#This Row],[ROW]],TRUE))</f>
        <v>11G6</v>
      </c>
      <c r="G387" s="1220">
        <f ca="1">COUNTIFS($H$1:H387,"&lt;&gt;0", $F$1:F387,PenaltyData[[#This Row],[PlayerIdx]],$D$1:D387,PenaltyData[[#This Row],[Team]])</f>
        <v>2</v>
      </c>
      <c r="H387" s="1220">
        <f ca="1">INDIRECT("Penalties!"&amp;PenaltyData[[#This Row],[REF]]&amp;PenaltyData[[#This Row],[ROW]])</f>
        <v>0</v>
      </c>
      <c r="I387" s="1220" t="str">
        <f ca="1">IFERROR(VLOOKUP(PenaltyData[[#This Row],[Penalty]],PenaltyNames91419[],2,FALSE),"")</f>
        <v/>
      </c>
      <c r="J387" s="1220" t="s">
        <v>140</v>
      </c>
      <c r="K387" s="1220">
        <f t="shared" si="25"/>
        <v>6</v>
      </c>
      <c r="L387" s="1220"/>
    </row>
    <row r="388" spans="1:12" x14ac:dyDescent="0.25">
      <c r="A388" s="1230">
        <f t="shared" si="21"/>
        <v>42105</v>
      </c>
      <c r="B388" s="1231">
        <f t="shared" si="22"/>
        <v>0.83333333333333337</v>
      </c>
      <c r="C388" s="1220">
        <v>1</v>
      </c>
      <c r="D388" s="1220" t="str">
        <f t="shared" si="24"/>
        <v>Harlots</v>
      </c>
      <c r="E388" s="1220">
        <f ca="1">VALUE(INDIRECT("Penalties!"&amp;PenaltyData[[#This Row],[REF]]&amp;(PenaltyData[[#This Row],[ROW]]+1)))</f>
        <v>0</v>
      </c>
      <c r="F388" s="1220" t="str">
        <f ca="1">IF(INDIRECT("Penalties!"&amp;$N$29&amp;PenaltyData[[#This Row],[ROW]],TRUE)=0, "",INDIRECT("Penalties!"&amp;$N$29&amp;PenaltyData[[#This Row],[ROW]],TRUE))</f>
        <v>11G6</v>
      </c>
      <c r="G388" s="1220">
        <f ca="1">COUNTIFS($H$1:H388,"&lt;&gt;0", $F$1:F388,PenaltyData[[#This Row],[PlayerIdx]],$D$1:D388,PenaltyData[[#This Row],[Team]])</f>
        <v>2</v>
      </c>
      <c r="H388" s="1220">
        <f ca="1">INDIRECT("Penalties!"&amp;PenaltyData[[#This Row],[REF]]&amp;PenaltyData[[#This Row],[ROW]])</f>
        <v>0</v>
      </c>
      <c r="I388" s="1220" t="str">
        <f ca="1">IFERROR(VLOOKUP(PenaltyData[[#This Row],[Penalty]],PenaltyNames91419[],2,FALSE),"")</f>
        <v/>
      </c>
      <c r="J388" s="1220" t="s">
        <v>777</v>
      </c>
      <c r="K388" s="1220">
        <f t="shared" si="25"/>
        <v>6</v>
      </c>
      <c r="L388" s="1220"/>
    </row>
    <row r="389" spans="1:12" x14ac:dyDescent="0.25">
      <c r="A389" s="1230">
        <f t="shared" si="21"/>
        <v>42105</v>
      </c>
      <c r="B389" s="1231">
        <f t="shared" si="22"/>
        <v>0.83333333333333337</v>
      </c>
      <c r="C389" s="1220">
        <v>2</v>
      </c>
      <c r="D389" s="1220" t="str">
        <f t="shared" si="24"/>
        <v>Harlots</v>
      </c>
      <c r="E389" s="1220">
        <f ca="1">VALUE(INDIRECT("Penalties!"&amp;PenaltyData[[#This Row],[REF]]&amp;(PenaltyData[[#This Row],[ROW]]+1)))</f>
        <v>0</v>
      </c>
      <c r="F389" s="1220" t="str">
        <f ca="1">IF(INDIRECT("Penalties!"&amp;$N$29&amp;PenaltyData[[#This Row],[ROW]],TRUE)=0, "",INDIRECT("Penalties!"&amp;$N$29&amp;PenaltyData[[#This Row],[ROW]],TRUE))</f>
        <v>11G6</v>
      </c>
      <c r="G389" s="1220">
        <f ca="1">COUNTIFS($H$1:H389,"&lt;&gt;0", $F$1:F389,PenaltyData[[#This Row],[PlayerIdx]],$D$1:D389,PenaltyData[[#This Row],[Team]])</f>
        <v>2</v>
      </c>
      <c r="H389" s="1220">
        <f ca="1">INDIRECT("Penalties!"&amp;PenaltyData[[#This Row],[REF]]&amp;PenaltyData[[#This Row],[ROW]])</f>
        <v>0</v>
      </c>
      <c r="I389" s="1220" t="str">
        <f ca="1">IFERROR(VLOOKUP(PenaltyData[[#This Row],[Penalty]],PenaltyNames91419[],2,FALSE),"")</f>
        <v/>
      </c>
      <c r="J389" s="1220" t="s">
        <v>778</v>
      </c>
      <c r="K389" s="1220">
        <f t="shared" si="25"/>
        <v>6</v>
      </c>
      <c r="L389" s="1220"/>
    </row>
    <row r="390" spans="1:12" x14ac:dyDescent="0.25">
      <c r="A390" s="1230">
        <f t="shared" ref="A390:A453" si="26">$N$1</f>
        <v>42105</v>
      </c>
      <c r="B390" s="1231">
        <f t="shared" ref="B390:B453" si="27">$O$1</f>
        <v>0.83333333333333337</v>
      </c>
      <c r="C390" s="1220">
        <v>2</v>
      </c>
      <c r="D390" s="1220" t="str">
        <f t="shared" si="24"/>
        <v>Harlots</v>
      </c>
      <c r="E390" s="1220">
        <f ca="1">VALUE(INDIRECT("Penalties!"&amp;PenaltyData[[#This Row],[REF]]&amp;(PenaltyData[[#This Row],[ROW]]+1)))</f>
        <v>0</v>
      </c>
      <c r="F390" s="1220" t="str">
        <f ca="1">IF(INDIRECT("Penalties!"&amp;$N$29&amp;PenaltyData[[#This Row],[ROW]],TRUE)=0, "",INDIRECT("Penalties!"&amp;$N$29&amp;PenaltyData[[#This Row],[ROW]],TRUE))</f>
        <v>11G6</v>
      </c>
      <c r="G390" s="1220">
        <f ca="1">COUNTIFS($H$1:H390,"&lt;&gt;0", $F$1:F390,PenaltyData[[#This Row],[PlayerIdx]],$D$1:D390,PenaltyData[[#This Row],[Team]])</f>
        <v>2</v>
      </c>
      <c r="H390" s="1220">
        <f ca="1">INDIRECT("Penalties!"&amp;PenaltyData[[#This Row],[REF]]&amp;PenaltyData[[#This Row],[ROW]])</f>
        <v>0</v>
      </c>
      <c r="I390" s="1220" t="str">
        <f ca="1">IFERROR(VLOOKUP(PenaltyData[[#This Row],[Penalty]],PenaltyNames91419[],2,FALSE),"")</f>
        <v/>
      </c>
      <c r="J390" s="1220" t="s">
        <v>779</v>
      </c>
      <c r="K390" s="1220">
        <f t="shared" si="25"/>
        <v>6</v>
      </c>
      <c r="L390" s="1220"/>
    </row>
    <row r="391" spans="1:12" x14ac:dyDescent="0.25">
      <c r="A391" s="1230">
        <f t="shared" si="26"/>
        <v>42105</v>
      </c>
      <c r="B391" s="1231">
        <f t="shared" si="27"/>
        <v>0.83333333333333337</v>
      </c>
      <c r="C391" s="1220">
        <v>2</v>
      </c>
      <c r="D391" s="1220" t="str">
        <f t="shared" si="24"/>
        <v>Harlots</v>
      </c>
      <c r="E391" s="1220">
        <f ca="1">VALUE(INDIRECT("Penalties!"&amp;PenaltyData[[#This Row],[REF]]&amp;(PenaltyData[[#This Row],[ROW]]+1)))</f>
        <v>0</v>
      </c>
      <c r="F391" s="1220" t="str">
        <f ca="1">IF(INDIRECT("Penalties!"&amp;$N$29&amp;PenaltyData[[#This Row],[ROW]],TRUE)=0, "",INDIRECT("Penalties!"&amp;$N$29&amp;PenaltyData[[#This Row],[ROW]],TRUE))</f>
        <v>11G6</v>
      </c>
      <c r="G391" s="1220">
        <f ca="1">COUNTIFS($H$1:H391,"&lt;&gt;0", $F$1:F391,PenaltyData[[#This Row],[PlayerIdx]],$D$1:D391,PenaltyData[[#This Row],[Team]])</f>
        <v>2</v>
      </c>
      <c r="H391" s="1220">
        <f ca="1">INDIRECT("Penalties!"&amp;PenaltyData[[#This Row],[REF]]&amp;PenaltyData[[#This Row],[ROW]])</f>
        <v>0</v>
      </c>
      <c r="I391" s="1220" t="str">
        <f ca="1">IFERROR(VLOOKUP(PenaltyData[[#This Row],[Penalty]],PenaltyNames91419[],2,FALSE),"")</f>
        <v/>
      </c>
      <c r="J391" s="1220" t="s">
        <v>780</v>
      </c>
      <c r="K391" s="1220">
        <f t="shared" si="25"/>
        <v>6</v>
      </c>
      <c r="L391" s="1220"/>
    </row>
    <row r="392" spans="1:12" x14ac:dyDescent="0.25">
      <c r="A392" s="1230">
        <f t="shared" si="26"/>
        <v>42105</v>
      </c>
      <c r="B392" s="1231">
        <f t="shared" si="27"/>
        <v>0.83333333333333337</v>
      </c>
      <c r="C392" s="1220">
        <v>2</v>
      </c>
      <c r="D392" s="1220" t="str">
        <f t="shared" si="24"/>
        <v>Harlots</v>
      </c>
      <c r="E392" s="1220">
        <f ca="1">VALUE(INDIRECT("Penalties!"&amp;PenaltyData[[#This Row],[REF]]&amp;(PenaltyData[[#This Row],[ROW]]+1)))</f>
        <v>0</v>
      </c>
      <c r="F392" s="1220" t="str">
        <f ca="1">IF(INDIRECT("Penalties!"&amp;$N$29&amp;PenaltyData[[#This Row],[ROW]],TRUE)=0, "",INDIRECT("Penalties!"&amp;$N$29&amp;PenaltyData[[#This Row],[ROW]],TRUE))</f>
        <v>11G6</v>
      </c>
      <c r="G392" s="1220">
        <f ca="1">COUNTIFS($H$1:H392,"&lt;&gt;0", $F$1:F392,PenaltyData[[#This Row],[PlayerIdx]],$D$1:D392,PenaltyData[[#This Row],[Team]])</f>
        <v>2</v>
      </c>
      <c r="H392" s="1220">
        <f ca="1">INDIRECT("Penalties!"&amp;PenaltyData[[#This Row],[REF]]&amp;PenaltyData[[#This Row],[ROW]])</f>
        <v>0</v>
      </c>
      <c r="I392" s="1220" t="str">
        <f ca="1">IFERROR(VLOOKUP(PenaltyData[[#This Row],[Penalty]],PenaltyNames91419[],2,FALSE),"")</f>
        <v/>
      </c>
      <c r="J392" s="1220" t="s">
        <v>781</v>
      </c>
      <c r="K392" s="1220">
        <f t="shared" si="25"/>
        <v>6</v>
      </c>
      <c r="L392" s="1220"/>
    </row>
    <row r="393" spans="1:12" x14ac:dyDescent="0.25">
      <c r="A393" s="1230">
        <f t="shared" si="26"/>
        <v>42105</v>
      </c>
      <c r="B393" s="1231">
        <f t="shared" si="27"/>
        <v>0.83333333333333337</v>
      </c>
      <c r="C393" s="1220">
        <v>2</v>
      </c>
      <c r="D393" s="1220" t="str">
        <f t="shared" si="24"/>
        <v>Harlots</v>
      </c>
      <c r="E393" s="1220">
        <f ca="1">VALUE(INDIRECT("Penalties!"&amp;PenaltyData[[#This Row],[REF]]&amp;(PenaltyData[[#This Row],[ROW]]+1)))</f>
        <v>0</v>
      </c>
      <c r="F393" s="1220" t="str">
        <f ca="1">IF(INDIRECT("Penalties!"&amp;$N$29&amp;PenaltyData[[#This Row],[ROW]],TRUE)=0, "",INDIRECT("Penalties!"&amp;$N$29&amp;PenaltyData[[#This Row],[ROW]],TRUE))</f>
        <v>11G6</v>
      </c>
      <c r="G393" s="1220">
        <f ca="1">COUNTIFS($H$1:H393,"&lt;&gt;0", $F$1:F393,PenaltyData[[#This Row],[PlayerIdx]],$D$1:D393,PenaltyData[[#This Row],[Team]])</f>
        <v>2</v>
      </c>
      <c r="H393" s="1220">
        <f ca="1">INDIRECT("Penalties!"&amp;PenaltyData[[#This Row],[REF]]&amp;PenaltyData[[#This Row],[ROW]])</f>
        <v>0</v>
      </c>
      <c r="I393" s="1220" t="str">
        <f ca="1">IFERROR(VLOOKUP(PenaltyData[[#This Row],[Penalty]],PenaltyNames91419[],2,FALSE),"")</f>
        <v/>
      </c>
      <c r="J393" s="1220" t="s">
        <v>782</v>
      </c>
      <c r="K393" s="1220">
        <f t="shared" si="25"/>
        <v>6</v>
      </c>
      <c r="L393" s="1220"/>
    </row>
    <row r="394" spans="1:12" x14ac:dyDescent="0.25">
      <c r="A394" s="1230">
        <f t="shared" si="26"/>
        <v>42105</v>
      </c>
      <c r="B394" s="1231">
        <f t="shared" si="27"/>
        <v>0.83333333333333337</v>
      </c>
      <c r="C394" s="1220">
        <v>2</v>
      </c>
      <c r="D394" s="1220" t="str">
        <f t="shared" si="24"/>
        <v>Harlots</v>
      </c>
      <c r="E394" s="1220">
        <f ca="1">VALUE(INDIRECT("Penalties!"&amp;PenaltyData[[#This Row],[REF]]&amp;(PenaltyData[[#This Row],[ROW]]+1)))</f>
        <v>0</v>
      </c>
      <c r="F394" s="1220" t="str">
        <f ca="1">IF(INDIRECT("Penalties!"&amp;$N$29&amp;PenaltyData[[#This Row],[ROW]],TRUE)=0, "",INDIRECT("Penalties!"&amp;$N$29&amp;PenaltyData[[#This Row],[ROW]],TRUE))</f>
        <v>11G6</v>
      </c>
      <c r="G394" s="1220">
        <f ca="1">COUNTIFS($H$1:H394,"&lt;&gt;0", $F$1:F394,PenaltyData[[#This Row],[PlayerIdx]],$D$1:D394,PenaltyData[[#This Row],[Team]])</f>
        <v>2</v>
      </c>
      <c r="H394" s="1220">
        <f ca="1">INDIRECT("Penalties!"&amp;PenaltyData[[#This Row],[REF]]&amp;PenaltyData[[#This Row],[ROW]])</f>
        <v>0</v>
      </c>
      <c r="I394" s="1220" t="str">
        <f ca="1">IFERROR(VLOOKUP(PenaltyData[[#This Row],[Penalty]],PenaltyNames91419[],2,FALSE),"")</f>
        <v/>
      </c>
      <c r="J394" s="1220" t="s">
        <v>783</v>
      </c>
      <c r="K394" s="1220">
        <f t="shared" si="25"/>
        <v>6</v>
      </c>
      <c r="L394" s="1220"/>
    </row>
    <row r="395" spans="1:12" x14ac:dyDescent="0.25">
      <c r="A395" s="1230">
        <f t="shared" si="26"/>
        <v>42105</v>
      </c>
      <c r="B395" s="1231">
        <f t="shared" si="27"/>
        <v>0.83333333333333337</v>
      </c>
      <c r="C395" s="1220">
        <v>2</v>
      </c>
      <c r="D395" s="1220" t="str">
        <f t="shared" si="24"/>
        <v>Harlots</v>
      </c>
      <c r="E395" s="1220">
        <f ca="1">VALUE(INDIRECT("Penalties!"&amp;PenaltyData[[#This Row],[REF]]&amp;(PenaltyData[[#This Row],[ROW]]+1)))</f>
        <v>0</v>
      </c>
      <c r="F395" s="1220" t="str">
        <f ca="1">IF(INDIRECT("Penalties!"&amp;$N$29&amp;PenaltyData[[#This Row],[ROW]],TRUE)=0, "",INDIRECT("Penalties!"&amp;$N$29&amp;PenaltyData[[#This Row],[ROW]],TRUE))</f>
        <v>11G6</v>
      </c>
      <c r="G395" s="1220">
        <f ca="1">COUNTIFS($H$1:H395,"&lt;&gt;0", $F$1:F395,PenaltyData[[#This Row],[PlayerIdx]],$D$1:D395,PenaltyData[[#This Row],[Team]])</f>
        <v>2</v>
      </c>
      <c r="H395" s="1220">
        <f ca="1">INDIRECT("Penalties!"&amp;PenaltyData[[#This Row],[REF]]&amp;PenaltyData[[#This Row],[ROW]])</f>
        <v>0</v>
      </c>
      <c r="I395" s="1220" t="str">
        <f ca="1">IFERROR(VLOOKUP(PenaltyData[[#This Row],[Penalty]],PenaltyNames91419[],2,FALSE),"")</f>
        <v/>
      </c>
      <c r="J395" s="1220" t="s">
        <v>784</v>
      </c>
      <c r="K395" s="1220">
        <f t="shared" si="25"/>
        <v>6</v>
      </c>
      <c r="L395" s="1220"/>
    </row>
    <row r="396" spans="1:12" x14ac:dyDescent="0.25">
      <c r="A396" s="1230">
        <f t="shared" si="26"/>
        <v>42105</v>
      </c>
      <c r="B396" s="1231">
        <f t="shared" si="27"/>
        <v>0.83333333333333337</v>
      </c>
      <c r="C396" s="1220">
        <v>2</v>
      </c>
      <c r="D396" s="1220" t="str">
        <f t="shared" si="24"/>
        <v>Harlots</v>
      </c>
      <c r="E396" s="1220">
        <f ca="1">VALUE(INDIRECT("Penalties!"&amp;PenaltyData[[#This Row],[REF]]&amp;(PenaltyData[[#This Row],[ROW]]+1)))</f>
        <v>0</v>
      </c>
      <c r="F396" s="1220" t="str">
        <f ca="1">IF(INDIRECT("Penalties!"&amp;$N$29&amp;PenaltyData[[#This Row],[ROW]],TRUE)=0, "",INDIRECT("Penalties!"&amp;$N$29&amp;PenaltyData[[#This Row],[ROW]],TRUE))</f>
        <v>11G6</v>
      </c>
      <c r="G396" s="1220">
        <f ca="1">COUNTIFS($H$1:H396,"&lt;&gt;0", $F$1:F396,PenaltyData[[#This Row],[PlayerIdx]],$D$1:D396,PenaltyData[[#This Row],[Team]])</f>
        <v>2</v>
      </c>
      <c r="H396" s="1220">
        <f ca="1">INDIRECT("Penalties!"&amp;PenaltyData[[#This Row],[REF]]&amp;PenaltyData[[#This Row],[ROW]])</f>
        <v>0</v>
      </c>
      <c r="I396" s="1220" t="str">
        <f ca="1">IFERROR(VLOOKUP(PenaltyData[[#This Row],[Penalty]],PenaltyNames91419[],2,FALSE),"")</f>
        <v/>
      </c>
      <c r="J396" s="1220" t="s">
        <v>785</v>
      </c>
      <c r="K396" s="1220">
        <f t="shared" si="25"/>
        <v>6</v>
      </c>
      <c r="L396" s="1220"/>
    </row>
    <row r="397" spans="1:12" x14ac:dyDescent="0.25">
      <c r="A397" s="1230">
        <f t="shared" si="26"/>
        <v>42105</v>
      </c>
      <c r="B397" s="1231">
        <f t="shared" si="27"/>
        <v>0.83333333333333337</v>
      </c>
      <c r="C397" s="1220">
        <v>2</v>
      </c>
      <c r="D397" s="1220" t="str">
        <f t="shared" si="24"/>
        <v>Harlots</v>
      </c>
      <c r="E397" s="1220">
        <f ca="1">VALUE(INDIRECT("Penalties!"&amp;PenaltyData[[#This Row],[REF]]&amp;(PenaltyData[[#This Row],[ROW]]+1)))</f>
        <v>0</v>
      </c>
      <c r="F397" s="1220" t="str">
        <f ca="1">IF(INDIRECT("Penalties!"&amp;$N$29&amp;PenaltyData[[#This Row],[ROW]],TRUE)=0, "",INDIRECT("Penalties!"&amp;$N$29&amp;PenaltyData[[#This Row],[ROW]],TRUE))</f>
        <v>11G6</v>
      </c>
      <c r="G397" s="1220">
        <f ca="1">COUNTIFS($H$1:H397,"&lt;&gt;0", $F$1:F397,PenaltyData[[#This Row],[PlayerIdx]],$D$1:D397,PenaltyData[[#This Row],[Team]])</f>
        <v>2</v>
      </c>
      <c r="H397" s="1220">
        <f ca="1">INDIRECT("Penalties!"&amp;PenaltyData[[#This Row],[REF]]&amp;PenaltyData[[#This Row],[ROW]])</f>
        <v>0</v>
      </c>
      <c r="I397" s="1220" t="str">
        <f ca="1">IFERROR(VLOOKUP(PenaltyData[[#This Row],[Penalty]],PenaltyNames91419[],2,FALSE),"")</f>
        <v/>
      </c>
      <c r="J397" s="1220" t="s">
        <v>786</v>
      </c>
      <c r="K397" s="1220">
        <f t="shared" si="25"/>
        <v>6</v>
      </c>
      <c r="L397" s="1220"/>
    </row>
    <row r="398" spans="1:12" x14ac:dyDescent="0.25">
      <c r="A398" s="1230">
        <f t="shared" si="26"/>
        <v>42105</v>
      </c>
      <c r="B398" s="1231">
        <f t="shared" si="27"/>
        <v>0.83333333333333337</v>
      </c>
      <c r="C398" s="1220">
        <v>1</v>
      </c>
      <c r="D398" s="1220" t="str">
        <f t="shared" si="24"/>
        <v>Harlots</v>
      </c>
      <c r="E398" s="1220">
        <f ca="1">VALUE(INDIRECT("Penalties!"&amp;PenaltyData[[#This Row],[REF]]&amp;(PenaltyData[[#This Row],[ROW]]+1)))</f>
        <v>0</v>
      </c>
      <c r="F398" s="1220" t="str">
        <f ca="1">IF(INDIRECT("Penalties!"&amp;$N$29&amp;PenaltyData[[#This Row],[ROW]],TRUE)=0, "",INDIRECT("Penalties!"&amp;$N$29&amp;PenaltyData[[#This Row],[ROW]],TRUE))</f>
        <v>152</v>
      </c>
      <c r="G398" s="1220">
        <f ca="1">COUNTIFS($H$1:H398,"&lt;&gt;0", $F$1:F398,PenaltyData[[#This Row],[PlayerIdx]],$D$1:D398,PenaltyData[[#This Row],[Team]])</f>
        <v>0</v>
      </c>
      <c r="H398" s="1220">
        <f ca="1">INDIRECT("Penalties!"&amp;PenaltyData[[#This Row],[REF]]&amp;PenaltyData[[#This Row],[ROW]])</f>
        <v>0</v>
      </c>
      <c r="I398" s="1220" t="str">
        <f ca="1">IFERROR(VLOOKUP(PenaltyData[[#This Row],[Penalty]],PenaltyNames91419[],2,FALSE),"")</f>
        <v/>
      </c>
      <c r="J398" s="1220" t="s">
        <v>771</v>
      </c>
      <c r="K398" s="1220">
        <f t="shared" si="25"/>
        <v>8</v>
      </c>
      <c r="L398" s="1220"/>
    </row>
    <row r="399" spans="1:12" x14ac:dyDescent="0.25">
      <c r="A399" s="1230">
        <f t="shared" si="26"/>
        <v>42105</v>
      </c>
      <c r="B399" s="1231">
        <f t="shared" si="27"/>
        <v>0.83333333333333337</v>
      </c>
      <c r="C399" s="1220">
        <v>1</v>
      </c>
      <c r="D399" s="1220" t="str">
        <f t="shared" si="24"/>
        <v>Harlots</v>
      </c>
      <c r="E399" s="1220">
        <f ca="1">VALUE(INDIRECT("Penalties!"&amp;PenaltyData[[#This Row],[REF]]&amp;(PenaltyData[[#This Row],[ROW]]+1)))</f>
        <v>0</v>
      </c>
      <c r="F399" s="1220" t="str">
        <f ca="1">IF(INDIRECT("Penalties!"&amp;$N$29&amp;PenaltyData[[#This Row],[ROW]],TRUE)=0, "",INDIRECT("Penalties!"&amp;$N$29&amp;PenaltyData[[#This Row],[ROW]],TRUE))</f>
        <v>152</v>
      </c>
      <c r="G399" s="1220">
        <f ca="1">COUNTIFS($H$1:H399,"&lt;&gt;0", $F$1:F399,PenaltyData[[#This Row],[PlayerIdx]],$D$1:D399,PenaltyData[[#This Row],[Team]])</f>
        <v>0</v>
      </c>
      <c r="H399" s="1220">
        <f ca="1">INDIRECT("Penalties!"&amp;PenaltyData[[#This Row],[REF]]&amp;PenaltyData[[#This Row],[ROW]])</f>
        <v>0</v>
      </c>
      <c r="I399" s="1220" t="str">
        <f ca="1">IFERROR(VLOOKUP(PenaltyData[[#This Row],[Penalty]],PenaltyNames91419[],2,FALSE),"")</f>
        <v/>
      </c>
      <c r="J399" s="1220" t="s">
        <v>772</v>
      </c>
      <c r="K399" s="1220">
        <f t="shared" si="25"/>
        <v>8</v>
      </c>
      <c r="L399" s="1220"/>
    </row>
    <row r="400" spans="1:12" x14ac:dyDescent="0.25">
      <c r="A400" s="1230">
        <f t="shared" si="26"/>
        <v>42105</v>
      </c>
      <c r="B400" s="1231">
        <f t="shared" si="27"/>
        <v>0.83333333333333337</v>
      </c>
      <c r="C400" s="1220">
        <v>1</v>
      </c>
      <c r="D400" s="1220" t="str">
        <f t="shared" si="24"/>
        <v>Harlots</v>
      </c>
      <c r="E400" s="1220">
        <f ca="1">VALUE(INDIRECT("Penalties!"&amp;PenaltyData[[#This Row],[REF]]&amp;(PenaltyData[[#This Row],[ROW]]+1)))</f>
        <v>0</v>
      </c>
      <c r="F400" s="1220" t="str">
        <f ca="1">IF(INDIRECT("Penalties!"&amp;$N$29&amp;PenaltyData[[#This Row],[ROW]],TRUE)=0, "",INDIRECT("Penalties!"&amp;$N$29&amp;PenaltyData[[#This Row],[ROW]],TRUE))</f>
        <v>152</v>
      </c>
      <c r="G400" s="1220">
        <f ca="1">COUNTIFS($H$1:H400,"&lt;&gt;0", $F$1:F400,PenaltyData[[#This Row],[PlayerIdx]],$D$1:D400,PenaltyData[[#This Row],[Team]])</f>
        <v>0</v>
      </c>
      <c r="H400" s="1220">
        <f ca="1">INDIRECT("Penalties!"&amp;PenaltyData[[#This Row],[REF]]&amp;PenaltyData[[#This Row],[ROW]])</f>
        <v>0</v>
      </c>
      <c r="I400" s="1220" t="str">
        <f ca="1">IFERROR(VLOOKUP(PenaltyData[[#This Row],[Penalty]],PenaltyNames91419[],2,FALSE),"")</f>
        <v/>
      </c>
      <c r="J400" s="1220" t="s">
        <v>159</v>
      </c>
      <c r="K400" s="1220">
        <f t="shared" si="25"/>
        <v>8</v>
      </c>
      <c r="L400" s="1220"/>
    </row>
    <row r="401" spans="1:12" x14ac:dyDescent="0.25">
      <c r="A401" s="1230">
        <f t="shared" si="26"/>
        <v>42105</v>
      </c>
      <c r="B401" s="1231">
        <f t="shared" si="27"/>
        <v>0.83333333333333337</v>
      </c>
      <c r="C401" s="1220">
        <v>1</v>
      </c>
      <c r="D401" s="1220" t="str">
        <f t="shared" si="24"/>
        <v>Harlots</v>
      </c>
      <c r="E401" s="1220">
        <f ca="1">VALUE(INDIRECT("Penalties!"&amp;PenaltyData[[#This Row],[REF]]&amp;(PenaltyData[[#This Row],[ROW]]+1)))</f>
        <v>0</v>
      </c>
      <c r="F401" s="1220" t="str">
        <f ca="1">IF(INDIRECT("Penalties!"&amp;$N$29&amp;PenaltyData[[#This Row],[ROW]],TRUE)=0, "",INDIRECT("Penalties!"&amp;$N$29&amp;PenaltyData[[#This Row],[ROW]],TRUE))</f>
        <v>152</v>
      </c>
      <c r="G401" s="1220">
        <f ca="1">COUNTIFS($H$1:H401,"&lt;&gt;0", $F$1:F401,PenaltyData[[#This Row],[PlayerIdx]],$D$1:D401,PenaltyData[[#This Row],[Team]])</f>
        <v>0</v>
      </c>
      <c r="H401" s="1220">
        <f ca="1">INDIRECT("Penalties!"&amp;PenaltyData[[#This Row],[REF]]&amp;PenaltyData[[#This Row],[ROW]])</f>
        <v>0</v>
      </c>
      <c r="I401" s="1220" t="str">
        <f ca="1">IFERROR(VLOOKUP(PenaltyData[[#This Row],[Penalty]],PenaltyNames91419[],2,FALSE),"")</f>
        <v/>
      </c>
      <c r="J401" s="1220" t="s">
        <v>773</v>
      </c>
      <c r="K401" s="1220">
        <f t="shared" si="25"/>
        <v>8</v>
      </c>
      <c r="L401" s="1220"/>
    </row>
    <row r="402" spans="1:12" x14ac:dyDescent="0.25">
      <c r="A402" s="1230">
        <f t="shared" si="26"/>
        <v>42105</v>
      </c>
      <c r="B402" s="1231">
        <f t="shared" si="27"/>
        <v>0.83333333333333337</v>
      </c>
      <c r="C402" s="1220">
        <v>1</v>
      </c>
      <c r="D402" s="1220" t="str">
        <f t="shared" si="24"/>
        <v>Harlots</v>
      </c>
      <c r="E402" s="1220">
        <f ca="1">VALUE(INDIRECT("Penalties!"&amp;PenaltyData[[#This Row],[REF]]&amp;(PenaltyData[[#This Row],[ROW]]+1)))</f>
        <v>0</v>
      </c>
      <c r="F402" s="1220" t="str">
        <f ca="1">IF(INDIRECT("Penalties!"&amp;$N$29&amp;PenaltyData[[#This Row],[ROW]],TRUE)=0, "",INDIRECT("Penalties!"&amp;$N$29&amp;PenaltyData[[#This Row],[ROW]],TRUE))</f>
        <v>152</v>
      </c>
      <c r="G402" s="1220">
        <f ca="1">COUNTIFS($H$1:H402,"&lt;&gt;0", $F$1:F402,PenaltyData[[#This Row],[PlayerIdx]],$D$1:D402,PenaltyData[[#This Row],[Team]])</f>
        <v>0</v>
      </c>
      <c r="H402" s="1220">
        <f ca="1">INDIRECT("Penalties!"&amp;PenaltyData[[#This Row],[REF]]&amp;PenaltyData[[#This Row],[ROW]])</f>
        <v>0</v>
      </c>
      <c r="I402" s="1220" t="str">
        <f ca="1">IFERROR(VLOOKUP(PenaltyData[[#This Row],[Penalty]],PenaltyNames91419[],2,FALSE),"")</f>
        <v/>
      </c>
      <c r="J402" s="1220" t="s">
        <v>774</v>
      </c>
      <c r="K402" s="1220">
        <f t="shared" si="25"/>
        <v>8</v>
      </c>
      <c r="L402" s="1220"/>
    </row>
    <row r="403" spans="1:12" x14ac:dyDescent="0.25">
      <c r="A403" s="1230">
        <f t="shared" si="26"/>
        <v>42105</v>
      </c>
      <c r="B403" s="1231">
        <f t="shared" si="27"/>
        <v>0.83333333333333337</v>
      </c>
      <c r="C403" s="1220">
        <v>1</v>
      </c>
      <c r="D403" s="1220" t="str">
        <f t="shared" si="24"/>
        <v>Harlots</v>
      </c>
      <c r="E403" s="1220">
        <f ca="1">VALUE(INDIRECT("Penalties!"&amp;PenaltyData[[#This Row],[REF]]&amp;(PenaltyData[[#This Row],[ROW]]+1)))</f>
        <v>0</v>
      </c>
      <c r="F403" s="1220" t="str">
        <f ca="1">IF(INDIRECT("Penalties!"&amp;$N$29&amp;PenaltyData[[#This Row],[ROW]],TRUE)=0, "",INDIRECT("Penalties!"&amp;$N$29&amp;PenaltyData[[#This Row],[ROW]],TRUE))</f>
        <v>152</v>
      </c>
      <c r="G403" s="1220">
        <f ca="1">COUNTIFS($H$1:H403,"&lt;&gt;0", $F$1:F403,PenaltyData[[#This Row],[PlayerIdx]],$D$1:D403,PenaltyData[[#This Row],[Team]])</f>
        <v>0</v>
      </c>
      <c r="H403" s="1220">
        <f ca="1">INDIRECT("Penalties!"&amp;PenaltyData[[#This Row],[REF]]&amp;PenaltyData[[#This Row],[ROW]])</f>
        <v>0</v>
      </c>
      <c r="I403" s="1220" t="str">
        <f ca="1">IFERROR(VLOOKUP(PenaltyData[[#This Row],[Penalty]],PenaltyNames91419[],2,FALSE),"")</f>
        <v/>
      </c>
      <c r="J403" s="1220" t="s">
        <v>775</v>
      </c>
      <c r="K403" s="1220">
        <f t="shared" si="25"/>
        <v>8</v>
      </c>
      <c r="L403" s="1220"/>
    </row>
    <row r="404" spans="1:12" x14ac:dyDescent="0.25">
      <c r="A404" s="1230">
        <f t="shared" si="26"/>
        <v>42105</v>
      </c>
      <c r="B404" s="1231">
        <f t="shared" si="27"/>
        <v>0.83333333333333337</v>
      </c>
      <c r="C404" s="1220">
        <v>1</v>
      </c>
      <c r="D404" s="1220" t="str">
        <f t="shared" si="24"/>
        <v>Harlots</v>
      </c>
      <c r="E404" s="1220">
        <f ca="1">VALUE(INDIRECT("Penalties!"&amp;PenaltyData[[#This Row],[REF]]&amp;(PenaltyData[[#This Row],[ROW]]+1)))</f>
        <v>0</v>
      </c>
      <c r="F404" s="1220" t="str">
        <f ca="1">IF(INDIRECT("Penalties!"&amp;$N$29&amp;PenaltyData[[#This Row],[ROW]],TRUE)=0, "",INDIRECT("Penalties!"&amp;$N$29&amp;PenaltyData[[#This Row],[ROW]],TRUE))</f>
        <v>152</v>
      </c>
      <c r="G404" s="1220">
        <f ca="1">COUNTIFS($H$1:H404,"&lt;&gt;0", $F$1:F404,PenaltyData[[#This Row],[PlayerIdx]],$D$1:D404,PenaltyData[[#This Row],[Team]])</f>
        <v>0</v>
      </c>
      <c r="H404" s="1220">
        <f ca="1">INDIRECT("Penalties!"&amp;PenaltyData[[#This Row],[REF]]&amp;PenaltyData[[#This Row],[ROW]])</f>
        <v>0</v>
      </c>
      <c r="I404" s="1220" t="str">
        <f ca="1">IFERROR(VLOOKUP(PenaltyData[[#This Row],[Penalty]],PenaltyNames91419[],2,FALSE),"")</f>
        <v/>
      </c>
      <c r="J404" s="1220" t="s">
        <v>776</v>
      </c>
      <c r="K404" s="1220">
        <f t="shared" si="25"/>
        <v>8</v>
      </c>
      <c r="L404" s="1220"/>
    </row>
    <row r="405" spans="1:12" x14ac:dyDescent="0.25">
      <c r="A405" s="1230">
        <f t="shared" si="26"/>
        <v>42105</v>
      </c>
      <c r="B405" s="1231">
        <f t="shared" si="27"/>
        <v>0.83333333333333337</v>
      </c>
      <c r="C405" s="1220">
        <v>1</v>
      </c>
      <c r="D405" s="1220" t="str">
        <f t="shared" si="24"/>
        <v>Harlots</v>
      </c>
      <c r="E405" s="1220">
        <f ca="1">VALUE(INDIRECT("Penalties!"&amp;PenaltyData[[#This Row],[REF]]&amp;(PenaltyData[[#This Row],[ROW]]+1)))</f>
        <v>0</v>
      </c>
      <c r="F405" s="1220" t="str">
        <f ca="1">IF(INDIRECT("Penalties!"&amp;$N$29&amp;PenaltyData[[#This Row],[ROW]],TRUE)=0, "",INDIRECT("Penalties!"&amp;$N$29&amp;PenaltyData[[#This Row],[ROW]],TRUE))</f>
        <v>152</v>
      </c>
      <c r="G405" s="1220">
        <f ca="1">COUNTIFS($H$1:H405,"&lt;&gt;0", $F$1:F405,PenaltyData[[#This Row],[PlayerIdx]],$D$1:D405,PenaltyData[[#This Row],[Team]])</f>
        <v>0</v>
      </c>
      <c r="H405" s="1220">
        <f ca="1">INDIRECT("Penalties!"&amp;PenaltyData[[#This Row],[REF]]&amp;PenaltyData[[#This Row],[ROW]])</f>
        <v>0</v>
      </c>
      <c r="I405" s="1220" t="str">
        <f ca="1">IFERROR(VLOOKUP(PenaltyData[[#This Row],[Penalty]],PenaltyNames91419[],2,FALSE),"")</f>
        <v/>
      </c>
      <c r="J405" s="1220" t="s">
        <v>140</v>
      </c>
      <c r="K405" s="1220">
        <f t="shared" si="25"/>
        <v>8</v>
      </c>
      <c r="L405" s="1220"/>
    </row>
    <row r="406" spans="1:12" x14ac:dyDescent="0.25">
      <c r="A406" s="1230">
        <f t="shared" si="26"/>
        <v>42105</v>
      </c>
      <c r="B406" s="1231">
        <f t="shared" si="27"/>
        <v>0.83333333333333337</v>
      </c>
      <c r="C406" s="1220">
        <v>1</v>
      </c>
      <c r="D406" s="1220" t="str">
        <f t="shared" si="24"/>
        <v>Harlots</v>
      </c>
      <c r="E406" s="1220">
        <f ca="1">VALUE(INDIRECT("Penalties!"&amp;PenaltyData[[#This Row],[REF]]&amp;(PenaltyData[[#This Row],[ROW]]+1)))</f>
        <v>0</v>
      </c>
      <c r="F406" s="1220" t="str">
        <f ca="1">IF(INDIRECT("Penalties!"&amp;$N$29&amp;PenaltyData[[#This Row],[ROW]],TRUE)=0, "",INDIRECT("Penalties!"&amp;$N$29&amp;PenaltyData[[#This Row],[ROW]],TRUE))</f>
        <v>152</v>
      </c>
      <c r="G406" s="1220">
        <f ca="1">COUNTIFS($H$1:H406,"&lt;&gt;0", $F$1:F406,PenaltyData[[#This Row],[PlayerIdx]],$D$1:D406,PenaltyData[[#This Row],[Team]])</f>
        <v>0</v>
      </c>
      <c r="H406" s="1220">
        <f ca="1">INDIRECT("Penalties!"&amp;PenaltyData[[#This Row],[REF]]&amp;PenaltyData[[#This Row],[ROW]])</f>
        <v>0</v>
      </c>
      <c r="I406" s="1220" t="str">
        <f ca="1">IFERROR(VLOOKUP(PenaltyData[[#This Row],[Penalty]],PenaltyNames91419[],2,FALSE),"")</f>
        <v/>
      </c>
      <c r="J406" s="1220" t="s">
        <v>777</v>
      </c>
      <c r="K406" s="1220">
        <f t="shared" si="25"/>
        <v>8</v>
      </c>
      <c r="L406" s="1220"/>
    </row>
    <row r="407" spans="1:12" x14ac:dyDescent="0.25">
      <c r="A407" s="1230">
        <f t="shared" si="26"/>
        <v>42105</v>
      </c>
      <c r="B407" s="1231">
        <f t="shared" si="27"/>
        <v>0.83333333333333337</v>
      </c>
      <c r="C407" s="1220">
        <v>2</v>
      </c>
      <c r="D407" s="1220" t="str">
        <f t="shared" si="24"/>
        <v>Harlots</v>
      </c>
      <c r="E407" s="1220">
        <f ca="1">VALUE(INDIRECT("Penalties!"&amp;PenaltyData[[#This Row],[REF]]&amp;(PenaltyData[[#This Row],[ROW]]+1)))</f>
        <v>2</v>
      </c>
      <c r="F407" s="1220" t="str">
        <f ca="1">IF(INDIRECT("Penalties!"&amp;$N$29&amp;PenaltyData[[#This Row],[ROW]],TRUE)=0, "",INDIRECT("Penalties!"&amp;$N$29&amp;PenaltyData[[#This Row],[ROW]],TRUE))</f>
        <v>152</v>
      </c>
      <c r="G407" s="1220">
        <f ca="1">COUNTIFS($H$1:H407,"&lt;&gt;0", $F$1:F407,PenaltyData[[#This Row],[PlayerIdx]],$D$1:D407,PenaltyData[[#This Row],[Team]])</f>
        <v>1</v>
      </c>
      <c r="H407" s="1220" t="str">
        <f ca="1">INDIRECT("Penalties!"&amp;PenaltyData[[#This Row],[REF]]&amp;PenaltyData[[#This Row],[ROW]])</f>
        <v>C</v>
      </c>
      <c r="I407" s="1220" t="str">
        <f ca="1">IFERROR(VLOOKUP(PenaltyData[[#This Row],[Penalty]],PenaltyNames91419[],2,FALSE),"")</f>
        <v>Dir of Play</v>
      </c>
      <c r="J407" s="1220" t="s">
        <v>778</v>
      </c>
      <c r="K407" s="1220">
        <f t="shared" si="25"/>
        <v>8</v>
      </c>
      <c r="L407" s="1220"/>
    </row>
    <row r="408" spans="1:12" x14ac:dyDescent="0.25">
      <c r="A408" s="1230">
        <f t="shared" si="26"/>
        <v>42105</v>
      </c>
      <c r="B408" s="1231">
        <f t="shared" si="27"/>
        <v>0.83333333333333337</v>
      </c>
      <c r="C408" s="1220">
        <v>2</v>
      </c>
      <c r="D408" s="1220" t="str">
        <f t="shared" si="24"/>
        <v>Harlots</v>
      </c>
      <c r="E408" s="1220">
        <f ca="1">VALUE(INDIRECT("Penalties!"&amp;PenaltyData[[#This Row],[REF]]&amp;(PenaltyData[[#This Row],[ROW]]+1)))</f>
        <v>0</v>
      </c>
      <c r="F408" s="1220" t="str">
        <f ca="1">IF(INDIRECT("Penalties!"&amp;$N$29&amp;PenaltyData[[#This Row],[ROW]],TRUE)=0, "",INDIRECT("Penalties!"&amp;$N$29&amp;PenaltyData[[#This Row],[ROW]],TRUE))</f>
        <v>152</v>
      </c>
      <c r="G408" s="1220">
        <f ca="1">COUNTIFS($H$1:H408,"&lt;&gt;0", $F$1:F408,PenaltyData[[#This Row],[PlayerIdx]],$D$1:D408,PenaltyData[[#This Row],[Team]])</f>
        <v>1</v>
      </c>
      <c r="H408" s="1220">
        <f ca="1">INDIRECT("Penalties!"&amp;PenaltyData[[#This Row],[REF]]&amp;PenaltyData[[#This Row],[ROW]])</f>
        <v>0</v>
      </c>
      <c r="I408" s="1220" t="str">
        <f ca="1">IFERROR(VLOOKUP(PenaltyData[[#This Row],[Penalty]],PenaltyNames91419[],2,FALSE),"")</f>
        <v/>
      </c>
      <c r="J408" s="1220" t="s">
        <v>779</v>
      </c>
      <c r="K408" s="1220">
        <f t="shared" si="25"/>
        <v>8</v>
      </c>
      <c r="L408" s="1220"/>
    </row>
    <row r="409" spans="1:12" x14ac:dyDescent="0.25">
      <c r="A409" s="1230">
        <f t="shared" si="26"/>
        <v>42105</v>
      </c>
      <c r="B409" s="1231">
        <f t="shared" si="27"/>
        <v>0.83333333333333337</v>
      </c>
      <c r="C409" s="1220">
        <v>2</v>
      </c>
      <c r="D409" s="1220" t="str">
        <f t="shared" si="24"/>
        <v>Harlots</v>
      </c>
      <c r="E409" s="1220">
        <f ca="1">VALUE(INDIRECT("Penalties!"&amp;PenaltyData[[#This Row],[REF]]&amp;(PenaltyData[[#This Row],[ROW]]+1)))</f>
        <v>0</v>
      </c>
      <c r="F409" s="1220" t="str">
        <f ca="1">IF(INDIRECT("Penalties!"&amp;$N$29&amp;PenaltyData[[#This Row],[ROW]],TRUE)=0, "",INDIRECT("Penalties!"&amp;$N$29&amp;PenaltyData[[#This Row],[ROW]],TRUE))</f>
        <v>152</v>
      </c>
      <c r="G409" s="1220">
        <f ca="1">COUNTIFS($H$1:H409,"&lt;&gt;0", $F$1:F409,PenaltyData[[#This Row],[PlayerIdx]],$D$1:D409,PenaltyData[[#This Row],[Team]])</f>
        <v>1</v>
      </c>
      <c r="H409" s="1220">
        <f ca="1">INDIRECT("Penalties!"&amp;PenaltyData[[#This Row],[REF]]&amp;PenaltyData[[#This Row],[ROW]])</f>
        <v>0</v>
      </c>
      <c r="I409" s="1220" t="str">
        <f ca="1">IFERROR(VLOOKUP(PenaltyData[[#This Row],[Penalty]],PenaltyNames91419[],2,FALSE),"")</f>
        <v/>
      </c>
      <c r="J409" s="1220" t="s">
        <v>780</v>
      </c>
      <c r="K409" s="1220">
        <f t="shared" si="25"/>
        <v>8</v>
      </c>
      <c r="L409" s="1220"/>
    </row>
    <row r="410" spans="1:12" x14ac:dyDescent="0.25">
      <c r="A410" s="1230">
        <f t="shared" si="26"/>
        <v>42105</v>
      </c>
      <c r="B410" s="1231">
        <f t="shared" si="27"/>
        <v>0.83333333333333337</v>
      </c>
      <c r="C410" s="1220">
        <v>2</v>
      </c>
      <c r="D410" s="1220" t="str">
        <f t="shared" si="24"/>
        <v>Harlots</v>
      </c>
      <c r="E410" s="1220">
        <f ca="1">VALUE(INDIRECT("Penalties!"&amp;PenaltyData[[#This Row],[REF]]&amp;(PenaltyData[[#This Row],[ROW]]+1)))</f>
        <v>0</v>
      </c>
      <c r="F410" s="1220" t="str">
        <f ca="1">IF(INDIRECT("Penalties!"&amp;$N$29&amp;PenaltyData[[#This Row],[ROW]],TRUE)=0, "",INDIRECT("Penalties!"&amp;$N$29&amp;PenaltyData[[#This Row],[ROW]],TRUE))</f>
        <v>152</v>
      </c>
      <c r="G410" s="1220">
        <f ca="1">COUNTIFS($H$1:H410,"&lt;&gt;0", $F$1:F410,PenaltyData[[#This Row],[PlayerIdx]],$D$1:D410,PenaltyData[[#This Row],[Team]])</f>
        <v>1</v>
      </c>
      <c r="H410" s="1220">
        <f ca="1">INDIRECT("Penalties!"&amp;PenaltyData[[#This Row],[REF]]&amp;PenaltyData[[#This Row],[ROW]])</f>
        <v>0</v>
      </c>
      <c r="I410" s="1220" t="str">
        <f ca="1">IFERROR(VLOOKUP(PenaltyData[[#This Row],[Penalty]],PenaltyNames91419[],2,FALSE),"")</f>
        <v/>
      </c>
      <c r="J410" s="1220" t="s">
        <v>781</v>
      </c>
      <c r="K410" s="1220">
        <f t="shared" si="25"/>
        <v>8</v>
      </c>
      <c r="L410" s="1220"/>
    </row>
    <row r="411" spans="1:12" x14ac:dyDescent="0.25">
      <c r="A411" s="1230">
        <f t="shared" si="26"/>
        <v>42105</v>
      </c>
      <c r="B411" s="1231">
        <f t="shared" si="27"/>
        <v>0.83333333333333337</v>
      </c>
      <c r="C411" s="1220">
        <v>2</v>
      </c>
      <c r="D411" s="1220" t="str">
        <f t="shared" si="24"/>
        <v>Harlots</v>
      </c>
      <c r="E411" s="1220">
        <f ca="1">VALUE(INDIRECT("Penalties!"&amp;PenaltyData[[#This Row],[REF]]&amp;(PenaltyData[[#This Row],[ROW]]+1)))</f>
        <v>0</v>
      </c>
      <c r="F411" s="1220" t="str">
        <f ca="1">IF(INDIRECT("Penalties!"&amp;$N$29&amp;PenaltyData[[#This Row],[ROW]],TRUE)=0, "",INDIRECT("Penalties!"&amp;$N$29&amp;PenaltyData[[#This Row],[ROW]],TRUE))</f>
        <v>152</v>
      </c>
      <c r="G411" s="1220">
        <f ca="1">COUNTIFS($H$1:H411,"&lt;&gt;0", $F$1:F411,PenaltyData[[#This Row],[PlayerIdx]],$D$1:D411,PenaltyData[[#This Row],[Team]])</f>
        <v>1</v>
      </c>
      <c r="H411" s="1220">
        <f ca="1">INDIRECT("Penalties!"&amp;PenaltyData[[#This Row],[REF]]&amp;PenaltyData[[#This Row],[ROW]])</f>
        <v>0</v>
      </c>
      <c r="I411" s="1220" t="str">
        <f ca="1">IFERROR(VLOOKUP(PenaltyData[[#This Row],[Penalty]],PenaltyNames91419[],2,FALSE),"")</f>
        <v/>
      </c>
      <c r="J411" s="1220" t="s">
        <v>782</v>
      </c>
      <c r="K411" s="1220">
        <f t="shared" si="25"/>
        <v>8</v>
      </c>
      <c r="L411" s="1220"/>
    </row>
    <row r="412" spans="1:12" x14ac:dyDescent="0.25">
      <c r="A412" s="1230">
        <f t="shared" si="26"/>
        <v>42105</v>
      </c>
      <c r="B412" s="1231">
        <f t="shared" si="27"/>
        <v>0.83333333333333337</v>
      </c>
      <c r="C412" s="1220">
        <v>2</v>
      </c>
      <c r="D412" s="1220" t="str">
        <f t="shared" si="24"/>
        <v>Harlots</v>
      </c>
      <c r="E412" s="1220">
        <f ca="1">VALUE(INDIRECT("Penalties!"&amp;PenaltyData[[#This Row],[REF]]&amp;(PenaltyData[[#This Row],[ROW]]+1)))</f>
        <v>0</v>
      </c>
      <c r="F412" s="1220" t="str">
        <f ca="1">IF(INDIRECT("Penalties!"&amp;$N$29&amp;PenaltyData[[#This Row],[ROW]],TRUE)=0, "",INDIRECT("Penalties!"&amp;$N$29&amp;PenaltyData[[#This Row],[ROW]],TRUE))</f>
        <v>152</v>
      </c>
      <c r="G412" s="1220">
        <f ca="1">COUNTIFS($H$1:H412,"&lt;&gt;0", $F$1:F412,PenaltyData[[#This Row],[PlayerIdx]],$D$1:D412,PenaltyData[[#This Row],[Team]])</f>
        <v>1</v>
      </c>
      <c r="H412" s="1220">
        <f ca="1">INDIRECT("Penalties!"&amp;PenaltyData[[#This Row],[REF]]&amp;PenaltyData[[#This Row],[ROW]])</f>
        <v>0</v>
      </c>
      <c r="I412" s="1220" t="str">
        <f ca="1">IFERROR(VLOOKUP(PenaltyData[[#This Row],[Penalty]],PenaltyNames91419[],2,FALSE),"")</f>
        <v/>
      </c>
      <c r="J412" s="1220" t="s">
        <v>783</v>
      </c>
      <c r="K412" s="1220">
        <f t="shared" si="25"/>
        <v>8</v>
      </c>
      <c r="L412" s="1220"/>
    </row>
    <row r="413" spans="1:12" x14ac:dyDescent="0.25">
      <c r="A413" s="1230">
        <f t="shared" si="26"/>
        <v>42105</v>
      </c>
      <c r="B413" s="1231">
        <f t="shared" si="27"/>
        <v>0.83333333333333337</v>
      </c>
      <c r="C413" s="1220">
        <v>2</v>
      </c>
      <c r="D413" s="1220" t="str">
        <f t="shared" si="24"/>
        <v>Harlots</v>
      </c>
      <c r="E413" s="1220">
        <f ca="1">VALUE(INDIRECT("Penalties!"&amp;PenaltyData[[#This Row],[REF]]&amp;(PenaltyData[[#This Row],[ROW]]+1)))</f>
        <v>0</v>
      </c>
      <c r="F413" s="1220" t="str">
        <f ca="1">IF(INDIRECT("Penalties!"&amp;$N$29&amp;PenaltyData[[#This Row],[ROW]],TRUE)=0, "",INDIRECT("Penalties!"&amp;$N$29&amp;PenaltyData[[#This Row],[ROW]],TRUE))</f>
        <v>152</v>
      </c>
      <c r="G413" s="1220">
        <f ca="1">COUNTIFS($H$1:H413,"&lt;&gt;0", $F$1:F413,PenaltyData[[#This Row],[PlayerIdx]],$D$1:D413,PenaltyData[[#This Row],[Team]])</f>
        <v>1</v>
      </c>
      <c r="H413" s="1220">
        <f ca="1">INDIRECT("Penalties!"&amp;PenaltyData[[#This Row],[REF]]&amp;PenaltyData[[#This Row],[ROW]])</f>
        <v>0</v>
      </c>
      <c r="I413" s="1220" t="str">
        <f ca="1">IFERROR(VLOOKUP(PenaltyData[[#This Row],[Penalty]],PenaltyNames91419[],2,FALSE),"")</f>
        <v/>
      </c>
      <c r="J413" s="1220" t="s">
        <v>784</v>
      </c>
      <c r="K413" s="1220">
        <f t="shared" si="25"/>
        <v>8</v>
      </c>
      <c r="L413" s="1220"/>
    </row>
    <row r="414" spans="1:12" x14ac:dyDescent="0.25">
      <c r="A414" s="1230">
        <f t="shared" si="26"/>
        <v>42105</v>
      </c>
      <c r="B414" s="1231">
        <f t="shared" si="27"/>
        <v>0.83333333333333337</v>
      </c>
      <c r="C414" s="1220">
        <v>2</v>
      </c>
      <c r="D414" s="1220" t="str">
        <f t="shared" si="24"/>
        <v>Harlots</v>
      </c>
      <c r="E414" s="1220">
        <f ca="1">VALUE(INDIRECT("Penalties!"&amp;PenaltyData[[#This Row],[REF]]&amp;(PenaltyData[[#This Row],[ROW]]+1)))</f>
        <v>0</v>
      </c>
      <c r="F414" s="1220" t="str">
        <f ca="1">IF(INDIRECT("Penalties!"&amp;$N$29&amp;PenaltyData[[#This Row],[ROW]],TRUE)=0, "",INDIRECT("Penalties!"&amp;$N$29&amp;PenaltyData[[#This Row],[ROW]],TRUE))</f>
        <v>152</v>
      </c>
      <c r="G414" s="1220">
        <f ca="1">COUNTIFS($H$1:H414,"&lt;&gt;0", $F$1:F414,PenaltyData[[#This Row],[PlayerIdx]],$D$1:D414,PenaltyData[[#This Row],[Team]])</f>
        <v>1</v>
      </c>
      <c r="H414" s="1220">
        <f ca="1">INDIRECT("Penalties!"&amp;PenaltyData[[#This Row],[REF]]&amp;PenaltyData[[#This Row],[ROW]])</f>
        <v>0</v>
      </c>
      <c r="I414" s="1220" t="str">
        <f ca="1">IFERROR(VLOOKUP(PenaltyData[[#This Row],[Penalty]],PenaltyNames91419[],2,FALSE),"")</f>
        <v/>
      </c>
      <c r="J414" s="1220" t="s">
        <v>785</v>
      </c>
      <c r="K414" s="1220">
        <f t="shared" si="25"/>
        <v>8</v>
      </c>
      <c r="L414" s="1220"/>
    </row>
    <row r="415" spans="1:12" x14ac:dyDescent="0.25">
      <c r="A415" s="1230">
        <f t="shared" si="26"/>
        <v>42105</v>
      </c>
      <c r="B415" s="1231">
        <f t="shared" si="27"/>
        <v>0.83333333333333337</v>
      </c>
      <c r="C415" s="1220">
        <v>2</v>
      </c>
      <c r="D415" s="1220" t="str">
        <f t="shared" si="24"/>
        <v>Harlots</v>
      </c>
      <c r="E415" s="1220">
        <f ca="1">VALUE(INDIRECT("Penalties!"&amp;PenaltyData[[#This Row],[REF]]&amp;(PenaltyData[[#This Row],[ROW]]+1)))</f>
        <v>0</v>
      </c>
      <c r="F415" s="1220" t="str">
        <f ca="1">IF(INDIRECT("Penalties!"&amp;$N$29&amp;PenaltyData[[#This Row],[ROW]],TRUE)=0, "",INDIRECT("Penalties!"&amp;$N$29&amp;PenaltyData[[#This Row],[ROW]],TRUE))</f>
        <v>152</v>
      </c>
      <c r="G415" s="1220">
        <f ca="1">COUNTIFS($H$1:H415,"&lt;&gt;0", $F$1:F415,PenaltyData[[#This Row],[PlayerIdx]],$D$1:D415,PenaltyData[[#This Row],[Team]])</f>
        <v>1</v>
      </c>
      <c r="H415" s="1220">
        <f ca="1">INDIRECT("Penalties!"&amp;PenaltyData[[#This Row],[REF]]&amp;PenaltyData[[#This Row],[ROW]])</f>
        <v>0</v>
      </c>
      <c r="I415" s="1220" t="str">
        <f ca="1">IFERROR(VLOOKUP(PenaltyData[[#This Row],[Penalty]],PenaltyNames91419[],2,FALSE),"")</f>
        <v/>
      </c>
      <c r="J415" s="1220" t="s">
        <v>786</v>
      </c>
      <c r="K415" s="1220">
        <f t="shared" si="25"/>
        <v>8</v>
      </c>
      <c r="L415" s="1220"/>
    </row>
    <row r="416" spans="1:12" x14ac:dyDescent="0.25">
      <c r="A416" s="1230">
        <f t="shared" si="26"/>
        <v>42105</v>
      </c>
      <c r="B416" s="1231">
        <f t="shared" si="27"/>
        <v>0.83333333333333337</v>
      </c>
      <c r="C416" s="1220">
        <v>1</v>
      </c>
      <c r="D416" s="1220" t="str">
        <f t="shared" si="24"/>
        <v>Harlots</v>
      </c>
      <c r="E416" s="1220">
        <f ca="1">VALUE(INDIRECT("Penalties!"&amp;PenaltyData[[#This Row],[REF]]&amp;(PenaltyData[[#This Row],[ROW]]+1)))</f>
        <v>0</v>
      </c>
      <c r="F416" s="1220" t="str">
        <f ca="1">IF(INDIRECT("Penalties!"&amp;$N$29&amp;PenaltyData[[#This Row],[ROW]],TRUE)=0, "",INDIRECT("Penalties!"&amp;$N$29&amp;PenaltyData[[#This Row],[ROW]],TRUE))</f>
        <v xml:space="preserve">237 </v>
      </c>
      <c r="G416" s="1220">
        <f ca="1">COUNTIFS($H$1:H416,"&lt;&gt;0", $F$1:F416,PenaltyData[[#This Row],[PlayerIdx]],$D$1:D416,PenaltyData[[#This Row],[Team]])</f>
        <v>0</v>
      </c>
      <c r="H416" s="1220">
        <f ca="1">INDIRECT("Penalties!"&amp;PenaltyData[[#This Row],[REF]]&amp;PenaltyData[[#This Row],[ROW]])</f>
        <v>0</v>
      </c>
      <c r="I416" s="1220" t="str">
        <f ca="1">IFERROR(VLOOKUP(PenaltyData[[#This Row],[Penalty]],PenaltyNames91419[],2,FALSE),"")</f>
        <v/>
      </c>
      <c r="J416" s="1220" t="s">
        <v>771</v>
      </c>
      <c r="K416" s="1220">
        <f t="shared" si="25"/>
        <v>10</v>
      </c>
      <c r="L416" s="1220"/>
    </row>
    <row r="417" spans="1:12" x14ac:dyDescent="0.25">
      <c r="A417" s="1230">
        <f t="shared" si="26"/>
        <v>42105</v>
      </c>
      <c r="B417" s="1231">
        <f t="shared" si="27"/>
        <v>0.83333333333333337</v>
      </c>
      <c r="C417" s="1220">
        <v>1</v>
      </c>
      <c r="D417" s="1220" t="str">
        <f t="shared" si="24"/>
        <v>Harlots</v>
      </c>
      <c r="E417" s="1220">
        <f ca="1">VALUE(INDIRECT("Penalties!"&amp;PenaltyData[[#This Row],[REF]]&amp;(PenaltyData[[#This Row],[ROW]]+1)))</f>
        <v>0</v>
      </c>
      <c r="F417" s="1220" t="str">
        <f ca="1">IF(INDIRECT("Penalties!"&amp;$N$29&amp;PenaltyData[[#This Row],[ROW]],TRUE)=0, "",INDIRECT("Penalties!"&amp;$N$29&amp;PenaltyData[[#This Row],[ROW]],TRUE))</f>
        <v xml:space="preserve">237 </v>
      </c>
      <c r="G417" s="1220">
        <f ca="1">COUNTIFS($H$1:H417,"&lt;&gt;0", $F$1:F417,PenaltyData[[#This Row],[PlayerIdx]],$D$1:D417,PenaltyData[[#This Row],[Team]])</f>
        <v>0</v>
      </c>
      <c r="H417" s="1220">
        <f ca="1">INDIRECT("Penalties!"&amp;PenaltyData[[#This Row],[REF]]&amp;PenaltyData[[#This Row],[ROW]])</f>
        <v>0</v>
      </c>
      <c r="I417" s="1220" t="str">
        <f ca="1">IFERROR(VLOOKUP(PenaltyData[[#This Row],[Penalty]],PenaltyNames91419[],2,FALSE),"")</f>
        <v/>
      </c>
      <c r="J417" s="1220" t="s">
        <v>772</v>
      </c>
      <c r="K417" s="1220">
        <f t="shared" si="25"/>
        <v>10</v>
      </c>
      <c r="L417" s="1220"/>
    </row>
    <row r="418" spans="1:12" x14ac:dyDescent="0.25">
      <c r="A418" s="1230">
        <f t="shared" si="26"/>
        <v>42105</v>
      </c>
      <c r="B418" s="1231">
        <f t="shared" si="27"/>
        <v>0.83333333333333337</v>
      </c>
      <c r="C418" s="1220">
        <v>1</v>
      </c>
      <c r="D418" s="1220" t="str">
        <f t="shared" si="24"/>
        <v>Harlots</v>
      </c>
      <c r="E418" s="1220">
        <f ca="1">VALUE(INDIRECT("Penalties!"&amp;PenaltyData[[#This Row],[REF]]&amp;(PenaltyData[[#This Row],[ROW]]+1)))</f>
        <v>0</v>
      </c>
      <c r="F418" s="1220" t="str">
        <f ca="1">IF(INDIRECT("Penalties!"&amp;$N$29&amp;PenaltyData[[#This Row],[ROW]],TRUE)=0, "",INDIRECT("Penalties!"&amp;$N$29&amp;PenaltyData[[#This Row],[ROW]],TRUE))</f>
        <v xml:space="preserve">237 </v>
      </c>
      <c r="G418" s="1220">
        <f ca="1">COUNTIFS($H$1:H418,"&lt;&gt;0", $F$1:F418,PenaltyData[[#This Row],[PlayerIdx]],$D$1:D418,PenaltyData[[#This Row],[Team]])</f>
        <v>0</v>
      </c>
      <c r="H418" s="1220">
        <f ca="1">INDIRECT("Penalties!"&amp;PenaltyData[[#This Row],[REF]]&amp;PenaltyData[[#This Row],[ROW]])</f>
        <v>0</v>
      </c>
      <c r="I418" s="1220" t="str">
        <f ca="1">IFERROR(VLOOKUP(PenaltyData[[#This Row],[Penalty]],PenaltyNames91419[],2,FALSE),"")</f>
        <v/>
      </c>
      <c r="J418" s="1220" t="s">
        <v>159</v>
      </c>
      <c r="K418" s="1220">
        <f t="shared" si="25"/>
        <v>10</v>
      </c>
      <c r="L418" s="1220"/>
    </row>
    <row r="419" spans="1:12" x14ac:dyDescent="0.25">
      <c r="A419" s="1230">
        <f t="shared" si="26"/>
        <v>42105</v>
      </c>
      <c r="B419" s="1231">
        <f t="shared" si="27"/>
        <v>0.83333333333333337</v>
      </c>
      <c r="C419" s="1220">
        <v>1</v>
      </c>
      <c r="D419" s="1220" t="str">
        <f t="shared" si="24"/>
        <v>Harlots</v>
      </c>
      <c r="E419" s="1220">
        <f ca="1">VALUE(INDIRECT("Penalties!"&amp;PenaltyData[[#This Row],[REF]]&amp;(PenaltyData[[#This Row],[ROW]]+1)))</f>
        <v>0</v>
      </c>
      <c r="F419" s="1220" t="str">
        <f ca="1">IF(INDIRECT("Penalties!"&amp;$N$29&amp;PenaltyData[[#This Row],[ROW]],TRUE)=0, "",INDIRECT("Penalties!"&amp;$N$29&amp;PenaltyData[[#This Row],[ROW]],TRUE))</f>
        <v xml:space="preserve">237 </v>
      </c>
      <c r="G419" s="1220">
        <f ca="1">COUNTIFS($H$1:H419,"&lt;&gt;0", $F$1:F419,PenaltyData[[#This Row],[PlayerIdx]],$D$1:D419,PenaltyData[[#This Row],[Team]])</f>
        <v>0</v>
      </c>
      <c r="H419" s="1220">
        <f ca="1">INDIRECT("Penalties!"&amp;PenaltyData[[#This Row],[REF]]&amp;PenaltyData[[#This Row],[ROW]])</f>
        <v>0</v>
      </c>
      <c r="I419" s="1220" t="str">
        <f ca="1">IFERROR(VLOOKUP(PenaltyData[[#This Row],[Penalty]],PenaltyNames91419[],2,FALSE),"")</f>
        <v/>
      </c>
      <c r="J419" s="1220" t="s">
        <v>773</v>
      </c>
      <c r="K419" s="1220">
        <f t="shared" si="25"/>
        <v>10</v>
      </c>
      <c r="L419" s="1220"/>
    </row>
    <row r="420" spans="1:12" x14ac:dyDescent="0.25">
      <c r="A420" s="1230">
        <f t="shared" si="26"/>
        <v>42105</v>
      </c>
      <c r="B420" s="1231">
        <f t="shared" si="27"/>
        <v>0.83333333333333337</v>
      </c>
      <c r="C420" s="1220">
        <v>1</v>
      </c>
      <c r="D420" s="1220" t="str">
        <f t="shared" si="24"/>
        <v>Harlots</v>
      </c>
      <c r="E420" s="1220">
        <f ca="1">VALUE(INDIRECT("Penalties!"&amp;PenaltyData[[#This Row],[REF]]&amp;(PenaltyData[[#This Row],[ROW]]+1)))</f>
        <v>0</v>
      </c>
      <c r="F420" s="1220" t="str">
        <f ca="1">IF(INDIRECT("Penalties!"&amp;$N$29&amp;PenaltyData[[#This Row],[ROW]],TRUE)=0, "",INDIRECT("Penalties!"&amp;$N$29&amp;PenaltyData[[#This Row],[ROW]],TRUE))</f>
        <v xml:space="preserve">237 </v>
      </c>
      <c r="G420" s="1220">
        <f ca="1">COUNTIFS($H$1:H420,"&lt;&gt;0", $F$1:F420,PenaltyData[[#This Row],[PlayerIdx]],$D$1:D420,PenaltyData[[#This Row],[Team]])</f>
        <v>0</v>
      </c>
      <c r="H420" s="1220">
        <f ca="1">INDIRECT("Penalties!"&amp;PenaltyData[[#This Row],[REF]]&amp;PenaltyData[[#This Row],[ROW]])</f>
        <v>0</v>
      </c>
      <c r="I420" s="1220" t="str">
        <f ca="1">IFERROR(VLOOKUP(PenaltyData[[#This Row],[Penalty]],PenaltyNames91419[],2,FALSE),"")</f>
        <v/>
      </c>
      <c r="J420" s="1220" t="s">
        <v>774</v>
      </c>
      <c r="K420" s="1220">
        <f t="shared" si="25"/>
        <v>10</v>
      </c>
      <c r="L420" s="1220"/>
    </row>
    <row r="421" spans="1:12" x14ac:dyDescent="0.25">
      <c r="A421" s="1230">
        <f t="shared" si="26"/>
        <v>42105</v>
      </c>
      <c r="B421" s="1231">
        <f t="shared" si="27"/>
        <v>0.83333333333333337</v>
      </c>
      <c r="C421" s="1220">
        <v>1</v>
      </c>
      <c r="D421" s="1220" t="str">
        <f t="shared" si="24"/>
        <v>Harlots</v>
      </c>
      <c r="E421" s="1220">
        <f ca="1">VALUE(INDIRECT("Penalties!"&amp;PenaltyData[[#This Row],[REF]]&amp;(PenaltyData[[#This Row],[ROW]]+1)))</f>
        <v>0</v>
      </c>
      <c r="F421" s="1220" t="str">
        <f ca="1">IF(INDIRECT("Penalties!"&amp;$N$29&amp;PenaltyData[[#This Row],[ROW]],TRUE)=0, "",INDIRECT("Penalties!"&amp;$N$29&amp;PenaltyData[[#This Row],[ROW]],TRUE))</f>
        <v xml:space="preserve">237 </v>
      </c>
      <c r="G421" s="1220">
        <f ca="1">COUNTIFS($H$1:H421,"&lt;&gt;0", $F$1:F421,PenaltyData[[#This Row],[PlayerIdx]],$D$1:D421,PenaltyData[[#This Row],[Team]])</f>
        <v>0</v>
      </c>
      <c r="H421" s="1220">
        <f ca="1">INDIRECT("Penalties!"&amp;PenaltyData[[#This Row],[REF]]&amp;PenaltyData[[#This Row],[ROW]])</f>
        <v>0</v>
      </c>
      <c r="I421" s="1220" t="str">
        <f ca="1">IFERROR(VLOOKUP(PenaltyData[[#This Row],[Penalty]],PenaltyNames91419[],2,FALSE),"")</f>
        <v/>
      </c>
      <c r="J421" s="1220" t="s">
        <v>775</v>
      </c>
      <c r="K421" s="1220">
        <f t="shared" si="25"/>
        <v>10</v>
      </c>
      <c r="L421" s="1220"/>
    </row>
    <row r="422" spans="1:12" x14ac:dyDescent="0.25">
      <c r="A422" s="1230">
        <f t="shared" si="26"/>
        <v>42105</v>
      </c>
      <c r="B422" s="1231">
        <f t="shared" si="27"/>
        <v>0.83333333333333337</v>
      </c>
      <c r="C422" s="1220">
        <v>1</v>
      </c>
      <c r="D422" s="1220" t="str">
        <f t="shared" si="24"/>
        <v>Harlots</v>
      </c>
      <c r="E422" s="1220">
        <f ca="1">VALUE(INDIRECT("Penalties!"&amp;PenaltyData[[#This Row],[REF]]&amp;(PenaltyData[[#This Row],[ROW]]+1)))</f>
        <v>0</v>
      </c>
      <c r="F422" s="1220" t="str">
        <f ca="1">IF(INDIRECT("Penalties!"&amp;$N$29&amp;PenaltyData[[#This Row],[ROW]],TRUE)=0, "",INDIRECT("Penalties!"&amp;$N$29&amp;PenaltyData[[#This Row],[ROW]],TRUE))</f>
        <v xml:space="preserve">237 </v>
      </c>
      <c r="G422" s="1220">
        <f ca="1">COUNTIFS($H$1:H422,"&lt;&gt;0", $F$1:F422,PenaltyData[[#This Row],[PlayerIdx]],$D$1:D422,PenaltyData[[#This Row],[Team]])</f>
        <v>0</v>
      </c>
      <c r="H422" s="1220">
        <f ca="1">INDIRECT("Penalties!"&amp;PenaltyData[[#This Row],[REF]]&amp;PenaltyData[[#This Row],[ROW]])</f>
        <v>0</v>
      </c>
      <c r="I422" s="1220" t="str">
        <f ca="1">IFERROR(VLOOKUP(PenaltyData[[#This Row],[Penalty]],PenaltyNames91419[],2,FALSE),"")</f>
        <v/>
      </c>
      <c r="J422" s="1220" t="s">
        <v>776</v>
      </c>
      <c r="K422" s="1220">
        <f t="shared" si="25"/>
        <v>10</v>
      </c>
      <c r="L422" s="1220"/>
    </row>
    <row r="423" spans="1:12" x14ac:dyDescent="0.25">
      <c r="A423" s="1230">
        <f t="shared" si="26"/>
        <v>42105</v>
      </c>
      <c r="B423" s="1231">
        <f t="shared" si="27"/>
        <v>0.83333333333333337</v>
      </c>
      <c r="C423" s="1220">
        <v>1</v>
      </c>
      <c r="D423" s="1220" t="str">
        <f t="shared" si="24"/>
        <v>Harlots</v>
      </c>
      <c r="E423" s="1220">
        <f ca="1">VALUE(INDIRECT("Penalties!"&amp;PenaltyData[[#This Row],[REF]]&amp;(PenaltyData[[#This Row],[ROW]]+1)))</f>
        <v>0</v>
      </c>
      <c r="F423" s="1220" t="str">
        <f ca="1">IF(INDIRECT("Penalties!"&amp;$N$29&amp;PenaltyData[[#This Row],[ROW]],TRUE)=0, "",INDIRECT("Penalties!"&amp;$N$29&amp;PenaltyData[[#This Row],[ROW]],TRUE))</f>
        <v xml:space="preserve">237 </v>
      </c>
      <c r="G423" s="1220">
        <f ca="1">COUNTIFS($H$1:H423,"&lt;&gt;0", $F$1:F423,PenaltyData[[#This Row],[PlayerIdx]],$D$1:D423,PenaltyData[[#This Row],[Team]])</f>
        <v>0</v>
      </c>
      <c r="H423" s="1220">
        <f ca="1">INDIRECT("Penalties!"&amp;PenaltyData[[#This Row],[REF]]&amp;PenaltyData[[#This Row],[ROW]])</f>
        <v>0</v>
      </c>
      <c r="I423" s="1220" t="str">
        <f ca="1">IFERROR(VLOOKUP(PenaltyData[[#This Row],[Penalty]],PenaltyNames91419[],2,FALSE),"")</f>
        <v/>
      </c>
      <c r="J423" s="1220" t="s">
        <v>140</v>
      </c>
      <c r="K423" s="1220">
        <f t="shared" si="25"/>
        <v>10</v>
      </c>
      <c r="L423" s="1220"/>
    </row>
    <row r="424" spans="1:12" x14ac:dyDescent="0.25">
      <c r="A424" s="1230">
        <f t="shared" si="26"/>
        <v>42105</v>
      </c>
      <c r="B424" s="1231">
        <f t="shared" si="27"/>
        <v>0.83333333333333337</v>
      </c>
      <c r="C424" s="1220">
        <v>1</v>
      </c>
      <c r="D424" s="1220" t="str">
        <f t="shared" si="24"/>
        <v>Harlots</v>
      </c>
      <c r="E424" s="1220">
        <f ca="1">VALUE(INDIRECT("Penalties!"&amp;PenaltyData[[#This Row],[REF]]&amp;(PenaltyData[[#This Row],[ROW]]+1)))</f>
        <v>0</v>
      </c>
      <c r="F424" s="1220" t="str">
        <f ca="1">IF(INDIRECT("Penalties!"&amp;$N$29&amp;PenaltyData[[#This Row],[ROW]],TRUE)=0, "",INDIRECT("Penalties!"&amp;$N$29&amp;PenaltyData[[#This Row],[ROW]],TRUE))</f>
        <v xml:space="preserve">237 </v>
      </c>
      <c r="G424" s="1220">
        <f ca="1">COUNTIFS($H$1:H424,"&lt;&gt;0", $F$1:F424,PenaltyData[[#This Row],[PlayerIdx]],$D$1:D424,PenaltyData[[#This Row],[Team]])</f>
        <v>0</v>
      </c>
      <c r="H424" s="1220">
        <f ca="1">INDIRECT("Penalties!"&amp;PenaltyData[[#This Row],[REF]]&amp;PenaltyData[[#This Row],[ROW]])</f>
        <v>0</v>
      </c>
      <c r="I424" s="1220" t="str">
        <f ca="1">IFERROR(VLOOKUP(PenaltyData[[#This Row],[Penalty]],PenaltyNames91419[],2,FALSE),"")</f>
        <v/>
      </c>
      <c r="J424" s="1220" t="s">
        <v>777</v>
      </c>
      <c r="K424" s="1220">
        <f t="shared" si="25"/>
        <v>10</v>
      </c>
      <c r="L424" s="1220"/>
    </row>
    <row r="425" spans="1:12" x14ac:dyDescent="0.25">
      <c r="A425" s="1230">
        <f t="shared" si="26"/>
        <v>42105</v>
      </c>
      <c r="B425" s="1231">
        <f t="shared" si="27"/>
        <v>0.83333333333333337</v>
      </c>
      <c r="C425" s="1220">
        <v>2</v>
      </c>
      <c r="D425" s="1220" t="str">
        <f t="shared" si="24"/>
        <v>Harlots</v>
      </c>
      <c r="E425" s="1220">
        <f ca="1">VALUE(INDIRECT("Penalties!"&amp;PenaltyData[[#This Row],[REF]]&amp;(PenaltyData[[#This Row],[ROW]]+1)))</f>
        <v>0</v>
      </c>
      <c r="F425" s="1220" t="str">
        <f ca="1">IF(INDIRECT("Penalties!"&amp;$N$29&amp;PenaltyData[[#This Row],[ROW]],TRUE)=0, "",INDIRECT("Penalties!"&amp;$N$29&amp;PenaltyData[[#This Row],[ROW]],TRUE))</f>
        <v xml:space="preserve">237 </v>
      </c>
      <c r="G425" s="1220">
        <f ca="1">COUNTIFS($H$1:H425,"&lt;&gt;0", $F$1:F425,PenaltyData[[#This Row],[PlayerIdx]],$D$1:D425,PenaltyData[[#This Row],[Team]])</f>
        <v>0</v>
      </c>
      <c r="H425" s="1220">
        <f ca="1">INDIRECT("Penalties!"&amp;PenaltyData[[#This Row],[REF]]&amp;PenaltyData[[#This Row],[ROW]])</f>
        <v>0</v>
      </c>
      <c r="I425" s="1220" t="str">
        <f ca="1">IFERROR(VLOOKUP(PenaltyData[[#This Row],[Penalty]],PenaltyNames91419[],2,FALSE),"")</f>
        <v/>
      </c>
      <c r="J425" s="1220" t="s">
        <v>778</v>
      </c>
      <c r="K425" s="1220">
        <f t="shared" si="25"/>
        <v>10</v>
      </c>
      <c r="L425" s="1220"/>
    </row>
    <row r="426" spans="1:12" x14ac:dyDescent="0.25">
      <c r="A426" s="1230">
        <f t="shared" si="26"/>
        <v>42105</v>
      </c>
      <c r="B426" s="1231">
        <f t="shared" si="27"/>
        <v>0.83333333333333337</v>
      </c>
      <c r="C426" s="1220">
        <v>2</v>
      </c>
      <c r="D426" s="1220" t="str">
        <f t="shared" si="24"/>
        <v>Harlots</v>
      </c>
      <c r="E426" s="1220">
        <f ca="1">VALUE(INDIRECT("Penalties!"&amp;PenaltyData[[#This Row],[REF]]&amp;(PenaltyData[[#This Row],[ROW]]+1)))</f>
        <v>0</v>
      </c>
      <c r="F426" s="1220" t="str">
        <f ca="1">IF(INDIRECT("Penalties!"&amp;$N$29&amp;PenaltyData[[#This Row],[ROW]],TRUE)=0, "",INDIRECT("Penalties!"&amp;$N$29&amp;PenaltyData[[#This Row],[ROW]],TRUE))</f>
        <v xml:space="preserve">237 </v>
      </c>
      <c r="G426" s="1220">
        <f ca="1">COUNTIFS($H$1:H426,"&lt;&gt;0", $F$1:F426,PenaltyData[[#This Row],[PlayerIdx]],$D$1:D426,PenaltyData[[#This Row],[Team]])</f>
        <v>0</v>
      </c>
      <c r="H426" s="1220">
        <f ca="1">INDIRECT("Penalties!"&amp;PenaltyData[[#This Row],[REF]]&amp;PenaltyData[[#This Row],[ROW]])</f>
        <v>0</v>
      </c>
      <c r="I426" s="1220" t="str">
        <f ca="1">IFERROR(VLOOKUP(PenaltyData[[#This Row],[Penalty]],PenaltyNames91419[],2,FALSE),"")</f>
        <v/>
      </c>
      <c r="J426" s="1220" t="s">
        <v>779</v>
      </c>
      <c r="K426" s="1220">
        <f t="shared" si="25"/>
        <v>10</v>
      </c>
      <c r="L426" s="1220"/>
    </row>
    <row r="427" spans="1:12" x14ac:dyDescent="0.25">
      <c r="A427" s="1230">
        <f t="shared" si="26"/>
        <v>42105</v>
      </c>
      <c r="B427" s="1231">
        <f t="shared" si="27"/>
        <v>0.83333333333333337</v>
      </c>
      <c r="C427" s="1220">
        <v>2</v>
      </c>
      <c r="D427" s="1220" t="str">
        <f t="shared" ref="D427:D490" si="28">$O$3</f>
        <v>Harlots</v>
      </c>
      <c r="E427" s="1220">
        <f ca="1">VALUE(INDIRECT("Penalties!"&amp;PenaltyData[[#This Row],[REF]]&amp;(PenaltyData[[#This Row],[ROW]]+1)))</f>
        <v>0</v>
      </c>
      <c r="F427" s="1220" t="str">
        <f ca="1">IF(INDIRECT("Penalties!"&amp;$N$29&amp;PenaltyData[[#This Row],[ROW]],TRUE)=0, "",INDIRECT("Penalties!"&amp;$N$29&amp;PenaltyData[[#This Row],[ROW]],TRUE))</f>
        <v xml:space="preserve">237 </v>
      </c>
      <c r="G427" s="1220">
        <f ca="1">COUNTIFS($H$1:H427,"&lt;&gt;0", $F$1:F427,PenaltyData[[#This Row],[PlayerIdx]],$D$1:D427,PenaltyData[[#This Row],[Team]])</f>
        <v>0</v>
      </c>
      <c r="H427" s="1220">
        <f ca="1">INDIRECT("Penalties!"&amp;PenaltyData[[#This Row],[REF]]&amp;PenaltyData[[#This Row],[ROW]])</f>
        <v>0</v>
      </c>
      <c r="I427" s="1220" t="str">
        <f ca="1">IFERROR(VLOOKUP(PenaltyData[[#This Row],[Penalty]],PenaltyNames91419[],2,FALSE),"")</f>
        <v/>
      </c>
      <c r="J427" s="1220" t="s">
        <v>780</v>
      </c>
      <c r="K427" s="1220">
        <f t="shared" si="25"/>
        <v>10</v>
      </c>
      <c r="L427" s="1220"/>
    </row>
    <row r="428" spans="1:12" x14ac:dyDescent="0.25">
      <c r="A428" s="1230">
        <f t="shared" si="26"/>
        <v>42105</v>
      </c>
      <c r="B428" s="1231">
        <f t="shared" si="27"/>
        <v>0.83333333333333337</v>
      </c>
      <c r="C428" s="1220">
        <v>2</v>
      </c>
      <c r="D428" s="1220" t="str">
        <f t="shared" si="28"/>
        <v>Harlots</v>
      </c>
      <c r="E428" s="1220">
        <f ca="1">VALUE(INDIRECT("Penalties!"&amp;PenaltyData[[#This Row],[REF]]&amp;(PenaltyData[[#This Row],[ROW]]+1)))</f>
        <v>0</v>
      </c>
      <c r="F428" s="1220" t="str">
        <f ca="1">IF(INDIRECT("Penalties!"&amp;$N$29&amp;PenaltyData[[#This Row],[ROW]],TRUE)=0, "",INDIRECT("Penalties!"&amp;$N$29&amp;PenaltyData[[#This Row],[ROW]],TRUE))</f>
        <v xml:space="preserve">237 </v>
      </c>
      <c r="G428" s="1220">
        <f ca="1">COUNTIFS($H$1:H428,"&lt;&gt;0", $F$1:F428,PenaltyData[[#This Row],[PlayerIdx]],$D$1:D428,PenaltyData[[#This Row],[Team]])</f>
        <v>0</v>
      </c>
      <c r="H428" s="1220">
        <f ca="1">INDIRECT("Penalties!"&amp;PenaltyData[[#This Row],[REF]]&amp;PenaltyData[[#This Row],[ROW]])</f>
        <v>0</v>
      </c>
      <c r="I428" s="1220" t="str">
        <f ca="1">IFERROR(VLOOKUP(PenaltyData[[#This Row],[Penalty]],PenaltyNames91419[],2,FALSE),"")</f>
        <v/>
      </c>
      <c r="J428" s="1220" t="s">
        <v>781</v>
      </c>
      <c r="K428" s="1220">
        <f t="shared" si="25"/>
        <v>10</v>
      </c>
      <c r="L428" s="1220"/>
    </row>
    <row r="429" spans="1:12" x14ac:dyDescent="0.25">
      <c r="A429" s="1230">
        <f t="shared" si="26"/>
        <v>42105</v>
      </c>
      <c r="B429" s="1231">
        <f t="shared" si="27"/>
        <v>0.83333333333333337</v>
      </c>
      <c r="C429" s="1220">
        <v>2</v>
      </c>
      <c r="D429" s="1220" t="str">
        <f t="shared" si="28"/>
        <v>Harlots</v>
      </c>
      <c r="E429" s="1220">
        <f ca="1">VALUE(INDIRECT("Penalties!"&amp;PenaltyData[[#This Row],[REF]]&amp;(PenaltyData[[#This Row],[ROW]]+1)))</f>
        <v>0</v>
      </c>
      <c r="F429" s="1220" t="str">
        <f ca="1">IF(INDIRECT("Penalties!"&amp;$N$29&amp;PenaltyData[[#This Row],[ROW]],TRUE)=0, "",INDIRECT("Penalties!"&amp;$N$29&amp;PenaltyData[[#This Row],[ROW]],TRUE))</f>
        <v xml:space="preserve">237 </v>
      </c>
      <c r="G429" s="1220">
        <f ca="1">COUNTIFS($H$1:H429,"&lt;&gt;0", $F$1:F429,PenaltyData[[#This Row],[PlayerIdx]],$D$1:D429,PenaltyData[[#This Row],[Team]])</f>
        <v>0</v>
      </c>
      <c r="H429" s="1220">
        <f ca="1">INDIRECT("Penalties!"&amp;PenaltyData[[#This Row],[REF]]&amp;PenaltyData[[#This Row],[ROW]])</f>
        <v>0</v>
      </c>
      <c r="I429" s="1220" t="str">
        <f ca="1">IFERROR(VLOOKUP(PenaltyData[[#This Row],[Penalty]],PenaltyNames91419[],2,FALSE),"")</f>
        <v/>
      </c>
      <c r="J429" s="1220" t="s">
        <v>782</v>
      </c>
      <c r="K429" s="1220">
        <f t="shared" si="25"/>
        <v>10</v>
      </c>
      <c r="L429" s="1220"/>
    </row>
    <row r="430" spans="1:12" x14ac:dyDescent="0.25">
      <c r="A430" s="1230">
        <f t="shared" si="26"/>
        <v>42105</v>
      </c>
      <c r="B430" s="1231">
        <f t="shared" si="27"/>
        <v>0.83333333333333337</v>
      </c>
      <c r="C430" s="1220">
        <v>2</v>
      </c>
      <c r="D430" s="1220" t="str">
        <f t="shared" si="28"/>
        <v>Harlots</v>
      </c>
      <c r="E430" s="1220">
        <f ca="1">VALUE(INDIRECT("Penalties!"&amp;PenaltyData[[#This Row],[REF]]&amp;(PenaltyData[[#This Row],[ROW]]+1)))</f>
        <v>0</v>
      </c>
      <c r="F430" s="1220" t="str">
        <f ca="1">IF(INDIRECT("Penalties!"&amp;$N$29&amp;PenaltyData[[#This Row],[ROW]],TRUE)=0, "",INDIRECT("Penalties!"&amp;$N$29&amp;PenaltyData[[#This Row],[ROW]],TRUE))</f>
        <v xml:space="preserve">237 </v>
      </c>
      <c r="G430" s="1220">
        <f ca="1">COUNTIFS($H$1:H430,"&lt;&gt;0", $F$1:F430,PenaltyData[[#This Row],[PlayerIdx]],$D$1:D430,PenaltyData[[#This Row],[Team]])</f>
        <v>0</v>
      </c>
      <c r="H430" s="1220">
        <f ca="1">INDIRECT("Penalties!"&amp;PenaltyData[[#This Row],[REF]]&amp;PenaltyData[[#This Row],[ROW]])</f>
        <v>0</v>
      </c>
      <c r="I430" s="1220" t="str">
        <f ca="1">IFERROR(VLOOKUP(PenaltyData[[#This Row],[Penalty]],PenaltyNames91419[],2,FALSE),"")</f>
        <v/>
      </c>
      <c r="J430" s="1220" t="s">
        <v>783</v>
      </c>
      <c r="K430" s="1220">
        <f t="shared" si="25"/>
        <v>10</v>
      </c>
      <c r="L430" s="1220"/>
    </row>
    <row r="431" spans="1:12" x14ac:dyDescent="0.25">
      <c r="A431" s="1230">
        <f t="shared" si="26"/>
        <v>42105</v>
      </c>
      <c r="B431" s="1231">
        <f t="shared" si="27"/>
        <v>0.83333333333333337</v>
      </c>
      <c r="C431" s="1220">
        <v>2</v>
      </c>
      <c r="D431" s="1220" t="str">
        <f t="shared" si="28"/>
        <v>Harlots</v>
      </c>
      <c r="E431" s="1220">
        <f ca="1">VALUE(INDIRECT("Penalties!"&amp;PenaltyData[[#This Row],[REF]]&amp;(PenaltyData[[#This Row],[ROW]]+1)))</f>
        <v>0</v>
      </c>
      <c r="F431" s="1220" t="str">
        <f ca="1">IF(INDIRECT("Penalties!"&amp;$N$29&amp;PenaltyData[[#This Row],[ROW]],TRUE)=0, "",INDIRECT("Penalties!"&amp;$N$29&amp;PenaltyData[[#This Row],[ROW]],TRUE))</f>
        <v xml:space="preserve">237 </v>
      </c>
      <c r="G431" s="1220">
        <f ca="1">COUNTIFS($H$1:H431,"&lt;&gt;0", $F$1:F431,PenaltyData[[#This Row],[PlayerIdx]],$D$1:D431,PenaltyData[[#This Row],[Team]])</f>
        <v>0</v>
      </c>
      <c r="H431" s="1220">
        <f ca="1">INDIRECT("Penalties!"&amp;PenaltyData[[#This Row],[REF]]&amp;PenaltyData[[#This Row],[ROW]])</f>
        <v>0</v>
      </c>
      <c r="I431" s="1220" t="str">
        <f ca="1">IFERROR(VLOOKUP(PenaltyData[[#This Row],[Penalty]],PenaltyNames91419[],2,FALSE),"")</f>
        <v/>
      </c>
      <c r="J431" s="1220" t="s">
        <v>784</v>
      </c>
      <c r="K431" s="1220">
        <f t="shared" si="25"/>
        <v>10</v>
      </c>
      <c r="L431" s="1220"/>
    </row>
    <row r="432" spans="1:12" x14ac:dyDescent="0.25">
      <c r="A432" s="1230">
        <f t="shared" si="26"/>
        <v>42105</v>
      </c>
      <c r="B432" s="1231">
        <f t="shared" si="27"/>
        <v>0.83333333333333337</v>
      </c>
      <c r="C432" s="1220">
        <v>2</v>
      </c>
      <c r="D432" s="1220" t="str">
        <f t="shared" si="28"/>
        <v>Harlots</v>
      </c>
      <c r="E432" s="1220">
        <f ca="1">VALUE(INDIRECT("Penalties!"&amp;PenaltyData[[#This Row],[REF]]&amp;(PenaltyData[[#This Row],[ROW]]+1)))</f>
        <v>0</v>
      </c>
      <c r="F432" s="1220" t="str">
        <f ca="1">IF(INDIRECT("Penalties!"&amp;$N$29&amp;PenaltyData[[#This Row],[ROW]],TRUE)=0, "",INDIRECT("Penalties!"&amp;$N$29&amp;PenaltyData[[#This Row],[ROW]],TRUE))</f>
        <v xml:space="preserve">237 </v>
      </c>
      <c r="G432" s="1220">
        <f ca="1">COUNTIFS($H$1:H432,"&lt;&gt;0", $F$1:F432,PenaltyData[[#This Row],[PlayerIdx]],$D$1:D432,PenaltyData[[#This Row],[Team]])</f>
        <v>0</v>
      </c>
      <c r="H432" s="1220">
        <f ca="1">INDIRECT("Penalties!"&amp;PenaltyData[[#This Row],[REF]]&amp;PenaltyData[[#This Row],[ROW]])</f>
        <v>0</v>
      </c>
      <c r="I432" s="1220" t="str">
        <f ca="1">IFERROR(VLOOKUP(PenaltyData[[#This Row],[Penalty]],PenaltyNames91419[],2,FALSE),"")</f>
        <v/>
      </c>
      <c r="J432" s="1220" t="s">
        <v>785</v>
      </c>
      <c r="K432" s="1220">
        <f t="shared" si="25"/>
        <v>10</v>
      </c>
      <c r="L432" s="1220"/>
    </row>
    <row r="433" spans="1:12" x14ac:dyDescent="0.25">
      <c r="A433" s="1230">
        <f t="shared" si="26"/>
        <v>42105</v>
      </c>
      <c r="B433" s="1231">
        <f t="shared" si="27"/>
        <v>0.83333333333333337</v>
      </c>
      <c r="C433" s="1220">
        <v>2</v>
      </c>
      <c r="D433" s="1220" t="str">
        <f t="shared" si="28"/>
        <v>Harlots</v>
      </c>
      <c r="E433" s="1220">
        <f ca="1">VALUE(INDIRECT("Penalties!"&amp;PenaltyData[[#This Row],[REF]]&amp;(PenaltyData[[#This Row],[ROW]]+1)))</f>
        <v>0</v>
      </c>
      <c r="F433" s="1220" t="str">
        <f ca="1">IF(INDIRECT("Penalties!"&amp;$N$29&amp;PenaltyData[[#This Row],[ROW]],TRUE)=0, "",INDIRECT("Penalties!"&amp;$N$29&amp;PenaltyData[[#This Row],[ROW]],TRUE))</f>
        <v xml:space="preserve">237 </v>
      </c>
      <c r="G433" s="1220">
        <f ca="1">COUNTIFS($H$1:H433,"&lt;&gt;0", $F$1:F433,PenaltyData[[#This Row],[PlayerIdx]],$D$1:D433,PenaltyData[[#This Row],[Team]])</f>
        <v>0</v>
      </c>
      <c r="H433" s="1220">
        <f ca="1">INDIRECT("Penalties!"&amp;PenaltyData[[#This Row],[REF]]&amp;PenaltyData[[#This Row],[ROW]])</f>
        <v>0</v>
      </c>
      <c r="I433" s="1220" t="str">
        <f ca="1">IFERROR(VLOOKUP(PenaltyData[[#This Row],[Penalty]],PenaltyNames91419[],2,FALSE),"")</f>
        <v/>
      </c>
      <c r="J433" s="1220" t="s">
        <v>786</v>
      </c>
      <c r="K433" s="1220">
        <f t="shared" si="25"/>
        <v>10</v>
      </c>
      <c r="L433" s="1220"/>
    </row>
    <row r="434" spans="1:12" x14ac:dyDescent="0.25">
      <c r="A434" s="1230">
        <f t="shared" si="26"/>
        <v>42105</v>
      </c>
      <c r="B434" s="1231">
        <f t="shared" si="27"/>
        <v>0.83333333333333337</v>
      </c>
      <c r="C434" s="1220">
        <v>1</v>
      </c>
      <c r="D434" s="1220" t="str">
        <f t="shared" si="28"/>
        <v>Harlots</v>
      </c>
      <c r="E434" s="1220">
        <f ca="1">VALUE(INDIRECT("Penalties!"&amp;PenaltyData[[#This Row],[REF]]&amp;(PenaltyData[[#This Row],[ROW]]+1)))</f>
        <v>0</v>
      </c>
      <c r="F434" s="1220" t="str">
        <f ca="1">IF(INDIRECT("Penalties!"&amp;$N$29&amp;PenaltyData[[#This Row],[ROW]],TRUE)=0, "",INDIRECT("Penalties!"&amp;$N$29&amp;PenaltyData[[#This Row],[ROW]],TRUE))</f>
        <v>26</v>
      </c>
      <c r="G434" s="1220">
        <f ca="1">COUNTIFS($H$1:H434,"&lt;&gt;0", $F$1:F434,PenaltyData[[#This Row],[PlayerIdx]],$D$1:D434,PenaltyData[[#This Row],[Team]])</f>
        <v>0</v>
      </c>
      <c r="H434" s="1220">
        <f ca="1">INDIRECT("Penalties!"&amp;PenaltyData[[#This Row],[REF]]&amp;PenaltyData[[#This Row],[ROW]])</f>
        <v>0</v>
      </c>
      <c r="I434" s="1220" t="str">
        <f ca="1">IFERROR(VLOOKUP(PenaltyData[[#This Row],[Penalty]],PenaltyNames91419[],2,FALSE),"")</f>
        <v/>
      </c>
      <c r="J434" s="1220" t="s">
        <v>771</v>
      </c>
      <c r="K434" s="1220">
        <f t="shared" si="25"/>
        <v>12</v>
      </c>
      <c r="L434" s="1220"/>
    </row>
    <row r="435" spans="1:12" x14ac:dyDescent="0.25">
      <c r="A435" s="1230">
        <f t="shared" si="26"/>
        <v>42105</v>
      </c>
      <c r="B435" s="1231">
        <f t="shared" si="27"/>
        <v>0.83333333333333337</v>
      </c>
      <c r="C435" s="1220">
        <v>1</v>
      </c>
      <c r="D435" s="1220" t="str">
        <f t="shared" si="28"/>
        <v>Harlots</v>
      </c>
      <c r="E435" s="1220">
        <f ca="1">VALUE(INDIRECT("Penalties!"&amp;PenaltyData[[#This Row],[REF]]&amp;(PenaltyData[[#This Row],[ROW]]+1)))</f>
        <v>0</v>
      </c>
      <c r="F435" s="1220" t="str">
        <f ca="1">IF(INDIRECT("Penalties!"&amp;$N$29&amp;PenaltyData[[#This Row],[ROW]],TRUE)=0, "",INDIRECT("Penalties!"&amp;$N$29&amp;PenaltyData[[#This Row],[ROW]],TRUE))</f>
        <v>26</v>
      </c>
      <c r="G435" s="1220">
        <f ca="1">COUNTIFS($H$1:H435,"&lt;&gt;0", $F$1:F435,PenaltyData[[#This Row],[PlayerIdx]],$D$1:D435,PenaltyData[[#This Row],[Team]])</f>
        <v>0</v>
      </c>
      <c r="H435" s="1220">
        <f ca="1">INDIRECT("Penalties!"&amp;PenaltyData[[#This Row],[REF]]&amp;PenaltyData[[#This Row],[ROW]])</f>
        <v>0</v>
      </c>
      <c r="I435" s="1220" t="str">
        <f ca="1">IFERROR(VLOOKUP(PenaltyData[[#This Row],[Penalty]],PenaltyNames91419[],2,FALSE),"")</f>
        <v/>
      </c>
      <c r="J435" s="1220" t="s">
        <v>772</v>
      </c>
      <c r="K435" s="1220">
        <f t="shared" si="25"/>
        <v>12</v>
      </c>
      <c r="L435" s="1220"/>
    </row>
    <row r="436" spans="1:12" x14ac:dyDescent="0.25">
      <c r="A436" s="1230">
        <f t="shared" si="26"/>
        <v>42105</v>
      </c>
      <c r="B436" s="1231">
        <f t="shared" si="27"/>
        <v>0.83333333333333337</v>
      </c>
      <c r="C436" s="1220">
        <v>1</v>
      </c>
      <c r="D436" s="1220" t="str">
        <f t="shared" si="28"/>
        <v>Harlots</v>
      </c>
      <c r="E436" s="1220">
        <f ca="1">VALUE(INDIRECT("Penalties!"&amp;PenaltyData[[#This Row],[REF]]&amp;(PenaltyData[[#This Row],[ROW]]+1)))</f>
        <v>0</v>
      </c>
      <c r="F436" s="1220" t="str">
        <f ca="1">IF(INDIRECT("Penalties!"&amp;$N$29&amp;PenaltyData[[#This Row],[ROW]],TRUE)=0, "",INDIRECT("Penalties!"&amp;$N$29&amp;PenaltyData[[#This Row],[ROW]],TRUE))</f>
        <v>26</v>
      </c>
      <c r="G436" s="1220">
        <f ca="1">COUNTIFS($H$1:H436,"&lt;&gt;0", $F$1:F436,PenaltyData[[#This Row],[PlayerIdx]],$D$1:D436,PenaltyData[[#This Row],[Team]])</f>
        <v>0</v>
      </c>
      <c r="H436" s="1220">
        <f ca="1">INDIRECT("Penalties!"&amp;PenaltyData[[#This Row],[REF]]&amp;PenaltyData[[#This Row],[ROW]])</f>
        <v>0</v>
      </c>
      <c r="I436" s="1220" t="str">
        <f ca="1">IFERROR(VLOOKUP(PenaltyData[[#This Row],[Penalty]],PenaltyNames91419[],2,FALSE),"")</f>
        <v/>
      </c>
      <c r="J436" s="1220" t="s">
        <v>159</v>
      </c>
      <c r="K436" s="1220">
        <f t="shared" si="25"/>
        <v>12</v>
      </c>
      <c r="L436" s="1220"/>
    </row>
    <row r="437" spans="1:12" x14ac:dyDescent="0.25">
      <c r="A437" s="1230">
        <f t="shared" si="26"/>
        <v>42105</v>
      </c>
      <c r="B437" s="1231">
        <f t="shared" si="27"/>
        <v>0.83333333333333337</v>
      </c>
      <c r="C437" s="1220">
        <v>1</v>
      </c>
      <c r="D437" s="1220" t="str">
        <f t="shared" si="28"/>
        <v>Harlots</v>
      </c>
      <c r="E437" s="1220">
        <f ca="1">VALUE(INDIRECT("Penalties!"&amp;PenaltyData[[#This Row],[REF]]&amp;(PenaltyData[[#This Row],[ROW]]+1)))</f>
        <v>0</v>
      </c>
      <c r="F437" s="1220" t="str">
        <f ca="1">IF(INDIRECT("Penalties!"&amp;$N$29&amp;PenaltyData[[#This Row],[ROW]],TRUE)=0, "",INDIRECT("Penalties!"&amp;$N$29&amp;PenaltyData[[#This Row],[ROW]],TRUE))</f>
        <v>26</v>
      </c>
      <c r="G437" s="1220">
        <f ca="1">COUNTIFS($H$1:H437,"&lt;&gt;0", $F$1:F437,PenaltyData[[#This Row],[PlayerIdx]],$D$1:D437,PenaltyData[[#This Row],[Team]])</f>
        <v>0</v>
      </c>
      <c r="H437" s="1220">
        <f ca="1">INDIRECT("Penalties!"&amp;PenaltyData[[#This Row],[REF]]&amp;PenaltyData[[#This Row],[ROW]])</f>
        <v>0</v>
      </c>
      <c r="I437" s="1220" t="str">
        <f ca="1">IFERROR(VLOOKUP(PenaltyData[[#This Row],[Penalty]],PenaltyNames91419[],2,FALSE),"")</f>
        <v/>
      </c>
      <c r="J437" s="1220" t="s">
        <v>773</v>
      </c>
      <c r="K437" s="1220">
        <f t="shared" si="25"/>
        <v>12</v>
      </c>
      <c r="L437" s="1220"/>
    </row>
    <row r="438" spans="1:12" x14ac:dyDescent="0.25">
      <c r="A438" s="1230">
        <f t="shared" si="26"/>
        <v>42105</v>
      </c>
      <c r="B438" s="1231">
        <f t="shared" si="27"/>
        <v>0.83333333333333337</v>
      </c>
      <c r="C438" s="1220">
        <v>1</v>
      </c>
      <c r="D438" s="1220" t="str">
        <f t="shared" si="28"/>
        <v>Harlots</v>
      </c>
      <c r="E438" s="1220">
        <f ca="1">VALUE(INDIRECT("Penalties!"&amp;PenaltyData[[#This Row],[REF]]&amp;(PenaltyData[[#This Row],[ROW]]+1)))</f>
        <v>0</v>
      </c>
      <c r="F438" s="1220" t="str">
        <f ca="1">IF(INDIRECT("Penalties!"&amp;$N$29&amp;PenaltyData[[#This Row],[ROW]],TRUE)=0, "",INDIRECT("Penalties!"&amp;$N$29&amp;PenaltyData[[#This Row],[ROW]],TRUE))</f>
        <v>26</v>
      </c>
      <c r="G438" s="1220">
        <f ca="1">COUNTIFS($H$1:H438,"&lt;&gt;0", $F$1:F438,PenaltyData[[#This Row],[PlayerIdx]],$D$1:D438,PenaltyData[[#This Row],[Team]])</f>
        <v>0</v>
      </c>
      <c r="H438" s="1220">
        <f ca="1">INDIRECT("Penalties!"&amp;PenaltyData[[#This Row],[REF]]&amp;PenaltyData[[#This Row],[ROW]])</f>
        <v>0</v>
      </c>
      <c r="I438" s="1220" t="str">
        <f ca="1">IFERROR(VLOOKUP(PenaltyData[[#This Row],[Penalty]],PenaltyNames91419[],2,FALSE),"")</f>
        <v/>
      </c>
      <c r="J438" s="1220" t="s">
        <v>774</v>
      </c>
      <c r="K438" s="1220">
        <f t="shared" si="25"/>
        <v>12</v>
      </c>
      <c r="L438" s="1220"/>
    </row>
    <row r="439" spans="1:12" x14ac:dyDescent="0.25">
      <c r="A439" s="1230">
        <f t="shared" si="26"/>
        <v>42105</v>
      </c>
      <c r="B439" s="1231">
        <f t="shared" si="27"/>
        <v>0.83333333333333337</v>
      </c>
      <c r="C439" s="1220">
        <v>1</v>
      </c>
      <c r="D439" s="1220" t="str">
        <f t="shared" si="28"/>
        <v>Harlots</v>
      </c>
      <c r="E439" s="1220">
        <f ca="1">VALUE(INDIRECT("Penalties!"&amp;PenaltyData[[#This Row],[REF]]&amp;(PenaltyData[[#This Row],[ROW]]+1)))</f>
        <v>0</v>
      </c>
      <c r="F439" s="1220" t="str">
        <f ca="1">IF(INDIRECT("Penalties!"&amp;$N$29&amp;PenaltyData[[#This Row],[ROW]],TRUE)=0, "",INDIRECT("Penalties!"&amp;$N$29&amp;PenaltyData[[#This Row],[ROW]],TRUE))</f>
        <v>26</v>
      </c>
      <c r="G439" s="1220">
        <f ca="1">COUNTIFS($H$1:H439,"&lt;&gt;0", $F$1:F439,PenaltyData[[#This Row],[PlayerIdx]],$D$1:D439,PenaltyData[[#This Row],[Team]])</f>
        <v>0</v>
      </c>
      <c r="H439" s="1220">
        <f ca="1">INDIRECT("Penalties!"&amp;PenaltyData[[#This Row],[REF]]&amp;PenaltyData[[#This Row],[ROW]])</f>
        <v>0</v>
      </c>
      <c r="I439" s="1220" t="str">
        <f ca="1">IFERROR(VLOOKUP(PenaltyData[[#This Row],[Penalty]],PenaltyNames91419[],2,FALSE),"")</f>
        <v/>
      </c>
      <c r="J439" s="1220" t="s">
        <v>775</v>
      </c>
      <c r="K439" s="1220">
        <f t="shared" si="25"/>
        <v>12</v>
      </c>
      <c r="L439" s="1220"/>
    </row>
    <row r="440" spans="1:12" x14ac:dyDescent="0.25">
      <c r="A440" s="1230">
        <f t="shared" si="26"/>
        <v>42105</v>
      </c>
      <c r="B440" s="1231">
        <f t="shared" si="27"/>
        <v>0.83333333333333337</v>
      </c>
      <c r="C440" s="1220">
        <v>1</v>
      </c>
      <c r="D440" s="1220" t="str">
        <f t="shared" si="28"/>
        <v>Harlots</v>
      </c>
      <c r="E440" s="1220">
        <f ca="1">VALUE(INDIRECT("Penalties!"&amp;PenaltyData[[#This Row],[REF]]&amp;(PenaltyData[[#This Row],[ROW]]+1)))</f>
        <v>0</v>
      </c>
      <c r="F440" s="1220" t="str">
        <f ca="1">IF(INDIRECT("Penalties!"&amp;$N$29&amp;PenaltyData[[#This Row],[ROW]],TRUE)=0, "",INDIRECT("Penalties!"&amp;$N$29&amp;PenaltyData[[#This Row],[ROW]],TRUE))</f>
        <v>26</v>
      </c>
      <c r="G440" s="1220">
        <f ca="1">COUNTIFS($H$1:H440,"&lt;&gt;0", $F$1:F440,PenaltyData[[#This Row],[PlayerIdx]],$D$1:D440,PenaltyData[[#This Row],[Team]])</f>
        <v>0</v>
      </c>
      <c r="H440" s="1220">
        <f ca="1">INDIRECT("Penalties!"&amp;PenaltyData[[#This Row],[REF]]&amp;PenaltyData[[#This Row],[ROW]])</f>
        <v>0</v>
      </c>
      <c r="I440" s="1220" t="str">
        <f ca="1">IFERROR(VLOOKUP(PenaltyData[[#This Row],[Penalty]],PenaltyNames91419[],2,FALSE),"")</f>
        <v/>
      </c>
      <c r="J440" s="1220" t="s">
        <v>776</v>
      </c>
      <c r="K440" s="1220">
        <f t="shared" si="25"/>
        <v>12</v>
      </c>
      <c r="L440" s="1220"/>
    </row>
    <row r="441" spans="1:12" x14ac:dyDescent="0.25">
      <c r="A441" s="1230">
        <f t="shared" si="26"/>
        <v>42105</v>
      </c>
      <c r="B441" s="1231">
        <f t="shared" si="27"/>
        <v>0.83333333333333337</v>
      </c>
      <c r="C441" s="1220">
        <v>1</v>
      </c>
      <c r="D441" s="1220" t="str">
        <f t="shared" si="28"/>
        <v>Harlots</v>
      </c>
      <c r="E441" s="1220">
        <f ca="1">VALUE(INDIRECT("Penalties!"&amp;PenaltyData[[#This Row],[REF]]&amp;(PenaltyData[[#This Row],[ROW]]+1)))</f>
        <v>0</v>
      </c>
      <c r="F441" s="1220" t="str">
        <f ca="1">IF(INDIRECT("Penalties!"&amp;$N$29&amp;PenaltyData[[#This Row],[ROW]],TRUE)=0, "",INDIRECT("Penalties!"&amp;$N$29&amp;PenaltyData[[#This Row],[ROW]],TRUE))</f>
        <v>26</v>
      </c>
      <c r="G441" s="1220">
        <f ca="1">COUNTIFS($H$1:H441,"&lt;&gt;0", $F$1:F441,PenaltyData[[#This Row],[PlayerIdx]],$D$1:D441,PenaltyData[[#This Row],[Team]])</f>
        <v>0</v>
      </c>
      <c r="H441" s="1220">
        <f ca="1">INDIRECT("Penalties!"&amp;PenaltyData[[#This Row],[REF]]&amp;PenaltyData[[#This Row],[ROW]])</f>
        <v>0</v>
      </c>
      <c r="I441" s="1220" t="str">
        <f ca="1">IFERROR(VLOOKUP(PenaltyData[[#This Row],[Penalty]],PenaltyNames91419[],2,FALSE),"")</f>
        <v/>
      </c>
      <c r="J441" s="1220" t="s">
        <v>140</v>
      </c>
      <c r="K441" s="1220">
        <f t="shared" si="25"/>
        <v>12</v>
      </c>
      <c r="L441" s="1220"/>
    </row>
    <row r="442" spans="1:12" x14ac:dyDescent="0.25">
      <c r="A442" s="1230">
        <f t="shared" si="26"/>
        <v>42105</v>
      </c>
      <c r="B442" s="1231">
        <f t="shared" si="27"/>
        <v>0.83333333333333337</v>
      </c>
      <c r="C442" s="1220">
        <v>1</v>
      </c>
      <c r="D442" s="1220" t="str">
        <f t="shared" si="28"/>
        <v>Harlots</v>
      </c>
      <c r="E442" s="1220">
        <f ca="1">VALUE(INDIRECT("Penalties!"&amp;PenaltyData[[#This Row],[REF]]&amp;(PenaltyData[[#This Row],[ROW]]+1)))</f>
        <v>0</v>
      </c>
      <c r="F442" s="1220" t="str">
        <f ca="1">IF(INDIRECT("Penalties!"&amp;$N$29&amp;PenaltyData[[#This Row],[ROW]],TRUE)=0, "",INDIRECT("Penalties!"&amp;$N$29&amp;PenaltyData[[#This Row],[ROW]],TRUE))</f>
        <v>26</v>
      </c>
      <c r="G442" s="1220">
        <f ca="1">COUNTIFS($H$1:H442,"&lt;&gt;0", $F$1:F442,PenaltyData[[#This Row],[PlayerIdx]],$D$1:D442,PenaltyData[[#This Row],[Team]])</f>
        <v>0</v>
      </c>
      <c r="H442" s="1220">
        <f ca="1">INDIRECT("Penalties!"&amp;PenaltyData[[#This Row],[REF]]&amp;PenaltyData[[#This Row],[ROW]])</f>
        <v>0</v>
      </c>
      <c r="I442" s="1220" t="str">
        <f ca="1">IFERROR(VLOOKUP(PenaltyData[[#This Row],[Penalty]],PenaltyNames91419[],2,FALSE),"")</f>
        <v/>
      </c>
      <c r="J442" s="1220" t="s">
        <v>777</v>
      </c>
      <c r="K442" s="1220">
        <f t="shared" si="25"/>
        <v>12</v>
      </c>
      <c r="L442" s="1220"/>
    </row>
    <row r="443" spans="1:12" x14ac:dyDescent="0.25">
      <c r="A443" s="1230">
        <f t="shared" si="26"/>
        <v>42105</v>
      </c>
      <c r="B443" s="1231">
        <f t="shared" si="27"/>
        <v>0.83333333333333337</v>
      </c>
      <c r="C443" s="1220">
        <v>2</v>
      </c>
      <c r="D443" s="1220" t="str">
        <f t="shared" si="28"/>
        <v>Harlots</v>
      </c>
      <c r="E443" s="1220">
        <f ca="1">VALUE(INDIRECT("Penalties!"&amp;PenaltyData[[#This Row],[REF]]&amp;(PenaltyData[[#This Row],[ROW]]+1)))</f>
        <v>6</v>
      </c>
      <c r="F443" s="1220" t="str">
        <f ca="1">IF(INDIRECT("Penalties!"&amp;$N$29&amp;PenaltyData[[#This Row],[ROW]],TRUE)=0, "",INDIRECT("Penalties!"&amp;$N$29&amp;PenaltyData[[#This Row],[ROW]],TRUE))</f>
        <v>26</v>
      </c>
      <c r="G443" s="1220">
        <f ca="1">COUNTIFS($H$1:H443,"&lt;&gt;0", $F$1:F443,PenaltyData[[#This Row],[PlayerIdx]],$D$1:D443,PenaltyData[[#This Row],[Team]])</f>
        <v>1</v>
      </c>
      <c r="H443" s="1220" t="str">
        <f ca="1">INDIRECT("Penalties!"&amp;PenaltyData[[#This Row],[REF]]&amp;PenaltyData[[#This Row],[ROW]])</f>
        <v>X</v>
      </c>
      <c r="I443" s="1220" t="str">
        <f ca="1">IFERROR(VLOOKUP(PenaltyData[[#This Row],[Penalty]],PenaltyNames91419[],2,FALSE),"")</f>
        <v>Cut Track</v>
      </c>
      <c r="J443" s="1220" t="s">
        <v>778</v>
      </c>
      <c r="K443" s="1220">
        <f t="shared" si="25"/>
        <v>12</v>
      </c>
      <c r="L443" s="1220"/>
    </row>
    <row r="444" spans="1:12" x14ac:dyDescent="0.25">
      <c r="A444" s="1230">
        <f t="shared" si="26"/>
        <v>42105</v>
      </c>
      <c r="B444" s="1231">
        <f t="shared" si="27"/>
        <v>0.83333333333333337</v>
      </c>
      <c r="C444" s="1220">
        <v>2</v>
      </c>
      <c r="D444" s="1220" t="str">
        <f t="shared" si="28"/>
        <v>Harlots</v>
      </c>
      <c r="E444" s="1220">
        <f ca="1">VALUE(INDIRECT("Penalties!"&amp;PenaltyData[[#This Row],[REF]]&amp;(PenaltyData[[#This Row],[ROW]]+1)))</f>
        <v>0</v>
      </c>
      <c r="F444" s="1220" t="str">
        <f ca="1">IF(INDIRECT("Penalties!"&amp;$N$29&amp;PenaltyData[[#This Row],[ROW]],TRUE)=0, "",INDIRECT("Penalties!"&amp;$N$29&amp;PenaltyData[[#This Row],[ROW]],TRUE))</f>
        <v>26</v>
      </c>
      <c r="G444" s="1220">
        <f ca="1">COUNTIFS($H$1:H444,"&lt;&gt;0", $F$1:F444,PenaltyData[[#This Row],[PlayerIdx]],$D$1:D444,PenaltyData[[#This Row],[Team]])</f>
        <v>1</v>
      </c>
      <c r="H444" s="1220">
        <f ca="1">INDIRECT("Penalties!"&amp;PenaltyData[[#This Row],[REF]]&amp;PenaltyData[[#This Row],[ROW]])</f>
        <v>0</v>
      </c>
      <c r="I444" s="1220" t="str">
        <f ca="1">IFERROR(VLOOKUP(PenaltyData[[#This Row],[Penalty]],PenaltyNames91419[],2,FALSE),"")</f>
        <v/>
      </c>
      <c r="J444" s="1220" t="s">
        <v>779</v>
      </c>
      <c r="K444" s="1220">
        <f t="shared" si="25"/>
        <v>12</v>
      </c>
      <c r="L444" s="1220"/>
    </row>
    <row r="445" spans="1:12" x14ac:dyDescent="0.25">
      <c r="A445" s="1230">
        <f t="shared" si="26"/>
        <v>42105</v>
      </c>
      <c r="B445" s="1231">
        <f t="shared" si="27"/>
        <v>0.83333333333333337</v>
      </c>
      <c r="C445" s="1220">
        <v>2</v>
      </c>
      <c r="D445" s="1220" t="str">
        <f t="shared" si="28"/>
        <v>Harlots</v>
      </c>
      <c r="E445" s="1220">
        <f ca="1">VALUE(INDIRECT("Penalties!"&amp;PenaltyData[[#This Row],[REF]]&amp;(PenaltyData[[#This Row],[ROW]]+1)))</f>
        <v>0</v>
      </c>
      <c r="F445" s="1220" t="str">
        <f ca="1">IF(INDIRECT("Penalties!"&amp;$N$29&amp;PenaltyData[[#This Row],[ROW]],TRUE)=0, "",INDIRECT("Penalties!"&amp;$N$29&amp;PenaltyData[[#This Row],[ROW]],TRUE))</f>
        <v>26</v>
      </c>
      <c r="G445" s="1220">
        <f ca="1">COUNTIFS($H$1:H445,"&lt;&gt;0", $F$1:F445,PenaltyData[[#This Row],[PlayerIdx]],$D$1:D445,PenaltyData[[#This Row],[Team]])</f>
        <v>1</v>
      </c>
      <c r="H445" s="1220">
        <f ca="1">INDIRECT("Penalties!"&amp;PenaltyData[[#This Row],[REF]]&amp;PenaltyData[[#This Row],[ROW]])</f>
        <v>0</v>
      </c>
      <c r="I445" s="1220" t="str">
        <f ca="1">IFERROR(VLOOKUP(PenaltyData[[#This Row],[Penalty]],PenaltyNames91419[],2,FALSE),"")</f>
        <v/>
      </c>
      <c r="J445" s="1220" t="s">
        <v>780</v>
      </c>
      <c r="K445" s="1220">
        <f t="shared" ref="K445:K508" si="29">K427+2</f>
        <v>12</v>
      </c>
      <c r="L445" s="1220"/>
    </row>
    <row r="446" spans="1:12" x14ac:dyDescent="0.25">
      <c r="A446" s="1230">
        <f t="shared" si="26"/>
        <v>42105</v>
      </c>
      <c r="B446" s="1231">
        <f t="shared" si="27"/>
        <v>0.83333333333333337</v>
      </c>
      <c r="C446" s="1220">
        <v>2</v>
      </c>
      <c r="D446" s="1220" t="str">
        <f t="shared" si="28"/>
        <v>Harlots</v>
      </c>
      <c r="E446" s="1220">
        <f ca="1">VALUE(INDIRECT("Penalties!"&amp;PenaltyData[[#This Row],[REF]]&amp;(PenaltyData[[#This Row],[ROW]]+1)))</f>
        <v>0</v>
      </c>
      <c r="F446" s="1220" t="str">
        <f ca="1">IF(INDIRECT("Penalties!"&amp;$N$29&amp;PenaltyData[[#This Row],[ROW]],TRUE)=0, "",INDIRECT("Penalties!"&amp;$N$29&amp;PenaltyData[[#This Row],[ROW]],TRUE))</f>
        <v>26</v>
      </c>
      <c r="G446" s="1220">
        <f ca="1">COUNTIFS($H$1:H446,"&lt;&gt;0", $F$1:F446,PenaltyData[[#This Row],[PlayerIdx]],$D$1:D446,PenaltyData[[#This Row],[Team]])</f>
        <v>1</v>
      </c>
      <c r="H446" s="1220">
        <f ca="1">INDIRECT("Penalties!"&amp;PenaltyData[[#This Row],[REF]]&amp;PenaltyData[[#This Row],[ROW]])</f>
        <v>0</v>
      </c>
      <c r="I446" s="1220" t="str">
        <f ca="1">IFERROR(VLOOKUP(PenaltyData[[#This Row],[Penalty]],PenaltyNames91419[],2,FALSE),"")</f>
        <v/>
      </c>
      <c r="J446" s="1220" t="s">
        <v>781</v>
      </c>
      <c r="K446" s="1220">
        <f t="shared" si="29"/>
        <v>12</v>
      </c>
      <c r="L446" s="1220"/>
    </row>
    <row r="447" spans="1:12" x14ac:dyDescent="0.25">
      <c r="A447" s="1230">
        <f t="shared" si="26"/>
        <v>42105</v>
      </c>
      <c r="B447" s="1231">
        <f t="shared" si="27"/>
        <v>0.83333333333333337</v>
      </c>
      <c r="C447" s="1220">
        <v>2</v>
      </c>
      <c r="D447" s="1220" t="str">
        <f t="shared" si="28"/>
        <v>Harlots</v>
      </c>
      <c r="E447" s="1220">
        <f ca="1">VALUE(INDIRECT("Penalties!"&amp;PenaltyData[[#This Row],[REF]]&amp;(PenaltyData[[#This Row],[ROW]]+1)))</f>
        <v>0</v>
      </c>
      <c r="F447" s="1220" t="str">
        <f ca="1">IF(INDIRECT("Penalties!"&amp;$N$29&amp;PenaltyData[[#This Row],[ROW]],TRUE)=0, "",INDIRECT("Penalties!"&amp;$N$29&amp;PenaltyData[[#This Row],[ROW]],TRUE))</f>
        <v>26</v>
      </c>
      <c r="G447" s="1220">
        <f ca="1">COUNTIFS($H$1:H447,"&lt;&gt;0", $F$1:F447,PenaltyData[[#This Row],[PlayerIdx]],$D$1:D447,PenaltyData[[#This Row],[Team]])</f>
        <v>1</v>
      </c>
      <c r="H447" s="1220">
        <f ca="1">INDIRECT("Penalties!"&amp;PenaltyData[[#This Row],[REF]]&amp;PenaltyData[[#This Row],[ROW]])</f>
        <v>0</v>
      </c>
      <c r="I447" s="1220" t="str">
        <f ca="1">IFERROR(VLOOKUP(PenaltyData[[#This Row],[Penalty]],PenaltyNames91419[],2,FALSE),"")</f>
        <v/>
      </c>
      <c r="J447" s="1220" t="s">
        <v>782</v>
      </c>
      <c r="K447" s="1220">
        <f t="shared" si="29"/>
        <v>12</v>
      </c>
      <c r="L447" s="1220"/>
    </row>
    <row r="448" spans="1:12" x14ac:dyDescent="0.25">
      <c r="A448" s="1230">
        <f t="shared" si="26"/>
        <v>42105</v>
      </c>
      <c r="B448" s="1231">
        <f t="shared" si="27"/>
        <v>0.83333333333333337</v>
      </c>
      <c r="C448" s="1220">
        <v>2</v>
      </c>
      <c r="D448" s="1220" t="str">
        <f t="shared" si="28"/>
        <v>Harlots</v>
      </c>
      <c r="E448" s="1220">
        <f ca="1">VALUE(INDIRECT("Penalties!"&amp;PenaltyData[[#This Row],[REF]]&amp;(PenaltyData[[#This Row],[ROW]]+1)))</f>
        <v>0</v>
      </c>
      <c r="F448" s="1220" t="str">
        <f ca="1">IF(INDIRECT("Penalties!"&amp;$N$29&amp;PenaltyData[[#This Row],[ROW]],TRUE)=0, "",INDIRECT("Penalties!"&amp;$N$29&amp;PenaltyData[[#This Row],[ROW]],TRUE))</f>
        <v>26</v>
      </c>
      <c r="G448" s="1220">
        <f ca="1">COUNTIFS($H$1:H448,"&lt;&gt;0", $F$1:F448,PenaltyData[[#This Row],[PlayerIdx]],$D$1:D448,PenaltyData[[#This Row],[Team]])</f>
        <v>1</v>
      </c>
      <c r="H448" s="1220">
        <f ca="1">INDIRECT("Penalties!"&amp;PenaltyData[[#This Row],[REF]]&amp;PenaltyData[[#This Row],[ROW]])</f>
        <v>0</v>
      </c>
      <c r="I448" s="1220" t="str">
        <f ca="1">IFERROR(VLOOKUP(PenaltyData[[#This Row],[Penalty]],PenaltyNames91419[],2,FALSE),"")</f>
        <v/>
      </c>
      <c r="J448" s="1220" t="s">
        <v>783</v>
      </c>
      <c r="K448" s="1220">
        <f t="shared" si="29"/>
        <v>12</v>
      </c>
      <c r="L448" s="1220"/>
    </row>
    <row r="449" spans="1:12" x14ac:dyDescent="0.25">
      <c r="A449" s="1230">
        <f t="shared" si="26"/>
        <v>42105</v>
      </c>
      <c r="B449" s="1231">
        <f t="shared" si="27"/>
        <v>0.83333333333333337</v>
      </c>
      <c r="C449" s="1220">
        <v>2</v>
      </c>
      <c r="D449" s="1220" t="str">
        <f t="shared" si="28"/>
        <v>Harlots</v>
      </c>
      <c r="E449" s="1220">
        <f ca="1">VALUE(INDIRECT("Penalties!"&amp;PenaltyData[[#This Row],[REF]]&amp;(PenaltyData[[#This Row],[ROW]]+1)))</f>
        <v>0</v>
      </c>
      <c r="F449" s="1220" t="str">
        <f ca="1">IF(INDIRECT("Penalties!"&amp;$N$29&amp;PenaltyData[[#This Row],[ROW]],TRUE)=0, "",INDIRECT("Penalties!"&amp;$N$29&amp;PenaltyData[[#This Row],[ROW]],TRUE))</f>
        <v>26</v>
      </c>
      <c r="G449" s="1220">
        <f ca="1">COUNTIFS($H$1:H449,"&lt;&gt;0", $F$1:F449,PenaltyData[[#This Row],[PlayerIdx]],$D$1:D449,PenaltyData[[#This Row],[Team]])</f>
        <v>1</v>
      </c>
      <c r="H449" s="1220">
        <f ca="1">INDIRECT("Penalties!"&amp;PenaltyData[[#This Row],[REF]]&amp;PenaltyData[[#This Row],[ROW]])</f>
        <v>0</v>
      </c>
      <c r="I449" s="1220" t="str">
        <f ca="1">IFERROR(VLOOKUP(PenaltyData[[#This Row],[Penalty]],PenaltyNames91419[],2,FALSE),"")</f>
        <v/>
      </c>
      <c r="J449" s="1220" t="s">
        <v>784</v>
      </c>
      <c r="K449" s="1220">
        <f t="shared" si="29"/>
        <v>12</v>
      </c>
      <c r="L449" s="1220"/>
    </row>
    <row r="450" spans="1:12" x14ac:dyDescent="0.25">
      <c r="A450" s="1230">
        <f t="shared" si="26"/>
        <v>42105</v>
      </c>
      <c r="B450" s="1231">
        <f t="shared" si="27"/>
        <v>0.83333333333333337</v>
      </c>
      <c r="C450" s="1220">
        <v>2</v>
      </c>
      <c r="D450" s="1220" t="str">
        <f t="shared" si="28"/>
        <v>Harlots</v>
      </c>
      <c r="E450" s="1220">
        <f ca="1">VALUE(INDIRECT("Penalties!"&amp;PenaltyData[[#This Row],[REF]]&amp;(PenaltyData[[#This Row],[ROW]]+1)))</f>
        <v>0</v>
      </c>
      <c r="F450" s="1220" t="str">
        <f ca="1">IF(INDIRECT("Penalties!"&amp;$N$29&amp;PenaltyData[[#This Row],[ROW]],TRUE)=0, "",INDIRECT("Penalties!"&amp;$N$29&amp;PenaltyData[[#This Row],[ROW]],TRUE))</f>
        <v>26</v>
      </c>
      <c r="G450" s="1220">
        <f ca="1">COUNTIFS($H$1:H450,"&lt;&gt;0", $F$1:F450,PenaltyData[[#This Row],[PlayerIdx]],$D$1:D450,PenaltyData[[#This Row],[Team]])</f>
        <v>1</v>
      </c>
      <c r="H450" s="1220">
        <f ca="1">INDIRECT("Penalties!"&amp;PenaltyData[[#This Row],[REF]]&amp;PenaltyData[[#This Row],[ROW]])</f>
        <v>0</v>
      </c>
      <c r="I450" s="1220" t="str">
        <f ca="1">IFERROR(VLOOKUP(PenaltyData[[#This Row],[Penalty]],PenaltyNames91419[],2,FALSE),"")</f>
        <v/>
      </c>
      <c r="J450" s="1220" t="s">
        <v>785</v>
      </c>
      <c r="K450" s="1220">
        <f t="shared" si="29"/>
        <v>12</v>
      </c>
      <c r="L450" s="1220"/>
    </row>
    <row r="451" spans="1:12" x14ac:dyDescent="0.25">
      <c r="A451" s="1230">
        <f t="shared" si="26"/>
        <v>42105</v>
      </c>
      <c r="B451" s="1231">
        <f t="shared" si="27"/>
        <v>0.83333333333333337</v>
      </c>
      <c r="C451" s="1220">
        <v>2</v>
      </c>
      <c r="D451" s="1220" t="str">
        <f t="shared" si="28"/>
        <v>Harlots</v>
      </c>
      <c r="E451" s="1220">
        <f ca="1">VALUE(INDIRECT("Penalties!"&amp;PenaltyData[[#This Row],[REF]]&amp;(PenaltyData[[#This Row],[ROW]]+1)))</f>
        <v>0</v>
      </c>
      <c r="F451" s="1220" t="str">
        <f ca="1">IF(INDIRECT("Penalties!"&amp;$N$29&amp;PenaltyData[[#This Row],[ROW]],TRUE)=0, "",INDIRECT("Penalties!"&amp;$N$29&amp;PenaltyData[[#This Row],[ROW]],TRUE))</f>
        <v>26</v>
      </c>
      <c r="G451" s="1220">
        <f ca="1">COUNTIFS($H$1:H451,"&lt;&gt;0", $F$1:F451,PenaltyData[[#This Row],[PlayerIdx]],$D$1:D451,PenaltyData[[#This Row],[Team]])</f>
        <v>1</v>
      </c>
      <c r="H451" s="1220">
        <f ca="1">INDIRECT("Penalties!"&amp;PenaltyData[[#This Row],[REF]]&amp;PenaltyData[[#This Row],[ROW]])</f>
        <v>0</v>
      </c>
      <c r="I451" s="1220" t="str">
        <f ca="1">IFERROR(VLOOKUP(PenaltyData[[#This Row],[Penalty]],PenaltyNames91419[],2,FALSE),"")</f>
        <v/>
      </c>
      <c r="J451" s="1220" t="s">
        <v>786</v>
      </c>
      <c r="K451" s="1220">
        <f t="shared" si="29"/>
        <v>12</v>
      </c>
      <c r="L451" s="1220"/>
    </row>
    <row r="452" spans="1:12" x14ac:dyDescent="0.25">
      <c r="A452" s="1230">
        <f t="shared" si="26"/>
        <v>42105</v>
      </c>
      <c r="B452" s="1231">
        <f t="shared" si="27"/>
        <v>0.83333333333333337</v>
      </c>
      <c r="C452" s="1220">
        <v>1</v>
      </c>
      <c r="D452" s="1220" t="str">
        <f t="shared" si="28"/>
        <v>Harlots</v>
      </c>
      <c r="E452" s="1220">
        <f ca="1">VALUE(INDIRECT("Penalties!"&amp;PenaltyData[[#This Row],[REF]]&amp;(PenaltyData[[#This Row],[ROW]]+1)))</f>
        <v>7</v>
      </c>
      <c r="F452" s="1220" t="str">
        <f ca="1">IF(INDIRECT("Penalties!"&amp;$N$29&amp;PenaltyData[[#This Row],[ROW]],TRUE)=0, "",INDIRECT("Penalties!"&amp;$N$29&amp;PenaltyData[[#This Row],[ROW]],TRUE))</f>
        <v>2611</v>
      </c>
      <c r="G452" s="1220">
        <f ca="1">COUNTIFS($H$1:H452,"&lt;&gt;0", $F$1:F452,PenaltyData[[#This Row],[PlayerIdx]],$D$1:D452,PenaltyData[[#This Row],[Team]])</f>
        <v>1</v>
      </c>
      <c r="H452" s="1220" t="str">
        <f ca="1">INDIRECT("Penalties!"&amp;PenaltyData[[#This Row],[REF]]&amp;PenaltyData[[#This Row],[ROW]])</f>
        <v>P</v>
      </c>
      <c r="I452" s="1220" t="str">
        <f ca="1">IFERROR(VLOOKUP(PenaltyData[[#This Row],[Penalty]],PenaltyNames91419[],2,FALSE),"")</f>
        <v>Out of Play</v>
      </c>
      <c r="J452" s="1220" t="s">
        <v>771</v>
      </c>
      <c r="K452" s="1220">
        <f t="shared" si="29"/>
        <v>14</v>
      </c>
      <c r="L452" s="1220"/>
    </row>
    <row r="453" spans="1:12" x14ac:dyDescent="0.25">
      <c r="A453" s="1230">
        <f t="shared" si="26"/>
        <v>42105</v>
      </c>
      <c r="B453" s="1231">
        <f t="shared" si="27"/>
        <v>0.83333333333333337</v>
      </c>
      <c r="C453" s="1220">
        <v>1</v>
      </c>
      <c r="D453" s="1220" t="str">
        <f t="shared" si="28"/>
        <v>Harlots</v>
      </c>
      <c r="E453" s="1220">
        <f ca="1">VALUE(INDIRECT("Penalties!"&amp;PenaltyData[[#This Row],[REF]]&amp;(PenaltyData[[#This Row],[ROW]]+1)))</f>
        <v>11</v>
      </c>
      <c r="F453" s="1220" t="str">
        <f ca="1">IF(INDIRECT("Penalties!"&amp;$N$29&amp;PenaltyData[[#This Row],[ROW]],TRUE)=0, "",INDIRECT("Penalties!"&amp;$N$29&amp;PenaltyData[[#This Row],[ROW]],TRUE))</f>
        <v>2611</v>
      </c>
      <c r="G453" s="1220">
        <f ca="1">COUNTIFS($H$1:H453,"&lt;&gt;0", $F$1:F453,PenaltyData[[#This Row],[PlayerIdx]],$D$1:D453,PenaltyData[[#This Row],[Team]])</f>
        <v>2</v>
      </c>
      <c r="H453" s="1220" t="str">
        <f ca="1">INDIRECT("Penalties!"&amp;PenaltyData[[#This Row],[REF]]&amp;PenaltyData[[#This Row],[ROW]])</f>
        <v>E</v>
      </c>
      <c r="I453" s="1220" t="str">
        <f ca="1">IFERROR(VLOOKUP(PenaltyData[[#This Row],[Penalty]],PenaltyNames91419[],2,FALSE),"")</f>
        <v>Elbows</v>
      </c>
      <c r="J453" s="1220" t="s">
        <v>772</v>
      </c>
      <c r="K453" s="1220">
        <f t="shared" si="29"/>
        <v>14</v>
      </c>
      <c r="L453" s="1220"/>
    </row>
    <row r="454" spans="1:12" x14ac:dyDescent="0.25">
      <c r="A454" s="1230">
        <f t="shared" ref="A454:A517" si="30">$N$1</f>
        <v>42105</v>
      </c>
      <c r="B454" s="1231">
        <f t="shared" ref="B454:B517" si="31">$O$1</f>
        <v>0.83333333333333337</v>
      </c>
      <c r="C454" s="1220">
        <v>1</v>
      </c>
      <c r="D454" s="1220" t="str">
        <f t="shared" si="28"/>
        <v>Harlots</v>
      </c>
      <c r="E454" s="1220">
        <f ca="1">VALUE(INDIRECT("Penalties!"&amp;PenaltyData[[#This Row],[REF]]&amp;(PenaltyData[[#This Row],[ROW]]+1)))</f>
        <v>0</v>
      </c>
      <c r="F454" s="1220" t="str">
        <f ca="1">IF(INDIRECT("Penalties!"&amp;$N$29&amp;PenaltyData[[#This Row],[ROW]],TRUE)=0, "",INDIRECT("Penalties!"&amp;$N$29&amp;PenaltyData[[#This Row],[ROW]],TRUE))</f>
        <v>2611</v>
      </c>
      <c r="G454" s="1220">
        <f ca="1">COUNTIFS($H$1:H454,"&lt;&gt;0", $F$1:F454,PenaltyData[[#This Row],[PlayerIdx]],$D$1:D454,PenaltyData[[#This Row],[Team]])</f>
        <v>2</v>
      </c>
      <c r="H454" s="1220">
        <f ca="1">INDIRECT("Penalties!"&amp;PenaltyData[[#This Row],[REF]]&amp;PenaltyData[[#This Row],[ROW]])</f>
        <v>0</v>
      </c>
      <c r="I454" s="1220" t="str">
        <f ca="1">IFERROR(VLOOKUP(PenaltyData[[#This Row],[Penalty]],PenaltyNames91419[],2,FALSE),"")</f>
        <v/>
      </c>
      <c r="J454" s="1220" t="s">
        <v>159</v>
      </c>
      <c r="K454" s="1220">
        <f t="shared" si="29"/>
        <v>14</v>
      </c>
      <c r="L454" s="1220"/>
    </row>
    <row r="455" spans="1:12" x14ac:dyDescent="0.25">
      <c r="A455" s="1230">
        <f t="shared" si="30"/>
        <v>42105</v>
      </c>
      <c r="B455" s="1231">
        <f t="shared" si="31"/>
        <v>0.83333333333333337</v>
      </c>
      <c r="C455" s="1220">
        <v>1</v>
      </c>
      <c r="D455" s="1220" t="str">
        <f t="shared" si="28"/>
        <v>Harlots</v>
      </c>
      <c r="E455" s="1220">
        <f ca="1">VALUE(INDIRECT("Penalties!"&amp;PenaltyData[[#This Row],[REF]]&amp;(PenaltyData[[#This Row],[ROW]]+1)))</f>
        <v>0</v>
      </c>
      <c r="F455" s="1220" t="str">
        <f ca="1">IF(INDIRECT("Penalties!"&amp;$N$29&amp;PenaltyData[[#This Row],[ROW]],TRUE)=0, "",INDIRECT("Penalties!"&amp;$N$29&amp;PenaltyData[[#This Row],[ROW]],TRUE))</f>
        <v>2611</v>
      </c>
      <c r="G455" s="1220">
        <f ca="1">COUNTIFS($H$1:H455,"&lt;&gt;0", $F$1:F455,PenaltyData[[#This Row],[PlayerIdx]],$D$1:D455,PenaltyData[[#This Row],[Team]])</f>
        <v>2</v>
      </c>
      <c r="H455" s="1220">
        <f ca="1">INDIRECT("Penalties!"&amp;PenaltyData[[#This Row],[REF]]&amp;PenaltyData[[#This Row],[ROW]])</f>
        <v>0</v>
      </c>
      <c r="I455" s="1220" t="str">
        <f ca="1">IFERROR(VLOOKUP(PenaltyData[[#This Row],[Penalty]],PenaltyNames91419[],2,FALSE),"")</f>
        <v/>
      </c>
      <c r="J455" s="1220" t="s">
        <v>773</v>
      </c>
      <c r="K455" s="1220">
        <f t="shared" si="29"/>
        <v>14</v>
      </c>
      <c r="L455" s="1220"/>
    </row>
    <row r="456" spans="1:12" x14ac:dyDescent="0.25">
      <c r="A456" s="1230">
        <f t="shared" si="30"/>
        <v>42105</v>
      </c>
      <c r="B456" s="1231">
        <f t="shared" si="31"/>
        <v>0.83333333333333337</v>
      </c>
      <c r="C456" s="1220">
        <v>1</v>
      </c>
      <c r="D456" s="1220" t="str">
        <f t="shared" si="28"/>
        <v>Harlots</v>
      </c>
      <c r="E456" s="1220">
        <f ca="1">VALUE(INDIRECT("Penalties!"&amp;PenaltyData[[#This Row],[REF]]&amp;(PenaltyData[[#This Row],[ROW]]+1)))</f>
        <v>0</v>
      </c>
      <c r="F456" s="1220" t="str">
        <f ca="1">IF(INDIRECT("Penalties!"&amp;$N$29&amp;PenaltyData[[#This Row],[ROW]],TRUE)=0, "",INDIRECT("Penalties!"&amp;$N$29&amp;PenaltyData[[#This Row],[ROW]],TRUE))</f>
        <v>2611</v>
      </c>
      <c r="G456" s="1220">
        <f ca="1">COUNTIFS($H$1:H456,"&lt;&gt;0", $F$1:F456,PenaltyData[[#This Row],[PlayerIdx]],$D$1:D456,PenaltyData[[#This Row],[Team]])</f>
        <v>2</v>
      </c>
      <c r="H456" s="1220">
        <f ca="1">INDIRECT("Penalties!"&amp;PenaltyData[[#This Row],[REF]]&amp;PenaltyData[[#This Row],[ROW]])</f>
        <v>0</v>
      </c>
      <c r="I456" s="1220" t="str">
        <f ca="1">IFERROR(VLOOKUP(PenaltyData[[#This Row],[Penalty]],PenaltyNames91419[],2,FALSE),"")</f>
        <v/>
      </c>
      <c r="J456" s="1220" t="s">
        <v>774</v>
      </c>
      <c r="K456" s="1220">
        <f t="shared" si="29"/>
        <v>14</v>
      </c>
      <c r="L456" s="1220"/>
    </row>
    <row r="457" spans="1:12" x14ac:dyDescent="0.25">
      <c r="A457" s="1230">
        <f t="shared" si="30"/>
        <v>42105</v>
      </c>
      <c r="B457" s="1231">
        <f t="shared" si="31"/>
        <v>0.83333333333333337</v>
      </c>
      <c r="C457" s="1220">
        <v>1</v>
      </c>
      <c r="D457" s="1220" t="str">
        <f t="shared" si="28"/>
        <v>Harlots</v>
      </c>
      <c r="E457" s="1220">
        <f ca="1">VALUE(INDIRECT("Penalties!"&amp;PenaltyData[[#This Row],[REF]]&amp;(PenaltyData[[#This Row],[ROW]]+1)))</f>
        <v>0</v>
      </c>
      <c r="F457" s="1220" t="str">
        <f ca="1">IF(INDIRECT("Penalties!"&amp;$N$29&amp;PenaltyData[[#This Row],[ROW]],TRUE)=0, "",INDIRECT("Penalties!"&amp;$N$29&amp;PenaltyData[[#This Row],[ROW]],TRUE))</f>
        <v>2611</v>
      </c>
      <c r="G457" s="1220">
        <f ca="1">COUNTIFS($H$1:H457,"&lt;&gt;0", $F$1:F457,PenaltyData[[#This Row],[PlayerIdx]],$D$1:D457,PenaltyData[[#This Row],[Team]])</f>
        <v>2</v>
      </c>
      <c r="H457" s="1220">
        <f ca="1">INDIRECT("Penalties!"&amp;PenaltyData[[#This Row],[REF]]&amp;PenaltyData[[#This Row],[ROW]])</f>
        <v>0</v>
      </c>
      <c r="I457" s="1220" t="str">
        <f ca="1">IFERROR(VLOOKUP(PenaltyData[[#This Row],[Penalty]],PenaltyNames91419[],2,FALSE),"")</f>
        <v/>
      </c>
      <c r="J457" s="1220" t="s">
        <v>775</v>
      </c>
      <c r="K457" s="1220">
        <f t="shared" si="29"/>
        <v>14</v>
      </c>
      <c r="L457" s="1220"/>
    </row>
    <row r="458" spans="1:12" x14ac:dyDescent="0.25">
      <c r="A458" s="1230">
        <f t="shared" si="30"/>
        <v>42105</v>
      </c>
      <c r="B458" s="1231">
        <f t="shared" si="31"/>
        <v>0.83333333333333337</v>
      </c>
      <c r="C458" s="1220">
        <v>1</v>
      </c>
      <c r="D458" s="1220" t="str">
        <f t="shared" si="28"/>
        <v>Harlots</v>
      </c>
      <c r="E458" s="1220">
        <f ca="1">VALUE(INDIRECT("Penalties!"&amp;PenaltyData[[#This Row],[REF]]&amp;(PenaltyData[[#This Row],[ROW]]+1)))</f>
        <v>0</v>
      </c>
      <c r="F458" s="1220" t="str">
        <f ca="1">IF(INDIRECT("Penalties!"&amp;$N$29&amp;PenaltyData[[#This Row],[ROW]],TRUE)=0, "",INDIRECT("Penalties!"&amp;$N$29&amp;PenaltyData[[#This Row],[ROW]],TRUE))</f>
        <v>2611</v>
      </c>
      <c r="G458" s="1220">
        <f ca="1">COUNTIFS($H$1:H458,"&lt;&gt;0", $F$1:F458,PenaltyData[[#This Row],[PlayerIdx]],$D$1:D458,PenaltyData[[#This Row],[Team]])</f>
        <v>2</v>
      </c>
      <c r="H458" s="1220">
        <f ca="1">INDIRECT("Penalties!"&amp;PenaltyData[[#This Row],[REF]]&amp;PenaltyData[[#This Row],[ROW]])</f>
        <v>0</v>
      </c>
      <c r="I458" s="1220" t="str">
        <f ca="1">IFERROR(VLOOKUP(PenaltyData[[#This Row],[Penalty]],PenaltyNames91419[],2,FALSE),"")</f>
        <v/>
      </c>
      <c r="J458" s="1220" t="s">
        <v>776</v>
      </c>
      <c r="K458" s="1220">
        <f t="shared" si="29"/>
        <v>14</v>
      </c>
      <c r="L458" s="1220"/>
    </row>
    <row r="459" spans="1:12" x14ac:dyDescent="0.25">
      <c r="A459" s="1230">
        <f t="shared" si="30"/>
        <v>42105</v>
      </c>
      <c r="B459" s="1231">
        <f t="shared" si="31"/>
        <v>0.83333333333333337</v>
      </c>
      <c r="C459" s="1220">
        <v>1</v>
      </c>
      <c r="D459" s="1220" t="str">
        <f t="shared" si="28"/>
        <v>Harlots</v>
      </c>
      <c r="E459" s="1220">
        <f ca="1">VALUE(INDIRECT("Penalties!"&amp;PenaltyData[[#This Row],[REF]]&amp;(PenaltyData[[#This Row],[ROW]]+1)))</f>
        <v>0</v>
      </c>
      <c r="F459" s="1220" t="str">
        <f ca="1">IF(INDIRECT("Penalties!"&amp;$N$29&amp;PenaltyData[[#This Row],[ROW]],TRUE)=0, "",INDIRECT("Penalties!"&amp;$N$29&amp;PenaltyData[[#This Row],[ROW]],TRUE))</f>
        <v>2611</v>
      </c>
      <c r="G459" s="1220">
        <f ca="1">COUNTIFS($H$1:H459,"&lt;&gt;0", $F$1:F459,PenaltyData[[#This Row],[PlayerIdx]],$D$1:D459,PenaltyData[[#This Row],[Team]])</f>
        <v>2</v>
      </c>
      <c r="H459" s="1220">
        <f ca="1">INDIRECT("Penalties!"&amp;PenaltyData[[#This Row],[REF]]&amp;PenaltyData[[#This Row],[ROW]])</f>
        <v>0</v>
      </c>
      <c r="I459" s="1220" t="str">
        <f ca="1">IFERROR(VLOOKUP(PenaltyData[[#This Row],[Penalty]],PenaltyNames91419[],2,FALSE),"")</f>
        <v/>
      </c>
      <c r="J459" s="1220" t="s">
        <v>140</v>
      </c>
      <c r="K459" s="1220">
        <f t="shared" si="29"/>
        <v>14</v>
      </c>
      <c r="L459" s="1220"/>
    </row>
    <row r="460" spans="1:12" x14ac:dyDescent="0.25">
      <c r="A460" s="1230">
        <f t="shared" si="30"/>
        <v>42105</v>
      </c>
      <c r="B460" s="1231">
        <f t="shared" si="31"/>
        <v>0.83333333333333337</v>
      </c>
      <c r="C460" s="1220">
        <v>1</v>
      </c>
      <c r="D460" s="1220" t="str">
        <f t="shared" si="28"/>
        <v>Harlots</v>
      </c>
      <c r="E460" s="1220">
        <f ca="1">VALUE(INDIRECT("Penalties!"&amp;PenaltyData[[#This Row],[REF]]&amp;(PenaltyData[[#This Row],[ROW]]+1)))</f>
        <v>0</v>
      </c>
      <c r="F460" s="1220" t="str">
        <f ca="1">IF(INDIRECT("Penalties!"&amp;$N$29&amp;PenaltyData[[#This Row],[ROW]],TRUE)=0, "",INDIRECT("Penalties!"&amp;$N$29&amp;PenaltyData[[#This Row],[ROW]],TRUE))</f>
        <v>2611</v>
      </c>
      <c r="G460" s="1220">
        <f ca="1">COUNTIFS($H$1:H460,"&lt;&gt;0", $F$1:F460,PenaltyData[[#This Row],[PlayerIdx]],$D$1:D460,PenaltyData[[#This Row],[Team]])</f>
        <v>2</v>
      </c>
      <c r="H460" s="1220">
        <f ca="1">INDIRECT("Penalties!"&amp;PenaltyData[[#This Row],[REF]]&amp;PenaltyData[[#This Row],[ROW]])</f>
        <v>0</v>
      </c>
      <c r="I460" s="1220" t="str">
        <f ca="1">IFERROR(VLOOKUP(PenaltyData[[#This Row],[Penalty]],PenaltyNames91419[],2,FALSE),"")</f>
        <v/>
      </c>
      <c r="J460" s="1220" t="s">
        <v>777</v>
      </c>
      <c r="K460" s="1220">
        <f t="shared" si="29"/>
        <v>14</v>
      </c>
      <c r="L460" s="1220"/>
    </row>
    <row r="461" spans="1:12" x14ac:dyDescent="0.25">
      <c r="A461" s="1230">
        <f t="shared" si="30"/>
        <v>42105</v>
      </c>
      <c r="B461" s="1231">
        <f t="shared" si="31"/>
        <v>0.83333333333333337</v>
      </c>
      <c r="C461" s="1220">
        <v>2</v>
      </c>
      <c r="D461" s="1220" t="str">
        <f t="shared" si="28"/>
        <v>Harlots</v>
      </c>
      <c r="E461" s="1220">
        <f ca="1">VALUE(INDIRECT("Penalties!"&amp;PenaltyData[[#This Row],[REF]]&amp;(PenaltyData[[#This Row],[ROW]]+1)))</f>
        <v>0</v>
      </c>
      <c r="F461" s="1220" t="str">
        <f ca="1">IF(INDIRECT("Penalties!"&amp;$N$29&amp;PenaltyData[[#This Row],[ROW]],TRUE)=0, "",INDIRECT("Penalties!"&amp;$N$29&amp;PenaltyData[[#This Row],[ROW]],TRUE))</f>
        <v>2611</v>
      </c>
      <c r="G461" s="1220">
        <f ca="1">COUNTIFS($H$1:H461,"&lt;&gt;0", $F$1:F461,PenaltyData[[#This Row],[PlayerIdx]],$D$1:D461,PenaltyData[[#This Row],[Team]])</f>
        <v>2</v>
      </c>
      <c r="H461" s="1220">
        <f ca="1">INDIRECT("Penalties!"&amp;PenaltyData[[#This Row],[REF]]&amp;PenaltyData[[#This Row],[ROW]])</f>
        <v>0</v>
      </c>
      <c r="I461" s="1220" t="str">
        <f ca="1">IFERROR(VLOOKUP(PenaltyData[[#This Row],[Penalty]],PenaltyNames91419[],2,FALSE),"")</f>
        <v/>
      </c>
      <c r="J461" s="1220" t="s">
        <v>778</v>
      </c>
      <c r="K461" s="1220">
        <f t="shared" si="29"/>
        <v>14</v>
      </c>
      <c r="L461" s="1220"/>
    </row>
    <row r="462" spans="1:12" x14ac:dyDescent="0.25">
      <c r="A462" s="1230">
        <f t="shared" si="30"/>
        <v>42105</v>
      </c>
      <c r="B462" s="1231">
        <f t="shared" si="31"/>
        <v>0.83333333333333337</v>
      </c>
      <c r="C462" s="1220">
        <v>2</v>
      </c>
      <c r="D462" s="1220" t="str">
        <f t="shared" si="28"/>
        <v>Harlots</v>
      </c>
      <c r="E462" s="1220">
        <f ca="1">VALUE(INDIRECT("Penalties!"&amp;PenaltyData[[#This Row],[REF]]&amp;(PenaltyData[[#This Row],[ROW]]+1)))</f>
        <v>0</v>
      </c>
      <c r="F462" s="1220" t="str">
        <f ca="1">IF(INDIRECT("Penalties!"&amp;$N$29&amp;PenaltyData[[#This Row],[ROW]],TRUE)=0, "",INDIRECT("Penalties!"&amp;$N$29&amp;PenaltyData[[#This Row],[ROW]],TRUE))</f>
        <v>2611</v>
      </c>
      <c r="G462" s="1220">
        <f ca="1">COUNTIFS($H$1:H462,"&lt;&gt;0", $F$1:F462,PenaltyData[[#This Row],[PlayerIdx]],$D$1:D462,PenaltyData[[#This Row],[Team]])</f>
        <v>2</v>
      </c>
      <c r="H462" s="1220">
        <f ca="1">INDIRECT("Penalties!"&amp;PenaltyData[[#This Row],[REF]]&amp;PenaltyData[[#This Row],[ROW]])</f>
        <v>0</v>
      </c>
      <c r="I462" s="1220" t="str">
        <f ca="1">IFERROR(VLOOKUP(PenaltyData[[#This Row],[Penalty]],PenaltyNames91419[],2,FALSE),"")</f>
        <v/>
      </c>
      <c r="J462" s="1220" t="s">
        <v>779</v>
      </c>
      <c r="K462" s="1220">
        <f t="shared" si="29"/>
        <v>14</v>
      </c>
      <c r="L462" s="1220"/>
    </row>
    <row r="463" spans="1:12" x14ac:dyDescent="0.25">
      <c r="A463" s="1230">
        <f t="shared" si="30"/>
        <v>42105</v>
      </c>
      <c r="B463" s="1231">
        <f t="shared" si="31"/>
        <v>0.83333333333333337</v>
      </c>
      <c r="C463" s="1220">
        <v>2</v>
      </c>
      <c r="D463" s="1220" t="str">
        <f t="shared" si="28"/>
        <v>Harlots</v>
      </c>
      <c r="E463" s="1220">
        <f ca="1">VALUE(INDIRECT("Penalties!"&amp;PenaltyData[[#This Row],[REF]]&amp;(PenaltyData[[#This Row],[ROW]]+1)))</f>
        <v>11</v>
      </c>
      <c r="F463" s="1220" t="str">
        <f ca="1">IF(INDIRECT("Penalties!"&amp;$N$29&amp;PenaltyData[[#This Row],[ROW]],TRUE)=0, "",INDIRECT("Penalties!"&amp;$N$29&amp;PenaltyData[[#This Row],[ROW]],TRUE))</f>
        <v>2611</v>
      </c>
      <c r="G463" s="1220">
        <f ca="1">COUNTIFS($H$1:H463,"&lt;&gt;0", $F$1:F463,PenaltyData[[#This Row],[PlayerIdx]],$D$1:D463,PenaltyData[[#This Row],[Team]])</f>
        <v>3</v>
      </c>
      <c r="H463" s="1220" t="str">
        <f ca="1">INDIRECT("Penalties!"&amp;PenaltyData[[#This Row],[REF]]&amp;PenaltyData[[#This Row],[ROW]])</f>
        <v>C</v>
      </c>
      <c r="I463" s="1220" t="str">
        <f ca="1">IFERROR(VLOOKUP(PenaltyData[[#This Row],[Penalty]],PenaltyNames91419[],2,FALSE),"")</f>
        <v>Dir of Play</v>
      </c>
      <c r="J463" s="1220" t="s">
        <v>780</v>
      </c>
      <c r="K463" s="1220">
        <f t="shared" si="29"/>
        <v>14</v>
      </c>
      <c r="L463" s="1220"/>
    </row>
    <row r="464" spans="1:12" x14ac:dyDescent="0.25">
      <c r="A464" s="1230">
        <f t="shared" si="30"/>
        <v>42105</v>
      </c>
      <c r="B464" s="1231">
        <f t="shared" si="31"/>
        <v>0.83333333333333337</v>
      </c>
      <c r="C464" s="1220">
        <v>2</v>
      </c>
      <c r="D464" s="1220" t="str">
        <f t="shared" si="28"/>
        <v>Harlots</v>
      </c>
      <c r="E464" s="1220">
        <f ca="1">VALUE(INDIRECT("Penalties!"&amp;PenaltyData[[#This Row],[REF]]&amp;(PenaltyData[[#This Row],[ROW]]+1)))</f>
        <v>0</v>
      </c>
      <c r="F464" s="1220" t="str">
        <f ca="1">IF(INDIRECT("Penalties!"&amp;$N$29&amp;PenaltyData[[#This Row],[ROW]],TRUE)=0, "",INDIRECT("Penalties!"&amp;$N$29&amp;PenaltyData[[#This Row],[ROW]],TRUE))</f>
        <v>2611</v>
      </c>
      <c r="G464" s="1220">
        <f ca="1">COUNTIFS($H$1:H464,"&lt;&gt;0", $F$1:F464,PenaltyData[[#This Row],[PlayerIdx]],$D$1:D464,PenaltyData[[#This Row],[Team]])</f>
        <v>3</v>
      </c>
      <c r="H464" s="1220">
        <f ca="1">INDIRECT("Penalties!"&amp;PenaltyData[[#This Row],[REF]]&amp;PenaltyData[[#This Row],[ROW]])</f>
        <v>0</v>
      </c>
      <c r="I464" s="1220" t="str">
        <f ca="1">IFERROR(VLOOKUP(PenaltyData[[#This Row],[Penalty]],PenaltyNames91419[],2,FALSE),"")</f>
        <v/>
      </c>
      <c r="J464" s="1220" t="s">
        <v>781</v>
      </c>
      <c r="K464" s="1220">
        <f t="shared" si="29"/>
        <v>14</v>
      </c>
      <c r="L464" s="1220"/>
    </row>
    <row r="465" spans="1:12" x14ac:dyDescent="0.25">
      <c r="A465" s="1230">
        <f t="shared" si="30"/>
        <v>42105</v>
      </c>
      <c r="B465" s="1231">
        <f t="shared" si="31"/>
        <v>0.83333333333333337</v>
      </c>
      <c r="C465" s="1220">
        <v>2</v>
      </c>
      <c r="D465" s="1220" t="str">
        <f t="shared" si="28"/>
        <v>Harlots</v>
      </c>
      <c r="E465" s="1220">
        <f ca="1">VALUE(INDIRECT("Penalties!"&amp;PenaltyData[[#This Row],[REF]]&amp;(PenaltyData[[#This Row],[ROW]]+1)))</f>
        <v>0</v>
      </c>
      <c r="F465" s="1220" t="str">
        <f ca="1">IF(INDIRECT("Penalties!"&amp;$N$29&amp;PenaltyData[[#This Row],[ROW]],TRUE)=0, "",INDIRECT("Penalties!"&amp;$N$29&amp;PenaltyData[[#This Row],[ROW]],TRUE))</f>
        <v>2611</v>
      </c>
      <c r="G465" s="1220">
        <f ca="1">COUNTIFS($H$1:H465,"&lt;&gt;0", $F$1:F465,PenaltyData[[#This Row],[PlayerIdx]],$D$1:D465,PenaltyData[[#This Row],[Team]])</f>
        <v>3</v>
      </c>
      <c r="H465" s="1220">
        <f ca="1">INDIRECT("Penalties!"&amp;PenaltyData[[#This Row],[REF]]&amp;PenaltyData[[#This Row],[ROW]])</f>
        <v>0</v>
      </c>
      <c r="I465" s="1220" t="str">
        <f ca="1">IFERROR(VLOOKUP(PenaltyData[[#This Row],[Penalty]],PenaltyNames91419[],2,FALSE),"")</f>
        <v/>
      </c>
      <c r="J465" s="1220" t="s">
        <v>782</v>
      </c>
      <c r="K465" s="1220">
        <f t="shared" si="29"/>
        <v>14</v>
      </c>
      <c r="L465" s="1220"/>
    </row>
    <row r="466" spans="1:12" x14ac:dyDescent="0.25">
      <c r="A466" s="1230">
        <f t="shared" si="30"/>
        <v>42105</v>
      </c>
      <c r="B466" s="1231">
        <f t="shared" si="31"/>
        <v>0.83333333333333337</v>
      </c>
      <c r="C466" s="1220">
        <v>2</v>
      </c>
      <c r="D466" s="1220" t="str">
        <f t="shared" si="28"/>
        <v>Harlots</v>
      </c>
      <c r="E466" s="1220">
        <f ca="1">VALUE(INDIRECT("Penalties!"&amp;PenaltyData[[#This Row],[REF]]&amp;(PenaltyData[[#This Row],[ROW]]+1)))</f>
        <v>0</v>
      </c>
      <c r="F466" s="1220" t="str">
        <f ca="1">IF(INDIRECT("Penalties!"&amp;$N$29&amp;PenaltyData[[#This Row],[ROW]],TRUE)=0, "",INDIRECT("Penalties!"&amp;$N$29&amp;PenaltyData[[#This Row],[ROW]],TRUE))</f>
        <v>2611</v>
      </c>
      <c r="G466" s="1220">
        <f ca="1">COUNTIFS($H$1:H466,"&lt;&gt;0", $F$1:F466,PenaltyData[[#This Row],[PlayerIdx]],$D$1:D466,PenaltyData[[#This Row],[Team]])</f>
        <v>3</v>
      </c>
      <c r="H466" s="1220">
        <f ca="1">INDIRECT("Penalties!"&amp;PenaltyData[[#This Row],[REF]]&amp;PenaltyData[[#This Row],[ROW]])</f>
        <v>0</v>
      </c>
      <c r="I466" s="1220" t="str">
        <f ca="1">IFERROR(VLOOKUP(PenaltyData[[#This Row],[Penalty]],PenaltyNames91419[],2,FALSE),"")</f>
        <v/>
      </c>
      <c r="J466" s="1220" t="s">
        <v>783</v>
      </c>
      <c r="K466" s="1220">
        <f t="shared" si="29"/>
        <v>14</v>
      </c>
      <c r="L466" s="1220"/>
    </row>
    <row r="467" spans="1:12" x14ac:dyDescent="0.25">
      <c r="A467" s="1230">
        <f t="shared" si="30"/>
        <v>42105</v>
      </c>
      <c r="B467" s="1231">
        <f t="shared" si="31"/>
        <v>0.83333333333333337</v>
      </c>
      <c r="C467" s="1220">
        <v>2</v>
      </c>
      <c r="D467" s="1220" t="str">
        <f t="shared" si="28"/>
        <v>Harlots</v>
      </c>
      <c r="E467" s="1220">
        <f ca="1">VALUE(INDIRECT("Penalties!"&amp;PenaltyData[[#This Row],[REF]]&amp;(PenaltyData[[#This Row],[ROW]]+1)))</f>
        <v>0</v>
      </c>
      <c r="F467" s="1220" t="str">
        <f ca="1">IF(INDIRECT("Penalties!"&amp;$N$29&amp;PenaltyData[[#This Row],[ROW]],TRUE)=0, "",INDIRECT("Penalties!"&amp;$N$29&amp;PenaltyData[[#This Row],[ROW]],TRUE))</f>
        <v>2611</v>
      </c>
      <c r="G467" s="1220">
        <f ca="1">COUNTIFS($H$1:H467,"&lt;&gt;0", $F$1:F467,PenaltyData[[#This Row],[PlayerIdx]],$D$1:D467,PenaltyData[[#This Row],[Team]])</f>
        <v>3</v>
      </c>
      <c r="H467" s="1220">
        <f ca="1">INDIRECT("Penalties!"&amp;PenaltyData[[#This Row],[REF]]&amp;PenaltyData[[#This Row],[ROW]])</f>
        <v>0</v>
      </c>
      <c r="I467" s="1220" t="str">
        <f ca="1">IFERROR(VLOOKUP(PenaltyData[[#This Row],[Penalty]],PenaltyNames91419[],2,FALSE),"")</f>
        <v/>
      </c>
      <c r="J467" s="1220" t="s">
        <v>784</v>
      </c>
      <c r="K467" s="1220">
        <f t="shared" si="29"/>
        <v>14</v>
      </c>
      <c r="L467" s="1220"/>
    </row>
    <row r="468" spans="1:12" x14ac:dyDescent="0.25">
      <c r="A468" s="1230">
        <f t="shared" si="30"/>
        <v>42105</v>
      </c>
      <c r="B468" s="1231">
        <f t="shared" si="31"/>
        <v>0.83333333333333337</v>
      </c>
      <c r="C468" s="1220">
        <v>2</v>
      </c>
      <c r="D468" s="1220" t="str">
        <f t="shared" si="28"/>
        <v>Harlots</v>
      </c>
      <c r="E468" s="1220">
        <f ca="1">VALUE(INDIRECT("Penalties!"&amp;PenaltyData[[#This Row],[REF]]&amp;(PenaltyData[[#This Row],[ROW]]+1)))</f>
        <v>0</v>
      </c>
      <c r="F468" s="1220" t="str">
        <f ca="1">IF(INDIRECT("Penalties!"&amp;$N$29&amp;PenaltyData[[#This Row],[ROW]],TRUE)=0, "",INDIRECT("Penalties!"&amp;$N$29&amp;PenaltyData[[#This Row],[ROW]],TRUE))</f>
        <v>2611</v>
      </c>
      <c r="G468" s="1220">
        <f ca="1">COUNTIFS($H$1:H468,"&lt;&gt;0", $F$1:F468,PenaltyData[[#This Row],[PlayerIdx]],$D$1:D468,PenaltyData[[#This Row],[Team]])</f>
        <v>3</v>
      </c>
      <c r="H468" s="1220">
        <f ca="1">INDIRECT("Penalties!"&amp;PenaltyData[[#This Row],[REF]]&amp;PenaltyData[[#This Row],[ROW]])</f>
        <v>0</v>
      </c>
      <c r="I468" s="1220" t="str">
        <f ca="1">IFERROR(VLOOKUP(PenaltyData[[#This Row],[Penalty]],PenaltyNames91419[],2,FALSE),"")</f>
        <v/>
      </c>
      <c r="J468" s="1220" t="s">
        <v>785</v>
      </c>
      <c r="K468" s="1220">
        <f t="shared" si="29"/>
        <v>14</v>
      </c>
      <c r="L468" s="1220"/>
    </row>
    <row r="469" spans="1:12" x14ac:dyDescent="0.25">
      <c r="A469" s="1230">
        <f t="shared" si="30"/>
        <v>42105</v>
      </c>
      <c r="B469" s="1231">
        <f t="shared" si="31"/>
        <v>0.83333333333333337</v>
      </c>
      <c r="C469" s="1220">
        <v>2</v>
      </c>
      <c r="D469" s="1220" t="str">
        <f t="shared" si="28"/>
        <v>Harlots</v>
      </c>
      <c r="E469" s="1220">
        <f ca="1">VALUE(INDIRECT("Penalties!"&amp;PenaltyData[[#This Row],[REF]]&amp;(PenaltyData[[#This Row],[ROW]]+1)))</f>
        <v>0</v>
      </c>
      <c r="F469" s="1220" t="str">
        <f ca="1">IF(INDIRECT("Penalties!"&amp;$N$29&amp;PenaltyData[[#This Row],[ROW]],TRUE)=0, "",INDIRECT("Penalties!"&amp;$N$29&amp;PenaltyData[[#This Row],[ROW]],TRUE))</f>
        <v>2611</v>
      </c>
      <c r="G469" s="1220">
        <f ca="1">COUNTIFS($H$1:H469,"&lt;&gt;0", $F$1:F469,PenaltyData[[#This Row],[PlayerIdx]],$D$1:D469,PenaltyData[[#This Row],[Team]])</f>
        <v>3</v>
      </c>
      <c r="H469" s="1220">
        <f ca="1">INDIRECT("Penalties!"&amp;PenaltyData[[#This Row],[REF]]&amp;PenaltyData[[#This Row],[ROW]])</f>
        <v>0</v>
      </c>
      <c r="I469" s="1220" t="str">
        <f ca="1">IFERROR(VLOOKUP(PenaltyData[[#This Row],[Penalty]],PenaltyNames91419[],2,FALSE),"")</f>
        <v/>
      </c>
      <c r="J469" s="1220" t="s">
        <v>786</v>
      </c>
      <c r="K469" s="1220">
        <f t="shared" si="29"/>
        <v>14</v>
      </c>
      <c r="L469" s="1220"/>
    </row>
    <row r="470" spans="1:12" x14ac:dyDescent="0.25">
      <c r="A470" s="1230">
        <f t="shared" si="30"/>
        <v>42105</v>
      </c>
      <c r="B470" s="1231">
        <f t="shared" si="31"/>
        <v>0.83333333333333337</v>
      </c>
      <c r="C470" s="1220">
        <v>1</v>
      </c>
      <c r="D470" s="1220" t="str">
        <f t="shared" si="28"/>
        <v>Harlots</v>
      </c>
      <c r="E470" s="1220">
        <f ca="1">VALUE(INDIRECT("Penalties!"&amp;PenaltyData[[#This Row],[REF]]&amp;(PenaltyData[[#This Row],[ROW]]+1)))</f>
        <v>0</v>
      </c>
      <c r="F470" s="1220" t="str">
        <f ca="1">IF(INDIRECT("Penalties!"&amp;$N$29&amp;PenaltyData[[#This Row],[ROW]],TRUE)=0, "",INDIRECT("Penalties!"&amp;$N$29&amp;PenaltyData[[#This Row],[ROW]],TRUE))</f>
        <v>45</v>
      </c>
      <c r="G470" s="1220">
        <f ca="1">COUNTIFS($H$1:H470,"&lt;&gt;0", $F$1:F470,PenaltyData[[#This Row],[PlayerIdx]],$D$1:D470,PenaltyData[[#This Row],[Team]])</f>
        <v>0</v>
      </c>
      <c r="H470" s="1220">
        <f ca="1">INDIRECT("Penalties!"&amp;PenaltyData[[#This Row],[REF]]&amp;PenaltyData[[#This Row],[ROW]])</f>
        <v>0</v>
      </c>
      <c r="I470" s="1220" t="str">
        <f ca="1">IFERROR(VLOOKUP(PenaltyData[[#This Row],[Penalty]],PenaltyNames91419[],2,FALSE),"")</f>
        <v/>
      </c>
      <c r="J470" s="1220" t="s">
        <v>771</v>
      </c>
      <c r="K470" s="1220">
        <f t="shared" si="29"/>
        <v>16</v>
      </c>
      <c r="L470" s="1220"/>
    </row>
    <row r="471" spans="1:12" x14ac:dyDescent="0.25">
      <c r="A471" s="1230">
        <f t="shared" si="30"/>
        <v>42105</v>
      </c>
      <c r="B471" s="1231">
        <f t="shared" si="31"/>
        <v>0.83333333333333337</v>
      </c>
      <c r="C471" s="1220">
        <v>1</v>
      </c>
      <c r="D471" s="1220" t="str">
        <f t="shared" si="28"/>
        <v>Harlots</v>
      </c>
      <c r="E471" s="1220">
        <f ca="1">VALUE(INDIRECT("Penalties!"&amp;PenaltyData[[#This Row],[REF]]&amp;(PenaltyData[[#This Row],[ROW]]+1)))</f>
        <v>0</v>
      </c>
      <c r="F471" s="1220" t="str">
        <f ca="1">IF(INDIRECT("Penalties!"&amp;$N$29&amp;PenaltyData[[#This Row],[ROW]],TRUE)=0, "",INDIRECT("Penalties!"&amp;$N$29&amp;PenaltyData[[#This Row],[ROW]],TRUE))</f>
        <v>45</v>
      </c>
      <c r="G471" s="1220">
        <f ca="1">COUNTIFS($H$1:H471,"&lt;&gt;0", $F$1:F471,PenaltyData[[#This Row],[PlayerIdx]],$D$1:D471,PenaltyData[[#This Row],[Team]])</f>
        <v>0</v>
      </c>
      <c r="H471" s="1220">
        <f ca="1">INDIRECT("Penalties!"&amp;PenaltyData[[#This Row],[REF]]&amp;PenaltyData[[#This Row],[ROW]])</f>
        <v>0</v>
      </c>
      <c r="I471" s="1220" t="str">
        <f ca="1">IFERROR(VLOOKUP(PenaltyData[[#This Row],[Penalty]],PenaltyNames91419[],2,FALSE),"")</f>
        <v/>
      </c>
      <c r="J471" s="1220" t="s">
        <v>772</v>
      </c>
      <c r="K471" s="1220">
        <f t="shared" si="29"/>
        <v>16</v>
      </c>
      <c r="L471" s="1220"/>
    </row>
    <row r="472" spans="1:12" x14ac:dyDescent="0.25">
      <c r="A472" s="1230">
        <f t="shared" si="30"/>
        <v>42105</v>
      </c>
      <c r="B472" s="1231">
        <f t="shared" si="31"/>
        <v>0.83333333333333337</v>
      </c>
      <c r="C472" s="1220">
        <v>1</v>
      </c>
      <c r="D472" s="1220" t="str">
        <f t="shared" si="28"/>
        <v>Harlots</v>
      </c>
      <c r="E472" s="1220">
        <f ca="1">VALUE(INDIRECT("Penalties!"&amp;PenaltyData[[#This Row],[REF]]&amp;(PenaltyData[[#This Row],[ROW]]+1)))</f>
        <v>0</v>
      </c>
      <c r="F472" s="1220" t="str">
        <f ca="1">IF(INDIRECT("Penalties!"&amp;$N$29&amp;PenaltyData[[#This Row],[ROW]],TRUE)=0, "",INDIRECT("Penalties!"&amp;$N$29&amp;PenaltyData[[#This Row],[ROW]],TRUE))</f>
        <v>45</v>
      </c>
      <c r="G472" s="1220">
        <f ca="1">COUNTIFS($H$1:H472,"&lt;&gt;0", $F$1:F472,PenaltyData[[#This Row],[PlayerIdx]],$D$1:D472,PenaltyData[[#This Row],[Team]])</f>
        <v>0</v>
      </c>
      <c r="H472" s="1220">
        <f ca="1">INDIRECT("Penalties!"&amp;PenaltyData[[#This Row],[REF]]&amp;PenaltyData[[#This Row],[ROW]])</f>
        <v>0</v>
      </c>
      <c r="I472" s="1220" t="str">
        <f ca="1">IFERROR(VLOOKUP(PenaltyData[[#This Row],[Penalty]],PenaltyNames91419[],2,FALSE),"")</f>
        <v/>
      </c>
      <c r="J472" s="1220" t="s">
        <v>159</v>
      </c>
      <c r="K472" s="1220">
        <f t="shared" si="29"/>
        <v>16</v>
      </c>
      <c r="L472" s="1220"/>
    </row>
    <row r="473" spans="1:12" x14ac:dyDescent="0.25">
      <c r="A473" s="1230">
        <f t="shared" si="30"/>
        <v>42105</v>
      </c>
      <c r="B473" s="1231">
        <f t="shared" si="31"/>
        <v>0.83333333333333337</v>
      </c>
      <c r="C473" s="1220">
        <v>1</v>
      </c>
      <c r="D473" s="1220" t="str">
        <f t="shared" si="28"/>
        <v>Harlots</v>
      </c>
      <c r="E473" s="1220">
        <f ca="1">VALUE(INDIRECT("Penalties!"&amp;PenaltyData[[#This Row],[REF]]&amp;(PenaltyData[[#This Row],[ROW]]+1)))</f>
        <v>0</v>
      </c>
      <c r="F473" s="1220" t="str">
        <f ca="1">IF(INDIRECT("Penalties!"&amp;$N$29&amp;PenaltyData[[#This Row],[ROW]],TRUE)=0, "",INDIRECT("Penalties!"&amp;$N$29&amp;PenaltyData[[#This Row],[ROW]],TRUE))</f>
        <v>45</v>
      </c>
      <c r="G473" s="1220">
        <f ca="1">COUNTIFS($H$1:H473,"&lt;&gt;0", $F$1:F473,PenaltyData[[#This Row],[PlayerIdx]],$D$1:D473,PenaltyData[[#This Row],[Team]])</f>
        <v>0</v>
      </c>
      <c r="H473" s="1220">
        <f ca="1">INDIRECT("Penalties!"&amp;PenaltyData[[#This Row],[REF]]&amp;PenaltyData[[#This Row],[ROW]])</f>
        <v>0</v>
      </c>
      <c r="I473" s="1220" t="str">
        <f ca="1">IFERROR(VLOOKUP(PenaltyData[[#This Row],[Penalty]],PenaltyNames91419[],2,FALSE),"")</f>
        <v/>
      </c>
      <c r="J473" s="1220" t="s">
        <v>773</v>
      </c>
      <c r="K473" s="1220">
        <f t="shared" si="29"/>
        <v>16</v>
      </c>
      <c r="L473" s="1220"/>
    </row>
    <row r="474" spans="1:12" x14ac:dyDescent="0.25">
      <c r="A474" s="1230">
        <f t="shared" si="30"/>
        <v>42105</v>
      </c>
      <c r="B474" s="1231">
        <f t="shared" si="31"/>
        <v>0.83333333333333337</v>
      </c>
      <c r="C474" s="1220">
        <v>1</v>
      </c>
      <c r="D474" s="1220" t="str">
        <f t="shared" si="28"/>
        <v>Harlots</v>
      </c>
      <c r="E474" s="1220">
        <f ca="1">VALUE(INDIRECT("Penalties!"&amp;PenaltyData[[#This Row],[REF]]&amp;(PenaltyData[[#This Row],[ROW]]+1)))</f>
        <v>0</v>
      </c>
      <c r="F474" s="1220" t="str">
        <f ca="1">IF(INDIRECT("Penalties!"&amp;$N$29&amp;PenaltyData[[#This Row],[ROW]],TRUE)=0, "",INDIRECT("Penalties!"&amp;$N$29&amp;PenaltyData[[#This Row],[ROW]],TRUE))</f>
        <v>45</v>
      </c>
      <c r="G474" s="1220">
        <f ca="1">COUNTIFS($H$1:H474,"&lt;&gt;0", $F$1:F474,PenaltyData[[#This Row],[PlayerIdx]],$D$1:D474,PenaltyData[[#This Row],[Team]])</f>
        <v>0</v>
      </c>
      <c r="H474" s="1220">
        <f ca="1">INDIRECT("Penalties!"&amp;PenaltyData[[#This Row],[REF]]&amp;PenaltyData[[#This Row],[ROW]])</f>
        <v>0</v>
      </c>
      <c r="I474" s="1220" t="str">
        <f ca="1">IFERROR(VLOOKUP(PenaltyData[[#This Row],[Penalty]],PenaltyNames91419[],2,FALSE),"")</f>
        <v/>
      </c>
      <c r="J474" s="1220" t="s">
        <v>774</v>
      </c>
      <c r="K474" s="1220">
        <f t="shared" si="29"/>
        <v>16</v>
      </c>
      <c r="L474" s="1220"/>
    </row>
    <row r="475" spans="1:12" x14ac:dyDescent="0.25">
      <c r="A475" s="1230">
        <f t="shared" si="30"/>
        <v>42105</v>
      </c>
      <c r="B475" s="1231">
        <f t="shared" si="31"/>
        <v>0.83333333333333337</v>
      </c>
      <c r="C475" s="1220">
        <v>1</v>
      </c>
      <c r="D475" s="1220" t="str">
        <f t="shared" si="28"/>
        <v>Harlots</v>
      </c>
      <c r="E475" s="1220">
        <f ca="1">VALUE(INDIRECT("Penalties!"&amp;PenaltyData[[#This Row],[REF]]&amp;(PenaltyData[[#This Row],[ROW]]+1)))</f>
        <v>0</v>
      </c>
      <c r="F475" s="1220" t="str">
        <f ca="1">IF(INDIRECT("Penalties!"&amp;$N$29&amp;PenaltyData[[#This Row],[ROW]],TRUE)=0, "",INDIRECT("Penalties!"&amp;$N$29&amp;PenaltyData[[#This Row],[ROW]],TRUE))</f>
        <v>45</v>
      </c>
      <c r="G475" s="1220">
        <f ca="1">COUNTIFS($H$1:H475,"&lt;&gt;0", $F$1:F475,PenaltyData[[#This Row],[PlayerIdx]],$D$1:D475,PenaltyData[[#This Row],[Team]])</f>
        <v>0</v>
      </c>
      <c r="H475" s="1220">
        <f ca="1">INDIRECT("Penalties!"&amp;PenaltyData[[#This Row],[REF]]&amp;PenaltyData[[#This Row],[ROW]])</f>
        <v>0</v>
      </c>
      <c r="I475" s="1220" t="str">
        <f ca="1">IFERROR(VLOOKUP(PenaltyData[[#This Row],[Penalty]],PenaltyNames91419[],2,FALSE),"")</f>
        <v/>
      </c>
      <c r="J475" s="1220" t="s">
        <v>775</v>
      </c>
      <c r="K475" s="1220">
        <f t="shared" si="29"/>
        <v>16</v>
      </c>
      <c r="L475" s="1220"/>
    </row>
    <row r="476" spans="1:12" x14ac:dyDescent="0.25">
      <c r="A476" s="1230">
        <f t="shared" si="30"/>
        <v>42105</v>
      </c>
      <c r="B476" s="1231">
        <f t="shared" si="31"/>
        <v>0.83333333333333337</v>
      </c>
      <c r="C476" s="1220">
        <v>1</v>
      </c>
      <c r="D476" s="1220" t="str">
        <f t="shared" si="28"/>
        <v>Harlots</v>
      </c>
      <c r="E476" s="1220">
        <f ca="1">VALUE(INDIRECT("Penalties!"&amp;PenaltyData[[#This Row],[REF]]&amp;(PenaltyData[[#This Row],[ROW]]+1)))</f>
        <v>0</v>
      </c>
      <c r="F476" s="1220" t="str">
        <f ca="1">IF(INDIRECT("Penalties!"&amp;$N$29&amp;PenaltyData[[#This Row],[ROW]],TRUE)=0, "",INDIRECT("Penalties!"&amp;$N$29&amp;PenaltyData[[#This Row],[ROW]],TRUE))</f>
        <v>45</v>
      </c>
      <c r="G476" s="1220">
        <f ca="1">COUNTIFS($H$1:H476,"&lt;&gt;0", $F$1:F476,PenaltyData[[#This Row],[PlayerIdx]],$D$1:D476,PenaltyData[[#This Row],[Team]])</f>
        <v>0</v>
      </c>
      <c r="H476" s="1220">
        <f ca="1">INDIRECT("Penalties!"&amp;PenaltyData[[#This Row],[REF]]&amp;PenaltyData[[#This Row],[ROW]])</f>
        <v>0</v>
      </c>
      <c r="I476" s="1220" t="str">
        <f ca="1">IFERROR(VLOOKUP(PenaltyData[[#This Row],[Penalty]],PenaltyNames91419[],2,FALSE),"")</f>
        <v/>
      </c>
      <c r="J476" s="1220" t="s">
        <v>776</v>
      </c>
      <c r="K476" s="1220">
        <f t="shared" si="29"/>
        <v>16</v>
      </c>
      <c r="L476" s="1220"/>
    </row>
    <row r="477" spans="1:12" x14ac:dyDescent="0.25">
      <c r="A477" s="1230">
        <f t="shared" si="30"/>
        <v>42105</v>
      </c>
      <c r="B477" s="1231">
        <f t="shared" si="31"/>
        <v>0.83333333333333337</v>
      </c>
      <c r="C477" s="1220">
        <v>1</v>
      </c>
      <c r="D477" s="1220" t="str">
        <f t="shared" si="28"/>
        <v>Harlots</v>
      </c>
      <c r="E477" s="1220">
        <f ca="1">VALUE(INDIRECT("Penalties!"&amp;PenaltyData[[#This Row],[REF]]&amp;(PenaltyData[[#This Row],[ROW]]+1)))</f>
        <v>0</v>
      </c>
      <c r="F477" s="1220" t="str">
        <f ca="1">IF(INDIRECT("Penalties!"&amp;$N$29&amp;PenaltyData[[#This Row],[ROW]],TRUE)=0, "",INDIRECT("Penalties!"&amp;$N$29&amp;PenaltyData[[#This Row],[ROW]],TRUE))</f>
        <v>45</v>
      </c>
      <c r="G477" s="1220">
        <f ca="1">COUNTIFS($H$1:H477,"&lt;&gt;0", $F$1:F477,PenaltyData[[#This Row],[PlayerIdx]],$D$1:D477,PenaltyData[[#This Row],[Team]])</f>
        <v>0</v>
      </c>
      <c r="H477" s="1220">
        <f ca="1">INDIRECT("Penalties!"&amp;PenaltyData[[#This Row],[REF]]&amp;PenaltyData[[#This Row],[ROW]])</f>
        <v>0</v>
      </c>
      <c r="I477" s="1220" t="str">
        <f ca="1">IFERROR(VLOOKUP(PenaltyData[[#This Row],[Penalty]],PenaltyNames91419[],2,FALSE),"")</f>
        <v/>
      </c>
      <c r="J477" s="1220" t="s">
        <v>140</v>
      </c>
      <c r="K477" s="1220">
        <f t="shared" si="29"/>
        <v>16</v>
      </c>
      <c r="L477" s="1220"/>
    </row>
    <row r="478" spans="1:12" x14ac:dyDescent="0.25">
      <c r="A478" s="1230">
        <f t="shared" si="30"/>
        <v>42105</v>
      </c>
      <c r="B478" s="1231">
        <f t="shared" si="31"/>
        <v>0.83333333333333337</v>
      </c>
      <c r="C478" s="1220">
        <v>1</v>
      </c>
      <c r="D478" s="1220" t="str">
        <f t="shared" si="28"/>
        <v>Harlots</v>
      </c>
      <c r="E478" s="1220">
        <f ca="1">VALUE(INDIRECT("Penalties!"&amp;PenaltyData[[#This Row],[REF]]&amp;(PenaltyData[[#This Row],[ROW]]+1)))</f>
        <v>0</v>
      </c>
      <c r="F478" s="1220" t="str">
        <f ca="1">IF(INDIRECT("Penalties!"&amp;$N$29&amp;PenaltyData[[#This Row],[ROW]],TRUE)=0, "",INDIRECT("Penalties!"&amp;$N$29&amp;PenaltyData[[#This Row],[ROW]],TRUE))</f>
        <v>45</v>
      </c>
      <c r="G478" s="1220">
        <f ca="1">COUNTIFS($H$1:H478,"&lt;&gt;0", $F$1:F478,PenaltyData[[#This Row],[PlayerIdx]],$D$1:D478,PenaltyData[[#This Row],[Team]])</f>
        <v>0</v>
      </c>
      <c r="H478" s="1220">
        <f ca="1">INDIRECT("Penalties!"&amp;PenaltyData[[#This Row],[REF]]&amp;PenaltyData[[#This Row],[ROW]])</f>
        <v>0</v>
      </c>
      <c r="I478" s="1220" t="str">
        <f ca="1">IFERROR(VLOOKUP(PenaltyData[[#This Row],[Penalty]],PenaltyNames91419[],2,FALSE),"")</f>
        <v/>
      </c>
      <c r="J478" s="1220" t="s">
        <v>777</v>
      </c>
      <c r="K478" s="1220">
        <f t="shared" si="29"/>
        <v>16</v>
      </c>
      <c r="L478" s="1220"/>
    </row>
    <row r="479" spans="1:12" x14ac:dyDescent="0.25">
      <c r="A479" s="1230">
        <f t="shared" si="30"/>
        <v>42105</v>
      </c>
      <c r="B479" s="1231">
        <f t="shared" si="31"/>
        <v>0.83333333333333337</v>
      </c>
      <c r="C479" s="1220">
        <v>2</v>
      </c>
      <c r="D479" s="1220" t="str">
        <f t="shared" si="28"/>
        <v>Harlots</v>
      </c>
      <c r="E479" s="1220">
        <f ca="1">VALUE(INDIRECT("Penalties!"&amp;PenaltyData[[#This Row],[REF]]&amp;(PenaltyData[[#This Row],[ROW]]+1)))</f>
        <v>15</v>
      </c>
      <c r="F479" s="1220" t="str">
        <f ca="1">IF(INDIRECT("Penalties!"&amp;$N$29&amp;PenaltyData[[#This Row],[ROW]],TRUE)=0, "",INDIRECT("Penalties!"&amp;$N$29&amp;PenaltyData[[#This Row],[ROW]],TRUE))</f>
        <v>45</v>
      </c>
      <c r="G479" s="1220">
        <f ca="1">COUNTIFS($H$1:H479,"&lt;&gt;0", $F$1:F479,PenaltyData[[#This Row],[PlayerIdx]],$D$1:D479,PenaltyData[[#This Row],[Team]])</f>
        <v>1</v>
      </c>
      <c r="H479" s="1220" t="str">
        <f ca="1">INDIRECT("Penalties!"&amp;PenaltyData[[#This Row],[REF]]&amp;PenaltyData[[#This Row],[ROW]])</f>
        <v>X</v>
      </c>
      <c r="I479" s="1220" t="str">
        <f ca="1">IFERROR(VLOOKUP(PenaltyData[[#This Row],[Penalty]],PenaltyNames91419[],2,FALSE),"")</f>
        <v>Cut Track</v>
      </c>
      <c r="J479" s="1220" t="s">
        <v>778</v>
      </c>
      <c r="K479" s="1220">
        <f t="shared" si="29"/>
        <v>16</v>
      </c>
      <c r="L479" s="1220"/>
    </row>
    <row r="480" spans="1:12" x14ac:dyDescent="0.25">
      <c r="A480" s="1230">
        <f t="shared" si="30"/>
        <v>42105</v>
      </c>
      <c r="B480" s="1231">
        <f t="shared" si="31"/>
        <v>0.83333333333333337</v>
      </c>
      <c r="C480" s="1220">
        <v>2</v>
      </c>
      <c r="D480" s="1220" t="str">
        <f t="shared" si="28"/>
        <v>Harlots</v>
      </c>
      <c r="E480" s="1220">
        <f ca="1">VALUE(INDIRECT("Penalties!"&amp;PenaltyData[[#This Row],[REF]]&amp;(PenaltyData[[#This Row],[ROW]]+1)))</f>
        <v>0</v>
      </c>
      <c r="F480" s="1220" t="str">
        <f ca="1">IF(INDIRECT("Penalties!"&amp;$N$29&amp;PenaltyData[[#This Row],[ROW]],TRUE)=0, "",INDIRECT("Penalties!"&amp;$N$29&amp;PenaltyData[[#This Row],[ROW]],TRUE))</f>
        <v>45</v>
      </c>
      <c r="G480" s="1220">
        <f ca="1">COUNTIFS($H$1:H480,"&lt;&gt;0", $F$1:F480,PenaltyData[[#This Row],[PlayerIdx]],$D$1:D480,PenaltyData[[#This Row],[Team]])</f>
        <v>1</v>
      </c>
      <c r="H480" s="1220">
        <f ca="1">INDIRECT("Penalties!"&amp;PenaltyData[[#This Row],[REF]]&amp;PenaltyData[[#This Row],[ROW]])</f>
        <v>0</v>
      </c>
      <c r="I480" s="1220" t="str">
        <f ca="1">IFERROR(VLOOKUP(PenaltyData[[#This Row],[Penalty]],PenaltyNames91419[],2,FALSE),"")</f>
        <v/>
      </c>
      <c r="J480" s="1220" t="s">
        <v>779</v>
      </c>
      <c r="K480" s="1220">
        <f t="shared" si="29"/>
        <v>16</v>
      </c>
      <c r="L480" s="1220"/>
    </row>
    <row r="481" spans="1:12" x14ac:dyDescent="0.25">
      <c r="A481" s="1230">
        <f t="shared" si="30"/>
        <v>42105</v>
      </c>
      <c r="B481" s="1231">
        <f t="shared" si="31"/>
        <v>0.83333333333333337</v>
      </c>
      <c r="C481" s="1220">
        <v>2</v>
      </c>
      <c r="D481" s="1220" t="str">
        <f t="shared" si="28"/>
        <v>Harlots</v>
      </c>
      <c r="E481" s="1220">
        <f ca="1">VALUE(INDIRECT("Penalties!"&amp;PenaltyData[[#This Row],[REF]]&amp;(PenaltyData[[#This Row],[ROW]]+1)))</f>
        <v>0</v>
      </c>
      <c r="F481" s="1220" t="str">
        <f ca="1">IF(INDIRECT("Penalties!"&amp;$N$29&amp;PenaltyData[[#This Row],[ROW]],TRUE)=0, "",INDIRECT("Penalties!"&amp;$N$29&amp;PenaltyData[[#This Row],[ROW]],TRUE))</f>
        <v>45</v>
      </c>
      <c r="G481" s="1220">
        <f ca="1">COUNTIFS($H$1:H481,"&lt;&gt;0", $F$1:F481,PenaltyData[[#This Row],[PlayerIdx]],$D$1:D481,PenaltyData[[#This Row],[Team]])</f>
        <v>1</v>
      </c>
      <c r="H481" s="1220">
        <f ca="1">INDIRECT("Penalties!"&amp;PenaltyData[[#This Row],[REF]]&amp;PenaltyData[[#This Row],[ROW]])</f>
        <v>0</v>
      </c>
      <c r="I481" s="1220" t="str">
        <f ca="1">IFERROR(VLOOKUP(PenaltyData[[#This Row],[Penalty]],PenaltyNames91419[],2,FALSE),"")</f>
        <v/>
      </c>
      <c r="J481" s="1220" t="s">
        <v>780</v>
      </c>
      <c r="K481" s="1220">
        <f t="shared" si="29"/>
        <v>16</v>
      </c>
      <c r="L481" s="1220"/>
    </row>
    <row r="482" spans="1:12" x14ac:dyDescent="0.25">
      <c r="A482" s="1230">
        <f t="shared" si="30"/>
        <v>42105</v>
      </c>
      <c r="B482" s="1231">
        <f t="shared" si="31"/>
        <v>0.83333333333333337</v>
      </c>
      <c r="C482" s="1220">
        <v>2</v>
      </c>
      <c r="D482" s="1220" t="str">
        <f t="shared" si="28"/>
        <v>Harlots</v>
      </c>
      <c r="E482" s="1220">
        <f ca="1">VALUE(INDIRECT("Penalties!"&amp;PenaltyData[[#This Row],[REF]]&amp;(PenaltyData[[#This Row],[ROW]]+1)))</f>
        <v>0</v>
      </c>
      <c r="F482" s="1220" t="str">
        <f ca="1">IF(INDIRECT("Penalties!"&amp;$N$29&amp;PenaltyData[[#This Row],[ROW]],TRUE)=0, "",INDIRECT("Penalties!"&amp;$N$29&amp;PenaltyData[[#This Row],[ROW]],TRUE))</f>
        <v>45</v>
      </c>
      <c r="G482" s="1220">
        <f ca="1">COUNTIFS($H$1:H482,"&lt;&gt;0", $F$1:F482,PenaltyData[[#This Row],[PlayerIdx]],$D$1:D482,PenaltyData[[#This Row],[Team]])</f>
        <v>1</v>
      </c>
      <c r="H482" s="1220">
        <f ca="1">INDIRECT("Penalties!"&amp;PenaltyData[[#This Row],[REF]]&amp;PenaltyData[[#This Row],[ROW]])</f>
        <v>0</v>
      </c>
      <c r="I482" s="1220" t="str">
        <f ca="1">IFERROR(VLOOKUP(PenaltyData[[#This Row],[Penalty]],PenaltyNames91419[],2,FALSE),"")</f>
        <v/>
      </c>
      <c r="J482" s="1220" t="s">
        <v>781</v>
      </c>
      <c r="K482" s="1220">
        <f t="shared" si="29"/>
        <v>16</v>
      </c>
      <c r="L482" s="1220"/>
    </row>
    <row r="483" spans="1:12" x14ac:dyDescent="0.25">
      <c r="A483" s="1230">
        <f t="shared" si="30"/>
        <v>42105</v>
      </c>
      <c r="B483" s="1231">
        <f t="shared" si="31"/>
        <v>0.83333333333333337</v>
      </c>
      <c r="C483" s="1220">
        <v>2</v>
      </c>
      <c r="D483" s="1220" t="str">
        <f t="shared" si="28"/>
        <v>Harlots</v>
      </c>
      <c r="E483" s="1220">
        <f ca="1">VALUE(INDIRECT("Penalties!"&amp;PenaltyData[[#This Row],[REF]]&amp;(PenaltyData[[#This Row],[ROW]]+1)))</f>
        <v>0</v>
      </c>
      <c r="F483" s="1220" t="str">
        <f ca="1">IF(INDIRECT("Penalties!"&amp;$N$29&amp;PenaltyData[[#This Row],[ROW]],TRUE)=0, "",INDIRECT("Penalties!"&amp;$N$29&amp;PenaltyData[[#This Row],[ROW]],TRUE))</f>
        <v>45</v>
      </c>
      <c r="G483" s="1220">
        <f ca="1">COUNTIFS($H$1:H483,"&lt;&gt;0", $F$1:F483,PenaltyData[[#This Row],[PlayerIdx]],$D$1:D483,PenaltyData[[#This Row],[Team]])</f>
        <v>1</v>
      </c>
      <c r="H483" s="1220">
        <f ca="1">INDIRECT("Penalties!"&amp;PenaltyData[[#This Row],[REF]]&amp;PenaltyData[[#This Row],[ROW]])</f>
        <v>0</v>
      </c>
      <c r="I483" s="1220" t="str">
        <f ca="1">IFERROR(VLOOKUP(PenaltyData[[#This Row],[Penalty]],PenaltyNames91419[],2,FALSE),"")</f>
        <v/>
      </c>
      <c r="J483" s="1220" t="s">
        <v>782</v>
      </c>
      <c r="K483" s="1220">
        <f t="shared" si="29"/>
        <v>16</v>
      </c>
      <c r="L483" s="1220"/>
    </row>
    <row r="484" spans="1:12" x14ac:dyDescent="0.25">
      <c r="A484" s="1230">
        <f t="shared" si="30"/>
        <v>42105</v>
      </c>
      <c r="B484" s="1231">
        <f t="shared" si="31"/>
        <v>0.83333333333333337</v>
      </c>
      <c r="C484" s="1220">
        <v>2</v>
      </c>
      <c r="D484" s="1220" t="str">
        <f t="shared" si="28"/>
        <v>Harlots</v>
      </c>
      <c r="E484" s="1220">
        <f ca="1">VALUE(INDIRECT("Penalties!"&amp;PenaltyData[[#This Row],[REF]]&amp;(PenaltyData[[#This Row],[ROW]]+1)))</f>
        <v>0</v>
      </c>
      <c r="F484" s="1220" t="str">
        <f ca="1">IF(INDIRECT("Penalties!"&amp;$N$29&amp;PenaltyData[[#This Row],[ROW]],TRUE)=0, "",INDIRECT("Penalties!"&amp;$N$29&amp;PenaltyData[[#This Row],[ROW]],TRUE))</f>
        <v>45</v>
      </c>
      <c r="G484" s="1220">
        <f ca="1">COUNTIFS($H$1:H484,"&lt;&gt;0", $F$1:F484,PenaltyData[[#This Row],[PlayerIdx]],$D$1:D484,PenaltyData[[#This Row],[Team]])</f>
        <v>1</v>
      </c>
      <c r="H484" s="1220">
        <f ca="1">INDIRECT("Penalties!"&amp;PenaltyData[[#This Row],[REF]]&amp;PenaltyData[[#This Row],[ROW]])</f>
        <v>0</v>
      </c>
      <c r="I484" s="1220" t="str">
        <f ca="1">IFERROR(VLOOKUP(PenaltyData[[#This Row],[Penalty]],PenaltyNames91419[],2,FALSE),"")</f>
        <v/>
      </c>
      <c r="J484" s="1220" t="s">
        <v>783</v>
      </c>
      <c r="K484" s="1220">
        <f t="shared" si="29"/>
        <v>16</v>
      </c>
      <c r="L484" s="1220"/>
    </row>
    <row r="485" spans="1:12" x14ac:dyDescent="0.25">
      <c r="A485" s="1230">
        <f t="shared" si="30"/>
        <v>42105</v>
      </c>
      <c r="B485" s="1231">
        <f t="shared" si="31"/>
        <v>0.83333333333333337</v>
      </c>
      <c r="C485" s="1220">
        <v>2</v>
      </c>
      <c r="D485" s="1220" t="str">
        <f t="shared" si="28"/>
        <v>Harlots</v>
      </c>
      <c r="E485" s="1220">
        <f ca="1">VALUE(INDIRECT("Penalties!"&amp;PenaltyData[[#This Row],[REF]]&amp;(PenaltyData[[#This Row],[ROW]]+1)))</f>
        <v>0</v>
      </c>
      <c r="F485" s="1220" t="str">
        <f ca="1">IF(INDIRECT("Penalties!"&amp;$N$29&amp;PenaltyData[[#This Row],[ROW]],TRUE)=0, "",INDIRECT("Penalties!"&amp;$N$29&amp;PenaltyData[[#This Row],[ROW]],TRUE))</f>
        <v>45</v>
      </c>
      <c r="G485" s="1220">
        <f ca="1">COUNTIFS($H$1:H485,"&lt;&gt;0", $F$1:F485,PenaltyData[[#This Row],[PlayerIdx]],$D$1:D485,PenaltyData[[#This Row],[Team]])</f>
        <v>1</v>
      </c>
      <c r="H485" s="1220">
        <f ca="1">INDIRECT("Penalties!"&amp;PenaltyData[[#This Row],[REF]]&amp;PenaltyData[[#This Row],[ROW]])</f>
        <v>0</v>
      </c>
      <c r="I485" s="1220" t="str">
        <f ca="1">IFERROR(VLOOKUP(PenaltyData[[#This Row],[Penalty]],PenaltyNames91419[],2,FALSE),"")</f>
        <v/>
      </c>
      <c r="J485" s="1220" t="s">
        <v>784</v>
      </c>
      <c r="K485" s="1220">
        <f t="shared" si="29"/>
        <v>16</v>
      </c>
      <c r="L485" s="1220"/>
    </row>
    <row r="486" spans="1:12" x14ac:dyDescent="0.25">
      <c r="A486" s="1230">
        <f t="shared" si="30"/>
        <v>42105</v>
      </c>
      <c r="B486" s="1231">
        <f t="shared" si="31"/>
        <v>0.83333333333333337</v>
      </c>
      <c r="C486" s="1220">
        <v>2</v>
      </c>
      <c r="D486" s="1220" t="str">
        <f t="shared" si="28"/>
        <v>Harlots</v>
      </c>
      <c r="E486" s="1220">
        <f ca="1">VALUE(INDIRECT("Penalties!"&amp;PenaltyData[[#This Row],[REF]]&amp;(PenaltyData[[#This Row],[ROW]]+1)))</f>
        <v>0</v>
      </c>
      <c r="F486" s="1220" t="str">
        <f ca="1">IF(INDIRECT("Penalties!"&amp;$N$29&amp;PenaltyData[[#This Row],[ROW]],TRUE)=0, "",INDIRECT("Penalties!"&amp;$N$29&amp;PenaltyData[[#This Row],[ROW]],TRUE))</f>
        <v>45</v>
      </c>
      <c r="G486" s="1220">
        <f ca="1">COUNTIFS($H$1:H486,"&lt;&gt;0", $F$1:F486,PenaltyData[[#This Row],[PlayerIdx]],$D$1:D486,PenaltyData[[#This Row],[Team]])</f>
        <v>1</v>
      </c>
      <c r="H486" s="1220">
        <f ca="1">INDIRECT("Penalties!"&amp;PenaltyData[[#This Row],[REF]]&amp;PenaltyData[[#This Row],[ROW]])</f>
        <v>0</v>
      </c>
      <c r="I486" s="1220" t="str">
        <f ca="1">IFERROR(VLOOKUP(PenaltyData[[#This Row],[Penalty]],PenaltyNames91419[],2,FALSE),"")</f>
        <v/>
      </c>
      <c r="J486" s="1220" t="s">
        <v>785</v>
      </c>
      <c r="K486" s="1220">
        <f t="shared" si="29"/>
        <v>16</v>
      </c>
      <c r="L486" s="1220"/>
    </row>
    <row r="487" spans="1:12" x14ac:dyDescent="0.25">
      <c r="A487" s="1230">
        <f t="shared" si="30"/>
        <v>42105</v>
      </c>
      <c r="B487" s="1231">
        <f t="shared" si="31"/>
        <v>0.83333333333333337</v>
      </c>
      <c r="C487" s="1220">
        <v>2</v>
      </c>
      <c r="D487" s="1220" t="str">
        <f t="shared" si="28"/>
        <v>Harlots</v>
      </c>
      <c r="E487" s="1220">
        <f ca="1">VALUE(INDIRECT("Penalties!"&amp;PenaltyData[[#This Row],[REF]]&amp;(PenaltyData[[#This Row],[ROW]]+1)))</f>
        <v>0</v>
      </c>
      <c r="F487" s="1220" t="str">
        <f ca="1">IF(INDIRECT("Penalties!"&amp;$N$29&amp;PenaltyData[[#This Row],[ROW]],TRUE)=0, "",INDIRECT("Penalties!"&amp;$N$29&amp;PenaltyData[[#This Row],[ROW]],TRUE))</f>
        <v>45</v>
      </c>
      <c r="G487" s="1220">
        <f ca="1">COUNTIFS($H$1:H487,"&lt;&gt;0", $F$1:F487,PenaltyData[[#This Row],[PlayerIdx]],$D$1:D487,PenaltyData[[#This Row],[Team]])</f>
        <v>1</v>
      </c>
      <c r="H487" s="1220">
        <f ca="1">INDIRECT("Penalties!"&amp;PenaltyData[[#This Row],[REF]]&amp;PenaltyData[[#This Row],[ROW]])</f>
        <v>0</v>
      </c>
      <c r="I487" s="1220" t="str">
        <f ca="1">IFERROR(VLOOKUP(PenaltyData[[#This Row],[Penalty]],PenaltyNames91419[],2,FALSE),"")</f>
        <v/>
      </c>
      <c r="J487" s="1220" t="s">
        <v>786</v>
      </c>
      <c r="K487" s="1220">
        <f t="shared" si="29"/>
        <v>16</v>
      </c>
      <c r="L487" s="1220"/>
    </row>
    <row r="488" spans="1:12" x14ac:dyDescent="0.25">
      <c r="A488" s="1230">
        <f t="shared" si="30"/>
        <v>42105</v>
      </c>
      <c r="B488" s="1231">
        <f t="shared" si="31"/>
        <v>0.83333333333333337</v>
      </c>
      <c r="C488" s="1220">
        <v>1</v>
      </c>
      <c r="D488" s="1220" t="str">
        <f t="shared" si="28"/>
        <v>Harlots</v>
      </c>
      <c r="E488" s="1220">
        <f ca="1">VALUE(INDIRECT("Penalties!"&amp;PenaltyData[[#This Row],[REF]]&amp;(PenaltyData[[#This Row],[ROW]]+1)))</f>
        <v>0</v>
      </c>
      <c r="F488" s="1220" t="str">
        <f ca="1">IF(INDIRECT("Penalties!"&amp;$N$29&amp;PenaltyData[[#This Row],[ROW]],TRUE)=0, "",INDIRECT("Penalties!"&amp;$N$29&amp;PenaltyData[[#This Row],[ROW]],TRUE))</f>
        <v>451</v>
      </c>
      <c r="G488" s="1220">
        <f ca="1">COUNTIFS($H$1:H488,"&lt;&gt;0", $F$1:F488,PenaltyData[[#This Row],[PlayerIdx]],$D$1:D488,PenaltyData[[#This Row],[Team]])</f>
        <v>0</v>
      </c>
      <c r="H488" s="1220">
        <f ca="1">INDIRECT("Penalties!"&amp;PenaltyData[[#This Row],[REF]]&amp;PenaltyData[[#This Row],[ROW]])</f>
        <v>0</v>
      </c>
      <c r="I488" s="1220" t="str">
        <f ca="1">IFERROR(VLOOKUP(PenaltyData[[#This Row],[Penalty]],PenaltyNames91419[],2,FALSE),"")</f>
        <v/>
      </c>
      <c r="J488" s="1220" t="s">
        <v>771</v>
      </c>
      <c r="K488" s="1220">
        <f t="shared" si="29"/>
        <v>18</v>
      </c>
      <c r="L488" s="1220"/>
    </row>
    <row r="489" spans="1:12" x14ac:dyDescent="0.25">
      <c r="A489" s="1230">
        <f t="shared" si="30"/>
        <v>42105</v>
      </c>
      <c r="B489" s="1231">
        <f t="shared" si="31"/>
        <v>0.83333333333333337</v>
      </c>
      <c r="C489" s="1220">
        <v>1</v>
      </c>
      <c r="D489" s="1220" t="str">
        <f t="shared" si="28"/>
        <v>Harlots</v>
      </c>
      <c r="E489" s="1220">
        <f ca="1">VALUE(INDIRECT("Penalties!"&amp;PenaltyData[[#This Row],[REF]]&amp;(PenaltyData[[#This Row],[ROW]]+1)))</f>
        <v>0</v>
      </c>
      <c r="F489" s="1220" t="str">
        <f ca="1">IF(INDIRECT("Penalties!"&amp;$N$29&amp;PenaltyData[[#This Row],[ROW]],TRUE)=0, "",INDIRECT("Penalties!"&amp;$N$29&amp;PenaltyData[[#This Row],[ROW]],TRUE))</f>
        <v>451</v>
      </c>
      <c r="G489" s="1220">
        <f ca="1">COUNTIFS($H$1:H489,"&lt;&gt;0", $F$1:F489,PenaltyData[[#This Row],[PlayerIdx]],$D$1:D489,PenaltyData[[#This Row],[Team]])</f>
        <v>0</v>
      </c>
      <c r="H489" s="1220">
        <f ca="1">INDIRECT("Penalties!"&amp;PenaltyData[[#This Row],[REF]]&amp;PenaltyData[[#This Row],[ROW]])</f>
        <v>0</v>
      </c>
      <c r="I489" s="1220" t="str">
        <f ca="1">IFERROR(VLOOKUP(PenaltyData[[#This Row],[Penalty]],PenaltyNames91419[],2,FALSE),"")</f>
        <v/>
      </c>
      <c r="J489" s="1220" t="s">
        <v>772</v>
      </c>
      <c r="K489" s="1220">
        <f t="shared" si="29"/>
        <v>18</v>
      </c>
      <c r="L489" s="1220"/>
    </row>
    <row r="490" spans="1:12" x14ac:dyDescent="0.25">
      <c r="A490" s="1230">
        <f t="shared" si="30"/>
        <v>42105</v>
      </c>
      <c r="B490" s="1231">
        <f t="shared" si="31"/>
        <v>0.83333333333333337</v>
      </c>
      <c r="C490" s="1220">
        <v>1</v>
      </c>
      <c r="D490" s="1220" t="str">
        <f t="shared" si="28"/>
        <v>Harlots</v>
      </c>
      <c r="E490" s="1220">
        <f ca="1">VALUE(INDIRECT("Penalties!"&amp;PenaltyData[[#This Row],[REF]]&amp;(PenaltyData[[#This Row],[ROW]]+1)))</f>
        <v>0</v>
      </c>
      <c r="F490" s="1220" t="str">
        <f ca="1">IF(INDIRECT("Penalties!"&amp;$N$29&amp;PenaltyData[[#This Row],[ROW]],TRUE)=0, "",INDIRECT("Penalties!"&amp;$N$29&amp;PenaltyData[[#This Row],[ROW]],TRUE))</f>
        <v>451</v>
      </c>
      <c r="G490" s="1220">
        <f ca="1">COUNTIFS($H$1:H490,"&lt;&gt;0", $F$1:F490,PenaltyData[[#This Row],[PlayerIdx]],$D$1:D490,PenaltyData[[#This Row],[Team]])</f>
        <v>0</v>
      </c>
      <c r="H490" s="1220">
        <f ca="1">INDIRECT("Penalties!"&amp;PenaltyData[[#This Row],[REF]]&amp;PenaltyData[[#This Row],[ROW]])</f>
        <v>0</v>
      </c>
      <c r="I490" s="1220" t="str">
        <f ca="1">IFERROR(VLOOKUP(PenaltyData[[#This Row],[Penalty]],PenaltyNames91419[],2,FALSE),"")</f>
        <v/>
      </c>
      <c r="J490" s="1220" t="s">
        <v>159</v>
      </c>
      <c r="K490" s="1220">
        <f t="shared" si="29"/>
        <v>18</v>
      </c>
      <c r="L490" s="1220"/>
    </row>
    <row r="491" spans="1:12" x14ac:dyDescent="0.25">
      <c r="A491" s="1230">
        <f t="shared" si="30"/>
        <v>42105</v>
      </c>
      <c r="B491" s="1231">
        <f t="shared" si="31"/>
        <v>0.83333333333333337</v>
      </c>
      <c r="C491" s="1220">
        <v>1</v>
      </c>
      <c r="D491" s="1220" t="str">
        <f t="shared" ref="D491:D554" si="32">$O$3</f>
        <v>Harlots</v>
      </c>
      <c r="E491" s="1220">
        <f ca="1">VALUE(INDIRECT("Penalties!"&amp;PenaltyData[[#This Row],[REF]]&amp;(PenaltyData[[#This Row],[ROW]]+1)))</f>
        <v>0</v>
      </c>
      <c r="F491" s="1220" t="str">
        <f ca="1">IF(INDIRECT("Penalties!"&amp;$N$29&amp;PenaltyData[[#This Row],[ROW]],TRUE)=0, "",INDIRECT("Penalties!"&amp;$N$29&amp;PenaltyData[[#This Row],[ROW]],TRUE))</f>
        <v>451</v>
      </c>
      <c r="G491" s="1220">
        <f ca="1">COUNTIFS($H$1:H491,"&lt;&gt;0", $F$1:F491,PenaltyData[[#This Row],[PlayerIdx]],$D$1:D491,PenaltyData[[#This Row],[Team]])</f>
        <v>0</v>
      </c>
      <c r="H491" s="1220">
        <f ca="1">INDIRECT("Penalties!"&amp;PenaltyData[[#This Row],[REF]]&amp;PenaltyData[[#This Row],[ROW]])</f>
        <v>0</v>
      </c>
      <c r="I491" s="1220" t="str">
        <f ca="1">IFERROR(VLOOKUP(PenaltyData[[#This Row],[Penalty]],PenaltyNames91419[],2,FALSE),"")</f>
        <v/>
      </c>
      <c r="J491" s="1220" t="s">
        <v>773</v>
      </c>
      <c r="K491" s="1220">
        <f t="shared" si="29"/>
        <v>18</v>
      </c>
      <c r="L491" s="1220"/>
    </row>
    <row r="492" spans="1:12" x14ac:dyDescent="0.25">
      <c r="A492" s="1230">
        <f t="shared" si="30"/>
        <v>42105</v>
      </c>
      <c r="B492" s="1231">
        <f t="shared" si="31"/>
        <v>0.83333333333333337</v>
      </c>
      <c r="C492" s="1220">
        <v>1</v>
      </c>
      <c r="D492" s="1220" t="str">
        <f t="shared" si="32"/>
        <v>Harlots</v>
      </c>
      <c r="E492" s="1220">
        <f ca="1">VALUE(INDIRECT("Penalties!"&amp;PenaltyData[[#This Row],[REF]]&amp;(PenaltyData[[#This Row],[ROW]]+1)))</f>
        <v>0</v>
      </c>
      <c r="F492" s="1220" t="str">
        <f ca="1">IF(INDIRECT("Penalties!"&amp;$N$29&amp;PenaltyData[[#This Row],[ROW]],TRUE)=0, "",INDIRECT("Penalties!"&amp;$N$29&amp;PenaltyData[[#This Row],[ROW]],TRUE))</f>
        <v>451</v>
      </c>
      <c r="G492" s="1220">
        <f ca="1">COUNTIFS($H$1:H492,"&lt;&gt;0", $F$1:F492,PenaltyData[[#This Row],[PlayerIdx]],$D$1:D492,PenaltyData[[#This Row],[Team]])</f>
        <v>0</v>
      </c>
      <c r="H492" s="1220">
        <f ca="1">INDIRECT("Penalties!"&amp;PenaltyData[[#This Row],[REF]]&amp;PenaltyData[[#This Row],[ROW]])</f>
        <v>0</v>
      </c>
      <c r="I492" s="1220" t="str">
        <f ca="1">IFERROR(VLOOKUP(PenaltyData[[#This Row],[Penalty]],PenaltyNames91419[],2,FALSE),"")</f>
        <v/>
      </c>
      <c r="J492" s="1220" t="s">
        <v>774</v>
      </c>
      <c r="K492" s="1220">
        <f t="shared" si="29"/>
        <v>18</v>
      </c>
      <c r="L492" s="1220"/>
    </row>
    <row r="493" spans="1:12" x14ac:dyDescent="0.25">
      <c r="A493" s="1230">
        <f t="shared" si="30"/>
        <v>42105</v>
      </c>
      <c r="B493" s="1231">
        <f t="shared" si="31"/>
        <v>0.83333333333333337</v>
      </c>
      <c r="C493" s="1220">
        <v>1</v>
      </c>
      <c r="D493" s="1220" t="str">
        <f t="shared" si="32"/>
        <v>Harlots</v>
      </c>
      <c r="E493" s="1220">
        <f ca="1">VALUE(INDIRECT("Penalties!"&amp;PenaltyData[[#This Row],[REF]]&amp;(PenaltyData[[#This Row],[ROW]]+1)))</f>
        <v>0</v>
      </c>
      <c r="F493" s="1220" t="str">
        <f ca="1">IF(INDIRECT("Penalties!"&amp;$N$29&amp;PenaltyData[[#This Row],[ROW]],TRUE)=0, "",INDIRECT("Penalties!"&amp;$N$29&amp;PenaltyData[[#This Row],[ROW]],TRUE))</f>
        <v>451</v>
      </c>
      <c r="G493" s="1220">
        <f ca="1">COUNTIFS($H$1:H493,"&lt;&gt;0", $F$1:F493,PenaltyData[[#This Row],[PlayerIdx]],$D$1:D493,PenaltyData[[#This Row],[Team]])</f>
        <v>0</v>
      </c>
      <c r="H493" s="1220">
        <f ca="1">INDIRECT("Penalties!"&amp;PenaltyData[[#This Row],[REF]]&amp;PenaltyData[[#This Row],[ROW]])</f>
        <v>0</v>
      </c>
      <c r="I493" s="1220" t="str">
        <f ca="1">IFERROR(VLOOKUP(PenaltyData[[#This Row],[Penalty]],PenaltyNames91419[],2,FALSE),"")</f>
        <v/>
      </c>
      <c r="J493" s="1220" t="s">
        <v>775</v>
      </c>
      <c r="K493" s="1220">
        <f t="shared" si="29"/>
        <v>18</v>
      </c>
      <c r="L493" s="1220"/>
    </row>
    <row r="494" spans="1:12" x14ac:dyDescent="0.25">
      <c r="A494" s="1230">
        <f t="shared" si="30"/>
        <v>42105</v>
      </c>
      <c r="B494" s="1231">
        <f t="shared" si="31"/>
        <v>0.83333333333333337</v>
      </c>
      <c r="C494" s="1220">
        <v>1</v>
      </c>
      <c r="D494" s="1220" t="str">
        <f t="shared" si="32"/>
        <v>Harlots</v>
      </c>
      <c r="E494" s="1220">
        <f ca="1">VALUE(INDIRECT("Penalties!"&amp;PenaltyData[[#This Row],[REF]]&amp;(PenaltyData[[#This Row],[ROW]]+1)))</f>
        <v>0</v>
      </c>
      <c r="F494" s="1220" t="str">
        <f ca="1">IF(INDIRECT("Penalties!"&amp;$N$29&amp;PenaltyData[[#This Row],[ROW]],TRUE)=0, "",INDIRECT("Penalties!"&amp;$N$29&amp;PenaltyData[[#This Row],[ROW]],TRUE))</f>
        <v>451</v>
      </c>
      <c r="G494" s="1220">
        <f ca="1">COUNTIFS($H$1:H494,"&lt;&gt;0", $F$1:F494,PenaltyData[[#This Row],[PlayerIdx]],$D$1:D494,PenaltyData[[#This Row],[Team]])</f>
        <v>0</v>
      </c>
      <c r="H494" s="1220">
        <f ca="1">INDIRECT("Penalties!"&amp;PenaltyData[[#This Row],[REF]]&amp;PenaltyData[[#This Row],[ROW]])</f>
        <v>0</v>
      </c>
      <c r="I494" s="1220" t="str">
        <f ca="1">IFERROR(VLOOKUP(PenaltyData[[#This Row],[Penalty]],PenaltyNames91419[],2,FALSE),"")</f>
        <v/>
      </c>
      <c r="J494" s="1220" t="s">
        <v>776</v>
      </c>
      <c r="K494" s="1220">
        <f t="shared" si="29"/>
        <v>18</v>
      </c>
      <c r="L494" s="1220"/>
    </row>
    <row r="495" spans="1:12" x14ac:dyDescent="0.25">
      <c r="A495" s="1230">
        <f t="shared" si="30"/>
        <v>42105</v>
      </c>
      <c r="B495" s="1231">
        <f t="shared" si="31"/>
        <v>0.83333333333333337</v>
      </c>
      <c r="C495" s="1220">
        <v>1</v>
      </c>
      <c r="D495" s="1220" t="str">
        <f t="shared" si="32"/>
        <v>Harlots</v>
      </c>
      <c r="E495" s="1220">
        <f ca="1">VALUE(INDIRECT("Penalties!"&amp;PenaltyData[[#This Row],[REF]]&amp;(PenaltyData[[#This Row],[ROW]]+1)))</f>
        <v>0</v>
      </c>
      <c r="F495" s="1220" t="str">
        <f ca="1">IF(INDIRECT("Penalties!"&amp;$N$29&amp;PenaltyData[[#This Row],[ROW]],TRUE)=0, "",INDIRECT("Penalties!"&amp;$N$29&amp;PenaltyData[[#This Row],[ROW]],TRUE))</f>
        <v>451</v>
      </c>
      <c r="G495" s="1220">
        <f ca="1">COUNTIFS($H$1:H495,"&lt;&gt;0", $F$1:F495,PenaltyData[[#This Row],[PlayerIdx]],$D$1:D495,PenaltyData[[#This Row],[Team]])</f>
        <v>0</v>
      </c>
      <c r="H495" s="1220">
        <f ca="1">INDIRECT("Penalties!"&amp;PenaltyData[[#This Row],[REF]]&amp;PenaltyData[[#This Row],[ROW]])</f>
        <v>0</v>
      </c>
      <c r="I495" s="1220" t="str">
        <f ca="1">IFERROR(VLOOKUP(PenaltyData[[#This Row],[Penalty]],PenaltyNames91419[],2,FALSE),"")</f>
        <v/>
      </c>
      <c r="J495" s="1220" t="s">
        <v>140</v>
      </c>
      <c r="K495" s="1220">
        <f t="shared" si="29"/>
        <v>18</v>
      </c>
      <c r="L495" s="1220"/>
    </row>
    <row r="496" spans="1:12" x14ac:dyDescent="0.25">
      <c r="A496" s="1230">
        <f t="shared" si="30"/>
        <v>42105</v>
      </c>
      <c r="B496" s="1231">
        <f t="shared" si="31"/>
        <v>0.83333333333333337</v>
      </c>
      <c r="C496" s="1220">
        <v>1</v>
      </c>
      <c r="D496" s="1220" t="str">
        <f t="shared" si="32"/>
        <v>Harlots</v>
      </c>
      <c r="E496" s="1220">
        <f ca="1">VALUE(INDIRECT("Penalties!"&amp;PenaltyData[[#This Row],[REF]]&amp;(PenaltyData[[#This Row],[ROW]]+1)))</f>
        <v>0</v>
      </c>
      <c r="F496" s="1220" t="str">
        <f ca="1">IF(INDIRECT("Penalties!"&amp;$N$29&amp;PenaltyData[[#This Row],[ROW]],TRUE)=0, "",INDIRECT("Penalties!"&amp;$N$29&amp;PenaltyData[[#This Row],[ROW]],TRUE))</f>
        <v>451</v>
      </c>
      <c r="G496" s="1220">
        <f ca="1">COUNTIFS($H$1:H496,"&lt;&gt;0", $F$1:F496,PenaltyData[[#This Row],[PlayerIdx]],$D$1:D496,PenaltyData[[#This Row],[Team]])</f>
        <v>0</v>
      </c>
      <c r="H496" s="1220">
        <f ca="1">INDIRECT("Penalties!"&amp;PenaltyData[[#This Row],[REF]]&amp;PenaltyData[[#This Row],[ROW]])</f>
        <v>0</v>
      </c>
      <c r="I496" s="1220" t="str">
        <f ca="1">IFERROR(VLOOKUP(PenaltyData[[#This Row],[Penalty]],PenaltyNames91419[],2,FALSE),"")</f>
        <v/>
      </c>
      <c r="J496" s="1220" t="s">
        <v>777</v>
      </c>
      <c r="K496" s="1220">
        <f t="shared" si="29"/>
        <v>18</v>
      </c>
      <c r="L496" s="1220"/>
    </row>
    <row r="497" spans="1:12" x14ac:dyDescent="0.25">
      <c r="A497" s="1230">
        <f t="shared" si="30"/>
        <v>42105</v>
      </c>
      <c r="B497" s="1231">
        <f t="shared" si="31"/>
        <v>0.83333333333333337</v>
      </c>
      <c r="C497" s="1220">
        <v>2</v>
      </c>
      <c r="D497" s="1220" t="str">
        <f t="shared" si="32"/>
        <v>Harlots</v>
      </c>
      <c r="E497" s="1220">
        <f ca="1">VALUE(INDIRECT("Penalties!"&amp;PenaltyData[[#This Row],[REF]]&amp;(PenaltyData[[#This Row],[ROW]]+1)))</f>
        <v>13</v>
      </c>
      <c r="F497" s="1220" t="str">
        <f ca="1">IF(INDIRECT("Penalties!"&amp;$N$29&amp;PenaltyData[[#This Row],[ROW]],TRUE)=0, "",INDIRECT("Penalties!"&amp;$N$29&amp;PenaltyData[[#This Row],[ROW]],TRUE))</f>
        <v>451</v>
      </c>
      <c r="G497" s="1220">
        <f ca="1">COUNTIFS($H$1:H497,"&lt;&gt;0", $F$1:F497,PenaltyData[[#This Row],[PlayerIdx]],$D$1:D497,PenaltyData[[#This Row],[Team]])</f>
        <v>1</v>
      </c>
      <c r="H497" s="1220" t="str">
        <f ca="1">INDIRECT("Penalties!"&amp;PenaltyData[[#This Row],[REF]]&amp;PenaltyData[[#This Row],[ROW]])</f>
        <v>P</v>
      </c>
      <c r="I497" s="1220" t="str">
        <f ca="1">IFERROR(VLOOKUP(PenaltyData[[#This Row],[Penalty]],PenaltyNames91419[],2,FALSE),"")</f>
        <v>Out of Play</v>
      </c>
      <c r="J497" s="1220" t="s">
        <v>778</v>
      </c>
      <c r="K497" s="1220">
        <f t="shared" si="29"/>
        <v>18</v>
      </c>
      <c r="L497" s="1220"/>
    </row>
    <row r="498" spans="1:12" x14ac:dyDescent="0.25">
      <c r="A498" s="1230">
        <f t="shared" si="30"/>
        <v>42105</v>
      </c>
      <c r="B498" s="1231">
        <f t="shared" si="31"/>
        <v>0.83333333333333337</v>
      </c>
      <c r="C498" s="1220">
        <v>2</v>
      </c>
      <c r="D498" s="1220" t="str">
        <f t="shared" si="32"/>
        <v>Harlots</v>
      </c>
      <c r="E498" s="1220">
        <f ca="1">VALUE(INDIRECT("Penalties!"&amp;PenaltyData[[#This Row],[REF]]&amp;(PenaltyData[[#This Row],[ROW]]+1)))</f>
        <v>0</v>
      </c>
      <c r="F498" s="1220" t="str">
        <f ca="1">IF(INDIRECT("Penalties!"&amp;$N$29&amp;PenaltyData[[#This Row],[ROW]],TRUE)=0, "",INDIRECT("Penalties!"&amp;$N$29&amp;PenaltyData[[#This Row],[ROW]],TRUE))</f>
        <v>451</v>
      </c>
      <c r="G498" s="1220">
        <f ca="1">COUNTIFS($H$1:H498,"&lt;&gt;0", $F$1:F498,PenaltyData[[#This Row],[PlayerIdx]],$D$1:D498,PenaltyData[[#This Row],[Team]])</f>
        <v>1</v>
      </c>
      <c r="H498" s="1220">
        <f ca="1">INDIRECT("Penalties!"&amp;PenaltyData[[#This Row],[REF]]&amp;PenaltyData[[#This Row],[ROW]])</f>
        <v>0</v>
      </c>
      <c r="I498" s="1220" t="str">
        <f ca="1">IFERROR(VLOOKUP(PenaltyData[[#This Row],[Penalty]],PenaltyNames91419[],2,FALSE),"")</f>
        <v/>
      </c>
      <c r="J498" s="1220" t="s">
        <v>779</v>
      </c>
      <c r="K498" s="1220">
        <f t="shared" si="29"/>
        <v>18</v>
      </c>
      <c r="L498" s="1220"/>
    </row>
    <row r="499" spans="1:12" x14ac:dyDescent="0.25">
      <c r="A499" s="1230">
        <f t="shared" si="30"/>
        <v>42105</v>
      </c>
      <c r="B499" s="1231">
        <f t="shared" si="31"/>
        <v>0.83333333333333337</v>
      </c>
      <c r="C499" s="1220">
        <v>2</v>
      </c>
      <c r="D499" s="1220" t="str">
        <f t="shared" si="32"/>
        <v>Harlots</v>
      </c>
      <c r="E499" s="1220">
        <f ca="1">VALUE(INDIRECT("Penalties!"&amp;PenaltyData[[#This Row],[REF]]&amp;(PenaltyData[[#This Row],[ROW]]+1)))</f>
        <v>0</v>
      </c>
      <c r="F499" s="1220" t="str">
        <f ca="1">IF(INDIRECT("Penalties!"&amp;$N$29&amp;PenaltyData[[#This Row],[ROW]],TRUE)=0, "",INDIRECT("Penalties!"&amp;$N$29&amp;PenaltyData[[#This Row],[ROW]],TRUE))</f>
        <v>451</v>
      </c>
      <c r="G499" s="1220">
        <f ca="1">COUNTIFS($H$1:H499,"&lt;&gt;0", $F$1:F499,PenaltyData[[#This Row],[PlayerIdx]],$D$1:D499,PenaltyData[[#This Row],[Team]])</f>
        <v>1</v>
      </c>
      <c r="H499" s="1220">
        <f ca="1">INDIRECT("Penalties!"&amp;PenaltyData[[#This Row],[REF]]&amp;PenaltyData[[#This Row],[ROW]])</f>
        <v>0</v>
      </c>
      <c r="I499" s="1220" t="str">
        <f ca="1">IFERROR(VLOOKUP(PenaltyData[[#This Row],[Penalty]],PenaltyNames91419[],2,FALSE),"")</f>
        <v/>
      </c>
      <c r="J499" s="1220" t="s">
        <v>780</v>
      </c>
      <c r="K499" s="1220">
        <f t="shared" si="29"/>
        <v>18</v>
      </c>
      <c r="L499" s="1220"/>
    </row>
    <row r="500" spans="1:12" x14ac:dyDescent="0.25">
      <c r="A500" s="1230">
        <f t="shared" si="30"/>
        <v>42105</v>
      </c>
      <c r="B500" s="1231">
        <f t="shared" si="31"/>
        <v>0.83333333333333337</v>
      </c>
      <c r="C500" s="1220">
        <v>2</v>
      </c>
      <c r="D500" s="1220" t="str">
        <f t="shared" si="32"/>
        <v>Harlots</v>
      </c>
      <c r="E500" s="1220">
        <f ca="1">VALUE(INDIRECT("Penalties!"&amp;PenaltyData[[#This Row],[REF]]&amp;(PenaltyData[[#This Row],[ROW]]+1)))</f>
        <v>0</v>
      </c>
      <c r="F500" s="1220" t="str">
        <f ca="1">IF(INDIRECT("Penalties!"&amp;$N$29&amp;PenaltyData[[#This Row],[ROW]],TRUE)=0, "",INDIRECT("Penalties!"&amp;$N$29&amp;PenaltyData[[#This Row],[ROW]],TRUE))</f>
        <v>451</v>
      </c>
      <c r="G500" s="1220">
        <f ca="1">COUNTIFS($H$1:H500,"&lt;&gt;0", $F$1:F500,PenaltyData[[#This Row],[PlayerIdx]],$D$1:D500,PenaltyData[[#This Row],[Team]])</f>
        <v>1</v>
      </c>
      <c r="H500" s="1220">
        <f ca="1">INDIRECT("Penalties!"&amp;PenaltyData[[#This Row],[REF]]&amp;PenaltyData[[#This Row],[ROW]])</f>
        <v>0</v>
      </c>
      <c r="I500" s="1220" t="str">
        <f ca="1">IFERROR(VLOOKUP(PenaltyData[[#This Row],[Penalty]],PenaltyNames91419[],2,FALSE),"")</f>
        <v/>
      </c>
      <c r="J500" s="1220" t="s">
        <v>781</v>
      </c>
      <c r="K500" s="1220">
        <f t="shared" si="29"/>
        <v>18</v>
      </c>
      <c r="L500" s="1220"/>
    </row>
    <row r="501" spans="1:12" x14ac:dyDescent="0.25">
      <c r="A501" s="1230">
        <f t="shared" si="30"/>
        <v>42105</v>
      </c>
      <c r="B501" s="1231">
        <f t="shared" si="31"/>
        <v>0.83333333333333337</v>
      </c>
      <c r="C501" s="1220">
        <v>2</v>
      </c>
      <c r="D501" s="1220" t="str">
        <f t="shared" si="32"/>
        <v>Harlots</v>
      </c>
      <c r="E501" s="1220">
        <f ca="1">VALUE(INDIRECT("Penalties!"&amp;PenaltyData[[#This Row],[REF]]&amp;(PenaltyData[[#This Row],[ROW]]+1)))</f>
        <v>0</v>
      </c>
      <c r="F501" s="1220" t="str">
        <f ca="1">IF(INDIRECT("Penalties!"&amp;$N$29&amp;PenaltyData[[#This Row],[ROW]],TRUE)=0, "",INDIRECT("Penalties!"&amp;$N$29&amp;PenaltyData[[#This Row],[ROW]],TRUE))</f>
        <v>451</v>
      </c>
      <c r="G501" s="1220">
        <f ca="1">COUNTIFS($H$1:H501,"&lt;&gt;0", $F$1:F501,PenaltyData[[#This Row],[PlayerIdx]],$D$1:D501,PenaltyData[[#This Row],[Team]])</f>
        <v>1</v>
      </c>
      <c r="H501" s="1220">
        <f ca="1">INDIRECT("Penalties!"&amp;PenaltyData[[#This Row],[REF]]&amp;PenaltyData[[#This Row],[ROW]])</f>
        <v>0</v>
      </c>
      <c r="I501" s="1220" t="str">
        <f ca="1">IFERROR(VLOOKUP(PenaltyData[[#This Row],[Penalty]],PenaltyNames91419[],2,FALSE),"")</f>
        <v/>
      </c>
      <c r="J501" s="1220" t="s">
        <v>782</v>
      </c>
      <c r="K501" s="1220">
        <f t="shared" si="29"/>
        <v>18</v>
      </c>
      <c r="L501" s="1220"/>
    </row>
    <row r="502" spans="1:12" x14ac:dyDescent="0.25">
      <c r="A502" s="1230">
        <f t="shared" si="30"/>
        <v>42105</v>
      </c>
      <c r="B502" s="1231">
        <f t="shared" si="31"/>
        <v>0.83333333333333337</v>
      </c>
      <c r="C502" s="1220">
        <v>2</v>
      </c>
      <c r="D502" s="1220" t="str">
        <f t="shared" si="32"/>
        <v>Harlots</v>
      </c>
      <c r="E502" s="1220">
        <f ca="1">VALUE(INDIRECT("Penalties!"&amp;PenaltyData[[#This Row],[REF]]&amp;(PenaltyData[[#This Row],[ROW]]+1)))</f>
        <v>0</v>
      </c>
      <c r="F502" s="1220" t="str">
        <f ca="1">IF(INDIRECT("Penalties!"&amp;$N$29&amp;PenaltyData[[#This Row],[ROW]],TRUE)=0, "",INDIRECT("Penalties!"&amp;$N$29&amp;PenaltyData[[#This Row],[ROW]],TRUE))</f>
        <v>451</v>
      </c>
      <c r="G502" s="1220">
        <f ca="1">COUNTIFS($H$1:H502,"&lt;&gt;0", $F$1:F502,PenaltyData[[#This Row],[PlayerIdx]],$D$1:D502,PenaltyData[[#This Row],[Team]])</f>
        <v>1</v>
      </c>
      <c r="H502" s="1220">
        <f ca="1">INDIRECT("Penalties!"&amp;PenaltyData[[#This Row],[REF]]&amp;PenaltyData[[#This Row],[ROW]])</f>
        <v>0</v>
      </c>
      <c r="I502" s="1220" t="str">
        <f ca="1">IFERROR(VLOOKUP(PenaltyData[[#This Row],[Penalty]],PenaltyNames91419[],2,FALSE),"")</f>
        <v/>
      </c>
      <c r="J502" s="1220" t="s">
        <v>783</v>
      </c>
      <c r="K502" s="1220">
        <f t="shared" si="29"/>
        <v>18</v>
      </c>
      <c r="L502" s="1220"/>
    </row>
    <row r="503" spans="1:12" x14ac:dyDescent="0.25">
      <c r="A503" s="1230">
        <f t="shared" si="30"/>
        <v>42105</v>
      </c>
      <c r="B503" s="1231">
        <f t="shared" si="31"/>
        <v>0.83333333333333337</v>
      </c>
      <c r="C503" s="1220">
        <v>2</v>
      </c>
      <c r="D503" s="1220" t="str">
        <f t="shared" si="32"/>
        <v>Harlots</v>
      </c>
      <c r="E503" s="1220">
        <f ca="1">VALUE(INDIRECT("Penalties!"&amp;PenaltyData[[#This Row],[REF]]&amp;(PenaltyData[[#This Row],[ROW]]+1)))</f>
        <v>0</v>
      </c>
      <c r="F503" s="1220" t="str">
        <f ca="1">IF(INDIRECT("Penalties!"&amp;$N$29&amp;PenaltyData[[#This Row],[ROW]],TRUE)=0, "",INDIRECT("Penalties!"&amp;$N$29&amp;PenaltyData[[#This Row],[ROW]],TRUE))</f>
        <v>451</v>
      </c>
      <c r="G503" s="1220">
        <f ca="1">COUNTIFS($H$1:H503,"&lt;&gt;0", $F$1:F503,PenaltyData[[#This Row],[PlayerIdx]],$D$1:D503,PenaltyData[[#This Row],[Team]])</f>
        <v>1</v>
      </c>
      <c r="H503" s="1220">
        <f ca="1">INDIRECT("Penalties!"&amp;PenaltyData[[#This Row],[REF]]&amp;PenaltyData[[#This Row],[ROW]])</f>
        <v>0</v>
      </c>
      <c r="I503" s="1220" t="str">
        <f ca="1">IFERROR(VLOOKUP(PenaltyData[[#This Row],[Penalty]],PenaltyNames91419[],2,FALSE),"")</f>
        <v/>
      </c>
      <c r="J503" s="1220" t="s">
        <v>784</v>
      </c>
      <c r="K503" s="1220">
        <f t="shared" si="29"/>
        <v>18</v>
      </c>
      <c r="L503" s="1220"/>
    </row>
    <row r="504" spans="1:12" x14ac:dyDescent="0.25">
      <c r="A504" s="1230">
        <f t="shared" si="30"/>
        <v>42105</v>
      </c>
      <c r="B504" s="1231">
        <f t="shared" si="31"/>
        <v>0.83333333333333337</v>
      </c>
      <c r="C504" s="1220">
        <v>2</v>
      </c>
      <c r="D504" s="1220" t="str">
        <f t="shared" si="32"/>
        <v>Harlots</v>
      </c>
      <c r="E504" s="1220">
        <f ca="1">VALUE(INDIRECT("Penalties!"&amp;PenaltyData[[#This Row],[REF]]&amp;(PenaltyData[[#This Row],[ROW]]+1)))</f>
        <v>0</v>
      </c>
      <c r="F504" s="1220" t="str">
        <f ca="1">IF(INDIRECT("Penalties!"&amp;$N$29&amp;PenaltyData[[#This Row],[ROW]],TRUE)=0, "",INDIRECT("Penalties!"&amp;$N$29&amp;PenaltyData[[#This Row],[ROW]],TRUE))</f>
        <v>451</v>
      </c>
      <c r="G504" s="1220">
        <f ca="1">COUNTIFS($H$1:H504,"&lt;&gt;0", $F$1:F504,PenaltyData[[#This Row],[PlayerIdx]],$D$1:D504,PenaltyData[[#This Row],[Team]])</f>
        <v>1</v>
      </c>
      <c r="H504" s="1220">
        <f ca="1">INDIRECT("Penalties!"&amp;PenaltyData[[#This Row],[REF]]&amp;PenaltyData[[#This Row],[ROW]])</f>
        <v>0</v>
      </c>
      <c r="I504" s="1220" t="str">
        <f ca="1">IFERROR(VLOOKUP(PenaltyData[[#This Row],[Penalty]],PenaltyNames91419[],2,FALSE),"")</f>
        <v/>
      </c>
      <c r="J504" s="1220" t="s">
        <v>785</v>
      </c>
      <c r="K504" s="1220">
        <f t="shared" si="29"/>
        <v>18</v>
      </c>
      <c r="L504" s="1220"/>
    </row>
    <row r="505" spans="1:12" x14ac:dyDescent="0.25">
      <c r="A505" s="1230">
        <f t="shared" si="30"/>
        <v>42105</v>
      </c>
      <c r="B505" s="1231">
        <f t="shared" si="31"/>
        <v>0.83333333333333337</v>
      </c>
      <c r="C505" s="1220">
        <v>2</v>
      </c>
      <c r="D505" s="1220" t="str">
        <f t="shared" si="32"/>
        <v>Harlots</v>
      </c>
      <c r="E505" s="1220">
        <f ca="1">VALUE(INDIRECT("Penalties!"&amp;PenaltyData[[#This Row],[REF]]&amp;(PenaltyData[[#This Row],[ROW]]+1)))</f>
        <v>0</v>
      </c>
      <c r="F505" s="1220" t="str">
        <f ca="1">IF(INDIRECT("Penalties!"&amp;$N$29&amp;PenaltyData[[#This Row],[ROW]],TRUE)=0, "",INDIRECT("Penalties!"&amp;$N$29&amp;PenaltyData[[#This Row],[ROW]],TRUE))</f>
        <v>451</v>
      </c>
      <c r="G505" s="1220">
        <f ca="1">COUNTIFS($H$1:H505,"&lt;&gt;0", $F$1:F505,PenaltyData[[#This Row],[PlayerIdx]],$D$1:D505,PenaltyData[[#This Row],[Team]])</f>
        <v>1</v>
      </c>
      <c r="H505" s="1220">
        <f ca="1">INDIRECT("Penalties!"&amp;PenaltyData[[#This Row],[REF]]&amp;PenaltyData[[#This Row],[ROW]])</f>
        <v>0</v>
      </c>
      <c r="I505" s="1220" t="str">
        <f ca="1">IFERROR(VLOOKUP(PenaltyData[[#This Row],[Penalty]],PenaltyNames91419[],2,FALSE),"")</f>
        <v/>
      </c>
      <c r="J505" s="1220" t="s">
        <v>786</v>
      </c>
      <c r="K505" s="1220">
        <f t="shared" si="29"/>
        <v>18</v>
      </c>
      <c r="L505" s="1220"/>
    </row>
    <row r="506" spans="1:12" x14ac:dyDescent="0.25">
      <c r="A506" s="1230">
        <f t="shared" si="30"/>
        <v>42105</v>
      </c>
      <c r="B506" s="1231">
        <f t="shared" si="31"/>
        <v>0.83333333333333337</v>
      </c>
      <c r="C506" s="1220">
        <v>1</v>
      </c>
      <c r="D506" s="1220" t="str">
        <f t="shared" si="32"/>
        <v>Harlots</v>
      </c>
      <c r="E506" s="1220">
        <f ca="1">VALUE(INDIRECT("Penalties!"&amp;PenaltyData[[#This Row],[REF]]&amp;(PenaltyData[[#This Row],[ROW]]+1)))</f>
        <v>13</v>
      </c>
      <c r="F506" s="1220" t="str">
        <f ca="1">IF(INDIRECT("Penalties!"&amp;$N$29&amp;PenaltyData[[#This Row],[ROW]],TRUE)=0, "",INDIRECT("Penalties!"&amp;$N$29&amp;PenaltyData[[#This Row],[ROW]],TRUE))</f>
        <v>511</v>
      </c>
      <c r="G506" s="1220">
        <f ca="1">COUNTIFS($H$1:H506,"&lt;&gt;0", $F$1:F506,PenaltyData[[#This Row],[PlayerIdx]],$D$1:D506,PenaltyData[[#This Row],[Team]])</f>
        <v>1</v>
      </c>
      <c r="H506" s="1220" t="str">
        <f ca="1">INDIRECT("Penalties!"&amp;PenaltyData[[#This Row],[REF]]&amp;PenaltyData[[#This Row],[ROW]])</f>
        <v>X</v>
      </c>
      <c r="I506" s="1220" t="str">
        <f ca="1">IFERROR(VLOOKUP(PenaltyData[[#This Row],[Penalty]],PenaltyNames91419[],2,FALSE),"")</f>
        <v>Cut Track</v>
      </c>
      <c r="J506" s="1220" t="s">
        <v>771</v>
      </c>
      <c r="K506" s="1220">
        <f t="shared" si="29"/>
        <v>20</v>
      </c>
      <c r="L506" s="1220"/>
    </row>
    <row r="507" spans="1:12" x14ac:dyDescent="0.25">
      <c r="A507" s="1230">
        <f t="shared" si="30"/>
        <v>42105</v>
      </c>
      <c r="B507" s="1231">
        <f t="shared" si="31"/>
        <v>0.83333333333333337</v>
      </c>
      <c r="C507" s="1220">
        <v>1</v>
      </c>
      <c r="D507" s="1220" t="str">
        <f t="shared" si="32"/>
        <v>Harlots</v>
      </c>
      <c r="E507" s="1220">
        <f ca="1">VALUE(INDIRECT("Penalties!"&amp;PenaltyData[[#This Row],[REF]]&amp;(PenaltyData[[#This Row],[ROW]]+1)))</f>
        <v>0</v>
      </c>
      <c r="F507" s="1220" t="str">
        <f ca="1">IF(INDIRECT("Penalties!"&amp;$N$29&amp;PenaltyData[[#This Row],[ROW]],TRUE)=0, "",INDIRECT("Penalties!"&amp;$N$29&amp;PenaltyData[[#This Row],[ROW]],TRUE))</f>
        <v>511</v>
      </c>
      <c r="G507" s="1220">
        <f ca="1">COUNTIFS($H$1:H507,"&lt;&gt;0", $F$1:F507,PenaltyData[[#This Row],[PlayerIdx]],$D$1:D507,PenaltyData[[#This Row],[Team]])</f>
        <v>1</v>
      </c>
      <c r="H507" s="1220">
        <f ca="1">INDIRECT("Penalties!"&amp;PenaltyData[[#This Row],[REF]]&amp;PenaltyData[[#This Row],[ROW]])</f>
        <v>0</v>
      </c>
      <c r="I507" s="1220" t="str">
        <f ca="1">IFERROR(VLOOKUP(PenaltyData[[#This Row],[Penalty]],PenaltyNames91419[],2,FALSE),"")</f>
        <v/>
      </c>
      <c r="J507" s="1220" t="s">
        <v>772</v>
      </c>
      <c r="K507" s="1220">
        <f t="shared" si="29"/>
        <v>20</v>
      </c>
      <c r="L507" s="1220"/>
    </row>
    <row r="508" spans="1:12" x14ac:dyDescent="0.25">
      <c r="A508" s="1230">
        <f t="shared" si="30"/>
        <v>42105</v>
      </c>
      <c r="B508" s="1231">
        <f t="shared" si="31"/>
        <v>0.83333333333333337</v>
      </c>
      <c r="C508" s="1220">
        <v>1</v>
      </c>
      <c r="D508" s="1220" t="str">
        <f t="shared" si="32"/>
        <v>Harlots</v>
      </c>
      <c r="E508" s="1220">
        <f ca="1">VALUE(INDIRECT("Penalties!"&amp;PenaltyData[[#This Row],[REF]]&amp;(PenaltyData[[#This Row],[ROW]]+1)))</f>
        <v>0</v>
      </c>
      <c r="F508" s="1220" t="str">
        <f ca="1">IF(INDIRECT("Penalties!"&amp;$N$29&amp;PenaltyData[[#This Row],[ROW]],TRUE)=0, "",INDIRECT("Penalties!"&amp;$N$29&amp;PenaltyData[[#This Row],[ROW]],TRUE))</f>
        <v>511</v>
      </c>
      <c r="G508" s="1220">
        <f ca="1">COUNTIFS($H$1:H508,"&lt;&gt;0", $F$1:F508,PenaltyData[[#This Row],[PlayerIdx]],$D$1:D508,PenaltyData[[#This Row],[Team]])</f>
        <v>1</v>
      </c>
      <c r="H508" s="1220">
        <f ca="1">INDIRECT("Penalties!"&amp;PenaltyData[[#This Row],[REF]]&amp;PenaltyData[[#This Row],[ROW]])</f>
        <v>0</v>
      </c>
      <c r="I508" s="1220" t="str">
        <f ca="1">IFERROR(VLOOKUP(PenaltyData[[#This Row],[Penalty]],PenaltyNames91419[],2,FALSE),"")</f>
        <v/>
      </c>
      <c r="J508" s="1220" t="s">
        <v>159</v>
      </c>
      <c r="K508" s="1220">
        <f t="shared" si="29"/>
        <v>20</v>
      </c>
      <c r="L508" s="1220"/>
    </row>
    <row r="509" spans="1:12" x14ac:dyDescent="0.25">
      <c r="A509" s="1230">
        <f t="shared" si="30"/>
        <v>42105</v>
      </c>
      <c r="B509" s="1231">
        <f t="shared" si="31"/>
        <v>0.83333333333333337</v>
      </c>
      <c r="C509" s="1220">
        <v>1</v>
      </c>
      <c r="D509" s="1220" t="str">
        <f t="shared" si="32"/>
        <v>Harlots</v>
      </c>
      <c r="E509" s="1220">
        <f ca="1">VALUE(INDIRECT("Penalties!"&amp;PenaltyData[[#This Row],[REF]]&amp;(PenaltyData[[#This Row],[ROW]]+1)))</f>
        <v>0</v>
      </c>
      <c r="F509" s="1220" t="str">
        <f ca="1">IF(INDIRECT("Penalties!"&amp;$N$29&amp;PenaltyData[[#This Row],[ROW]],TRUE)=0, "",INDIRECT("Penalties!"&amp;$N$29&amp;PenaltyData[[#This Row],[ROW]],TRUE))</f>
        <v>511</v>
      </c>
      <c r="G509" s="1220">
        <f ca="1">COUNTIFS($H$1:H509,"&lt;&gt;0", $F$1:F509,PenaltyData[[#This Row],[PlayerIdx]],$D$1:D509,PenaltyData[[#This Row],[Team]])</f>
        <v>1</v>
      </c>
      <c r="H509" s="1220">
        <f ca="1">INDIRECT("Penalties!"&amp;PenaltyData[[#This Row],[REF]]&amp;PenaltyData[[#This Row],[ROW]])</f>
        <v>0</v>
      </c>
      <c r="I509" s="1220" t="str">
        <f ca="1">IFERROR(VLOOKUP(PenaltyData[[#This Row],[Penalty]],PenaltyNames91419[],2,FALSE),"")</f>
        <v/>
      </c>
      <c r="J509" s="1220" t="s">
        <v>773</v>
      </c>
      <c r="K509" s="1220">
        <f t="shared" ref="K509:K572" si="33">K491+2</f>
        <v>20</v>
      </c>
      <c r="L509" s="1220"/>
    </row>
    <row r="510" spans="1:12" x14ac:dyDescent="0.25">
      <c r="A510" s="1230">
        <f t="shared" si="30"/>
        <v>42105</v>
      </c>
      <c r="B510" s="1231">
        <f t="shared" si="31"/>
        <v>0.83333333333333337</v>
      </c>
      <c r="C510" s="1220">
        <v>1</v>
      </c>
      <c r="D510" s="1220" t="str">
        <f t="shared" si="32"/>
        <v>Harlots</v>
      </c>
      <c r="E510" s="1220">
        <f ca="1">VALUE(INDIRECT("Penalties!"&amp;PenaltyData[[#This Row],[REF]]&amp;(PenaltyData[[#This Row],[ROW]]+1)))</f>
        <v>0</v>
      </c>
      <c r="F510" s="1220" t="str">
        <f ca="1">IF(INDIRECT("Penalties!"&amp;$N$29&amp;PenaltyData[[#This Row],[ROW]],TRUE)=0, "",INDIRECT("Penalties!"&amp;$N$29&amp;PenaltyData[[#This Row],[ROW]],TRUE))</f>
        <v>511</v>
      </c>
      <c r="G510" s="1220">
        <f ca="1">COUNTIFS($H$1:H510,"&lt;&gt;0", $F$1:F510,PenaltyData[[#This Row],[PlayerIdx]],$D$1:D510,PenaltyData[[#This Row],[Team]])</f>
        <v>1</v>
      </c>
      <c r="H510" s="1220">
        <f ca="1">INDIRECT("Penalties!"&amp;PenaltyData[[#This Row],[REF]]&amp;PenaltyData[[#This Row],[ROW]])</f>
        <v>0</v>
      </c>
      <c r="I510" s="1220" t="str">
        <f ca="1">IFERROR(VLOOKUP(PenaltyData[[#This Row],[Penalty]],PenaltyNames91419[],2,FALSE),"")</f>
        <v/>
      </c>
      <c r="J510" s="1220" t="s">
        <v>774</v>
      </c>
      <c r="K510" s="1220">
        <f t="shared" si="33"/>
        <v>20</v>
      </c>
      <c r="L510" s="1220"/>
    </row>
    <row r="511" spans="1:12" x14ac:dyDescent="0.25">
      <c r="A511" s="1230">
        <f t="shared" si="30"/>
        <v>42105</v>
      </c>
      <c r="B511" s="1231">
        <f t="shared" si="31"/>
        <v>0.83333333333333337</v>
      </c>
      <c r="C511" s="1220">
        <v>1</v>
      </c>
      <c r="D511" s="1220" t="str">
        <f t="shared" si="32"/>
        <v>Harlots</v>
      </c>
      <c r="E511" s="1220">
        <f ca="1">VALUE(INDIRECT("Penalties!"&amp;PenaltyData[[#This Row],[REF]]&amp;(PenaltyData[[#This Row],[ROW]]+1)))</f>
        <v>0</v>
      </c>
      <c r="F511" s="1220" t="str">
        <f ca="1">IF(INDIRECT("Penalties!"&amp;$N$29&amp;PenaltyData[[#This Row],[ROW]],TRUE)=0, "",INDIRECT("Penalties!"&amp;$N$29&amp;PenaltyData[[#This Row],[ROW]],TRUE))</f>
        <v>511</v>
      </c>
      <c r="G511" s="1220">
        <f ca="1">COUNTIFS($H$1:H511,"&lt;&gt;0", $F$1:F511,PenaltyData[[#This Row],[PlayerIdx]],$D$1:D511,PenaltyData[[#This Row],[Team]])</f>
        <v>1</v>
      </c>
      <c r="H511" s="1220">
        <f ca="1">INDIRECT("Penalties!"&amp;PenaltyData[[#This Row],[REF]]&amp;PenaltyData[[#This Row],[ROW]])</f>
        <v>0</v>
      </c>
      <c r="I511" s="1220" t="str">
        <f ca="1">IFERROR(VLOOKUP(PenaltyData[[#This Row],[Penalty]],PenaltyNames91419[],2,FALSE),"")</f>
        <v/>
      </c>
      <c r="J511" s="1220" t="s">
        <v>775</v>
      </c>
      <c r="K511" s="1220">
        <f t="shared" si="33"/>
        <v>20</v>
      </c>
      <c r="L511" s="1220"/>
    </row>
    <row r="512" spans="1:12" x14ac:dyDescent="0.25">
      <c r="A512" s="1230">
        <f t="shared" si="30"/>
        <v>42105</v>
      </c>
      <c r="B512" s="1231">
        <f t="shared" si="31"/>
        <v>0.83333333333333337</v>
      </c>
      <c r="C512" s="1220">
        <v>1</v>
      </c>
      <c r="D512" s="1220" t="str">
        <f t="shared" si="32"/>
        <v>Harlots</v>
      </c>
      <c r="E512" s="1220">
        <f ca="1">VALUE(INDIRECT("Penalties!"&amp;PenaltyData[[#This Row],[REF]]&amp;(PenaltyData[[#This Row],[ROW]]+1)))</f>
        <v>0</v>
      </c>
      <c r="F512" s="1220" t="str">
        <f ca="1">IF(INDIRECT("Penalties!"&amp;$N$29&amp;PenaltyData[[#This Row],[ROW]],TRUE)=0, "",INDIRECT("Penalties!"&amp;$N$29&amp;PenaltyData[[#This Row],[ROW]],TRUE))</f>
        <v>511</v>
      </c>
      <c r="G512" s="1220">
        <f ca="1">COUNTIFS($H$1:H512,"&lt;&gt;0", $F$1:F512,PenaltyData[[#This Row],[PlayerIdx]],$D$1:D512,PenaltyData[[#This Row],[Team]])</f>
        <v>1</v>
      </c>
      <c r="H512" s="1220">
        <f ca="1">INDIRECT("Penalties!"&amp;PenaltyData[[#This Row],[REF]]&amp;PenaltyData[[#This Row],[ROW]])</f>
        <v>0</v>
      </c>
      <c r="I512" s="1220" t="str">
        <f ca="1">IFERROR(VLOOKUP(PenaltyData[[#This Row],[Penalty]],PenaltyNames91419[],2,FALSE),"")</f>
        <v/>
      </c>
      <c r="J512" s="1220" t="s">
        <v>776</v>
      </c>
      <c r="K512" s="1220">
        <f t="shared" si="33"/>
        <v>20</v>
      </c>
      <c r="L512" s="1220"/>
    </row>
    <row r="513" spans="1:12" x14ac:dyDescent="0.25">
      <c r="A513" s="1230">
        <f t="shared" si="30"/>
        <v>42105</v>
      </c>
      <c r="B513" s="1231">
        <f t="shared" si="31"/>
        <v>0.83333333333333337</v>
      </c>
      <c r="C513" s="1220">
        <v>1</v>
      </c>
      <c r="D513" s="1220" t="str">
        <f t="shared" si="32"/>
        <v>Harlots</v>
      </c>
      <c r="E513" s="1220">
        <f ca="1">VALUE(INDIRECT("Penalties!"&amp;PenaltyData[[#This Row],[REF]]&amp;(PenaltyData[[#This Row],[ROW]]+1)))</f>
        <v>0</v>
      </c>
      <c r="F513" s="1220" t="str">
        <f ca="1">IF(INDIRECT("Penalties!"&amp;$N$29&amp;PenaltyData[[#This Row],[ROW]],TRUE)=0, "",INDIRECT("Penalties!"&amp;$N$29&amp;PenaltyData[[#This Row],[ROW]],TRUE))</f>
        <v>511</v>
      </c>
      <c r="G513" s="1220">
        <f ca="1">COUNTIFS($H$1:H513,"&lt;&gt;0", $F$1:F513,PenaltyData[[#This Row],[PlayerIdx]],$D$1:D513,PenaltyData[[#This Row],[Team]])</f>
        <v>1</v>
      </c>
      <c r="H513" s="1220">
        <f ca="1">INDIRECT("Penalties!"&amp;PenaltyData[[#This Row],[REF]]&amp;PenaltyData[[#This Row],[ROW]])</f>
        <v>0</v>
      </c>
      <c r="I513" s="1220" t="str">
        <f ca="1">IFERROR(VLOOKUP(PenaltyData[[#This Row],[Penalty]],PenaltyNames91419[],2,FALSE),"")</f>
        <v/>
      </c>
      <c r="J513" s="1220" t="s">
        <v>140</v>
      </c>
      <c r="K513" s="1220">
        <f t="shared" si="33"/>
        <v>20</v>
      </c>
      <c r="L513" s="1220"/>
    </row>
    <row r="514" spans="1:12" x14ac:dyDescent="0.25">
      <c r="A514" s="1230">
        <f t="shared" si="30"/>
        <v>42105</v>
      </c>
      <c r="B514" s="1231">
        <f t="shared" si="31"/>
        <v>0.83333333333333337</v>
      </c>
      <c r="C514" s="1220">
        <v>1</v>
      </c>
      <c r="D514" s="1220" t="str">
        <f t="shared" si="32"/>
        <v>Harlots</v>
      </c>
      <c r="E514" s="1220">
        <f ca="1">VALUE(INDIRECT("Penalties!"&amp;PenaltyData[[#This Row],[REF]]&amp;(PenaltyData[[#This Row],[ROW]]+1)))</f>
        <v>0</v>
      </c>
      <c r="F514" s="1220" t="str">
        <f ca="1">IF(INDIRECT("Penalties!"&amp;$N$29&amp;PenaltyData[[#This Row],[ROW]],TRUE)=0, "",INDIRECT("Penalties!"&amp;$N$29&amp;PenaltyData[[#This Row],[ROW]],TRUE))</f>
        <v>511</v>
      </c>
      <c r="G514" s="1220">
        <f ca="1">COUNTIFS($H$1:H514,"&lt;&gt;0", $F$1:F514,PenaltyData[[#This Row],[PlayerIdx]],$D$1:D514,PenaltyData[[#This Row],[Team]])</f>
        <v>1</v>
      </c>
      <c r="H514" s="1220">
        <f ca="1">INDIRECT("Penalties!"&amp;PenaltyData[[#This Row],[REF]]&amp;PenaltyData[[#This Row],[ROW]])</f>
        <v>0</v>
      </c>
      <c r="I514" s="1220" t="str">
        <f ca="1">IFERROR(VLOOKUP(PenaltyData[[#This Row],[Penalty]],PenaltyNames91419[],2,FALSE),"")</f>
        <v/>
      </c>
      <c r="J514" s="1220" t="s">
        <v>777</v>
      </c>
      <c r="K514" s="1220">
        <f t="shared" si="33"/>
        <v>20</v>
      </c>
      <c r="L514" s="1220"/>
    </row>
    <row r="515" spans="1:12" x14ac:dyDescent="0.25">
      <c r="A515" s="1230">
        <f t="shared" si="30"/>
        <v>42105</v>
      </c>
      <c r="B515" s="1231">
        <f t="shared" si="31"/>
        <v>0.83333333333333337</v>
      </c>
      <c r="C515" s="1220">
        <v>2</v>
      </c>
      <c r="D515" s="1220" t="str">
        <f t="shared" si="32"/>
        <v>Harlots</v>
      </c>
      <c r="E515" s="1220">
        <f ca="1">VALUE(INDIRECT("Penalties!"&amp;PenaltyData[[#This Row],[REF]]&amp;(PenaltyData[[#This Row],[ROW]]+1)))</f>
        <v>0</v>
      </c>
      <c r="F515" s="1220" t="str">
        <f ca="1">IF(INDIRECT("Penalties!"&amp;$N$29&amp;PenaltyData[[#This Row],[ROW]],TRUE)=0, "",INDIRECT("Penalties!"&amp;$N$29&amp;PenaltyData[[#This Row],[ROW]],TRUE))</f>
        <v>511</v>
      </c>
      <c r="G515" s="1220">
        <f ca="1">COUNTIFS($H$1:H515,"&lt;&gt;0", $F$1:F515,PenaltyData[[#This Row],[PlayerIdx]],$D$1:D515,PenaltyData[[#This Row],[Team]])</f>
        <v>1</v>
      </c>
      <c r="H515" s="1220">
        <f ca="1">INDIRECT("Penalties!"&amp;PenaltyData[[#This Row],[REF]]&amp;PenaltyData[[#This Row],[ROW]])</f>
        <v>0</v>
      </c>
      <c r="I515" s="1220" t="str">
        <f ca="1">IFERROR(VLOOKUP(PenaltyData[[#This Row],[Penalty]],PenaltyNames91419[],2,FALSE),"")</f>
        <v/>
      </c>
      <c r="J515" s="1220" t="s">
        <v>778</v>
      </c>
      <c r="K515" s="1220">
        <f t="shared" si="33"/>
        <v>20</v>
      </c>
      <c r="L515" s="1220"/>
    </row>
    <row r="516" spans="1:12" x14ac:dyDescent="0.25">
      <c r="A516" s="1230">
        <f t="shared" si="30"/>
        <v>42105</v>
      </c>
      <c r="B516" s="1231">
        <f t="shared" si="31"/>
        <v>0.83333333333333337</v>
      </c>
      <c r="C516" s="1220">
        <v>2</v>
      </c>
      <c r="D516" s="1220" t="str">
        <f t="shared" si="32"/>
        <v>Harlots</v>
      </c>
      <c r="E516" s="1220">
        <f ca="1">VALUE(INDIRECT("Penalties!"&amp;PenaltyData[[#This Row],[REF]]&amp;(PenaltyData[[#This Row],[ROW]]+1)))</f>
        <v>12</v>
      </c>
      <c r="F516" s="1220" t="str">
        <f ca="1">IF(INDIRECT("Penalties!"&amp;$N$29&amp;PenaltyData[[#This Row],[ROW]],TRUE)=0, "",INDIRECT("Penalties!"&amp;$N$29&amp;PenaltyData[[#This Row],[ROW]],TRUE))</f>
        <v>511</v>
      </c>
      <c r="G516" s="1220">
        <f ca="1">COUNTIFS($H$1:H516,"&lt;&gt;0", $F$1:F516,PenaltyData[[#This Row],[PlayerIdx]],$D$1:D516,PenaltyData[[#This Row],[Team]])</f>
        <v>2</v>
      </c>
      <c r="H516" s="1220" t="str">
        <f ca="1">INDIRECT("Penalties!"&amp;PenaltyData[[#This Row],[REF]]&amp;PenaltyData[[#This Row],[ROW]])</f>
        <v>F</v>
      </c>
      <c r="I516" s="1220" t="str">
        <f ca="1">IFERROR(VLOOKUP(PenaltyData[[#This Row],[Penalty]],PenaltyNames91419[],2,FALSE),"")</f>
        <v>Forearms</v>
      </c>
      <c r="J516" s="1220" t="s">
        <v>779</v>
      </c>
      <c r="K516" s="1220">
        <f t="shared" si="33"/>
        <v>20</v>
      </c>
      <c r="L516" s="1220"/>
    </row>
    <row r="517" spans="1:12" x14ac:dyDescent="0.25">
      <c r="A517" s="1230">
        <f t="shared" si="30"/>
        <v>42105</v>
      </c>
      <c r="B517" s="1231">
        <f t="shared" si="31"/>
        <v>0.83333333333333337</v>
      </c>
      <c r="C517" s="1220">
        <v>2</v>
      </c>
      <c r="D517" s="1220" t="str">
        <f t="shared" si="32"/>
        <v>Harlots</v>
      </c>
      <c r="E517" s="1220">
        <f ca="1">VALUE(INDIRECT("Penalties!"&amp;PenaltyData[[#This Row],[REF]]&amp;(PenaltyData[[#This Row],[ROW]]+1)))</f>
        <v>0</v>
      </c>
      <c r="F517" s="1220" t="str">
        <f ca="1">IF(INDIRECT("Penalties!"&amp;$N$29&amp;PenaltyData[[#This Row],[ROW]],TRUE)=0, "",INDIRECT("Penalties!"&amp;$N$29&amp;PenaltyData[[#This Row],[ROW]],TRUE))</f>
        <v>511</v>
      </c>
      <c r="G517" s="1220">
        <f ca="1">COUNTIFS($H$1:H517,"&lt;&gt;0", $F$1:F517,PenaltyData[[#This Row],[PlayerIdx]],$D$1:D517,PenaltyData[[#This Row],[Team]])</f>
        <v>2</v>
      </c>
      <c r="H517" s="1220">
        <f ca="1">INDIRECT("Penalties!"&amp;PenaltyData[[#This Row],[REF]]&amp;PenaltyData[[#This Row],[ROW]])</f>
        <v>0</v>
      </c>
      <c r="I517" s="1220" t="str">
        <f ca="1">IFERROR(VLOOKUP(PenaltyData[[#This Row],[Penalty]],PenaltyNames91419[],2,FALSE),"")</f>
        <v/>
      </c>
      <c r="J517" s="1220" t="s">
        <v>780</v>
      </c>
      <c r="K517" s="1220">
        <f t="shared" si="33"/>
        <v>20</v>
      </c>
      <c r="L517" s="1220"/>
    </row>
    <row r="518" spans="1:12" x14ac:dyDescent="0.25">
      <c r="A518" s="1230">
        <f t="shared" ref="A518:A581" si="34">$N$1</f>
        <v>42105</v>
      </c>
      <c r="B518" s="1231">
        <f t="shared" ref="B518:B581" si="35">$O$1</f>
        <v>0.83333333333333337</v>
      </c>
      <c r="C518" s="1220">
        <v>2</v>
      </c>
      <c r="D518" s="1220" t="str">
        <f t="shared" si="32"/>
        <v>Harlots</v>
      </c>
      <c r="E518" s="1220">
        <f ca="1">VALUE(INDIRECT("Penalties!"&amp;PenaltyData[[#This Row],[REF]]&amp;(PenaltyData[[#This Row],[ROW]]+1)))</f>
        <v>0</v>
      </c>
      <c r="F518" s="1220" t="str">
        <f ca="1">IF(INDIRECT("Penalties!"&amp;$N$29&amp;PenaltyData[[#This Row],[ROW]],TRUE)=0, "",INDIRECT("Penalties!"&amp;$N$29&amp;PenaltyData[[#This Row],[ROW]],TRUE))</f>
        <v>511</v>
      </c>
      <c r="G518" s="1220">
        <f ca="1">COUNTIFS($H$1:H518,"&lt;&gt;0", $F$1:F518,PenaltyData[[#This Row],[PlayerIdx]],$D$1:D518,PenaltyData[[#This Row],[Team]])</f>
        <v>2</v>
      </c>
      <c r="H518" s="1220">
        <f ca="1">INDIRECT("Penalties!"&amp;PenaltyData[[#This Row],[REF]]&amp;PenaltyData[[#This Row],[ROW]])</f>
        <v>0</v>
      </c>
      <c r="I518" s="1220" t="str">
        <f ca="1">IFERROR(VLOOKUP(PenaltyData[[#This Row],[Penalty]],PenaltyNames91419[],2,FALSE),"")</f>
        <v/>
      </c>
      <c r="J518" s="1220" t="s">
        <v>781</v>
      </c>
      <c r="K518" s="1220">
        <f t="shared" si="33"/>
        <v>20</v>
      </c>
      <c r="L518" s="1220"/>
    </row>
    <row r="519" spans="1:12" x14ac:dyDescent="0.25">
      <c r="A519" s="1230">
        <f t="shared" si="34"/>
        <v>42105</v>
      </c>
      <c r="B519" s="1231">
        <f t="shared" si="35"/>
        <v>0.83333333333333337</v>
      </c>
      <c r="C519" s="1220">
        <v>2</v>
      </c>
      <c r="D519" s="1220" t="str">
        <f t="shared" si="32"/>
        <v>Harlots</v>
      </c>
      <c r="E519" s="1220">
        <f ca="1">VALUE(INDIRECT("Penalties!"&amp;PenaltyData[[#This Row],[REF]]&amp;(PenaltyData[[#This Row],[ROW]]+1)))</f>
        <v>0</v>
      </c>
      <c r="F519" s="1220" t="str">
        <f ca="1">IF(INDIRECT("Penalties!"&amp;$N$29&amp;PenaltyData[[#This Row],[ROW]],TRUE)=0, "",INDIRECT("Penalties!"&amp;$N$29&amp;PenaltyData[[#This Row],[ROW]],TRUE))</f>
        <v>511</v>
      </c>
      <c r="G519" s="1220">
        <f ca="1">COUNTIFS($H$1:H519,"&lt;&gt;0", $F$1:F519,PenaltyData[[#This Row],[PlayerIdx]],$D$1:D519,PenaltyData[[#This Row],[Team]])</f>
        <v>2</v>
      </c>
      <c r="H519" s="1220">
        <f ca="1">INDIRECT("Penalties!"&amp;PenaltyData[[#This Row],[REF]]&amp;PenaltyData[[#This Row],[ROW]])</f>
        <v>0</v>
      </c>
      <c r="I519" s="1220" t="str">
        <f ca="1">IFERROR(VLOOKUP(PenaltyData[[#This Row],[Penalty]],PenaltyNames91419[],2,FALSE),"")</f>
        <v/>
      </c>
      <c r="J519" s="1220" t="s">
        <v>782</v>
      </c>
      <c r="K519" s="1220">
        <f t="shared" si="33"/>
        <v>20</v>
      </c>
      <c r="L519" s="1220"/>
    </row>
    <row r="520" spans="1:12" x14ac:dyDescent="0.25">
      <c r="A520" s="1230">
        <f t="shared" si="34"/>
        <v>42105</v>
      </c>
      <c r="B520" s="1231">
        <f t="shared" si="35"/>
        <v>0.83333333333333337</v>
      </c>
      <c r="C520" s="1220">
        <v>2</v>
      </c>
      <c r="D520" s="1220" t="str">
        <f t="shared" si="32"/>
        <v>Harlots</v>
      </c>
      <c r="E520" s="1220">
        <f ca="1">VALUE(INDIRECT("Penalties!"&amp;PenaltyData[[#This Row],[REF]]&amp;(PenaltyData[[#This Row],[ROW]]+1)))</f>
        <v>0</v>
      </c>
      <c r="F520" s="1220" t="str">
        <f ca="1">IF(INDIRECT("Penalties!"&amp;$N$29&amp;PenaltyData[[#This Row],[ROW]],TRUE)=0, "",INDIRECT("Penalties!"&amp;$N$29&amp;PenaltyData[[#This Row],[ROW]],TRUE))</f>
        <v>511</v>
      </c>
      <c r="G520" s="1220">
        <f ca="1">COUNTIFS($H$1:H520,"&lt;&gt;0", $F$1:F520,PenaltyData[[#This Row],[PlayerIdx]],$D$1:D520,PenaltyData[[#This Row],[Team]])</f>
        <v>2</v>
      </c>
      <c r="H520" s="1220">
        <f ca="1">INDIRECT("Penalties!"&amp;PenaltyData[[#This Row],[REF]]&amp;PenaltyData[[#This Row],[ROW]])</f>
        <v>0</v>
      </c>
      <c r="I520" s="1220" t="str">
        <f ca="1">IFERROR(VLOOKUP(PenaltyData[[#This Row],[Penalty]],PenaltyNames91419[],2,FALSE),"")</f>
        <v/>
      </c>
      <c r="J520" s="1220" t="s">
        <v>783</v>
      </c>
      <c r="K520" s="1220">
        <f t="shared" si="33"/>
        <v>20</v>
      </c>
      <c r="L520" s="1220"/>
    </row>
    <row r="521" spans="1:12" x14ac:dyDescent="0.25">
      <c r="A521" s="1230">
        <f t="shared" si="34"/>
        <v>42105</v>
      </c>
      <c r="B521" s="1231">
        <f t="shared" si="35"/>
        <v>0.83333333333333337</v>
      </c>
      <c r="C521" s="1220">
        <v>2</v>
      </c>
      <c r="D521" s="1220" t="str">
        <f t="shared" si="32"/>
        <v>Harlots</v>
      </c>
      <c r="E521" s="1220">
        <f ca="1">VALUE(INDIRECT("Penalties!"&amp;PenaltyData[[#This Row],[REF]]&amp;(PenaltyData[[#This Row],[ROW]]+1)))</f>
        <v>0</v>
      </c>
      <c r="F521" s="1220" t="str">
        <f ca="1">IF(INDIRECT("Penalties!"&amp;$N$29&amp;PenaltyData[[#This Row],[ROW]],TRUE)=0, "",INDIRECT("Penalties!"&amp;$N$29&amp;PenaltyData[[#This Row],[ROW]],TRUE))</f>
        <v>511</v>
      </c>
      <c r="G521" s="1220">
        <f ca="1">COUNTIFS($H$1:H521,"&lt;&gt;0", $F$1:F521,PenaltyData[[#This Row],[PlayerIdx]],$D$1:D521,PenaltyData[[#This Row],[Team]])</f>
        <v>2</v>
      </c>
      <c r="H521" s="1220">
        <f ca="1">INDIRECT("Penalties!"&amp;PenaltyData[[#This Row],[REF]]&amp;PenaltyData[[#This Row],[ROW]])</f>
        <v>0</v>
      </c>
      <c r="I521" s="1220" t="str">
        <f ca="1">IFERROR(VLOOKUP(PenaltyData[[#This Row],[Penalty]],PenaltyNames91419[],2,FALSE),"")</f>
        <v/>
      </c>
      <c r="J521" s="1220" t="s">
        <v>784</v>
      </c>
      <c r="K521" s="1220">
        <f t="shared" si="33"/>
        <v>20</v>
      </c>
      <c r="L521" s="1220"/>
    </row>
    <row r="522" spans="1:12" x14ac:dyDescent="0.25">
      <c r="A522" s="1230">
        <f t="shared" si="34"/>
        <v>42105</v>
      </c>
      <c r="B522" s="1231">
        <f t="shared" si="35"/>
        <v>0.83333333333333337</v>
      </c>
      <c r="C522" s="1220">
        <v>2</v>
      </c>
      <c r="D522" s="1220" t="str">
        <f t="shared" si="32"/>
        <v>Harlots</v>
      </c>
      <c r="E522" s="1220">
        <f ca="1">VALUE(INDIRECT("Penalties!"&amp;PenaltyData[[#This Row],[REF]]&amp;(PenaltyData[[#This Row],[ROW]]+1)))</f>
        <v>0</v>
      </c>
      <c r="F522" s="1220" t="str">
        <f ca="1">IF(INDIRECT("Penalties!"&amp;$N$29&amp;PenaltyData[[#This Row],[ROW]],TRUE)=0, "",INDIRECT("Penalties!"&amp;$N$29&amp;PenaltyData[[#This Row],[ROW]],TRUE))</f>
        <v>511</v>
      </c>
      <c r="G522" s="1220">
        <f ca="1">COUNTIFS($H$1:H522,"&lt;&gt;0", $F$1:F522,PenaltyData[[#This Row],[PlayerIdx]],$D$1:D522,PenaltyData[[#This Row],[Team]])</f>
        <v>2</v>
      </c>
      <c r="H522" s="1220">
        <f ca="1">INDIRECT("Penalties!"&amp;PenaltyData[[#This Row],[REF]]&amp;PenaltyData[[#This Row],[ROW]])</f>
        <v>0</v>
      </c>
      <c r="I522" s="1220" t="str">
        <f ca="1">IFERROR(VLOOKUP(PenaltyData[[#This Row],[Penalty]],PenaltyNames91419[],2,FALSE),"")</f>
        <v/>
      </c>
      <c r="J522" s="1220" t="s">
        <v>785</v>
      </c>
      <c r="K522" s="1220">
        <f t="shared" si="33"/>
        <v>20</v>
      </c>
      <c r="L522" s="1220"/>
    </row>
    <row r="523" spans="1:12" x14ac:dyDescent="0.25">
      <c r="A523" s="1230">
        <f t="shared" si="34"/>
        <v>42105</v>
      </c>
      <c r="B523" s="1231">
        <f t="shared" si="35"/>
        <v>0.83333333333333337</v>
      </c>
      <c r="C523" s="1220">
        <v>2</v>
      </c>
      <c r="D523" s="1220" t="str">
        <f t="shared" si="32"/>
        <v>Harlots</v>
      </c>
      <c r="E523" s="1220">
        <f ca="1">VALUE(INDIRECT("Penalties!"&amp;PenaltyData[[#This Row],[REF]]&amp;(PenaltyData[[#This Row],[ROW]]+1)))</f>
        <v>0</v>
      </c>
      <c r="F523" s="1220" t="str">
        <f ca="1">IF(INDIRECT("Penalties!"&amp;$N$29&amp;PenaltyData[[#This Row],[ROW]],TRUE)=0, "",INDIRECT("Penalties!"&amp;$N$29&amp;PenaltyData[[#This Row],[ROW]],TRUE))</f>
        <v>511</v>
      </c>
      <c r="G523" s="1220">
        <f ca="1">COUNTIFS($H$1:H523,"&lt;&gt;0", $F$1:F523,PenaltyData[[#This Row],[PlayerIdx]],$D$1:D523,PenaltyData[[#This Row],[Team]])</f>
        <v>2</v>
      </c>
      <c r="H523" s="1220">
        <f ca="1">INDIRECT("Penalties!"&amp;PenaltyData[[#This Row],[REF]]&amp;PenaltyData[[#This Row],[ROW]])</f>
        <v>0</v>
      </c>
      <c r="I523" s="1220" t="str">
        <f ca="1">IFERROR(VLOOKUP(PenaltyData[[#This Row],[Penalty]],PenaltyNames91419[],2,FALSE),"")</f>
        <v/>
      </c>
      <c r="J523" s="1220" t="s">
        <v>786</v>
      </c>
      <c r="K523" s="1220">
        <f t="shared" si="33"/>
        <v>20</v>
      </c>
      <c r="L523" s="1220"/>
    </row>
    <row r="524" spans="1:12" x14ac:dyDescent="0.25">
      <c r="A524" s="1230">
        <f t="shared" si="34"/>
        <v>42105</v>
      </c>
      <c r="B524" s="1231">
        <f t="shared" si="35"/>
        <v>0.83333333333333337</v>
      </c>
      <c r="C524" s="1220">
        <v>1</v>
      </c>
      <c r="D524" s="1220" t="str">
        <f t="shared" si="32"/>
        <v>Harlots</v>
      </c>
      <c r="E524" s="1220">
        <f ca="1">VALUE(INDIRECT("Penalties!"&amp;PenaltyData[[#This Row],[REF]]&amp;(PenaltyData[[#This Row],[ROW]]+1)))</f>
        <v>2</v>
      </c>
      <c r="F524" s="1220" t="str">
        <f ca="1">IF(INDIRECT("Penalties!"&amp;$N$29&amp;PenaltyData[[#This Row],[ROW]],TRUE)=0, "",INDIRECT("Penalties!"&amp;$N$29&amp;PenaltyData[[#This Row],[ROW]],TRUE))</f>
        <v>519</v>
      </c>
      <c r="G524" s="1220">
        <f ca="1">COUNTIFS($H$1:H524,"&lt;&gt;0", $F$1:F524,PenaltyData[[#This Row],[PlayerIdx]],$D$1:D524,PenaltyData[[#This Row],[Team]])</f>
        <v>1</v>
      </c>
      <c r="H524" s="1220" t="str">
        <f ca="1">INDIRECT("Penalties!"&amp;PenaltyData[[#This Row],[REF]]&amp;PenaltyData[[#This Row],[ROW]])</f>
        <v>M</v>
      </c>
      <c r="I524" s="1220" t="str">
        <f ca="1">IFERROR(VLOOKUP(PenaltyData[[#This Row],[Penalty]],PenaltyNames91419[],2,FALSE),"")</f>
        <v>Multi-Player</v>
      </c>
      <c r="J524" s="1220" t="s">
        <v>771</v>
      </c>
      <c r="K524" s="1220">
        <f t="shared" si="33"/>
        <v>22</v>
      </c>
      <c r="L524" s="1220"/>
    </row>
    <row r="525" spans="1:12" x14ac:dyDescent="0.25">
      <c r="A525" s="1230">
        <f t="shared" si="34"/>
        <v>42105</v>
      </c>
      <c r="B525" s="1231">
        <f t="shared" si="35"/>
        <v>0.83333333333333337</v>
      </c>
      <c r="C525" s="1220">
        <v>1</v>
      </c>
      <c r="D525" s="1220" t="str">
        <f t="shared" si="32"/>
        <v>Harlots</v>
      </c>
      <c r="E525" s="1220">
        <f ca="1">VALUE(INDIRECT("Penalties!"&amp;PenaltyData[[#This Row],[REF]]&amp;(PenaltyData[[#This Row],[ROW]]+1)))</f>
        <v>0</v>
      </c>
      <c r="F525" s="1220" t="str">
        <f ca="1">IF(INDIRECT("Penalties!"&amp;$N$29&amp;PenaltyData[[#This Row],[ROW]],TRUE)=0, "",INDIRECT("Penalties!"&amp;$N$29&amp;PenaltyData[[#This Row],[ROW]],TRUE))</f>
        <v>519</v>
      </c>
      <c r="G525" s="1220">
        <f ca="1">COUNTIFS($H$1:H525,"&lt;&gt;0", $F$1:F525,PenaltyData[[#This Row],[PlayerIdx]],$D$1:D525,PenaltyData[[#This Row],[Team]])</f>
        <v>1</v>
      </c>
      <c r="H525" s="1220">
        <f ca="1">INDIRECT("Penalties!"&amp;PenaltyData[[#This Row],[REF]]&amp;PenaltyData[[#This Row],[ROW]])</f>
        <v>0</v>
      </c>
      <c r="I525" s="1220" t="str">
        <f ca="1">IFERROR(VLOOKUP(PenaltyData[[#This Row],[Penalty]],PenaltyNames91419[],2,FALSE),"")</f>
        <v/>
      </c>
      <c r="J525" s="1220" t="s">
        <v>772</v>
      </c>
      <c r="K525" s="1220">
        <f t="shared" si="33"/>
        <v>22</v>
      </c>
      <c r="L525" s="1220"/>
    </row>
    <row r="526" spans="1:12" x14ac:dyDescent="0.25">
      <c r="A526" s="1230">
        <f t="shared" si="34"/>
        <v>42105</v>
      </c>
      <c r="B526" s="1231">
        <f t="shared" si="35"/>
        <v>0.83333333333333337</v>
      </c>
      <c r="C526" s="1220">
        <v>1</v>
      </c>
      <c r="D526" s="1220" t="str">
        <f t="shared" si="32"/>
        <v>Harlots</v>
      </c>
      <c r="E526" s="1220">
        <f ca="1">VALUE(INDIRECT("Penalties!"&amp;PenaltyData[[#This Row],[REF]]&amp;(PenaltyData[[#This Row],[ROW]]+1)))</f>
        <v>0</v>
      </c>
      <c r="F526" s="1220" t="str">
        <f ca="1">IF(INDIRECT("Penalties!"&amp;$N$29&amp;PenaltyData[[#This Row],[ROW]],TRUE)=0, "",INDIRECT("Penalties!"&amp;$N$29&amp;PenaltyData[[#This Row],[ROW]],TRUE))</f>
        <v>519</v>
      </c>
      <c r="G526" s="1220">
        <f ca="1">COUNTIFS($H$1:H526,"&lt;&gt;0", $F$1:F526,PenaltyData[[#This Row],[PlayerIdx]],$D$1:D526,PenaltyData[[#This Row],[Team]])</f>
        <v>1</v>
      </c>
      <c r="H526" s="1220">
        <f ca="1">INDIRECT("Penalties!"&amp;PenaltyData[[#This Row],[REF]]&amp;PenaltyData[[#This Row],[ROW]])</f>
        <v>0</v>
      </c>
      <c r="I526" s="1220" t="str">
        <f ca="1">IFERROR(VLOOKUP(PenaltyData[[#This Row],[Penalty]],PenaltyNames91419[],2,FALSE),"")</f>
        <v/>
      </c>
      <c r="J526" s="1220" t="s">
        <v>159</v>
      </c>
      <c r="K526" s="1220">
        <f t="shared" si="33"/>
        <v>22</v>
      </c>
      <c r="L526" s="1220"/>
    </row>
    <row r="527" spans="1:12" x14ac:dyDescent="0.25">
      <c r="A527" s="1230">
        <f t="shared" si="34"/>
        <v>42105</v>
      </c>
      <c r="B527" s="1231">
        <f t="shared" si="35"/>
        <v>0.83333333333333337</v>
      </c>
      <c r="C527" s="1220">
        <v>1</v>
      </c>
      <c r="D527" s="1220" t="str">
        <f t="shared" si="32"/>
        <v>Harlots</v>
      </c>
      <c r="E527" s="1220">
        <f ca="1">VALUE(INDIRECT("Penalties!"&amp;PenaltyData[[#This Row],[REF]]&amp;(PenaltyData[[#This Row],[ROW]]+1)))</f>
        <v>0</v>
      </c>
      <c r="F527" s="1220" t="str">
        <f ca="1">IF(INDIRECT("Penalties!"&amp;$N$29&amp;PenaltyData[[#This Row],[ROW]],TRUE)=0, "",INDIRECT("Penalties!"&amp;$N$29&amp;PenaltyData[[#This Row],[ROW]],TRUE))</f>
        <v>519</v>
      </c>
      <c r="G527" s="1220">
        <f ca="1">COUNTIFS($H$1:H527,"&lt;&gt;0", $F$1:F527,PenaltyData[[#This Row],[PlayerIdx]],$D$1:D527,PenaltyData[[#This Row],[Team]])</f>
        <v>1</v>
      </c>
      <c r="H527" s="1220">
        <f ca="1">INDIRECT("Penalties!"&amp;PenaltyData[[#This Row],[REF]]&amp;PenaltyData[[#This Row],[ROW]])</f>
        <v>0</v>
      </c>
      <c r="I527" s="1220" t="str">
        <f ca="1">IFERROR(VLOOKUP(PenaltyData[[#This Row],[Penalty]],PenaltyNames91419[],2,FALSE),"")</f>
        <v/>
      </c>
      <c r="J527" s="1220" t="s">
        <v>773</v>
      </c>
      <c r="K527" s="1220">
        <f t="shared" si="33"/>
        <v>22</v>
      </c>
      <c r="L527" s="1220"/>
    </row>
    <row r="528" spans="1:12" x14ac:dyDescent="0.25">
      <c r="A528" s="1230">
        <f t="shared" si="34"/>
        <v>42105</v>
      </c>
      <c r="B528" s="1231">
        <f t="shared" si="35"/>
        <v>0.83333333333333337</v>
      </c>
      <c r="C528" s="1220">
        <v>1</v>
      </c>
      <c r="D528" s="1220" t="str">
        <f t="shared" si="32"/>
        <v>Harlots</v>
      </c>
      <c r="E528" s="1220">
        <f ca="1">VALUE(INDIRECT("Penalties!"&amp;PenaltyData[[#This Row],[REF]]&amp;(PenaltyData[[#This Row],[ROW]]+1)))</f>
        <v>0</v>
      </c>
      <c r="F528" s="1220" t="str">
        <f ca="1">IF(INDIRECT("Penalties!"&amp;$N$29&amp;PenaltyData[[#This Row],[ROW]],TRUE)=0, "",INDIRECT("Penalties!"&amp;$N$29&amp;PenaltyData[[#This Row],[ROW]],TRUE))</f>
        <v>519</v>
      </c>
      <c r="G528" s="1220">
        <f ca="1">COUNTIFS($H$1:H528,"&lt;&gt;0", $F$1:F528,PenaltyData[[#This Row],[PlayerIdx]],$D$1:D528,PenaltyData[[#This Row],[Team]])</f>
        <v>1</v>
      </c>
      <c r="H528" s="1220">
        <f ca="1">INDIRECT("Penalties!"&amp;PenaltyData[[#This Row],[REF]]&amp;PenaltyData[[#This Row],[ROW]])</f>
        <v>0</v>
      </c>
      <c r="I528" s="1220" t="str">
        <f ca="1">IFERROR(VLOOKUP(PenaltyData[[#This Row],[Penalty]],PenaltyNames91419[],2,FALSE),"")</f>
        <v/>
      </c>
      <c r="J528" s="1220" t="s">
        <v>774</v>
      </c>
      <c r="K528" s="1220">
        <f t="shared" si="33"/>
        <v>22</v>
      </c>
      <c r="L528" s="1220"/>
    </row>
    <row r="529" spans="1:12" x14ac:dyDescent="0.25">
      <c r="A529" s="1230">
        <f t="shared" si="34"/>
        <v>42105</v>
      </c>
      <c r="B529" s="1231">
        <f t="shared" si="35"/>
        <v>0.83333333333333337</v>
      </c>
      <c r="C529" s="1220">
        <v>1</v>
      </c>
      <c r="D529" s="1220" t="str">
        <f t="shared" si="32"/>
        <v>Harlots</v>
      </c>
      <c r="E529" s="1220">
        <f ca="1">VALUE(INDIRECT("Penalties!"&amp;PenaltyData[[#This Row],[REF]]&amp;(PenaltyData[[#This Row],[ROW]]+1)))</f>
        <v>0</v>
      </c>
      <c r="F529" s="1220" t="str">
        <f ca="1">IF(INDIRECT("Penalties!"&amp;$N$29&amp;PenaltyData[[#This Row],[ROW]],TRUE)=0, "",INDIRECT("Penalties!"&amp;$N$29&amp;PenaltyData[[#This Row],[ROW]],TRUE))</f>
        <v>519</v>
      </c>
      <c r="G529" s="1220">
        <f ca="1">COUNTIFS($H$1:H529,"&lt;&gt;0", $F$1:F529,PenaltyData[[#This Row],[PlayerIdx]],$D$1:D529,PenaltyData[[#This Row],[Team]])</f>
        <v>1</v>
      </c>
      <c r="H529" s="1220">
        <f ca="1">INDIRECT("Penalties!"&amp;PenaltyData[[#This Row],[REF]]&amp;PenaltyData[[#This Row],[ROW]])</f>
        <v>0</v>
      </c>
      <c r="I529" s="1220" t="str">
        <f ca="1">IFERROR(VLOOKUP(PenaltyData[[#This Row],[Penalty]],PenaltyNames91419[],2,FALSE),"")</f>
        <v/>
      </c>
      <c r="J529" s="1220" t="s">
        <v>775</v>
      </c>
      <c r="K529" s="1220">
        <f t="shared" si="33"/>
        <v>22</v>
      </c>
      <c r="L529" s="1220"/>
    </row>
    <row r="530" spans="1:12" x14ac:dyDescent="0.25">
      <c r="A530" s="1230">
        <f t="shared" si="34"/>
        <v>42105</v>
      </c>
      <c r="B530" s="1231">
        <f t="shared" si="35"/>
        <v>0.83333333333333337</v>
      </c>
      <c r="C530" s="1220">
        <v>1</v>
      </c>
      <c r="D530" s="1220" t="str">
        <f t="shared" si="32"/>
        <v>Harlots</v>
      </c>
      <c r="E530" s="1220">
        <f ca="1">VALUE(INDIRECT("Penalties!"&amp;PenaltyData[[#This Row],[REF]]&amp;(PenaltyData[[#This Row],[ROW]]+1)))</f>
        <v>0</v>
      </c>
      <c r="F530" s="1220" t="str">
        <f ca="1">IF(INDIRECT("Penalties!"&amp;$N$29&amp;PenaltyData[[#This Row],[ROW]],TRUE)=0, "",INDIRECT("Penalties!"&amp;$N$29&amp;PenaltyData[[#This Row],[ROW]],TRUE))</f>
        <v>519</v>
      </c>
      <c r="G530" s="1220">
        <f ca="1">COUNTIFS($H$1:H530,"&lt;&gt;0", $F$1:F530,PenaltyData[[#This Row],[PlayerIdx]],$D$1:D530,PenaltyData[[#This Row],[Team]])</f>
        <v>1</v>
      </c>
      <c r="H530" s="1220">
        <f ca="1">INDIRECT("Penalties!"&amp;PenaltyData[[#This Row],[REF]]&amp;PenaltyData[[#This Row],[ROW]])</f>
        <v>0</v>
      </c>
      <c r="I530" s="1220" t="str">
        <f ca="1">IFERROR(VLOOKUP(PenaltyData[[#This Row],[Penalty]],PenaltyNames91419[],2,FALSE),"")</f>
        <v/>
      </c>
      <c r="J530" s="1220" t="s">
        <v>776</v>
      </c>
      <c r="K530" s="1220">
        <f t="shared" si="33"/>
        <v>22</v>
      </c>
      <c r="L530" s="1220"/>
    </row>
    <row r="531" spans="1:12" x14ac:dyDescent="0.25">
      <c r="A531" s="1230">
        <f t="shared" si="34"/>
        <v>42105</v>
      </c>
      <c r="B531" s="1231">
        <f t="shared" si="35"/>
        <v>0.83333333333333337</v>
      </c>
      <c r="C531" s="1220">
        <v>1</v>
      </c>
      <c r="D531" s="1220" t="str">
        <f t="shared" si="32"/>
        <v>Harlots</v>
      </c>
      <c r="E531" s="1220">
        <f ca="1">VALUE(INDIRECT("Penalties!"&amp;PenaltyData[[#This Row],[REF]]&amp;(PenaltyData[[#This Row],[ROW]]+1)))</f>
        <v>0</v>
      </c>
      <c r="F531" s="1220" t="str">
        <f ca="1">IF(INDIRECT("Penalties!"&amp;$N$29&amp;PenaltyData[[#This Row],[ROW]],TRUE)=0, "",INDIRECT("Penalties!"&amp;$N$29&amp;PenaltyData[[#This Row],[ROW]],TRUE))</f>
        <v>519</v>
      </c>
      <c r="G531" s="1220">
        <f ca="1">COUNTIFS($H$1:H531,"&lt;&gt;0", $F$1:F531,PenaltyData[[#This Row],[PlayerIdx]],$D$1:D531,PenaltyData[[#This Row],[Team]])</f>
        <v>1</v>
      </c>
      <c r="H531" s="1220">
        <f ca="1">INDIRECT("Penalties!"&amp;PenaltyData[[#This Row],[REF]]&amp;PenaltyData[[#This Row],[ROW]])</f>
        <v>0</v>
      </c>
      <c r="I531" s="1220" t="str">
        <f ca="1">IFERROR(VLOOKUP(PenaltyData[[#This Row],[Penalty]],PenaltyNames91419[],2,FALSE),"")</f>
        <v/>
      </c>
      <c r="J531" s="1220" t="s">
        <v>140</v>
      </c>
      <c r="K531" s="1220">
        <f t="shared" si="33"/>
        <v>22</v>
      </c>
      <c r="L531" s="1220"/>
    </row>
    <row r="532" spans="1:12" x14ac:dyDescent="0.25">
      <c r="A532" s="1230">
        <f t="shared" si="34"/>
        <v>42105</v>
      </c>
      <c r="B532" s="1231">
        <f t="shared" si="35"/>
        <v>0.83333333333333337</v>
      </c>
      <c r="C532" s="1220">
        <v>1</v>
      </c>
      <c r="D532" s="1220" t="str">
        <f t="shared" si="32"/>
        <v>Harlots</v>
      </c>
      <c r="E532" s="1220">
        <f ca="1">VALUE(INDIRECT("Penalties!"&amp;PenaltyData[[#This Row],[REF]]&amp;(PenaltyData[[#This Row],[ROW]]+1)))</f>
        <v>0</v>
      </c>
      <c r="F532" s="1220" t="str">
        <f ca="1">IF(INDIRECT("Penalties!"&amp;$N$29&amp;PenaltyData[[#This Row],[ROW]],TRUE)=0, "",INDIRECT("Penalties!"&amp;$N$29&amp;PenaltyData[[#This Row],[ROW]],TRUE))</f>
        <v>519</v>
      </c>
      <c r="G532" s="1220">
        <f ca="1">COUNTIFS($H$1:H532,"&lt;&gt;0", $F$1:F532,PenaltyData[[#This Row],[PlayerIdx]],$D$1:D532,PenaltyData[[#This Row],[Team]])</f>
        <v>1</v>
      </c>
      <c r="H532" s="1220">
        <f ca="1">INDIRECT("Penalties!"&amp;PenaltyData[[#This Row],[REF]]&amp;PenaltyData[[#This Row],[ROW]])</f>
        <v>0</v>
      </c>
      <c r="I532" s="1220" t="str">
        <f ca="1">IFERROR(VLOOKUP(PenaltyData[[#This Row],[Penalty]],PenaltyNames91419[],2,FALSE),"")</f>
        <v/>
      </c>
      <c r="J532" s="1220" t="s">
        <v>777</v>
      </c>
      <c r="K532" s="1220">
        <f t="shared" si="33"/>
        <v>22</v>
      </c>
      <c r="L532" s="1220"/>
    </row>
    <row r="533" spans="1:12" x14ac:dyDescent="0.25">
      <c r="A533" s="1230">
        <f t="shared" si="34"/>
        <v>42105</v>
      </c>
      <c r="B533" s="1231">
        <f t="shared" si="35"/>
        <v>0.83333333333333337</v>
      </c>
      <c r="C533" s="1220">
        <v>2</v>
      </c>
      <c r="D533" s="1220" t="str">
        <f t="shared" si="32"/>
        <v>Harlots</v>
      </c>
      <c r="E533" s="1220">
        <f ca="1">VALUE(INDIRECT("Penalties!"&amp;PenaltyData[[#This Row],[REF]]&amp;(PenaltyData[[#This Row],[ROW]]+1)))</f>
        <v>0</v>
      </c>
      <c r="F533" s="1220" t="str">
        <f ca="1">IF(INDIRECT("Penalties!"&amp;$N$29&amp;PenaltyData[[#This Row],[ROW]],TRUE)=0, "",INDIRECT("Penalties!"&amp;$N$29&amp;PenaltyData[[#This Row],[ROW]],TRUE))</f>
        <v>519</v>
      </c>
      <c r="G533" s="1220">
        <f ca="1">COUNTIFS($H$1:H533,"&lt;&gt;0", $F$1:F533,PenaltyData[[#This Row],[PlayerIdx]],$D$1:D533,PenaltyData[[#This Row],[Team]])</f>
        <v>1</v>
      </c>
      <c r="H533" s="1220">
        <f ca="1">INDIRECT("Penalties!"&amp;PenaltyData[[#This Row],[REF]]&amp;PenaltyData[[#This Row],[ROW]])</f>
        <v>0</v>
      </c>
      <c r="I533" s="1220" t="str">
        <f ca="1">IFERROR(VLOOKUP(PenaltyData[[#This Row],[Penalty]],PenaltyNames91419[],2,FALSE),"")</f>
        <v/>
      </c>
      <c r="J533" s="1220" t="s">
        <v>778</v>
      </c>
      <c r="K533" s="1220">
        <f t="shared" si="33"/>
        <v>22</v>
      </c>
      <c r="L533" s="1220"/>
    </row>
    <row r="534" spans="1:12" x14ac:dyDescent="0.25">
      <c r="A534" s="1230">
        <f t="shared" si="34"/>
        <v>42105</v>
      </c>
      <c r="B534" s="1231">
        <f t="shared" si="35"/>
        <v>0.83333333333333337</v>
      </c>
      <c r="C534" s="1220">
        <v>2</v>
      </c>
      <c r="D534" s="1220" t="str">
        <f t="shared" si="32"/>
        <v>Harlots</v>
      </c>
      <c r="E534" s="1220">
        <f ca="1">VALUE(INDIRECT("Penalties!"&amp;PenaltyData[[#This Row],[REF]]&amp;(PenaltyData[[#This Row],[ROW]]+1)))</f>
        <v>4</v>
      </c>
      <c r="F534" s="1220" t="str">
        <f ca="1">IF(INDIRECT("Penalties!"&amp;$N$29&amp;PenaltyData[[#This Row],[ROW]],TRUE)=0, "",INDIRECT("Penalties!"&amp;$N$29&amp;PenaltyData[[#This Row],[ROW]],TRUE))</f>
        <v>519</v>
      </c>
      <c r="G534" s="1220">
        <f ca="1">COUNTIFS($H$1:H534,"&lt;&gt;0", $F$1:F534,PenaltyData[[#This Row],[PlayerIdx]],$D$1:D534,PenaltyData[[#This Row],[Team]])</f>
        <v>2</v>
      </c>
      <c r="H534" s="1220" t="str">
        <f ca="1">INDIRECT("Penalties!"&amp;PenaltyData[[#This Row],[REF]]&amp;PenaltyData[[#This Row],[ROW]])</f>
        <v>C</v>
      </c>
      <c r="I534" s="1220" t="str">
        <f ca="1">IFERROR(VLOOKUP(PenaltyData[[#This Row],[Penalty]],PenaltyNames91419[],2,FALSE),"")</f>
        <v>Dir of Play</v>
      </c>
      <c r="J534" s="1220" t="s">
        <v>779</v>
      </c>
      <c r="K534" s="1220">
        <f t="shared" si="33"/>
        <v>22</v>
      </c>
      <c r="L534" s="1220"/>
    </row>
    <row r="535" spans="1:12" x14ac:dyDescent="0.25">
      <c r="A535" s="1230">
        <f t="shared" si="34"/>
        <v>42105</v>
      </c>
      <c r="B535" s="1231">
        <f t="shared" si="35"/>
        <v>0.83333333333333337</v>
      </c>
      <c r="C535" s="1220">
        <v>2</v>
      </c>
      <c r="D535" s="1220" t="str">
        <f t="shared" si="32"/>
        <v>Harlots</v>
      </c>
      <c r="E535" s="1220">
        <f ca="1">VALUE(INDIRECT("Penalties!"&amp;PenaltyData[[#This Row],[REF]]&amp;(PenaltyData[[#This Row],[ROW]]+1)))</f>
        <v>10</v>
      </c>
      <c r="F535" s="1220" t="str">
        <f ca="1">IF(INDIRECT("Penalties!"&amp;$N$29&amp;PenaltyData[[#This Row],[ROW]],TRUE)=0, "",INDIRECT("Penalties!"&amp;$N$29&amp;PenaltyData[[#This Row],[ROW]],TRUE))</f>
        <v>519</v>
      </c>
      <c r="G535" s="1220">
        <f ca="1">COUNTIFS($H$1:H535,"&lt;&gt;0", $F$1:F535,PenaltyData[[#This Row],[PlayerIdx]],$D$1:D535,PenaltyData[[#This Row],[Team]])</f>
        <v>3</v>
      </c>
      <c r="H535" s="1220" t="str">
        <f ca="1">INDIRECT("Penalties!"&amp;PenaltyData[[#This Row],[REF]]&amp;PenaltyData[[#This Row],[ROW]])</f>
        <v>C</v>
      </c>
      <c r="I535" s="1220" t="str">
        <f ca="1">IFERROR(VLOOKUP(PenaltyData[[#This Row],[Penalty]],PenaltyNames91419[],2,FALSE),"")</f>
        <v>Dir of Play</v>
      </c>
      <c r="J535" s="1220" t="s">
        <v>780</v>
      </c>
      <c r="K535" s="1220">
        <f t="shared" si="33"/>
        <v>22</v>
      </c>
      <c r="L535" s="1220"/>
    </row>
    <row r="536" spans="1:12" x14ac:dyDescent="0.25">
      <c r="A536" s="1230">
        <f t="shared" si="34"/>
        <v>42105</v>
      </c>
      <c r="B536" s="1231">
        <f t="shared" si="35"/>
        <v>0.83333333333333337</v>
      </c>
      <c r="C536" s="1220">
        <v>2</v>
      </c>
      <c r="D536" s="1220" t="str">
        <f t="shared" si="32"/>
        <v>Harlots</v>
      </c>
      <c r="E536" s="1220">
        <f ca="1">VALUE(INDIRECT("Penalties!"&amp;PenaltyData[[#This Row],[REF]]&amp;(PenaltyData[[#This Row],[ROW]]+1)))</f>
        <v>18</v>
      </c>
      <c r="F536" s="1220" t="str">
        <f ca="1">IF(INDIRECT("Penalties!"&amp;$N$29&amp;PenaltyData[[#This Row],[ROW]],TRUE)=0, "",INDIRECT("Penalties!"&amp;$N$29&amp;PenaltyData[[#This Row],[ROW]],TRUE))</f>
        <v>519</v>
      </c>
      <c r="G536" s="1220">
        <f ca="1">COUNTIFS($H$1:H536,"&lt;&gt;0", $F$1:F536,PenaltyData[[#This Row],[PlayerIdx]],$D$1:D536,PenaltyData[[#This Row],[Team]])</f>
        <v>4</v>
      </c>
      <c r="H536" s="1220" t="str">
        <f ca="1">INDIRECT("Penalties!"&amp;PenaltyData[[#This Row],[REF]]&amp;PenaltyData[[#This Row],[ROW]])</f>
        <v>C</v>
      </c>
      <c r="I536" s="1220" t="str">
        <f ca="1">IFERROR(VLOOKUP(PenaltyData[[#This Row],[Penalty]],PenaltyNames91419[],2,FALSE),"")</f>
        <v>Dir of Play</v>
      </c>
      <c r="J536" s="1220" t="s">
        <v>781</v>
      </c>
      <c r="K536" s="1220">
        <f t="shared" si="33"/>
        <v>22</v>
      </c>
      <c r="L536" s="1220"/>
    </row>
    <row r="537" spans="1:12" x14ac:dyDescent="0.25">
      <c r="A537" s="1230">
        <f t="shared" si="34"/>
        <v>42105</v>
      </c>
      <c r="B537" s="1231">
        <f t="shared" si="35"/>
        <v>0.83333333333333337</v>
      </c>
      <c r="C537" s="1220">
        <v>2</v>
      </c>
      <c r="D537" s="1220" t="str">
        <f t="shared" si="32"/>
        <v>Harlots</v>
      </c>
      <c r="E537" s="1220">
        <f ca="1">VALUE(INDIRECT("Penalties!"&amp;PenaltyData[[#This Row],[REF]]&amp;(PenaltyData[[#This Row],[ROW]]+1)))</f>
        <v>0</v>
      </c>
      <c r="F537" s="1220" t="str">
        <f ca="1">IF(INDIRECT("Penalties!"&amp;$N$29&amp;PenaltyData[[#This Row],[ROW]],TRUE)=0, "",INDIRECT("Penalties!"&amp;$N$29&amp;PenaltyData[[#This Row],[ROW]],TRUE))</f>
        <v>519</v>
      </c>
      <c r="G537" s="1220">
        <f ca="1">COUNTIFS($H$1:H537,"&lt;&gt;0", $F$1:F537,PenaltyData[[#This Row],[PlayerIdx]],$D$1:D537,PenaltyData[[#This Row],[Team]])</f>
        <v>4</v>
      </c>
      <c r="H537" s="1220">
        <f ca="1">INDIRECT("Penalties!"&amp;PenaltyData[[#This Row],[REF]]&amp;PenaltyData[[#This Row],[ROW]])</f>
        <v>0</v>
      </c>
      <c r="I537" s="1220" t="str">
        <f ca="1">IFERROR(VLOOKUP(PenaltyData[[#This Row],[Penalty]],PenaltyNames91419[],2,FALSE),"")</f>
        <v/>
      </c>
      <c r="J537" s="1220" t="s">
        <v>782</v>
      </c>
      <c r="K537" s="1220">
        <f t="shared" si="33"/>
        <v>22</v>
      </c>
      <c r="L537" s="1220"/>
    </row>
    <row r="538" spans="1:12" x14ac:dyDescent="0.25">
      <c r="A538" s="1230">
        <f t="shared" si="34"/>
        <v>42105</v>
      </c>
      <c r="B538" s="1231">
        <f t="shared" si="35"/>
        <v>0.83333333333333337</v>
      </c>
      <c r="C538" s="1220">
        <v>2</v>
      </c>
      <c r="D538" s="1220" t="str">
        <f t="shared" si="32"/>
        <v>Harlots</v>
      </c>
      <c r="E538" s="1220">
        <f ca="1">VALUE(INDIRECT("Penalties!"&amp;PenaltyData[[#This Row],[REF]]&amp;(PenaltyData[[#This Row],[ROW]]+1)))</f>
        <v>0</v>
      </c>
      <c r="F538" s="1220" t="str">
        <f ca="1">IF(INDIRECT("Penalties!"&amp;$N$29&amp;PenaltyData[[#This Row],[ROW]],TRUE)=0, "",INDIRECT("Penalties!"&amp;$N$29&amp;PenaltyData[[#This Row],[ROW]],TRUE))</f>
        <v>519</v>
      </c>
      <c r="G538" s="1220">
        <f ca="1">COUNTIFS($H$1:H538,"&lt;&gt;0", $F$1:F538,PenaltyData[[#This Row],[PlayerIdx]],$D$1:D538,PenaltyData[[#This Row],[Team]])</f>
        <v>4</v>
      </c>
      <c r="H538" s="1220">
        <f ca="1">INDIRECT("Penalties!"&amp;PenaltyData[[#This Row],[REF]]&amp;PenaltyData[[#This Row],[ROW]])</f>
        <v>0</v>
      </c>
      <c r="I538" s="1220" t="str">
        <f ca="1">IFERROR(VLOOKUP(PenaltyData[[#This Row],[Penalty]],PenaltyNames91419[],2,FALSE),"")</f>
        <v/>
      </c>
      <c r="J538" s="1220" t="s">
        <v>783</v>
      </c>
      <c r="K538" s="1220">
        <f t="shared" si="33"/>
        <v>22</v>
      </c>
      <c r="L538" s="1220"/>
    </row>
    <row r="539" spans="1:12" x14ac:dyDescent="0.25">
      <c r="A539" s="1230">
        <f t="shared" si="34"/>
        <v>42105</v>
      </c>
      <c r="B539" s="1231">
        <f t="shared" si="35"/>
        <v>0.83333333333333337</v>
      </c>
      <c r="C539" s="1220">
        <v>2</v>
      </c>
      <c r="D539" s="1220" t="str">
        <f t="shared" si="32"/>
        <v>Harlots</v>
      </c>
      <c r="E539" s="1220">
        <f ca="1">VALUE(INDIRECT("Penalties!"&amp;PenaltyData[[#This Row],[REF]]&amp;(PenaltyData[[#This Row],[ROW]]+1)))</f>
        <v>0</v>
      </c>
      <c r="F539" s="1220" t="str">
        <f ca="1">IF(INDIRECT("Penalties!"&amp;$N$29&amp;PenaltyData[[#This Row],[ROW]],TRUE)=0, "",INDIRECT("Penalties!"&amp;$N$29&amp;PenaltyData[[#This Row],[ROW]],TRUE))</f>
        <v>519</v>
      </c>
      <c r="G539" s="1220">
        <f ca="1">COUNTIFS($H$1:H539,"&lt;&gt;0", $F$1:F539,PenaltyData[[#This Row],[PlayerIdx]],$D$1:D539,PenaltyData[[#This Row],[Team]])</f>
        <v>4</v>
      </c>
      <c r="H539" s="1220">
        <f ca="1">INDIRECT("Penalties!"&amp;PenaltyData[[#This Row],[REF]]&amp;PenaltyData[[#This Row],[ROW]])</f>
        <v>0</v>
      </c>
      <c r="I539" s="1220" t="str">
        <f ca="1">IFERROR(VLOOKUP(PenaltyData[[#This Row],[Penalty]],PenaltyNames91419[],2,FALSE),"")</f>
        <v/>
      </c>
      <c r="J539" s="1220" t="s">
        <v>784</v>
      </c>
      <c r="K539" s="1220">
        <f t="shared" si="33"/>
        <v>22</v>
      </c>
      <c r="L539" s="1220"/>
    </row>
    <row r="540" spans="1:12" x14ac:dyDescent="0.25">
      <c r="A540" s="1230">
        <f t="shared" si="34"/>
        <v>42105</v>
      </c>
      <c r="B540" s="1231">
        <f t="shared" si="35"/>
        <v>0.83333333333333337</v>
      </c>
      <c r="C540" s="1220">
        <v>2</v>
      </c>
      <c r="D540" s="1220" t="str">
        <f t="shared" si="32"/>
        <v>Harlots</v>
      </c>
      <c r="E540" s="1220">
        <f ca="1">VALUE(INDIRECT("Penalties!"&amp;PenaltyData[[#This Row],[REF]]&amp;(PenaltyData[[#This Row],[ROW]]+1)))</f>
        <v>0</v>
      </c>
      <c r="F540" s="1220" t="str">
        <f ca="1">IF(INDIRECT("Penalties!"&amp;$N$29&amp;PenaltyData[[#This Row],[ROW]],TRUE)=0, "",INDIRECT("Penalties!"&amp;$N$29&amp;PenaltyData[[#This Row],[ROW]],TRUE))</f>
        <v>519</v>
      </c>
      <c r="G540" s="1220">
        <f ca="1">COUNTIFS($H$1:H540,"&lt;&gt;0", $F$1:F540,PenaltyData[[#This Row],[PlayerIdx]],$D$1:D540,PenaltyData[[#This Row],[Team]])</f>
        <v>4</v>
      </c>
      <c r="H540" s="1220">
        <f ca="1">INDIRECT("Penalties!"&amp;PenaltyData[[#This Row],[REF]]&amp;PenaltyData[[#This Row],[ROW]])</f>
        <v>0</v>
      </c>
      <c r="I540" s="1220" t="str">
        <f ca="1">IFERROR(VLOOKUP(PenaltyData[[#This Row],[Penalty]],PenaltyNames91419[],2,FALSE),"")</f>
        <v/>
      </c>
      <c r="J540" s="1220" t="s">
        <v>785</v>
      </c>
      <c r="K540" s="1220">
        <f t="shared" si="33"/>
        <v>22</v>
      </c>
      <c r="L540" s="1220"/>
    </row>
    <row r="541" spans="1:12" x14ac:dyDescent="0.25">
      <c r="A541" s="1230">
        <f t="shared" si="34"/>
        <v>42105</v>
      </c>
      <c r="B541" s="1231">
        <f t="shared" si="35"/>
        <v>0.83333333333333337</v>
      </c>
      <c r="C541" s="1220">
        <v>2</v>
      </c>
      <c r="D541" s="1220" t="str">
        <f t="shared" si="32"/>
        <v>Harlots</v>
      </c>
      <c r="E541" s="1220">
        <f ca="1">VALUE(INDIRECT("Penalties!"&amp;PenaltyData[[#This Row],[REF]]&amp;(PenaltyData[[#This Row],[ROW]]+1)))</f>
        <v>0</v>
      </c>
      <c r="F541" s="1220" t="str">
        <f ca="1">IF(INDIRECT("Penalties!"&amp;$N$29&amp;PenaltyData[[#This Row],[ROW]],TRUE)=0, "",INDIRECT("Penalties!"&amp;$N$29&amp;PenaltyData[[#This Row],[ROW]],TRUE))</f>
        <v>519</v>
      </c>
      <c r="G541" s="1220">
        <f ca="1">COUNTIFS($H$1:H541,"&lt;&gt;0", $F$1:F541,PenaltyData[[#This Row],[PlayerIdx]],$D$1:D541,PenaltyData[[#This Row],[Team]])</f>
        <v>4</v>
      </c>
      <c r="H541" s="1220">
        <f ca="1">INDIRECT("Penalties!"&amp;PenaltyData[[#This Row],[REF]]&amp;PenaltyData[[#This Row],[ROW]])</f>
        <v>0</v>
      </c>
      <c r="I541" s="1220" t="str">
        <f ca="1">IFERROR(VLOOKUP(PenaltyData[[#This Row],[Penalty]],PenaltyNames91419[],2,FALSE),"")</f>
        <v/>
      </c>
      <c r="J541" s="1220" t="s">
        <v>786</v>
      </c>
      <c r="K541" s="1220">
        <f t="shared" si="33"/>
        <v>22</v>
      </c>
      <c r="L541" s="1220"/>
    </row>
    <row r="542" spans="1:12" x14ac:dyDescent="0.25">
      <c r="A542" s="1230">
        <f t="shared" si="34"/>
        <v>42105</v>
      </c>
      <c r="B542" s="1231">
        <f t="shared" si="35"/>
        <v>0.83333333333333337</v>
      </c>
      <c r="C542" s="1220">
        <v>1</v>
      </c>
      <c r="D542" s="1220" t="str">
        <f t="shared" si="32"/>
        <v>Harlots</v>
      </c>
      <c r="E542" s="1220">
        <f ca="1">VALUE(INDIRECT("Penalties!"&amp;PenaltyData[[#This Row],[REF]]&amp;(PenaltyData[[#This Row],[ROW]]+1)))</f>
        <v>2</v>
      </c>
      <c r="F542" s="1220" t="str">
        <f ca="1">IF(INDIRECT("Penalties!"&amp;$N$29&amp;PenaltyData[[#This Row],[ROW]],TRUE)=0, "",INDIRECT("Penalties!"&amp;$N$29&amp;PenaltyData[[#This Row],[ROW]],TRUE))</f>
        <v>58</v>
      </c>
      <c r="G542" s="1220">
        <f ca="1">COUNTIFS($H$1:H542,"&lt;&gt;0", $F$1:F542,PenaltyData[[#This Row],[PlayerIdx]],$D$1:D542,PenaltyData[[#This Row],[Team]])</f>
        <v>1</v>
      </c>
      <c r="H542" s="1220" t="str">
        <f ca="1">INDIRECT("Penalties!"&amp;PenaltyData[[#This Row],[REF]]&amp;PenaltyData[[#This Row],[ROW]])</f>
        <v>X</v>
      </c>
      <c r="I542" s="1220" t="str">
        <f ca="1">IFERROR(VLOOKUP(PenaltyData[[#This Row],[Penalty]],PenaltyNames91419[],2,FALSE),"")</f>
        <v>Cut Track</v>
      </c>
      <c r="J542" s="1220" t="s">
        <v>771</v>
      </c>
      <c r="K542" s="1220">
        <f t="shared" si="33"/>
        <v>24</v>
      </c>
      <c r="L542" s="1220"/>
    </row>
    <row r="543" spans="1:12" x14ac:dyDescent="0.25">
      <c r="A543" s="1230">
        <f t="shared" si="34"/>
        <v>42105</v>
      </c>
      <c r="B543" s="1231">
        <f t="shared" si="35"/>
        <v>0.83333333333333337</v>
      </c>
      <c r="C543" s="1220">
        <v>1</v>
      </c>
      <c r="D543" s="1220" t="str">
        <f t="shared" si="32"/>
        <v>Harlots</v>
      </c>
      <c r="E543" s="1220">
        <f ca="1">VALUE(INDIRECT("Penalties!"&amp;PenaltyData[[#This Row],[REF]]&amp;(PenaltyData[[#This Row],[ROW]]+1)))</f>
        <v>0</v>
      </c>
      <c r="F543" s="1220" t="str">
        <f ca="1">IF(INDIRECT("Penalties!"&amp;$N$29&amp;PenaltyData[[#This Row],[ROW]],TRUE)=0, "",INDIRECT("Penalties!"&amp;$N$29&amp;PenaltyData[[#This Row],[ROW]],TRUE))</f>
        <v>58</v>
      </c>
      <c r="G543" s="1220">
        <f ca="1">COUNTIFS($H$1:H543,"&lt;&gt;0", $F$1:F543,PenaltyData[[#This Row],[PlayerIdx]],$D$1:D543,PenaltyData[[#This Row],[Team]])</f>
        <v>1</v>
      </c>
      <c r="H543" s="1220">
        <f ca="1">INDIRECT("Penalties!"&amp;PenaltyData[[#This Row],[REF]]&amp;PenaltyData[[#This Row],[ROW]])</f>
        <v>0</v>
      </c>
      <c r="I543" s="1220" t="str">
        <f ca="1">IFERROR(VLOOKUP(PenaltyData[[#This Row],[Penalty]],PenaltyNames91419[],2,FALSE),"")</f>
        <v/>
      </c>
      <c r="J543" s="1220" t="s">
        <v>772</v>
      </c>
      <c r="K543" s="1220">
        <f t="shared" si="33"/>
        <v>24</v>
      </c>
      <c r="L543" s="1220"/>
    </row>
    <row r="544" spans="1:12" x14ac:dyDescent="0.25">
      <c r="A544" s="1230">
        <f t="shared" si="34"/>
        <v>42105</v>
      </c>
      <c r="B544" s="1231">
        <f t="shared" si="35"/>
        <v>0.83333333333333337</v>
      </c>
      <c r="C544" s="1220">
        <v>1</v>
      </c>
      <c r="D544" s="1220" t="str">
        <f t="shared" si="32"/>
        <v>Harlots</v>
      </c>
      <c r="E544" s="1220">
        <f ca="1">VALUE(INDIRECT("Penalties!"&amp;PenaltyData[[#This Row],[REF]]&amp;(PenaltyData[[#This Row],[ROW]]+1)))</f>
        <v>0</v>
      </c>
      <c r="F544" s="1220" t="str">
        <f ca="1">IF(INDIRECT("Penalties!"&amp;$N$29&amp;PenaltyData[[#This Row],[ROW]],TRUE)=0, "",INDIRECT("Penalties!"&amp;$N$29&amp;PenaltyData[[#This Row],[ROW]],TRUE))</f>
        <v>58</v>
      </c>
      <c r="G544" s="1220">
        <f ca="1">COUNTIFS($H$1:H544,"&lt;&gt;0", $F$1:F544,PenaltyData[[#This Row],[PlayerIdx]],$D$1:D544,PenaltyData[[#This Row],[Team]])</f>
        <v>1</v>
      </c>
      <c r="H544" s="1220">
        <f ca="1">INDIRECT("Penalties!"&amp;PenaltyData[[#This Row],[REF]]&amp;PenaltyData[[#This Row],[ROW]])</f>
        <v>0</v>
      </c>
      <c r="I544" s="1220" t="str">
        <f ca="1">IFERROR(VLOOKUP(PenaltyData[[#This Row],[Penalty]],PenaltyNames91419[],2,FALSE),"")</f>
        <v/>
      </c>
      <c r="J544" s="1220" t="s">
        <v>159</v>
      </c>
      <c r="K544" s="1220">
        <f t="shared" si="33"/>
        <v>24</v>
      </c>
      <c r="L544" s="1220"/>
    </row>
    <row r="545" spans="1:12" x14ac:dyDescent="0.25">
      <c r="A545" s="1230">
        <f t="shared" si="34"/>
        <v>42105</v>
      </c>
      <c r="B545" s="1231">
        <f t="shared" si="35"/>
        <v>0.83333333333333337</v>
      </c>
      <c r="C545" s="1220">
        <v>1</v>
      </c>
      <c r="D545" s="1220" t="str">
        <f t="shared" si="32"/>
        <v>Harlots</v>
      </c>
      <c r="E545" s="1220">
        <f ca="1">VALUE(INDIRECT("Penalties!"&amp;PenaltyData[[#This Row],[REF]]&amp;(PenaltyData[[#This Row],[ROW]]+1)))</f>
        <v>0</v>
      </c>
      <c r="F545" s="1220" t="str">
        <f ca="1">IF(INDIRECT("Penalties!"&amp;$N$29&amp;PenaltyData[[#This Row],[ROW]],TRUE)=0, "",INDIRECT("Penalties!"&amp;$N$29&amp;PenaltyData[[#This Row],[ROW]],TRUE))</f>
        <v>58</v>
      </c>
      <c r="G545" s="1220">
        <f ca="1">COUNTIFS($H$1:H545,"&lt;&gt;0", $F$1:F545,PenaltyData[[#This Row],[PlayerIdx]],$D$1:D545,PenaltyData[[#This Row],[Team]])</f>
        <v>1</v>
      </c>
      <c r="H545" s="1220">
        <f ca="1">INDIRECT("Penalties!"&amp;PenaltyData[[#This Row],[REF]]&amp;PenaltyData[[#This Row],[ROW]])</f>
        <v>0</v>
      </c>
      <c r="I545" s="1220" t="str">
        <f ca="1">IFERROR(VLOOKUP(PenaltyData[[#This Row],[Penalty]],PenaltyNames91419[],2,FALSE),"")</f>
        <v/>
      </c>
      <c r="J545" s="1220" t="s">
        <v>773</v>
      </c>
      <c r="K545" s="1220">
        <f t="shared" si="33"/>
        <v>24</v>
      </c>
      <c r="L545" s="1220"/>
    </row>
    <row r="546" spans="1:12" x14ac:dyDescent="0.25">
      <c r="A546" s="1230">
        <f t="shared" si="34"/>
        <v>42105</v>
      </c>
      <c r="B546" s="1231">
        <f t="shared" si="35"/>
        <v>0.83333333333333337</v>
      </c>
      <c r="C546" s="1220">
        <v>1</v>
      </c>
      <c r="D546" s="1220" t="str">
        <f t="shared" si="32"/>
        <v>Harlots</v>
      </c>
      <c r="E546" s="1220">
        <f ca="1">VALUE(INDIRECT("Penalties!"&amp;PenaltyData[[#This Row],[REF]]&amp;(PenaltyData[[#This Row],[ROW]]+1)))</f>
        <v>0</v>
      </c>
      <c r="F546" s="1220" t="str">
        <f ca="1">IF(INDIRECT("Penalties!"&amp;$N$29&amp;PenaltyData[[#This Row],[ROW]],TRUE)=0, "",INDIRECT("Penalties!"&amp;$N$29&amp;PenaltyData[[#This Row],[ROW]],TRUE))</f>
        <v>58</v>
      </c>
      <c r="G546" s="1220">
        <f ca="1">COUNTIFS($H$1:H546,"&lt;&gt;0", $F$1:F546,PenaltyData[[#This Row],[PlayerIdx]],$D$1:D546,PenaltyData[[#This Row],[Team]])</f>
        <v>1</v>
      </c>
      <c r="H546" s="1220">
        <f ca="1">INDIRECT("Penalties!"&amp;PenaltyData[[#This Row],[REF]]&amp;PenaltyData[[#This Row],[ROW]])</f>
        <v>0</v>
      </c>
      <c r="I546" s="1220" t="str">
        <f ca="1">IFERROR(VLOOKUP(PenaltyData[[#This Row],[Penalty]],PenaltyNames91419[],2,FALSE),"")</f>
        <v/>
      </c>
      <c r="J546" s="1220" t="s">
        <v>774</v>
      </c>
      <c r="K546" s="1220">
        <f t="shared" si="33"/>
        <v>24</v>
      </c>
      <c r="L546" s="1220"/>
    </row>
    <row r="547" spans="1:12" x14ac:dyDescent="0.25">
      <c r="A547" s="1230">
        <f t="shared" si="34"/>
        <v>42105</v>
      </c>
      <c r="B547" s="1231">
        <f t="shared" si="35"/>
        <v>0.83333333333333337</v>
      </c>
      <c r="C547" s="1220">
        <v>1</v>
      </c>
      <c r="D547" s="1220" t="str">
        <f t="shared" si="32"/>
        <v>Harlots</v>
      </c>
      <c r="E547" s="1220">
        <f ca="1">VALUE(INDIRECT("Penalties!"&amp;PenaltyData[[#This Row],[REF]]&amp;(PenaltyData[[#This Row],[ROW]]+1)))</f>
        <v>0</v>
      </c>
      <c r="F547" s="1220" t="str">
        <f ca="1">IF(INDIRECT("Penalties!"&amp;$N$29&amp;PenaltyData[[#This Row],[ROW]],TRUE)=0, "",INDIRECT("Penalties!"&amp;$N$29&amp;PenaltyData[[#This Row],[ROW]],TRUE))</f>
        <v>58</v>
      </c>
      <c r="G547" s="1220">
        <f ca="1">COUNTIFS($H$1:H547,"&lt;&gt;0", $F$1:F547,PenaltyData[[#This Row],[PlayerIdx]],$D$1:D547,PenaltyData[[#This Row],[Team]])</f>
        <v>1</v>
      </c>
      <c r="H547" s="1220">
        <f ca="1">INDIRECT("Penalties!"&amp;PenaltyData[[#This Row],[REF]]&amp;PenaltyData[[#This Row],[ROW]])</f>
        <v>0</v>
      </c>
      <c r="I547" s="1220" t="str">
        <f ca="1">IFERROR(VLOOKUP(PenaltyData[[#This Row],[Penalty]],PenaltyNames91419[],2,FALSE),"")</f>
        <v/>
      </c>
      <c r="J547" s="1220" t="s">
        <v>775</v>
      </c>
      <c r="K547" s="1220">
        <f t="shared" si="33"/>
        <v>24</v>
      </c>
      <c r="L547" s="1220"/>
    </row>
    <row r="548" spans="1:12" x14ac:dyDescent="0.25">
      <c r="A548" s="1230">
        <f t="shared" si="34"/>
        <v>42105</v>
      </c>
      <c r="B548" s="1231">
        <f t="shared" si="35"/>
        <v>0.83333333333333337</v>
      </c>
      <c r="C548" s="1220">
        <v>1</v>
      </c>
      <c r="D548" s="1220" t="str">
        <f t="shared" si="32"/>
        <v>Harlots</v>
      </c>
      <c r="E548" s="1220">
        <f ca="1">VALUE(INDIRECT("Penalties!"&amp;PenaltyData[[#This Row],[REF]]&amp;(PenaltyData[[#This Row],[ROW]]+1)))</f>
        <v>0</v>
      </c>
      <c r="F548" s="1220" t="str">
        <f ca="1">IF(INDIRECT("Penalties!"&amp;$N$29&amp;PenaltyData[[#This Row],[ROW]],TRUE)=0, "",INDIRECT("Penalties!"&amp;$N$29&amp;PenaltyData[[#This Row],[ROW]],TRUE))</f>
        <v>58</v>
      </c>
      <c r="G548" s="1220">
        <f ca="1">COUNTIFS($H$1:H548,"&lt;&gt;0", $F$1:F548,PenaltyData[[#This Row],[PlayerIdx]],$D$1:D548,PenaltyData[[#This Row],[Team]])</f>
        <v>1</v>
      </c>
      <c r="H548" s="1220">
        <f ca="1">INDIRECT("Penalties!"&amp;PenaltyData[[#This Row],[REF]]&amp;PenaltyData[[#This Row],[ROW]])</f>
        <v>0</v>
      </c>
      <c r="I548" s="1220" t="str">
        <f ca="1">IFERROR(VLOOKUP(PenaltyData[[#This Row],[Penalty]],PenaltyNames91419[],2,FALSE),"")</f>
        <v/>
      </c>
      <c r="J548" s="1220" t="s">
        <v>776</v>
      </c>
      <c r="K548" s="1220">
        <f t="shared" si="33"/>
        <v>24</v>
      </c>
      <c r="L548" s="1220"/>
    </row>
    <row r="549" spans="1:12" x14ac:dyDescent="0.25">
      <c r="A549" s="1230">
        <f t="shared" si="34"/>
        <v>42105</v>
      </c>
      <c r="B549" s="1231">
        <f t="shared" si="35"/>
        <v>0.83333333333333337</v>
      </c>
      <c r="C549" s="1220">
        <v>1</v>
      </c>
      <c r="D549" s="1220" t="str">
        <f t="shared" si="32"/>
        <v>Harlots</v>
      </c>
      <c r="E549" s="1220">
        <f ca="1">VALUE(INDIRECT("Penalties!"&amp;PenaltyData[[#This Row],[REF]]&amp;(PenaltyData[[#This Row],[ROW]]+1)))</f>
        <v>0</v>
      </c>
      <c r="F549" s="1220" t="str">
        <f ca="1">IF(INDIRECT("Penalties!"&amp;$N$29&amp;PenaltyData[[#This Row],[ROW]],TRUE)=0, "",INDIRECT("Penalties!"&amp;$N$29&amp;PenaltyData[[#This Row],[ROW]],TRUE))</f>
        <v>58</v>
      </c>
      <c r="G549" s="1220">
        <f ca="1">COUNTIFS($H$1:H549,"&lt;&gt;0", $F$1:F549,PenaltyData[[#This Row],[PlayerIdx]],$D$1:D549,PenaltyData[[#This Row],[Team]])</f>
        <v>1</v>
      </c>
      <c r="H549" s="1220">
        <f ca="1">INDIRECT("Penalties!"&amp;PenaltyData[[#This Row],[REF]]&amp;PenaltyData[[#This Row],[ROW]])</f>
        <v>0</v>
      </c>
      <c r="I549" s="1220" t="str">
        <f ca="1">IFERROR(VLOOKUP(PenaltyData[[#This Row],[Penalty]],PenaltyNames91419[],2,FALSE),"")</f>
        <v/>
      </c>
      <c r="J549" s="1220" t="s">
        <v>140</v>
      </c>
      <c r="K549" s="1220">
        <f t="shared" si="33"/>
        <v>24</v>
      </c>
      <c r="L549" s="1220"/>
    </row>
    <row r="550" spans="1:12" x14ac:dyDescent="0.25">
      <c r="A550" s="1230">
        <f t="shared" si="34"/>
        <v>42105</v>
      </c>
      <c r="B550" s="1231">
        <f t="shared" si="35"/>
        <v>0.83333333333333337</v>
      </c>
      <c r="C550" s="1220">
        <v>1</v>
      </c>
      <c r="D550" s="1220" t="str">
        <f t="shared" si="32"/>
        <v>Harlots</v>
      </c>
      <c r="E550" s="1220">
        <f ca="1">VALUE(INDIRECT("Penalties!"&amp;PenaltyData[[#This Row],[REF]]&amp;(PenaltyData[[#This Row],[ROW]]+1)))</f>
        <v>0</v>
      </c>
      <c r="F550" s="1220" t="str">
        <f ca="1">IF(INDIRECT("Penalties!"&amp;$N$29&amp;PenaltyData[[#This Row],[ROW]],TRUE)=0, "",INDIRECT("Penalties!"&amp;$N$29&amp;PenaltyData[[#This Row],[ROW]],TRUE))</f>
        <v>58</v>
      </c>
      <c r="G550" s="1220">
        <f ca="1">COUNTIFS($H$1:H550,"&lt;&gt;0", $F$1:F550,PenaltyData[[#This Row],[PlayerIdx]],$D$1:D550,PenaltyData[[#This Row],[Team]])</f>
        <v>1</v>
      </c>
      <c r="H550" s="1220">
        <f ca="1">INDIRECT("Penalties!"&amp;PenaltyData[[#This Row],[REF]]&amp;PenaltyData[[#This Row],[ROW]])</f>
        <v>0</v>
      </c>
      <c r="I550" s="1220" t="str">
        <f ca="1">IFERROR(VLOOKUP(PenaltyData[[#This Row],[Penalty]],PenaltyNames91419[],2,FALSE),"")</f>
        <v/>
      </c>
      <c r="J550" s="1220" t="s">
        <v>777</v>
      </c>
      <c r="K550" s="1220">
        <f t="shared" si="33"/>
        <v>24</v>
      </c>
      <c r="L550" s="1220"/>
    </row>
    <row r="551" spans="1:12" x14ac:dyDescent="0.25">
      <c r="A551" s="1230">
        <f t="shared" si="34"/>
        <v>42105</v>
      </c>
      <c r="B551" s="1231">
        <f t="shared" si="35"/>
        <v>0.83333333333333337</v>
      </c>
      <c r="C551" s="1220">
        <v>2</v>
      </c>
      <c r="D551" s="1220" t="str">
        <f t="shared" si="32"/>
        <v>Harlots</v>
      </c>
      <c r="E551" s="1220">
        <f ca="1">VALUE(INDIRECT("Penalties!"&amp;PenaltyData[[#This Row],[REF]]&amp;(PenaltyData[[#This Row],[ROW]]+1)))</f>
        <v>0</v>
      </c>
      <c r="F551" s="1220" t="str">
        <f ca="1">IF(INDIRECT("Penalties!"&amp;$N$29&amp;PenaltyData[[#This Row],[ROW]],TRUE)=0, "",INDIRECT("Penalties!"&amp;$N$29&amp;PenaltyData[[#This Row],[ROW]],TRUE))</f>
        <v>58</v>
      </c>
      <c r="G551" s="1220">
        <f ca="1">COUNTIFS($H$1:H551,"&lt;&gt;0", $F$1:F551,PenaltyData[[#This Row],[PlayerIdx]],$D$1:D551,PenaltyData[[#This Row],[Team]])</f>
        <v>1</v>
      </c>
      <c r="H551" s="1220">
        <f ca="1">INDIRECT("Penalties!"&amp;PenaltyData[[#This Row],[REF]]&amp;PenaltyData[[#This Row],[ROW]])</f>
        <v>0</v>
      </c>
      <c r="I551" s="1220" t="str">
        <f ca="1">IFERROR(VLOOKUP(PenaltyData[[#This Row],[Penalty]],PenaltyNames91419[],2,FALSE),"")</f>
        <v/>
      </c>
      <c r="J551" s="1220" t="s">
        <v>778</v>
      </c>
      <c r="K551" s="1220">
        <f t="shared" si="33"/>
        <v>24</v>
      </c>
      <c r="L551" s="1220"/>
    </row>
    <row r="552" spans="1:12" x14ac:dyDescent="0.25">
      <c r="A552" s="1230">
        <f t="shared" si="34"/>
        <v>42105</v>
      </c>
      <c r="B552" s="1231">
        <f t="shared" si="35"/>
        <v>0.83333333333333337</v>
      </c>
      <c r="C552" s="1220">
        <v>2</v>
      </c>
      <c r="D552" s="1220" t="str">
        <f t="shared" si="32"/>
        <v>Harlots</v>
      </c>
      <c r="E552" s="1220">
        <f ca="1">VALUE(INDIRECT("Penalties!"&amp;PenaltyData[[#This Row],[REF]]&amp;(PenaltyData[[#This Row],[ROW]]+1)))</f>
        <v>6</v>
      </c>
      <c r="F552" s="1220" t="str">
        <f ca="1">IF(INDIRECT("Penalties!"&amp;$N$29&amp;PenaltyData[[#This Row],[ROW]],TRUE)=0, "",INDIRECT("Penalties!"&amp;$N$29&amp;PenaltyData[[#This Row],[ROW]],TRUE))</f>
        <v>58</v>
      </c>
      <c r="G552" s="1220">
        <f ca="1">COUNTIFS($H$1:H552,"&lt;&gt;0", $F$1:F552,PenaltyData[[#This Row],[PlayerIdx]],$D$1:D552,PenaltyData[[#This Row],[Team]])</f>
        <v>2</v>
      </c>
      <c r="H552" s="1220" t="str">
        <f ca="1">INDIRECT("Penalties!"&amp;PenaltyData[[#This Row],[REF]]&amp;PenaltyData[[#This Row],[ROW]])</f>
        <v>B</v>
      </c>
      <c r="I552" s="1220" t="str">
        <f ca="1">IFERROR(VLOOKUP(PenaltyData[[#This Row],[Penalty]],PenaltyNames91419[],2,FALSE),"")</f>
        <v>Back Block</v>
      </c>
      <c r="J552" s="1220" t="s">
        <v>779</v>
      </c>
      <c r="K552" s="1220">
        <f t="shared" si="33"/>
        <v>24</v>
      </c>
      <c r="L552" s="1220"/>
    </row>
    <row r="553" spans="1:12" x14ac:dyDescent="0.25">
      <c r="A553" s="1230">
        <f t="shared" si="34"/>
        <v>42105</v>
      </c>
      <c r="B553" s="1231">
        <f t="shared" si="35"/>
        <v>0.83333333333333337</v>
      </c>
      <c r="C553" s="1220">
        <v>2</v>
      </c>
      <c r="D553" s="1220" t="str">
        <f t="shared" si="32"/>
        <v>Harlots</v>
      </c>
      <c r="E553" s="1220">
        <f ca="1">VALUE(INDIRECT("Penalties!"&amp;PenaltyData[[#This Row],[REF]]&amp;(PenaltyData[[#This Row],[ROW]]+1)))</f>
        <v>0</v>
      </c>
      <c r="F553" s="1220" t="str">
        <f ca="1">IF(INDIRECT("Penalties!"&amp;$N$29&amp;PenaltyData[[#This Row],[ROW]],TRUE)=0, "",INDIRECT("Penalties!"&amp;$N$29&amp;PenaltyData[[#This Row],[ROW]],TRUE))</f>
        <v>58</v>
      </c>
      <c r="G553" s="1220">
        <f ca="1">COUNTIFS($H$1:H553,"&lt;&gt;0", $F$1:F553,PenaltyData[[#This Row],[PlayerIdx]],$D$1:D553,PenaltyData[[#This Row],[Team]])</f>
        <v>2</v>
      </c>
      <c r="H553" s="1220">
        <f ca="1">INDIRECT("Penalties!"&amp;PenaltyData[[#This Row],[REF]]&amp;PenaltyData[[#This Row],[ROW]])</f>
        <v>0</v>
      </c>
      <c r="I553" s="1220" t="str">
        <f ca="1">IFERROR(VLOOKUP(PenaltyData[[#This Row],[Penalty]],PenaltyNames91419[],2,FALSE),"")</f>
        <v/>
      </c>
      <c r="J553" s="1220" t="s">
        <v>780</v>
      </c>
      <c r="K553" s="1220">
        <f t="shared" si="33"/>
        <v>24</v>
      </c>
      <c r="L553" s="1220"/>
    </row>
    <row r="554" spans="1:12" x14ac:dyDescent="0.25">
      <c r="A554" s="1230">
        <f t="shared" si="34"/>
        <v>42105</v>
      </c>
      <c r="B554" s="1231">
        <f t="shared" si="35"/>
        <v>0.83333333333333337</v>
      </c>
      <c r="C554" s="1220">
        <v>2</v>
      </c>
      <c r="D554" s="1220" t="str">
        <f t="shared" si="32"/>
        <v>Harlots</v>
      </c>
      <c r="E554" s="1220">
        <f ca="1">VALUE(INDIRECT("Penalties!"&amp;PenaltyData[[#This Row],[REF]]&amp;(PenaltyData[[#This Row],[ROW]]+1)))</f>
        <v>0</v>
      </c>
      <c r="F554" s="1220" t="str">
        <f ca="1">IF(INDIRECT("Penalties!"&amp;$N$29&amp;PenaltyData[[#This Row],[ROW]],TRUE)=0, "",INDIRECT("Penalties!"&amp;$N$29&amp;PenaltyData[[#This Row],[ROW]],TRUE))</f>
        <v>58</v>
      </c>
      <c r="G554" s="1220">
        <f ca="1">COUNTIFS($H$1:H554,"&lt;&gt;0", $F$1:F554,PenaltyData[[#This Row],[PlayerIdx]],$D$1:D554,PenaltyData[[#This Row],[Team]])</f>
        <v>2</v>
      </c>
      <c r="H554" s="1220">
        <f ca="1">INDIRECT("Penalties!"&amp;PenaltyData[[#This Row],[REF]]&amp;PenaltyData[[#This Row],[ROW]])</f>
        <v>0</v>
      </c>
      <c r="I554" s="1220" t="str">
        <f ca="1">IFERROR(VLOOKUP(PenaltyData[[#This Row],[Penalty]],PenaltyNames91419[],2,FALSE),"")</f>
        <v/>
      </c>
      <c r="J554" s="1220" t="s">
        <v>781</v>
      </c>
      <c r="K554" s="1220">
        <f t="shared" si="33"/>
        <v>24</v>
      </c>
      <c r="L554" s="1220"/>
    </row>
    <row r="555" spans="1:12" x14ac:dyDescent="0.25">
      <c r="A555" s="1230">
        <f t="shared" si="34"/>
        <v>42105</v>
      </c>
      <c r="B555" s="1231">
        <f t="shared" si="35"/>
        <v>0.83333333333333337</v>
      </c>
      <c r="C555" s="1220">
        <v>2</v>
      </c>
      <c r="D555" s="1220" t="str">
        <f t="shared" ref="D555:D618" si="36">$O$3</f>
        <v>Harlots</v>
      </c>
      <c r="E555" s="1220">
        <f ca="1">VALUE(INDIRECT("Penalties!"&amp;PenaltyData[[#This Row],[REF]]&amp;(PenaltyData[[#This Row],[ROW]]+1)))</f>
        <v>0</v>
      </c>
      <c r="F555" s="1220" t="str">
        <f ca="1">IF(INDIRECT("Penalties!"&amp;$N$29&amp;PenaltyData[[#This Row],[ROW]],TRUE)=0, "",INDIRECT("Penalties!"&amp;$N$29&amp;PenaltyData[[#This Row],[ROW]],TRUE))</f>
        <v>58</v>
      </c>
      <c r="G555" s="1220">
        <f ca="1">COUNTIFS($H$1:H555,"&lt;&gt;0", $F$1:F555,PenaltyData[[#This Row],[PlayerIdx]],$D$1:D555,PenaltyData[[#This Row],[Team]])</f>
        <v>2</v>
      </c>
      <c r="H555" s="1220">
        <f ca="1">INDIRECT("Penalties!"&amp;PenaltyData[[#This Row],[REF]]&amp;PenaltyData[[#This Row],[ROW]])</f>
        <v>0</v>
      </c>
      <c r="I555" s="1220" t="str">
        <f ca="1">IFERROR(VLOOKUP(PenaltyData[[#This Row],[Penalty]],PenaltyNames91419[],2,FALSE),"")</f>
        <v/>
      </c>
      <c r="J555" s="1220" t="s">
        <v>782</v>
      </c>
      <c r="K555" s="1220">
        <f t="shared" si="33"/>
        <v>24</v>
      </c>
      <c r="L555" s="1220"/>
    </row>
    <row r="556" spans="1:12" x14ac:dyDescent="0.25">
      <c r="A556" s="1230">
        <f t="shared" si="34"/>
        <v>42105</v>
      </c>
      <c r="B556" s="1231">
        <f t="shared" si="35"/>
        <v>0.83333333333333337</v>
      </c>
      <c r="C556" s="1220">
        <v>2</v>
      </c>
      <c r="D556" s="1220" t="str">
        <f t="shared" si="36"/>
        <v>Harlots</v>
      </c>
      <c r="E556" s="1220">
        <f ca="1">VALUE(INDIRECT("Penalties!"&amp;PenaltyData[[#This Row],[REF]]&amp;(PenaltyData[[#This Row],[ROW]]+1)))</f>
        <v>0</v>
      </c>
      <c r="F556" s="1220" t="str">
        <f ca="1">IF(INDIRECT("Penalties!"&amp;$N$29&amp;PenaltyData[[#This Row],[ROW]],TRUE)=0, "",INDIRECT("Penalties!"&amp;$N$29&amp;PenaltyData[[#This Row],[ROW]],TRUE))</f>
        <v>58</v>
      </c>
      <c r="G556" s="1220">
        <f ca="1">COUNTIFS($H$1:H556,"&lt;&gt;0", $F$1:F556,PenaltyData[[#This Row],[PlayerIdx]],$D$1:D556,PenaltyData[[#This Row],[Team]])</f>
        <v>2</v>
      </c>
      <c r="H556" s="1220">
        <f ca="1">INDIRECT("Penalties!"&amp;PenaltyData[[#This Row],[REF]]&amp;PenaltyData[[#This Row],[ROW]])</f>
        <v>0</v>
      </c>
      <c r="I556" s="1220" t="str">
        <f ca="1">IFERROR(VLOOKUP(PenaltyData[[#This Row],[Penalty]],PenaltyNames91419[],2,FALSE),"")</f>
        <v/>
      </c>
      <c r="J556" s="1220" t="s">
        <v>783</v>
      </c>
      <c r="K556" s="1220">
        <f t="shared" si="33"/>
        <v>24</v>
      </c>
      <c r="L556" s="1220"/>
    </row>
    <row r="557" spans="1:12" x14ac:dyDescent="0.25">
      <c r="A557" s="1230">
        <f t="shared" si="34"/>
        <v>42105</v>
      </c>
      <c r="B557" s="1231">
        <f t="shared" si="35"/>
        <v>0.83333333333333337</v>
      </c>
      <c r="C557" s="1220">
        <v>2</v>
      </c>
      <c r="D557" s="1220" t="str">
        <f t="shared" si="36"/>
        <v>Harlots</v>
      </c>
      <c r="E557" s="1220">
        <f ca="1">VALUE(INDIRECT("Penalties!"&amp;PenaltyData[[#This Row],[REF]]&amp;(PenaltyData[[#This Row],[ROW]]+1)))</f>
        <v>0</v>
      </c>
      <c r="F557" s="1220" t="str">
        <f ca="1">IF(INDIRECT("Penalties!"&amp;$N$29&amp;PenaltyData[[#This Row],[ROW]],TRUE)=0, "",INDIRECT("Penalties!"&amp;$N$29&amp;PenaltyData[[#This Row],[ROW]],TRUE))</f>
        <v>58</v>
      </c>
      <c r="G557" s="1220">
        <f ca="1">COUNTIFS($H$1:H557,"&lt;&gt;0", $F$1:F557,PenaltyData[[#This Row],[PlayerIdx]],$D$1:D557,PenaltyData[[#This Row],[Team]])</f>
        <v>2</v>
      </c>
      <c r="H557" s="1220">
        <f ca="1">INDIRECT("Penalties!"&amp;PenaltyData[[#This Row],[REF]]&amp;PenaltyData[[#This Row],[ROW]])</f>
        <v>0</v>
      </c>
      <c r="I557" s="1220" t="str">
        <f ca="1">IFERROR(VLOOKUP(PenaltyData[[#This Row],[Penalty]],PenaltyNames91419[],2,FALSE),"")</f>
        <v/>
      </c>
      <c r="J557" s="1220" t="s">
        <v>784</v>
      </c>
      <c r="K557" s="1220">
        <f t="shared" si="33"/>
        <v>24</v>
      </c>
      <c r="L557" s="1220"/>
    </row>
    <row r="558" spans="1:12" x14ac:dyDescent="0.25">
      <c r="A558" s="1230">
        <f t="shared" si="34"/>
        <v>42105</v>
      </c>
      <c r="B558" s="1231">
        <f t="shared" si="35"/>
        <v>0.83333333333333337</v>
      </c>
      <c r="C558" s="1220">
        <v>2</v>
      </c>
      <c r="D558" s="1220" t="str">
        <f t="shared" si="36"/>
        <v>Harlots</v>
      </c>
      <c r="E558" s="1220">
        <f ca="1">VALUE(INDIRECT("Penalties!"&amp;PenaltyData[[#This Row],[REF]]&amp;(PenaltyData[[#This Row],[ROW]]+1)))</f>
        <v>0</v>
      </c>
      <c r="F558" s="1220" t="str">
        <f ca="1">IF(INDIRECT("Penalties!"&amp;$N$29&amp;PenaltyData[[#This Row],[ROW]],TRUE)=0, "",INDIRECT("Penalties!"&amp;$N$29&amp;PenaltyData[[#This Row],[ROW]],TRUE))</f>
        <v>58</v>
      </c>
      <c r="G558" s="1220">
        <f ca="1">COUNTIFS($H$1:H558,"&lt;&gt;0", $F$1:F558,PenaltyData[[#This Row],[PlayerIdx]],$D$1:D558,PenaltyData[[#This Row],[Team]])</f>
        <v>2</v>
      </c>
      <c r="H558" s="1220">
        <f ca="1">INDIRECT("Penalties!"&amp;PenaltyData[[#This Row],[REF]]&amp;PenaltyData[[#This Row],[ROW]])</f>
        <v>0</v>
      </c>
      <c r="I558" s="1220" t="str">
        <f ca="1">IFERROR(VLOOKUP(PenaltyData[[#This Row],[Penalty]],PenaltyNames91419[],2,FALSE),"")</f>
        <v/>
      </c>
      <c r="J558" s="1220" t="s">
        <v>785</v>
      </c>
      <c r="K558" s="1220">
        <f t="shared" si="33"/>
        <v>24</v>
      </c>
      <c r="L558" s="1220"/>
    </row>
    <row r="559" spans="1:12" x14ac:dyDescent="0.25">
      <c r="A559" s="1230">
        <f t="shared" si="34"/>
        <v>42105</v>
      </c>
      <c r="B559" s="1231">
        <f t="shared" si="35"/>
        <v>0.83333333333333337</v>
      </c>
      <c r="C559" s="1220">
        <v>2</v>
      </c>
      <c r="D559" s="1220" t="str">
        <f t="shared" si="36"/>
        <v>Harlots</v>
      </c>
      <c r="E559" s="1220">
        <f ca="1">VALUE(INDIRECT("Penalties!"&amp;PenaltyData[[#This Row],[REF]]&amp;(PenaltyData[[#This Row],[ROW]]+1)))</f>
        <v>0</v>
      </c>
      <c r="F559" s="1220" t="str">
        <f ca="1">IF(INDIRECT("Penalties!"&amp;$N$29&amp;PenaltyData[[#This Row],[ROW]],TRUE)=0, "",INDIRECT("Penalties!"&amp;$N$29&amp;PenaltyData[[#This Row],[ROW]],TRUE))</f>
        <v>58</v>
      </c>
      <c r="G559" s="1220">
        <f ca="1">COUNTIFS($H$1:H559,"&lt;&gt;0", $F$1:F559,PenaltyData[[#This Row],[PlayerIdx]],$D$1:D559,PenaltyData[[#This Row],[Team]])</f>
        <v>2</v>
      </c>
      <c r="H559" s="1220">
        <f ca="1">INDIRECT("Penalties!"&amp;PenaltyData[[#This Row],[REF]]&amp;PenaltyData[[#This Row],[ROW]])</f>
        <v>0</v>
      </c>
      <c r="I559" s="1220" t="str">
        <f ca="1">IFERROR(VLOOKUP(PenaltyData[[#This Row],[Penalty]],PenaltyNames91419[],2,FALSE),"")</f>
        <v/>
      </c>
      <c r="J559" s="1220" t="s">
        <v>786</v>
      </c>
      <c r="K559" s="1220">
        <f t="shared" si="33"/>
        <v>24</v>
      </c>
      <c r="L559" s="1220"/>
    </row>
    <row r="560" spans="1:12" x14ac:dyDescent="0.25">
      <c r="A560" s="1230">
        <f t="shared" si="34"/>
        <v>42105</v>
      </c>
      <c r="B560" s="1231">
        <f t="shared" si="35"/>
        <v>0.83333333333333337</v>
      </c>
      <c r="C560" s="1220">
        <v>1</v>
      </c>
      <c r="D560" s="1220" t="str">
        <f t="shared" si="36"/>
        <v>Harlots</v>
      </c>
      <c r="E560" s="1220">
        <f ca="1">VALUE(INDIRECT("Penalties!"&amp;PenaltyData[[#This Row],[REF]]&amp;(PenaltyData[[#This Row],[ROW]]+1)))</f>
        <v>0</v>
      </c>
      <c r="F560" s="1220" t="str">
        <f ca="1">IF(INDIRECT("Penalties!"&amp;$N$29&amp;PenaltyData[[#This Row],[ROW]],TRUE)=0, "",INDIRECT("Penalties!"&amp;$N$29&amp;PenaltyData[[#This Row],[ROW]],TRUE))</f>
        <v>932</v>
      </c>
      <c r="G560" s="1220">
        <f ca="1">COUNTIFS($H$1:H560,"&lt;&gt;0", $F$1:F560,PenaltyData[[#This Row],[PlayerIdx]],$D$1:D560,PenaltyData[[#This Row],[Team]])</f>
        <v>0</v>
      </c>
      <c r="H560" s="1220">
        <f ca="1">INDIRECT("Penalties!"&amp;PenaltyData[[#This Row],[REF]]&amp;PenaltyData[[#This Row],[ROW]])</f>
        <v>0</v>
      </c>
      <c r="I560" s="1220" t="str">
        <f ca="1">IFERROR(VLOOKUP(PenaltyData[[#This Row],[Penalty]],PenaltyNames91419[],2,FALSE),"")</f>
        <v/>
      </c>
      <c r="J560" s="1220" t="s">
        <v>771</v>
      </c>
      <c r="K560" s="1220">
        <f t="shared" si="33"/>
        <v>26</v>
      </c>
      <c r="L560" s="1220"/>
    </row>
    <row r="561" spans="1:13" x14ac:dyDescent="0.25">
      <c r="A561" s="1230">
        <f t="shared" si="34"/>
        <v>42105</v>
      </c>
      <c r="B561" s="1231">
        <f t="shared" si="35"/>
        <v>0.83333333333333337</v>
      </c>
      <c r="C561" s="1220">
        <v>1</v>
      </c>
      <c r="D561" s="1220" t="str">
        <f t="shared" si="36"/>
        <v>Harlots</v>
      </c>
      <c r="E561" s="1220">
        <f ca="1">VALUE(INDIRECT("Penalties!"&amp;PenaltyData[[#This Row],[REF]]&amp;(PenaltyData[[#This Row],[ROW]]+1)))</f>
        <v>0</v>
      </c>
      <c r="F561" s="1220" t="str">
        <f ca="1">IF(INDIRECT("Penalties!"&amp;$N$29&amp;PenaltyData[[#This Row],[ROW]],TRUE)=0, "",INDIRECT("Penalties!"&amp;$N$29&amp;PenaltyData[[#This Row],[ROW]],TRUE))</f>
        <v>932</v>
      </c>
      <c r="G561" s="1220">
        <f ca="1">COUNTIFS($H$1:H561,"&lt;&gt;0", $F$1:F561,PenaltyData[[#This Row],[PlayerIdx]],$D$1:D561,PenaltyData[[#This Row],[Team]])</f>
        <v>0</v>
      </c>
      <c r="H561" s="1220">
        <f ca="1">INDIRECT("Penalties!"&amp;PenaltyData[[#This Row],[REF]]&amp;PenaltyData[[#This Row],[ROW]])</f>
        <v>0</v>
      </c>
      <c r="I561" s="1220" t="str">
        <f ca="1">IFERROR(VLOOKUP(PenaltyData[[#This Row],[Penalty]],PenaltyNames91419[],2,FALSE),"")</f>
        <v/>
      </c>
      <c r="J561" s="1220" t="s">
        <v>772</v>
      </c>
      <c r="K561" s="1220">
        <f t="shared" si="33"/>
        <v>26</v>
      </c>
      <c r="L561" s="1220"/>
    </row>
    <row r="562" spans="1:13" x14ac:dyDescent="0.25">
      <c r="A562" s="1230">
        <f t="shared" si="34"/>
        <v>42105</v>
      </c>
      <c r="B562" s="1231">
        <f t="shared" si="35"/>
        <v>0.83333333333333337</v>
      </c>
      <c r="C562" s="1220">
        <v>1</v>
      </c>
      <c r="D562" s="1220" t="str">
        <f t="shared" si="36"/>
        <v>Harlots</v>
      </c>
      <c r="E562" s="1220">
        <f ca="1">VALUE(INDIRECT("Penalties!"&amp;PenaltyData[[#This Row],[REF]]&amp;(PenaltyData[[#This Row],[ROW]]+1)))</f>
        <v>0</v>
      </c>
      <c r="F562" s="1220" t="str">
        <f ca="1">IF(INDIRECT("Penalties!"&amp;$N$29&amp;PenaltyData[[#This Row],[ROW]],TRUE)=0, "",INDIRECT("Penalties!"&amp;$N$29&amp;PenaltyData[[#This Row],[ROW]],TRUE))</f>
        <v>932</v>
      </c>
      <c r="G562" s="1220">
        <f ca="1">COUNTIFS($H$1:H562,"&lt;&gt;0", $F$1:F562,PenaltyData[[#This Row],[PlayerIdx]],$D$1:D562,PenaltyData[[#This Row],[Team]])</f>
        <v>0</v>
      </c>
      <c r="H562" s="1220">
        <f ca="1">INDIRECT("Penalties!"&amp;PenaltyData[[#This Row],[REF]]&amp;PenaltyData[[#This Row],[ROW]])</f>
        <v>0</v>
      </c>
      <c r="I562" s="1220" t="str">
        <f ca="1">IFERROR(VLOOKUP(PenaltyData[[#This Row],[Penalty]],PenaltyNames91419[],2,FALSE),"")</f>
        <v/>
      </c>
      <c r="J562" s="1220" t="s">
        <v>159</v>
      </c>
      <c r="K562" s="1220">
        <f t="shared" si="33"/>
        <v>26</v>
      </c>
      <c r="L562" s="1220"/>
    </row>
    <row r="563" spans="1:13" x14ac:dyDescent="0.25">
      <c r="A563" s="1230">
        <f t="shared" si="34"/>
        <v>42105</v>
      </c>
      <c r="B563" s="1231">
        <f t="shared" si="35"/>
        <v>0.83333333333333337</v>
      </c>
      <c r="C563" s="1220">
        <v>1</v>
      </c>
      <c r="D563" s="1220" t="str">
        <f t="shared" si="36"/>
        <v>Harlots</v>
      </c>
      <c r="E563" s="1220">
        <f ca="1">VALUE(INDIRECT("Penalties!"&amp;PenaltyData[[#This Row],[REF]]&amp;(PenaltyData[[#This Row],[ROW]]+1)))</f>
        <v>0</v>
      </c>
      <c r="F563" s="1220" t="str">
        <f ca="1">IF(INDIRECT("Penalties!"&amp;$N$29&amp;PenaltyData[[#This Row],[ROW]],TRUE)=0, "",INDIRECT("Penalties!"&amp;$N$29&amp;PenaltyData[[#This Row],[ROW]],TRUE))</f>
        <v>932</v>
      </c>
      <c r="G563" s="1220">
        <f ca="1">COUNTIFS($H$1:H563,"&lt;&gt;0", $F$1:F563,PenaltyData[[#This Row],[PlayerIdx]],$D$1:D563,PenaltyData[[#This Row],[Team]])</f>
        <v>0</v>
      </c>
      <c r="H563" s="1220">
        <f ca="1">INDIRECT("Penalties!"&amp;PenaltyData[[#This Row],[REF]]&amp;PenaltyData[[#This Row],[ROW]])</f>
        <v>0</v>
      </c>
      <c r="I563" s="1220" t="str">
        <f ca="1">IFERROR(VLOOKUP(PenaltyData[[#This Row],[Penalty]],PenaltyNames91419[],2,FALSE),"")</f>
        <v/>
      </c>
      <c r="J563" s="1220" t="s">
        <v>773</v>
      </c>
      <c r="K563" s="1220">
        <f t="shared" si="33"/>
        <v>26</v>
      </c>
      <c r="L563" s="1220"/>
    </row>
    <row r="564" spans="1:13" x14ac:dyDescent="0.25">
      <c r="A564" s="1230">
        <f t="shared" si="34"/>
        <v>42105</v>
      </c>
      <c r="B564" s="1231">
        <f t="shared" si="35"/>
        <v>0.83333333333333337</v>
      </c>
      <c r="C564" s="1220">
        <v>1</v>
      </c>
      <c r="D564" s="1220" t="str">
        <f t="shared" si="36"/>
        <v>Harlots</v>
      </c>
      <c r="E564" s="1220">
        <f ca="1">VALUE(INDIRECT("Penalties!"&amp;PenaltyData[[#This Row],[REF]]&amp;(PenaltyData[[#This Row],[ROW]]+1)))</f>
        <v>0</v>
      </c>
      <c r="F564" s="1220" t="str">
        <f ca="1">IF(INDIRECT("Penalties!"&amp;$N$29&amp;PenaltyData[[#This Row],[ROW]],TRUE)=0, "",INDIRECT("Penalties!"&amp;$N$29&amp;PenaltyData[[#This Row],[ROW]],TRUE))</f>
        <v>932</v>
      </c>
      <c r="G564" s="1204">
        <f ca="1">COUNTIFS($H$1:H564,"&lt;&gt;0", $F$1:F564,PenaltyData[[#This Row],[PlayerIdx]],$D$1:D564,PenaltyData[[#This Row],[Team]])</f>
        <v>0</v>
      </c>
      <c r="H564" s="1220">
        <f ca="1">INDIRECT("Penalties!"&amp;PenaltyData[[#This Row],[REF]]&amp;PenaltyData[[#This Row],[ROW]])</f>
        <v>0</v>
      </c>
      <c r="I564" s="1220" t="str">
        <f ca="1">IFERROR(VLOOKUP(PenaltyData[[#This Row],[Penalty]],PenaltyNames91419[],2,FALSE),"")</f>
        <v/>
      </c>
      <c r="J564" s="1220" t="s">
        <v>774</v>
      </c>
      <c r="K564" s="1220">
        <f t="shared" si="33"/>
        <v>26</v>
      </c>
      <c r="L564" s="1220"/>
    </row>
    <row r="565" spans="1:13" x14ac:dyDescent="0.25">
      <c r="A565" s="1230">
        <f t="shared" si="34"/>
        <v>42105</v>
      </c>
      <c r="B565" s="1235">
        <f t="shared" si="35"/>
        <v>0.83333333333333337</v>
      </c>
      <c r="C565" s="1220">
        <v>1</v>
      </c>
      <c r="D565" s="1220" t="str">
        <f t="shared" si="36"/>
        <v>Harlots</v>
      </c>
      <c r="E565" s="1233">
        <f ca="1">VALUE(INDIRECT("Penalties!"&amp;PenaltyData[[#This Row],[REF]]&amp;(PenaltyData[[#This Row],[ROW]]+1)))</f>
        <v>0</v>
      </c>
      <c r="F565" s="1220" t="str">
        <f ca="1">IF(INDIRECT("Penalties!"&amp;$N$29&amp;PenaltyData[[#This Row],[ROW]],TRUE)=0, "",INDIRECT("Penalties!"&amp;$N$29&amp;PenaltyData[[#This Row],[ROW]],TRUE))</f>
        <v>932</v>
      </c>
      <c r="G565" s="1205">
        <f ca="1">COUNTIFS($H$1:H721,"&lt;&gt;0", $F$1:F721,PenaltyData[[#This Row],[PlayerIdx]],$D$1:D721,PenaltyData[[#This Row],[Team]])</f>
        <v>0</v>
      </c>
      <c r="H565" s="1233">
        <f ca="1">INDIRECT("Penalties!"&amp;PenaltyData[[#This Row],[REF]]&amp;PenaltyData[[#This Row],[ROW]])</f>
        <v>0</v>
      </c>
      <c r="I565" s="1233" t="str">
        <f ca="1">IFERROR(VLOOKUP(PenaltyData[[#This Row],[Penalty]],PenaltyNames91419[],2,FALSE),"")</f>
        <v/>
      </c>
      <c r="J565" s="1220" t="s">
        <v>775</v>
      </c>
      <c r="K565" s="1220">
        <f t="shared" si="33"/>
        <v>26</v>
      </c>
      <c r="L565" s="1220"/>
    </row>
    <row r="566" spans="1:13" x14ac:dyDescent="0.25">
      <c r="A566" s="1230">
        <f t="shared" si="34"/>
        <v>42105</v>
      </c>
      <c r="B566" s="1231">
        <f t="shared" si="35"/>
        <v>0.83333333333333337</v>
      </c>
      <c r="C566" s="1220">
        <v>1</v>
      </c>
      <c r="D566" s="1220" t="str">
        <f t="shared" si="36"/>
        <v>Harlots</v>
      </c>
      <c r="E566" s="1233">
        <f ca="1">VALUE(INDIRECT("Penalties!"&amp;PenaltyData[[#This Row],[REF]]&amp;(PenaltyData[[#This Row],[ROW]]+1)))</f>
        <v>0</v>
      </c>
      <c r="F566" s="1220" t="str">
        <f ca="1">IF(INDIRECT("Penalties!"&amp;$N$29&amp;PenaltyData[[#This Row],[ROW]],TRUE)=0, "",INDIRECT("Penalties!"&amp;$N$29&amp;PenaltyData[[#This Row],[ROW]],TRUE))</f>
        <v>932</v>
      </c>
      <c r="G566" s="1233">
        <f ca="1">COUNTIFS($H$1:H566,"&lt;&gt;0", $F$1:F566,PenaltyData[[#This Row],[PlayerIdx]],$D$1:D566,PenaltyData[[#This Row],[Team]])</f>
        <v>0</v>
      </c>
      <c r="H566" s="1233">
        <f ca="1">INDIRECT("Penalties!"&amp;PenaltyData[[#This Row],[REF]]&amp;PenaltyData[[#This Row],[ROW]])</f>
        <v>0</v>
      </c>
      <c r="I566" s="1233" t="str">
        <f ca="1">IFERROR(VLOOKUP(PenaltyData[[#This Row],[Penalty]],PenaltyNames91419[],2,FALSE),"")</f>
        <v/>
      </c>
      <c r="J566" s="1220" t="s">
        <v>776</v>
      </c>
      <c r="K566" s="1220">
        <f t="shared" si="33"/>
        <v>26</v>
      </c>
      <c r="M566" s="1220"/>
    </row>
    <row r="567" spans="1:13" x14ac:dyDescent="0.25">
      <c r="A567" s="1230">
        <f t="shared" si="34"/>
        <v>42105</v>
      </c>
      <c r="B567" s="1231">
        <f t="shared" si="35"/>
        <v>0.83333333333333337</v>
      </c>
      <c r="C567" s="1220">
        <v>1</v>
      </c>
      <c r="D567" s="1220" t="str">
        <f t="shared" si="36"/>
        <v>Harlots</v>
      </c>
      <c r="E567" s="1233">
        <f ca="1">VALUE(INDIRECT("Penalties!"&amp;PenaltyData[[#This Row],[REF]]&amp;(PenaltyData[[#This Row],[ROW]]+1)))</f>
        <v>0</v>
      </c>
      <c r="F567" s="1220" t="str">
        <f ca="1">IF(INDIRECT("Penalties!"&amp;$N$29&amp;PenaltyData[[#This Row],[ROW]],TRUE)=0, "",INDIRECT("Penalties!"&amp;$N$29&amp;PenaltyData[[#This Row],[ROW]],TRUE))</f>
        <v>932</v>
      </c>
      <c r="G567" s="1233">
        <f ca="1">COUNTIFS($H$1:H567,"&lt;&gt;0", $F$1:F567,PenaltyData[[#This Row],[PlayerIdx]],$D$1:D567,PenaltyData[[#This Row],[Team]])</f>
        <v>0</v>
      </c>
      <c r="H567" s="1233">
        <f ca="1">INDIRECT("Penalties!"&amp;PenaltyData[[#This Row],[REF]]&amp;PenaltyData[[#This Row],[ROW]])</f>
        <v>0</v>
      </c>
      <c r="I567" s="1233" t="str">
        <f ca="1">IFERROR(VLOOKUP(PenaltyData[[#This Row],[Penalty]],PenaltyNames91419[],2,FALSE),"")</f>
        <v/>
      </c>
      <c r="J567" s="1220" t="s">
        <v>140</v>
      </c>
      <c r="K567" s="1220">
        <f t="shared" si="33"/>
        <v>26</v>
      </c>
      <c r="M567" s="1220"/>
    </row>
    <row r="568" spans="1:13" x14ac:dyDescent="0.25">
      <c r="A568" s="1230">
        <f t="shared" si="34"/>
        <v>42105</v>
      </c>
      <c r="B568" s="1231">
        <f t="shared" si="35"/>
        <v>0.83333333333333337</v>
      </c>
      <c r="C568" s="1220">
        <v>1</v>
      </c>
      <c r="D568" s="1220" t="str">
        <f t="shared" si="36"/>
        <v>Harlots</v>
      </c>
      <c r="E568" s="1233">
        <f ca="1">VALUE(INDIRECT("Penalties!"&amp;PenaltyData[[#This Row],[REF]]&amp;(PenaltyData[[#This Row],[ROW]]+1)))</f>
        <v>0</v>
      </c>
      <c r="F568" s="1220" t="str">
        <f ca="1">IF(INDIRECT("Penalties!"&amp;$N$29&amp;PenaltyData[[#This Row],[ROW]],TRUE)=0, "",INDIRECT("Penalties!"&amp;$N$29&amp;PenaltyData[[#This Row],[ROW]],TRUE))</f>
        <v>932</v>
      </c>
      <c r="G568" s="1233">
        <f ca="1">COUNTIFS($H$1:H568,"&lt;&gt;0", $F$1:F568,PenaltyData[[#This Row],[PlayerIdx]],$D$1:D568,PenaltyData[[#This Row],[Team]])</f>
        <v>0</v>
      </c>
      <c r="H568" s="1233">
        <f ca="1">INDIRECT("Penalties!"&amp;PenaltyData[[#This Row],[REF]]&amp;PenaltyData[[#This Row],[ROW]])</f>
        <v>0</v>
      </c>
      <c r="I568" s="1233" t="str">
        <f ca="1">IFERROR(VLOOKUP(PenaltyData[[#This Row],[Penalty]],PenaltyNames91419[],2,FALSE),"")</f>
        <v/>
      </c>
      <c r="J568" s="1220" t="s">
        <v>777</v>
      </c>
      <c r="K568" s="1220">
        <f t="shared" si="33"/>
        <v>26</v>
      </c>
      <c r="M568" s="1220"/>
    </row>
    <row r="569" spans="1:13" x14ac:dyDescent="0.25">
      <c r="A569" s="1230">
        <f t="shared" si="34"/>
        <v>42105</v>
      </c>
      <c r="B569" s="1231">
        <f t="shared" si="35"/>
        <v>0.83333333333333337</v>
      </c>
      <c r="C569" s="1220">
        <v>2</v>
      </c>
      <c r="D569" s="1220" t="str">
        <f t="shared" si="36"/>
        <v>Harlots</v>
      </c>
      <c r="E569" s="1233">
        <f ca="1">VALUE(INDIRECT("Penalties!"&amp;PenaltyData[[#This Row],[REF]]&amp;(PenaltyData[[#This Row],[ROW]]+1)))</f>
        <v>0</v>
      </c>
      <c r="F569" s="1220" t="str">
        <f ca="1">IF(INDIRECT("Penalties!"&amp;$N$29&amp;PenaltyData[[#This Row],[ROW]],TRUE)=0, "",INDIRECT("Penalties!"&amp;$N$29&amp;PenaltyData[[#This Row],[ROW]],TRUE))</f>
        <v>932</v>
      </c>
      <c r="G569" s="1233">
        <f ca="1">COUNTIFS($H$1:H569,"&lt;&gt;0", $F$1:F569,PenaltyData[[#This Row],[PlayerIdx]],$D$1:D569,PenaltyData[[#This Row],[Team]])</f>
        <v>0</v>
      </c>
      <c r="H569" s="1233">
        <f ca="1">INDIRECT("Penalties!"&amp;PenaltyData[[#This Row],[REF]]&amp;PenaltyData[[#This Row],[ROW]])</f>
        <v>0</v>
      </c>
      <c r="I569" s="1233" t="str">
        <f ca="1">IFERROR(VLOOKUP(PenaltyData[[#This Row],[Penalty]],PenaltyNames91419[],2,FALSE),"")</f>
        <v/>
      </c>
      <c r="J569" s="1220" t="s">
        <v>778</v>
      </c>
      <c r="K569" s="1220">
        <f t="shared" si="33"/>
        <v>26</v>
      </c>
      <c r="M569" s="1220"/>
    </row>
    <row r="570" spans="1:13" x14ac:dyDescent="0.25">
      <c r="A570" s="1230">
        <f t="shared" si="34"/>
        <v>42105</v>
      </c>
      <c r="B570" s="1231">
        <f t="shared" si="35"/>
        <v>0.83333333333333337</v>
      </c>
      <c r="C570" s="1220">
        <v>2</v>
      </c>
      <c r="D570" s="1220" t="str">
        <f t="shared" si="36"/>
        <v>Harlots</v>
      </c>
      <c r="E570" s="1233">
        <f ca="1">VALUE(INDIRECT("Penalties!"&amp;PenaltyData[[#This Row],[REF]]&amp;(PenaltyData[[#This Row],[ROW]]+1)))</f>
        <v>0</v>
      </c>
      <c r="F570" s="1220" t="str">
        <f ca="1">IF(INDIRECT("Penalties!"&amp;$N$29&amp;PenaltyData[[#This Row],[ROW]],TRUE)=0, "",INDIRECT("Penalties!"&amp;$N$29&amp;PenaltyData[[#This Row],[ROW]],TRUE))</f>
        <v>932</v>
      </c>
      <c r="G570" s="1233">
        <f ca="1">COUNTIFS($H$1:H570,"&lt;&gt;0", $F$1:F570,PenaltyData[[#This Row],[PlayerIdx]],$D$1:D570,PenaltyData[[#This Row],[Team]])</f>
        <v>0</v>
      </c>
      <c r="H570" s="1233">
        <f ca="1">INDIRECT("Penalties!"&amp;PenaltyData[[#This Row],[REF]]&amp;PenaltyData[[#This Row],[ROW]])</f>
        <v>0</v>
      </c>
      <c r="I570" s="1233" t="str">
        <f ca="1">IFERROR(VLOOKUP(PenaltyData[[#This Row],[Penalty]],PenaltyNames91419[],2,FALSE),"")</f>
        <v/>
      </c>
      <c r="J570" s="1220" t="s">
        <v>779</v>
      </c>
      <c r="K570" s="1220">
        <f t="shared" si="33"/>
        <v>26</v>
      </c>
      <c r="M570" s="1220"/>
    </row>
    <row r="571" spans="1:13" x14ac:dyDescent="0.25">
      <c r="A571" s="1230">
        <f t="shared" si="34"/>
        <v>42105</v>
      </c>
      <c r="B571" s="1231">
        <f t="shared" si="35"/>
        <v>0.83333333333333337</v>
      </c>
      <c r="C571" s="1220">
        <v>2</v>
      </c>
      <c r="D571" s="1220" t="str">
        <f t="shared" si="36"/>
        <v>Harlots</v>
      </c>
      <c r="E571" s="1233">
        <f ca="1">VALUE(INDIRECT("Penalties!"&amp;PenaltyData[[#This Row],[REF]]&amp;(PenaltyData[[#This Row],[ROW]]+1)))</f>
        <v>0</v>
      </c>
      <c r="F571" s="1220" t="str">
        <f ca="1">IF(INDIRECT("Penalties!"&amp;$N$29&amp;PenaltyData[[#This Row],[ROW]],TRUE)=0, "",INDIRECT("Penalties!"&amp;$N$29&amp;PenaltyData[[#This Row],[ROW]],TRUE))</f>
        <v>932</v>
      </c>
      <c r="G571" s="1233">
        <f ca="1">COUNTIFS($H$1:H571,"&lt;&gt;0", $F$1:F571,PenaltyData[[#This Row],[PlayerIdx]],$D$1:D571,PenaltyData[[#This Row],[Team]])</f>
        <v>0</v>
      </c>
      <c r="H571" s="1233">
        <f ca="1">INDIRECT("Penalties!"&amp;PenaltyData[[#This Row],[REF]]&amp;PenaltyData[[#This Row],[ROW]])</f>
        <v>0</v>
      </c>
      <c r="I571" s="1233" t="str">
        <f ca="1">IFERROR(VLOOKUP(PenaltyData[[#This Row],[Penalty]],PenaltyNames91419[],2,FALSE),"")</f>
        <v/>
      </c>
      <c r="J571" s="1220" t="s">
        <v>780</v>
      </c>
      <c r="K571" s="1220">
        <f t="shared" si="33"/>
        <v>26</v>
      </c>
      <c r="M571" s="1220"/>
    </row>
    <row r="572" spans="1:13" x14ac:dyDescent="0.25">
      <c r="A572" s="1230">
        <f t="shared" si="34"/>
        <v>42105</v>
      </c>
      <c r="B572" s="1231">
        <f t="shared" si="35"/>
        <v>0.83333333333333337</v>
      </c>
      <c r="C572" s="1220">
        <v>2</v>
      </c>
      <c r="D572" s="1220" t="str">
        <f t="shared" si="36"/>
        <v>Harlots</v>
      </c>
      <c r="E572" s="1233">
        <f ca="1">VALUE(INDIRECT("Penalties!"&amp;PenaltyData[[#This Row],[REF]]&amp;(PenaltyData[[#This Row],[ROW]]+1)))</f>
        <v>0</v>
      </c>
      <c r="F572" s="1220" t="str">
        <f ca="1">IF(INDIRECT("Penalties!"&amp;$N$29&amp;PenaltyData[[#This Row],[ROW]],TRUE)=0, "",INDIRECT("Penalties!"&amp;$N$29&amp;PenaltyData[[#This Row],[ROW]],TRUE))</f>
        <v>932</v>
      </c>
      <c r="G572" s="1233">
        <f ca="1">COUNTIFS($H$1:H572,"&lt;&gt;0", $F$1:F572,PenaltyData[[#This Row],[PlayerIdx]],$D$1:D572,PenaltyData[[#This Row],[Team]])</f>
        <v>0</v>
      </c>
      <c r="H572" s="1233">
        <f ca="1">INDIRECT("Penalties!"&amp;PenaltyData[[#This Row],[REF]]&amp;PenaltyData[[#This Row],[ROW]])</f>
        <v>0</v>
      </c>
      <c r="I572" s="1233" t="str">
        <f ca="1">IFERROR(VLOOKUP(PenaltyData[[#This Row],[Penalty]],PenaltyNames91419[],2,FALSE),"")</f>
        <v/>
      </c>
      <c r="J572" s="1220" t="s">
        <v>781</v>
      </c>
      <c r="K572" s="1220">
        <f t="shared" si="33"/>
        <v>26</v>
      </c>
      <c r="M572" s="1220"/>
    </row>
    <row r="573" spans="1:13" x14ac:dyDescent="0.25">
      <c r="A573" s="1230">
        <f t="shared" si="34"/>
        <v>42105</v>
      </c>
      <c r="B573" s="1231">
        <f t="shared" si="35"/>
        <v>0.83333333333333337</v>
      </c>
      <c r="C573" s="1220">
        <v>2</v>
      </c>
      <c r="D573" s="1220" t="str">
        <f t="shared" si="36"/>
        <v>Harlots</v>
      </c>
      <c r="E573" s="1233">
        <f ca="1">VALUE(INDIRECT("Penalties!"&amp;PenaltyData[[#This Row],[REF]]&amp;(PenaltyData[[#This Row],[ROW]]+1)))</f>
        <v>0</v>
      </c>
      <c r="F573" s="1220" t="str">
        <f ca="1">IF(INDIRECT("Penalties!"&amp;$N$29&amp;PenaltyData[[#This Row],[ROW]],TRUE)=0, "",INDIRECT("Penalties!"&amp;$N$29&amp;PenaltyData[[#This Row],[ROW]],TRUE))</f>
        <v>932</v>
      </c>
      <c r="G573" s="1233">
        <f ca="1">COUNTIFS($H$1:H573,"&lt;&gt;0", $F$1:F573,PenaltyData[[#This Row],[PlayerIdx]],$D$1:D573,PenaltyData[[#This Row],[Team]])</f>
        <v>0</v>
      </c>
      <c r="H573" s="1233">
        <f ca="1">INDIRECT("Penalties!"&amp;PenaltyData[[#This Row],[REF]]&amp;PenaltyData[[#This Row],[ROW]])</f>
        <v>0</v>
      </c>
      <c r="I573" s="1233" t="str">
        <f ca="1">IFERROR(VLOOKUP(PenaltyData[[#This Row],[Penalty]],PenaltyNames91419[],2,FALSE),"")</f>
        <v/>
      </c>
      <c r="J573" s="1220" t="s">
        <v>782</v>
      </c>
      <c r="K573" s="1220">
        <f t="shared" ref="K573:K636" si="37">K555+2</f>
        <v>26</v>
      </c>
      <c r="M573" s="1220"/>
    </row>
    <row r="574" spans="1:13" x14ac:dyDescent="0.25">
      <c r="A574" s="1230">
        <f t="shared" si="34"/>
        <v>42105</v>
      </c>
      <c r="B574" s="1231">
        <f t="shared" si="35"/>
        <v>0.83333333333333337</v>
      </c>
      <c r="C574" s="1220">
        <v>2</v>
      </c>
      <c r="D574" s="1220" t="str">
        <f t="shared" si="36"/>
        <v>Harlots</v>
      </c>
      <c r="E574" s="1233">
        <f ca="1">VALUE(INDIRECT("Penalties!"&amp;PenaltyData[[#This Row],[REF]]&amp;(PenaltyData[[#This Row],[ROW]]+1)))</f>
        <v>0</v>
      </c>
      <c r="F574" s="1220" t="str">
        <f ca="1">IF(INDIRECT("Penalties!"&amp;$N$29&amp;PenaltyData[[#This Row],[ROW]],TRUE)=0, "",INDIRECT("Penalties!"&amp;$N$29&amp;PenaltyData[[#This Row],[ROW]],TRUE))</f>
        <v>932</v>
      </c>
      <c r="G574" s="1233">
        <f ca="1">COUNTIFS($H$1:H574,"&lt;&gt;0", $F$1:F574,PenaltyData[[#This Row],[PlayerIdx]],$D$1:D574,PenaltyData[[#This Row],[Team]])</f>
        <v>0</v>
      </c>
      <c r="H574" s="1233">
        <f ca="1">INDIRECT("Penalties!"&amp;PenaltyData[[#This Row],[REF]]&amp;PenaltyData[[#This Row],[ROW]])</f>
        <v>0</v>
      </c>
      <c r="I574" s="1233" t="str">
        <f ca="1">IFERROR(VLOOKUP(PenaltyData[[#This Row],[Penalty]],PenaltyNames91419[],2,FALSE),"")</f>
        <v/>
      </c>
      <c r="J574" s="1220" t="s">
        <v>783</v>
      </c>
      <c r="K574" s="1220">
        <f t="shared" si="37"/>
        <v>26</v>
      </c>
      <c r="M574" s="1220"/>
    </row>
    <row r="575" spans="1:13" x14ac:dyDescent="0.25">
      <c r="A575" s="1230">
        <f t="shared" si="34"/>
        <v>42105</v>
      </c>
      <c r="B575" s="1231">
        <f t="shared" si="35"/>
        <v>0.83333333333333337</v>
      </c>
      <c r="C575" s="1220">
        <v>2</v>
      </c>
      <c r="D575" s="1220" t="str">
        <f t="shared" si="36"/>
        <v>Harlots</v>
      </c>
      <c r="E575" s="1233">
        <f ca="1">VALUE(INDIRECT("Penalties!"&amp;PenaltyData[[#This Row],[REF]]&amp;(PenaltyData[[#This Row],[ROW]]+1)))</f>
        <v>0</v>
      </c>
      <c r="F575" s="1220" t="str">
        <f ca="1">IF(INDIRECT("Penalties!"&amp;$N$29&amp;PenaltyData[[#This Row],[ROW]],TRUE)=0, "",INDIRECT("Penalties!"&amp;$N$29&amp;PenaltyData[[#This Row],[ROW]],TRUE))</f>
        <v>932</v>
      </c>
      <c r="G575" s="1233">
        <f ca="1">COUNTIFS($H$1:H575,"&lt;&gt;0", $F$1:F575,PenaltyData[[#This Row],[PlayerIdx]],$D$1:D575,PenaltyData[[#This Row],[Team]])</f>
        <v>0</v>
      </c>
      <c r="H575" s="1233">
        <f ca="1">INDIRECT("Penalties!"&amp;PenaltyData[[#This Row],[REF]]&amp;PenaltyData[[#This Row],[ROW]])</f>
        <v>0</v>
      </c>
      <c r="I575" s="1233" t="str">
        <f ca="1">IFERROR(VLOOKUP(PenaltyData[[#This Row],[Penalty]],PenaltyNames91419[],2,FALSE),"")</f>
        <v/>
      </c>
      <c r="J575" s="1220" t="s">
        <v>784</v>
      </c>
      <c r="K575" s="1220">
        <f t="shared" si="37"/>
        <v>26</v>
      </c>
      <c r="M575" s="1220"/>
    </row>
    <row r="576" spans="1:13" x14ac:dyDescent="0.25">
      <c r="A576" s="1230">
        <f t="shared" si="34"/>
        <v>42105</v>
      </c>
      <c r="B576" s="1231">
        <f t="shared" si="35"/>
        <v>0.83333333333333337</v>
      </c>
      <c r="C576" s="1220">
        <v>2</v>
      </c>
      <c r="D576" s="1220" t="str">
        <f t="shared" si="36"/>
        <v>Harlots</v>
      </c>
      <c r="E576" s="1233">
        <f ca="1">VALUE(INDIRECT("Penalties!"&amp;PenaltyData[[#This Row],[REF]]&amp;(PenaltyData[[#This Row],[ROW]]+1)))</f>
        <v>0</v>
      </c>
      <c r="F576" s="1220" t="str">
        <f ca="1">IF(INDIRECT("Penalties!"&amp;$N$29&amp;PenaltyData[[#This Row],[ROW]],TRUE)=0, "",INDIRECT("Penalties!"&amp;$N$29&amp;PenaltyData[[#This Row],[ROW]],TRUE))</f>
        <v>932</v>
      </c>
      <c r="G576" s="1233">
        <f ca="1">COUNTIFS($H$1:H576,"&lt;&gt;0", $F$1:F576,PenaltyData[[#This Row],[PlayerIdx]],$D$1:D576,PenaltyData[[#This Row],[Team]])</f>
        <v>0</v>
      </c>
      <c r="H576" s="1233">
        <f ca="1">INDIRECT("Penalties!"&amp;PenaltyData[[#This Row],[REF]]&amp;PenaltyData[[#This Row],[ROW]])</f>
        <v>0</v>
      </c>
      <c r="I576" s="1233" t="str">
        <f ca="1">IFERROR(VLOOKUP(PenaltyData[[#This Row],[Penalty]],PenaltyNames91419[],2,FALSE),"")</f>
        <v/>
      </c>
      <c r="J576" s="1220" t="s">
        <v>785</v>
      </c>
      <c r="K576" s="1220">
        <f t="shared" si="37"/>
        <v>26</v>
      </c>
      <c r="M576" s="1220"/>
    </row>
    <row r="577" spans="1:13" x14ac:dyDescent="0.25">
      <c r="A577" s="1230">
        <f t="shared" si="34"/>
        <v>42105</v>
      </c>
      <c r="B577" s="1231">
        <f t="shared" si="35"/>
        <v>0.83333333333333337</v>
      </c>
      <c r="C577" s="1220">
        <v>2</v>
      </c>
      <c r="D577" s="1220" t="str">
        <f t="shared" si="36"/>
        <v>Harlots</v>
      </c>
      <c r="E577" s="1233">
        <f ca="1">VALUE(INDIRECT("Penalties!"&amp;PenaltyData[[#This Row],[REF]]&amp;(PenaltyData[[#This Row],[ROW]]+1)))</f>
        <v>0</v>
      </c>
      <c r="F577" s="1220" t="str">
        <f ca="1">IF(INDIRECT("Penalties!"&amp;$N$29&amp;PenaltyData[[#This Row],[ROW]],TRUE)=0, "",INDIRECT("Penalties!"&amp;$N$29&amp;PenaltyData[[#This Row],[ROW]],TRUE))</f>
        <v>932</v>
      </c>
      <c r="G577" s="1233">
        <f ca="1">COUNTIFS($H$1:H577,"&lt;&gt;0", $F$1:F577,PenaltyData[[#This Row],[PlayerIdx]],$D$1:D577,PenaltyData[[#This Row],[Team]])</f>
        <v>0</v>
      </c>
      <c r="H577" s="1233">
        <f ca="1">INDIRECT("Penalties!"&amp;PenaltyData[[#This Row],[REF]]&amp;PenaltyData[[#This Row],[ROW]])</f>
        <v>0</v>
      </c>
      <c r="I577" s="1233" t="str">
        <f ca="1">IFERROR(VLOOKUP(PenaltyData[[#This Row],[Penalty]],PenaltyNames91419[],2,FALSE),"")</f>
        <v/>
      </c>
      <c r="J577" s="1220" t="s">
        <v>786</v>
      </c>
      <c r="K577" s="1220">
        <f t="shared" si="37"/>
        <v>26</v>
      </c>
      <c r="M577" s="1220"/>
    </row>
    <row r="578" spans="1:13" x14ac:dyDescent="0.25">
      <c r="A578" s="1230">
        <f t="shared" si="34"/>
        <v>42105</v>
      </c>
      <c r="B578" s="1231">
        <f t="shared" si="35"/>
        <v>0.83333333333333337</v>
      </c>
      <c r="C578" s="1220">
        <v>1</v>
      </c>
      <c r="D578" s="1220" t="str">
        <f t="shared" si="36"/>
        <v>Harlots</v>
      </c>
      <c r="E578" s="1233">
        <f ca="1">VALUE(INDIRECT("Penalties!"&amp;PenaltyData[[#This Row],[REF]]&amp;(PenaltyData[[#This Row],[ROW]]+1)))</f>
        <v>0</v>
      </c>
      <c r="F578" s="1220" t="str">
        <f ca="1">IF(INDIRECT("Penalties!"&amp;$N$29&amp;PenaltyData[[#This Row],[ROW]],TRUE)=0, "",INDIRECT("Penalties!"&amp;$N$29&amp;PenaltyData[[#This Row],[ROW]],TRUE))</f>
        <v>H20</v>
      </c>
      <c r="G578" s="1233">
        <f ca="1">COUNTIFS($H$1:H578,"&lt;&gt;0", $F$1:F578,PenaltyData[[#This Row],[PlayerIdx]],$D$1:D578,PenaltyData[[#This Row],[Team]])</f>
        <v>0</v>
      </c>
      <c r="H578" s="1233">
        <f ca="1">INDIRECT("Penalties!"&amp;PenaltyData[[#This Row],[REF]]&amp;PenaltyData[[#This Row],[ROW]])</f>
        <v>0</v>
      </c>
      <c r="I578" s="1233" t="str">
        <f ca="1">IFERROR(VLOOKUP(PenaltyData[[#This Row],[Penalty]],PenaltyNames91419[],2,FALSE),"")</f>
        <v/>
      </c>
      <c r="J578" s="1220" t="s">
        <v>771</v>
      </c>
      <c r="K578" s="1220">
        <f t="shared" si="37"/>
        <v>28</v>
      </c>
      <c r="M578" s="1220"/>
    </row>
    <row r="579" spans="1:13" x14ac:dyDescent="0.25">
      <c r="A579" s="1230">
        <f t="shared" si="34"/>
        <v>42105</v>
      </c>
      <c r="B579" s="1231">
        <f t="shared" si="35"/>
        <v>0.83333333333333337</v>
      </c>
      <c r="C579" s="1220">
        <v>1</v>
      </c>
      <c r="D579" s="1220" t="str">
        <f t="shared" si="36"/>
        <v>Harlots</v>
      </c>
      <c r="E579" s="1233">
        <f ca="1">VALUE(INDIRECT("Penalties!"&amp;PenaltyData[[#This Row],[REF]]&amp;(PenaltyData[[#This Row],[ROW]]+1)))</f>
        <v>0</v>
      </c>
      <c r="F579" s="1220" t="str">
        <f ca="1">IF(INDIRECT("Penalties!"&amp;$N$29&amp;PenaltyData[[#This Row],[ROW]],TRUE)=0, "",INDIRECT("Penalties!"&amp;$N$29&amp;PenaltyData[[#This Row],[ROW]],TRUE))</f>
        <v>H20</v>
      </c>
      <c r="G579" s="1233">
        <f ca="1">COUNTIFS($H$1:H579,"&lt;&gt;0", $F$1:F579,PenaltyData[[#This Row],[PlayerIdx]],$D$1:D579,PenaltyData[[#This Row],[Team]])</f>
        <v>0</v>
      </c>
      <c r="H579" s="1233">
        <f ca="1">INDIRECT("Penalties!"&amp;PenaltyData[[#This Row],[REF]]&amp;PenaltyData[[#This Row],[ROW]])</f>
        <v>0</v>
      </c>
      <c r="I579" s="1233" t="str">
        <f ca="1">IFERROR(VLOOKUP(PenaltyData[[#This Row],[Penalty]],PenaltyNames91419[],2,FALSE),"")</f>
        <v/>
      </c>
      <c r="J579" s="1220" t="s">
        <v>772</v>
      </c>
      <c r="K579" s="1220">
        <f t="shared" si="37"/>
        <v>28</v>
      </c>
      <c r="M579" s="1220"/>
    </row>
    <row r="580" spans="1:13" x14ac:dyDescent="0.25">
      <c r="A580" s="1230">
        <f t="shared" si="34"/>
        <v>42105</v>
      </c>
      <c r="B580" s="1231">
        <f t="shared" si="35"/>
        <v>0.83333333333333337</v>
      </c>
      <c r="C580" s="1220">
        <v>1</v>
      </c>
      <c r="D580" s="1220" t="str">
        <f t="shared" si="36"/>
        <v>Harlots</v>
      </c>
      <c r="E580" s="1233">
        <f ca="1">VALUE(INDIRECT("Penalties!"&amp;PenaltyData[[#This Row],[REF]]&amp;(PenaltyData[[#This Row],[ROW]]+1)))</f>
        <v>0</v>
      </c>
      <c r="F580" s="1220" t="str">
        <f ca="1">IF(INDIRECT("Penalties!"&amp;$N$29&amp;PenaltyData[[#This Row],[ROW]],TRUE)=0, "",INDIRECT("Penalties!"&amp;$N$29&amp;PenaltyData[[#This Row],[ROW]],TRUE))</f>
        <v>H20</v>
      </c>
      <c r="G580" s="1233">
        <f ca="1">COUNTIFS($H$1:H580,"&lt;&gt;0", $F$1:F580,PenaltyData[[#This Row],[PlayerIdx]],$D$1:D580,PenaltyData[[#This Row],[Team]])</f>
        <v>0</v>
      </c>
      <c r="H580" s="1233">
        <f ca="1">INDIRECT("Penalties!"&amp;PenaltyData[[#This Row],[REF]]&amp;PenaltyData[[#This Row],[ROW]])</f>
        <v>0</v>
      </c>
      <c r="I580" s="1233" t="str">
        <f ca="1">IFERROR(VLOOKUP(PenaltyData[[#This Row],[Penalty]],PenaltyNames91419[],2,FALSE),"")</f>
        <v/>
      </c>
      <c r="J580" s="1220" t="s">
        <v>159</v>
      </c>
      <c r="K580" s="1220">
        <f t="shared" si="37"/>
        <v>28</v>
      </c>
      <c r="M580" s="1220"/>
    </row>
    <row r="581" spans="1:13" x14ac:dyDescent="0.25">
      <c r="A581" s="1230">
        <f t="shared" si="34"/>
        <v>42105</v>
      </c>
      <c r="B581" s="1231">
        <f t="shared" si="35"/>
        <v>0.83333333333333337</v>
      </c>
      <c r="C581" s="1220">
        <v>1</v>
      </c>
      <c r="D581" s="1220" t="str">
        <f t="shared" si="36"/>
        <v>Harlots</v>
      </c>
      <c r="E581" s="1233">
        <f ca="1">VALUE(INDIRECT("Penalties!"&amp;PenaltyData[[#This Row],[REF]]&amp;(PenaltyData[[#This Row],[ROW]]+1)))</f>
        <v>0</v>
      </c>
      <c r="F581" s="1220" t="str">
        <f ca="1">IF(INDIRECT("Penalties!"&amp;$N$29&amp;PenaltyData[[#This Row],[ROW]],TRUE)=0, "",INDIRECT("Penalties!"&amp;$N$29&amp;PenaltyData[[#This Row],[ROW]],TRUE))</f>
        <v>H20</v>
      </c>
      <c r="G581" s="1233">
        <f ca="1">COUNTIFS($H$1:H581,"&lt;&gt;0", $F$1:F581,PenaltyData[[#This Row],[PlayerIdx]],$D$1:D581,PenaltyData[[#This Row],[Team]])</f>
        <v>0</v>
      </c>
      <c r="H581" s="1233">
        <f ca="1">INDIRECT("Penalties!"&amp;PenaltyData[[#This Row],[REF]]&amp;PenaltyData[[#This Row],[ROW]])</f>
        <v>0</v>
      </c>
      <c r="I581" s="1233" t="str">
        <f ca="1">IFERROR(VLOOKUP(PenaltyData[[#This Row],[Penalty]],PenaltyNames91419[],2,FALSE),"")</f>
        <v/>
      </c>
      <c r="J581" s="1220" t="s">
        <v>773</v>
      </c>
      <c r="K581" s="1220">
        <f t="shared" si="37"/>
        <v>28</v>
      </c>
      <c r="M581" s="1220"/>
    </row>
    <row r="582" spans="1:13" x14ac:dyDescent="0.25">
      <c r="A582" s="1230">
        <f t="shared" ref="A582:A645" si="38">$N$1</f>
        <v>42105</v>
      </c>
      <c r="B582" s="1231">
        <f t="shared" ref="B582:B645" si="39">$O$1</f>
        <v>0.83333333333333337</v>
      </c>
      <c r="C582" s="1220">
        <v>1</v>
      </c>
      <c r="D582" s="1220" t="str">
        <f t="shared" si="36"/>
        <v>Harlots</v>
      </c>
      <c r="E582" s="1233">
        <f ca="1">VALUE(INDIRECT("Penalties!"&amp;PenaltyData[[#This Row],[REF]]&amp;(PenaltyData[[#This Row],[ROW]]+1)))</f>
        <v>0</v>
      </c>
      <c r="F582" s="1220" t="str">
        <f ca="1">IF(INDIRECT("Penalties!"&amp;$N$29&amp;PenaltyData[[#This Row],[ROW]],TRUE)=0, "",INDIRECT("Penalties!"&amp;$N$29&amp;PenaltyData[[#This Row],[ROW]],TRUE))</f>
        <v>H20</v>
      </c>
      <c r="G582" s="1233">
        <f ca="1">COUNTIFS($H$1:H582,"&lt;&gt;0", $F$1:F582,PenaltyData[[#This Row],[PlayerIdx]],$D$1:D582,PenaltyData[[#This Row],[Team]])</f>
        <v>0</v>
      </c>
      <c r="H582" s="1233">
        <f ca="1">INDIRECT("Penalties!"&amp;PenaltyData[[#This Row],[REF]]&amp;PenaltyData[[#This Row],[ROW]])</f>
        <v>0</v>
      </c>
      <c r="I582" s="1233" t="str">
        <f ca="1">IFERROR(VLOOKUP(PenaltyData[[#This Row],[Penalty]],PenaltyNames91419[],2,FALSE),"")</f>
        <v/>
      </c>
      <c r="J582" s="1220" t="s">
        <v>774</v>
      </c>
      <c r="K582" s="1220">
        <f t="shared" si="37"/>
        <v>28</v>
      </c>
      <c r="M582" s="1220"/>
    </row>
    <row r="583" spans="1:13" x14ac:dyDescent="0.25">
      <c r="A583" s="1230">
        <f t="shared" si="38"/>
        <v>42105</v>
      </c>
      <c r="B583" s="1231">
        <f t="shared" si="39"/>
        <v>0.83333333333333337</v>
      </c>
      <c r="C583" s="1220">
        <v>1</v>
      </c>
      <c r="D583" s="1220" t="str">
        <f t="shared" si="36"/>
        <v>Harlots</v>
      </c>
      <c r="E583" s="1233">
        <f ca="1">VALUE(INDIRECT("Penalties!"&amp;PenaltyData[[#This Row],[REF]]&amp;(PenaltyData[[#This Row],[ROW]]+1)))</f>
        <v>0</v>
      </c>
      <c r="F583" s="1220" t="str">
        <f ca="1">IF(INDIRECT("Penalties!"&amp;$N$29&amp;PenaltyData[[#This Row],[ROW]],TRUE)=0, "",INDIRECT("Penalties!"&amp;$N$29&amp;PenaltyData[[#This Row],[ROW]],TRUE))</f>
        <v>H20</v>
      </c>
      <c r="G583" s="1233">
        <f ca="1">COUNTIFS($H$1:H583,"&lt;&gt;0", $F$1:F583,PenaltyData[[#This Row],[PlayerIdx]],$D$1:D583,PenaltyData[[#This Row],[Team]])</f>
        <v>0</v>
      </c>
      <c r="H583" s="1233">
        <f ca="1">INDIRECT("Penalties!"&amp;PenaltyData[[#This Row],[REF]]&amp;PenaltyData[[#This Row],[ROW]])</f>
        <v>0</v>
      </c>
      <c r="I583" s="1233" t="str">
        <f ca="1">IFERROR(VLOOKUP(PenaltyData[[#This Row],[Penalty]],PenaltyNames91419[],2,FALSE),"")</f>
        <v/>
      </c>
      <c r="J583" s="1220" t="s">
        <v>775</v>
      </c>
      <c r="K583" s="1220">
        <f t="shared" si="37"/>
        <v>28</v>
      </c>
      <c r="M583" s="1220"/>
    </row>
    <row r="584" spans="1:13" x14ac:dyDescent="0.25">
      <c r="A584" s="1230">
        <f t="shared" si="38"/>
        <v>42105</v>
      </c>
      <c r="B584" s="1231">
        <f t="shared" si="39"/>
        <v>0.83333333333333337</v>
      </c>
      <c r="C584" s="1220">
        <v>1</v>
      </c>
      <c r="D584" s="1220" t="str">
        <f t="shared" si="36"/>
        <v>Harlots</v>
      </c>
      <c r="E584" s="1233">
        <f ca="1">VALUE(INDIRECT("Penalties!"&amp;PenaltyData[[#This Row],[REF]]&amp;(PenaltyData[[#This Row],[ROW]]+1)))</f>
        <v>0</v>
      </c>
      <c r="F584" s="1220" t="str">
        <f ca="1">IF(INDIRECT("Penalties!"&amp;$N$29&amp;PenaltyData[[#This Row],[ROW]],TRUE)=0, "",INDIRECT("Penalties!"&amp;$N$29&amp;PenaltyData[[#This Row],[ROW]],TRUE))</f>
        <v>H20</v>
      </c>
      <c r="G584" s="1233">
        <f ca="1">COUNTIFS($H$1:H584,"&lt;&gt;0", $F$1:F584,PenaltyData[[#This Row],[PlayerIdx]],$D$1:D584,PenaltyData[[#This Row],[Team]])</f>
        <v>0</v>
      </c>
      <c r="H584" s="1233">
        <f ca="1">INDIRECT("Penalties!"&amp;PenaltyData[[#This Row],[REF]]&amp;PenaltyData[[#This Row],[ROW]])</f>
        <v>0</v>
      </c>
      <c r="I584" s="1233" t="str">
        <f ca="1">IFERROR(VLOOKUP(PenaltyData[[#This Row],[Penalty]],PenaltyNames91419[],2,FALSE),"")</f>
        <v/>
      </c>
      <c r="J584" s="1220" t="s">
        <v>776</v>
      </c>
      <c r="K584" s="1220">
        <f t="shared" si="37"/>
        <v>28</v>
      </c>
      <c r="M584" s="1220"/>
    </row>
    <row r="585" spans="1:13" x14ac:dyDescent="0.25">
      <c r="A585" s="1230">
        <f t="shared" si="38"/>
        <v>42105</v>
      </c>
      <c r="B585" s="1231">
        <f t="shared" si="39"/>
        <v>0.83333333333333337</v>
      </c>
      <c r="C585" s="1220">
        <v>1</v>
      </c>
      <c r="D585" s="1220" t="str">
        <f t="shared" si="36"/>
        <v>Harlots</v>
      </c>
      <c r="E585" s="1233">
        <f ca="1">VALUE(INDIRECT("Penalties!"&amp;PenaltyData[[#This Row],[REF]]&amp;(PenaltyData[[#This Row],[ROW]]+1)))</f>
        <v>0</v>
      </c>
      <c r="F585" s="1220" t="str">
        <f ca="1">IF(INDIRECT("Penalties!"&amp;$N$29&amp;PenaltyData[[#This Row],[ROW]],TRUE)=0, "",INDIRECT("Penalties!"&amp;$N$29&amp;PenaltyData[[#This Row],[ROW]],TRUE))</f>
        <v>H20</v>
      </c>
      <c r="G585" s="1233">
        <f ca="1">COUNTIFS($H$1:H585,"&lt;&gt;0", $F$1:F585,PenaltyData[[#This Row],[PlayerIdx]],$D$1:D585,PenaltyData[[#This Row],[Team]])</f>
        <v>0</v>
      </c>
      <c r="H585" s="1233">
        <f ca="1">INDIRECT("Penalties!"&amp;PenaltyData[[#This Row],[REF]]&amp;PenaltyData[[#This Row],[ROW]])</f>
        <v>0</v>
      </c>
      <c r="I585" s="1233" t="str">
        <f ca="1">IFERROR(VLOOKUP(PenaltyData[[#This Row],[Penalty]],PenaltyNames91419[],2,FALSE),"")</f>
        <v/>
      </c>
      <c r="J585" s="1220" t="s">
        <v>140</v>
      </c>
      <c r="K585" s="1220">
        <f t="shared" si="37"/>
        <v>28</v>
      </c>
      <c r="M585" s="1220"/>
    </row>
    <row r="586" spans="1:13" x14ac:dyDescent="0.25">
      <c r="A586" s="1230">
        <f t="shared" si="38"/>
        <v>42105</v>
      </c>
      <c r="B586" s="1231">
        <f t="shared" si="39"/>
        <v>0.83333333333333337</v>
      </c>
      <c r="C586" s="1220">
        <v>1</v>
      </c>
      <c r="D586" s="1220" t="str">
        <f t="shared" si="36"/>
        <v>Harlots</v>
      </c>
      <c r="E586" s="1233">
        <f ca="1">VALUE(INDIRECT("Penalties!"&amp;PenaltyData[[#This Row],[REF]]&amp;(PenaltyData[[#This Row],[ROW]]+1)))</f>
        <v>0</v>
      </c>
      <c r="F586" s="1220" t="str">
        <f ca="1">IF(INDIRECT("Penalties!"&amp;$N$29&amp;PenaltyData[[#This Row],[ROW]],TRUE)=0, "",INDIRECT("Penalties!"&amp;$N$29&amp;PenaltyData[[#This Row],[ROW]],TRUE))</f>
        <v>H20</v>
      </c>
      <c r="G586" s="1233">
        <f ca="1">COUNTIFS($H$1:H586,"&lt;&gt;0", $F$1:F586,PenaltyData[[#This Row],[PlayerIdx]],$D$1:D586,PenaltyData[[#This Row],[Team]])</f>
        <v>0</v>
      </c>
      <c r="H586" s="1233">
        <f ca="1">INDIRECT("Penalties!"&amp;PenaltyData[[#This Row],[REF]]&amp;PenaltyData[[#This Row],[ROW]])</f>
        <v>0</v>
      </c>
      <c r="I586" s="1233" t="str">
        <f ca="1">IFERROR(VLOOKUP(PenaltyData[[#This Row],[Penalty]],PenaltyNames91419[],2,FALSE),"")</f>
        <v/>
      </c>
      <c r="J586" s="1220" t="s">
        <v>777</v>
      </c>
      <c r="K586" s="1220">
        <f t="shared" si="37"/>
        <v>28</v>
      </c>
      <c r="M586" s="1220"/>
    </row>
    <row r="587" spans="1:13" x14ac:dyDescent="0.25">
      <c r="A587" s="1230">
        <f t="shared" si="38"/>
        <v>42105</v>
      </c>
      <c r="B587" s="1231">
        <f t="shared" si="39"/>
        <v>0.83333333333333337</v>
      </c>
      <c r="C587" s="1220">
        <v>2</v>
      </c>
      <c r="D587" s="1220" t="str">
        <f t="shared" si="36"/>
        <v>Harlots</v>
      </c>
      <c r="E587" s="1233">
        <f ca="1">VALUE(INDIRECT("Penalties!"&amp;PenaltyData[[#This Row],[REF]]&amp;(PenaltyData[[#This Row],[ROW]]+1)))</f>
        <v>15</v>
      </c>
      <c r="F587" s="1220" t="str">
        <f ca="1">IF(INDIRECT("Penalties!"&amp;$N$29&amp;PenaltyData[[#This Row],[ROW]],TRUE)=0, "",INDIRECT("Penalties!"&amp;$N$29&amp;PenaltyData[[#This Row],[ROW]],TRUE))</f>
        <v>H20</v>
      </c>
      <c r="G587" s="1233">
        <f ca="1">COUNTIFS($H$1:H587,"&lt;&gt;0", $F$1:F587,PenaltyData[[#This Row],[PlayerIdx]],$D$1:D587,PenaltyData[[#This Row],[Team]])</f>
        <v>1</v>
      </c>
      <c r="H587" s="1233" t="str">
        <f ca="1">INDIRECT("Penalties!"&amp;PenaltyData[[#This Row],[REF]]&amp;PenaltyData[[#This Row],[ROW]])</f>
        <v>P</v>
      </c>
      <c r="I587" s="1233" t="str">
        <f ca="1">IFERROR(VLOOKUP(PenaltyData[[#This Row],[Penalty]],PenaltyNames91419[],2,FALSE),"")</f>
        <v>Out of Play</v>
      </c>
      <c r="J587" s="1220" t="s">
        <v>778</v>
      </c>
      <c r="K587" s="1220">
        <f t="shared" si="37"/>
        <v>28</v>
      </c>
      <c r="M587" s="1220"/>
    </row>
    <row r="588" spans="1:13" x14ac:dyDescent="0.25">
      <c r="A588" s="1230">
        <f t="shared" si="38"/>
        <v>42105</v>
      </c>
      <c r="B588" s="1231">
        <f t="shared" si="39"/>
        <v>0.83333333333333337</v>
      </c>
      <c r="C588" s="1220">
        <v>2</v>
      </c>
      <c r="D588" s="1220" t="str">
        <f t="shared" si="36"/>
        <v>Harlots</v>
      </c>
      <c r="E588" s="1233">
        <f ca="1">VALUE(INDIRECT("Penalties!"&amp;PenaltyData[[#This Row],[REF]]&amp;(PenaltyData[[#This Row],[ROW]]+1)))</f>
        <v>0</v>
      </c>
      <c r="F588" s="1220" t="str">
        <f ca="1">IF(INDIRECT("Penalties!"&amp;$N$29&amp;PenaltyData[[#This Row],[ROW]],TRUE)=0, "",INDIRECT("Penalties!"&amp;$N$29&amp;PenaltyData[[#This Row],[ROW]],TRUE))</f>
        <v>H20</v>
      </c>
      <c r="G588" s="1233">
        <f ca="1">COUNTIFS($H$1:H588,"&lt;&gt;0", $F$1:F588,PenaltyData[[#This Row],[PlayerIdx]],$D$1:D588,PenaltyData[[#This Row],[Team]])</f>
        <v>1</v>
      </c>
      <c r="H588" s="1233">
        <f ca="1">INDIRECT("Penalties!"&amp;PenaltyData[[#This Row],[REF]]&amp;PenaltyData[[#This Row],[ROW]])</f>
        <v>0</v>
      </c>
      <c r="I588" s="1233" t="str">
        <f ca="1">IFERROR(VLOOKUP(PenaltyData[[#This Row],[Penalty]],PenaltyNames91419[],2,FALSE),"")</f>
        <v/>
      </c>
      <c r="J588" s="1220" t="s">
        <v>779</v>
      </c>
      <c r="K588" s="1220">
        <f t="shared" si="37"/>
        <v>28</v>
      </c>
      <c r="M588" s="1220"/>
    </row>
    <row r="589" spans="1:13" x14ac:dyDescent="0.25">
      <c r="A589" s="1230">
        <f t="shared" si="38"/>
        <v>42105</v>
      </c>
      <c r="B589" s="1231">
        <f t="shared" si="39"/>
        <v>0.83333333333333337</v>
      </c>
      <c r="C589" s="1220">
        <v>2</v>
      </c>
      <c r="D589" s="1220" t="str">
        <f t="shared" si="36"/>
        <v>Harlots</v>
      </c>
      <c r="E589" s="1233">
        <f ca="1">VALUE(INDIRECT("Penalties!"&amp;PenaltyData[[#This Row],[REF]]&amp;(PenaltyData[[#This Row],[ROW]]+1)))</f>
        <v>0</v>
      </c>
      <c r="F589" s="1220" t="str">
        <f ca="1">IF(INDIRECT("Penalties!"&amp;$N$29&amp;PenaltyData[[#This Row],[ROW]],TRUE)=0, "",INDIRECT("Penalties!"&amp;$N$29&amp;PenaltyData[[#This Row],[ROW]],TRUE))</f>
        <v>H20</v>
      </c>
      <c r="G589" s="1233">
        <f ca="1">COUNTIFS($H$1:H589,"&lt;&gt;0", $F$1:F589,PenaltyData[[#This Row],[PlayerIdx]],$D$1:D589,PenaltyData[[#This Row],[Team]])</f>
        <v>1</v>
      </c>
      <c r="H589" s="1233">
        <f ca="1">INDIRECT("Penalties!"&amp;PenaltyData[[#This Row],[REF]]&amp;PenaltyData[[#This Row],[ROW]])</f>
        <v>0</v>
      </c>
      <c r="I589" s="1233" t="str">
        <f ca="1">IFERROR(VLOOKUP(PenaltyData[[#This Row],[Penalty]],PenaltyNames91419[],2,FALSE),"")</f>
        <v/>
      </c>
      <c r="J589" s="1220" t="s">
        <v>780</v>
      </c>
      <c r="K589" s="1220">
        <f t="shared" si="37"/>
        <v>28</v>
      </c>
      <c r="M589" s="1220"/>
    </row>
    <row r="590" spans="1:13" x14ac:dyDescent="0.25">
      <c r="A590" s="1230">
        <f t="shared" si="38"/>
        <v>42105</v>
      </c>
      <c r="B590" s="1231">
        <f t="shared" si="39"/>
        <v>0.83333333333333337</v>
      </c>
      <c r="C590" s="1220">
        <v>2</v>
      </c>
      <c r="D590" s="1220" t="str">
        <f t="shared" si="36"/>
        <v>Harlots</v>
      </c>
      <c r="E590" s="1233">
        <f ca="1">VALUE(INDIRECT("Penalties!"&amp;PenaltyData[[#This Row],[REF]]&amp;(PenaltyData[[#This Row],[ROW]]+1)))</f>
        <v>0</v>
      </c>
      <c r="F590" s="1220" t="str">
        <f ca="1">IF(INDIRECT("Penalties!"&amp;$N$29&amp;PenaltyData[[#This Row],[ROW]],TRUE)=0, "",INDIRECT("Penalties!"&amp;$N$29&amp;PenaltyData[[#This Row],[ROW]],TRUE))</f>
        <v>H20</v>
      </c>
      <c r="G590" s="1233">
        <f ca="1">COUNTIFS($H$1:H590,"&lt;&gt;0", $F$1:F590,PenaltyData[[#This Row],[PlayerIdx]],$D$1:D590,PenaltyData[[#This Row],[Team]])</f>
        <v>1</v>
      </c>
      <c r="H590" s="1233">
        <f ca="1">INDIRECT("Penalties!"&amp;PenaltyData[[#This Row],[REF]]&amp;PenaltyData[[#This Row],[ROW]])</f>
        <v>0</v>
      </c>
      <c r="I590" s="1233" t="str">
        <f ca="1">IFERROR(VLOOKUP(PenaltyData[[#This Row],[Penalty]],PenaltyNames91419[],2,FALSE),"")</f>
        <v/>
      </c>
      <c r="J590" s="1220" t="s">
        <v>781</v>
      </c>
      <c r="K590" s="1220">
        <f t="shared" si="37"/>
        <v>28</v>
      </c>
      <c r="M590" s="1220"/>
    </row>
    <row r="591" spans="1:13" x14ac:dyDescent="0.25">
      <c r="A591" s="1230">
        <f t="shared" si="38"/>
        <v>42105</v>
      </c>
      <c r="B591" s="1231">
        <f t="shared" si="39"/>
        <v>0.83333333333333337</v>
      </c>
      <c r="C591" s="1220">
        <v>2</v>
      </c>
      <c r="D591" s="1220" t="str">
        <f t="shared" si="36"/>
        <v>Harlots</v>
      </c>
      <c r="E591" s="1233">
        <f ca="1">VALUE(INDIRECT("Penalties!"&amp;PenaltyData[[#This Row],[REF]]&amp;(PenaltyData[[#This Row],[ROW]]+1)))</f>
        <v>0</v>
      </c>
      <c r="F591" s="1220" t="str">
        <f ca="1">IF(INDIRECT("Penalties!"&amp;$N$29&amp;PenaltyData[[#This Row],[ROW]],TRUE)=0, "",INDIRECT("Penalties!"&amp;$N$29&amp;PenaltyData[[#This Row],[ROW]],TRUE))</f>
        <v>H20</v>
      </c>
      <c r="G591" s="1233">
        <f ca="1">COUNTIFS($H$1:H591,"&lt;&gt;0", $F$1:F591,PenaltyData[[#This Row],[PlayerIdx]],$D$1:D591,PenaltyData[[#This Row],[Team]])</f>
        <v>1</v>
      </c>
      <c r="H591" s="1233">
        <f ca="1">INDIRECT("Penalties!"&amp;PenaltyData[[#This Row],[REF]]&amp;PenaltyData[[#This Row],[ROW]])</f>
        <v>0</v>
      </c>
      <c r="I591" s="1233" t="str">
        <f ca="1">IFERROR(VLOOKUP(PenaltyData[[#This Row],[Penalty]],PenaltyNames91419[],2,FALSE),"")</f>
        <v/>
      </c>
      <c r="J591" s="1220" t="s">
        <v>782</v>
      </c>
      <c r="K591" s="1220">
        <f t="shared" si="37"/>
        <v>28</v>
      </c>
      <c r="M591" s="1220"/>
    </row>
    <row r="592" spans="1:13" x14ac:dyDescent="0.25">
      <c r="A592" s="1230">
        <f t="shared" si="38"/>
        <v>42105</v>
      </c>
      <c r="B592" s="1231">
        <f t="shared" si="39"/>
        <v>0.83333333333333337</v>
      </c>
      <c r="C592" s="1220">
        <v>2</v>
      </c>
      <c r="D592" s="1220" t="str">
        <f t="shared" si="36"/>
        <v>Harlots</v>
      </c>
      <c r="E592" s="1233">
        <f ca="1">VALUE(INDIRECT("Penalties!"&amp;PenaltyData[[#This Row],[REF]]&amp;(PenaltyData[[#This Row],[ROW]]+1)))</f>
        <v>0</v>
      </c>
      <c r="F592" s="1220" t="str">
        <f ca="1">IF(INDIRECT("Penalties!"&amp;$N$29&amp;PenaltyData[[#This Row],[ROW]],TRUE)=0, "",INDIRECT("Penalties!"&amp;$N$29&amp;PenaltyData[[#This Row],[ROW]],TRUE))</f>
        <v>H20</v>
      </c>
      <c r="G592" s="1233">
        <f ca="1">COUNTIFS($H$1:H592,"&lt;&gt;0", $F$1:F592,PenaltyData[[#This Row],[PlayerIdx]],$D$1:D592,PenaltyData[[#This Row],[Team]])</f>
        <v>1</v>
      </c>
      <c r="H592" s="1233">
        <f ca="1">INDIRECT("Penalties!"&amp;PenaltyData[[#This Row],[REF]]&amp;PenaltyData[[#This Row],[ROW]])</f>
        <v>0</v>
      </c>
      <c r="I592" s="1233" t="str">
        <f ca="1">IFERROR(VLOOKUP(PenaltyData[[#This Row],[Penalty]],PenaltyNames91419[],2,FALSE),"")</f>
        <v/>
      </c>
      <c r="J592" s="1220" t="s">
        <v>783</v>
      </c>
      <c r="K592" s="1220">
        <f t="shared" si="37"/>
        <v>28</v>
      </c>
      <c r="M592" s="1220"/>
    </row>
    <row r="593" spans="1:13" x14ac:dyDescent="0.25">
      <c r="A593" s="1230">
        <f t="shared" si="38"/>
        <v>42105</v>
      </c>
      <c r="B593" s="1231">
        <f t="shared" si="39"/>
        <v>0.83333333333333337</v>
      </c>
      <c r="C593" s="1220">
        <v>2</v>
      </c>
      <c r="D593" s="1220" t="str">
        <f t="shared" si="36"/>
        <v>Harlots</v>
      </c>
      <c r="E593" s="1233">
        <f ca="1">VALUE(INDIRECT("Penalties!"&amp;PenaltyData[[#This Row],[REF]]&amp;(PenaltyData[[#This Row],[ROW]]+1)))</f>
        <v>0</v>
      </c>
      <c r="F593" s="1220" t="str">
        <f ca="1">IF(INDIRECT("Penalties!"&amp;$N$29&amp;PenaltyData[[#This Row],[ROW]],TRUE)=0, "",INDIRECT("Penalties!"&amp;$N$29&amp;PenaltyData[[#This Row],[ROW]],TRUE))</f>
        <v>H20</v>
      </c>
      <c r="G593" s="1233">
        <f ca="1">COUNTIFS($H$1:H593,"&lt;&gt;0", $F$1:F593,PenaltyData[[#This Row],[PlayerIdx]],$D$1:D593,PenaltyData[[#This Row],[Team]])</f>
        <v>1</v>
      </c>
      <c r="H593" s="1233">
        <f ca="1">INDIRECT("Penalties!"&amp;PenaltyData[[#This Row],[REF]]&amp;PenaltyData[[#This Row],[ROW]])</f>
        <v>0</v>
      </c>
      <c r="I593" s="1233" t="str">
        <f ca="1">IFERROR(VLOOKUP(PenaltyData[[#This Row],[Penalty]],PenaltyNames91419[],2,FALSE),"")</f>
        <v/>
      </c>
      <c r="J593" s="1220" t="s">
        <v>784</v>
      </c>
      <c r="K593" s="1220">
        <f t="shared" si="37"/>
        <v>28</v>
      </c>
      <c r="M593" s="1220"/>
    </row>
    <row r="594" spans="1:13" x14ac:dyDescent="0.25">
      <c r="A594" s="1230">
        <f t="shared" si="38"/>
        <v>42105</v>
      </c>
      <c r="B594" s="1231">
        <f t="shared" si="39"/>
        <v>0.83333333333333337</v>
      </c>
      <c r="C594" s="1220">
        <v>2</v>
      </c>
      <c r="D594" s="1220" t="str">
        <f t="shared" si="36"/>
        <v>Harlots</v>
      </c>
      <c r="E594" s="1233">
        <f ca="1">VALUE(INDIRECT("Penalties!"&amp;PenaltyData[[#This Row],[REF]]&amp;(PenaltyData[[#This Row],[ROW]]+1)))</f>
        <v>0</v>
      </c>
      <c r="F594" s="1220" t="str">
        <f ca="1">IF(INDIRECT("Penalties!"&amp;$N$29&amp;PenaltyData[[#This Row],[ROW]],TRUE)=0, "",INDIRECT("Penalties!"&amp;$N$29&amp;PenaltyData[[#This Row],[ROW]],TRUE))</f>
        <v>H20</v>
      </c>
      <c r="G594" s="1233">
        <f ca="1">COUNTIFS($H$1:H594,"&lt;&gt;0", $F$1:F594,PenaltyData[[#This Row],[PlayerIdx]],$D$1:D594,PenaltyData[[#This Row],[Team]])</f>
        <v>1</v>
      </c>
      <c r="H594" s="1233">
        <f ca="1">INDIRECT("Penalties!"&amp;PenaltyData[[#This Row],[REF]]&amp;PenaltyData[[#This Row],[ROW]])</f>
        <v>0</v>
      </c>
      <c r="I594" s="1233" t="str">
        <f ca="1">IFERROR(VLOOKUP(PenaltyData[[#This Row],[Penalty]],PenaltyNames91419[],2,FALSE),"")</f>
        <v/>
      </c>
      <c r="J594" s="1220" t="s">
        <v>785</v>
      </c>
      <c r="K594" s="1220">
        <f t="shared" si="37"/>
        <v>28</v>
      </c>
      <c r="M594" s="1220"/>
    </row>
    <row r="595" spans="1:13" x14ac:dyDescent="0.25">
      <c r="A595" s="1230">
        <f t="shared" si="38"/>
        <v>42105</v>
      </c>
      <c r="B595" s="1231">
        <f t="shared" si="39"/>
        <v>0.83333333333333337</v>
      </c>
      <c r="C595" s="1220">
        <v>2</v>
      </c>
      <c r="D595" s="1220" t="str">
        <f t="shared" si="36"/>
        <v>Harlots</v>
      </c>
      <c r="E595" s="1233">
        <f ca="1">VALUE(INDIRECT("Penalties!"&amp;PenaltyData[[#This Row],[REF]]&amp;(PenaltyData[[#This Row],[ROW]]+1)))</f>
        <v>0</v>
      </c>
      <c r="F595" s="1220" t="str">
        <f ca="1">IF(INDIRECT("Penalties!"&amp;$N$29&amp;PenaltyData[[#This Row],[ROW]],TRUE)=0, "",INDIRECT("Penalties!"&amp;$N$29&amp;PenaltyData[[#This Row],[ROW]],TRUE))</f>
        <v>H20</v>
      </c>
      <c r="G595" s="1233">
        <f ca="1">COUNTIFS($H$1:H595,"&lt;&gt;0", $F$1:F595,PenaltyData[[#This Row],[PlayerIdx]],$D$1:D595,PenaltyData[[#This Row],[Team]])</f>
        <v>1</v>
      </c>
      <c r="H595" s="1233">
        <f ca="1">INDIRECT("Penalties!"&amp;PenaltyData[[#This Row],[REF]]&amp;PenaltyData[[#This Row],[ROW]])</f>
        <v>0</v>
      </c>
      <c r="I595" s="1233" t="str">
        <f ca="1">IFERROR(VLOOKUP(PenaltyData[[#This Row],[Penalty]],PenaltyNames91419[],2,FALSE),"")</f>
        <v/>
      </c>
      <c r="J595" s="1220" t="s">
        <v>786</v>
      </c>
      <c r="K595" s="1220">
        <f t="shared" si="37"/>
        <v>28</v>
      </c>
      <c r="M595" s="1220"/>
    </row>
    <row r="596" spans="1:13" x14ac:dyDescent="0.25">
      <c r="A596" s="1230">
        <f t="shared" si="38"/>
        <v>42105</v>
      </c>
      <c r="B596" s="1231">
        <f t="shared" si="39"/>
        <v>0.83333333333333337</v>
      </c>
      <c r="C596" s="1220">
        <v>1</v>
      </c>
      <c r="D596" s="1220" t="str">
        <f t="shared" si="36"/>
        <v>Harlots</v>
      </c>
      <c r="E596" s="1233">
        <f ca="1">VALUE(INDIRECT("Penalties!"&amp;PenaltyData[[#This Row],[REF]]&amp;(PenaltyData[[#This Row],[ROW]]+1)))</f>
        <v>0</v>
      </c>
      <c r="F596" s="1220" t="str">
        <f ca="1">IF(INDIRECT("Penalties!"&amp;$N$29&amp;PenaltyData[[#This Row],[ROW]],TRUE)=0, "",INDIRECT("Penalties!"&amp;$N$29&amp;PenaltyData[[#This Row],[ROW]],TRUE))</f>
        <v>K9</v>
      </c>
      <c r="G596" s="1233">
        <f ca="1">COUNTIFS($H$1:H596,"&lt;&gt;0", $F$1:F596,PenaltyData[[#This Row],[PlayerIdx]],$D$1:D596,PenaltyData[[#This Row],[Team]])</f>
        <v>0</v>
      </c>
      <c r="H596" s="1233">
        <f ca="1">INDIRECT("Penalties!"&amp;PenaltyData[[#This Row],[REF]]&amp;PenaltyData[[#This Row],[ROW]])</f>
        <v>0</v>
      </c>
      <c r="I596" s="1233" t="str">
        <f ca="1">IFERROR(VLOOKUP(PenaltyData[[#This Row],[Penalty]],PenaltyNames91419[],2,FALSE),"")</f>
        <v/>
      </c>
      <c r="J596" s="1220" t="s">
        <v>771</v>
      </c>
      <c r="K596" s="1220">
        <f t="shared" si="37"/>
        <v>30</v>
      </c>
      <c r="M596" s="1220"/>
    </row>
    <row r="597" spans="1:13" x14ac:dyDescent="0.25">
      <c r="A597" s="1230">
        <f t="shared" si="38"/>
        <v>42105</v>
      </c>
      <c r="B597" s="1231">
        <f t="shared" si="39"/>
        <v>0.83333333333333337</v>
      </c>
      <c r="C597" s="1220">
        <v>1</v>
      </c>
      <c r="D597" s="1220" t="str">
        <f t="shared" si="36"/>
        <v>Harlots</v>
      </c>
      <c r="E597" s="1233">
        <f ca="1">VALUE(INDIRECT("Penalties!"&amp;PenaltyData[[#This Row],[REF]]&amp;(PenaltyData[[#This Row],[ROW]]+1)))</f>
        <v>0</v>
      </c>
      <c r="F597" s="1220" t="str">
        <f ca="1">IF(INDIRECT("Penalties!"&amp;$N$29&amp;PenaltyData[[#This Row],[ROW]],TRUE)=0, "",INDIRECT("Penalties!"&amp;$N$29&amp;PenaltyData[[#This Row],[ROW]],TRUE))</f>
        <v>K9</v>
      </c>
      <c r="G597" s="1233">
        <f ca="1">COUNTIFS($H$1:H597,"&lt;&gt;0", $F$1:F597,PenaltyData[[#This Row],[PlayerIdx]],$D$1:D597,PenaltyData[[#This Row],[Team]])</f>
        <v>0</v>
      </c>
      <c r="H597" s="1233">
        <f ca="1">INDIRECT("Penalties!"&amp;PenaltyData[[#This Row],[REF]]&amp;PenaltyData[[#This Row],[ROW]])</f>
        <v>0</v>
      </c>
      <c r="I597" s="1233" t="str">
        <f ca="1">IFERROR(VLOOKUP(PenaltyData[[#This Row],[Penalty]],PenaltyNames91419[],2,FALSE),"")</f>
        <v/>
      </c>
      <c r="J597" s="1220" t="s">
        <v>772</v>
      </c>
      <c r="K597" s="1220">
        <f t="shared" si="37"/>
        <v>30</v>
      </c>
      <c r="M597" s="1220"/>
    </row>
    <row r="598" spans="1:13" x14ac:dyDescent="0.25">
      <c r="A598" s="1230">
        <f t="shared" si="38"/>
        <v>42105</v>
      </c>
      <c r="B598" s="1231">
        <f t="shared" si="39"/>
        <v>0.83333333333333337</v>
      </c>
      <c r="C598" s="1220">
        <v>1</v>
      </c>
      <c r="D598" s="1220" t="str">
        <f t="shared" si="36"/>
        <v>Harlots</v>
      </c>
      <c r="E598" s="1233">
        <f ca="1">VALUE(INDIRECT("Penalties!"&amp;PenaltyData[[#This Row],[REF]]&amp;(PenaltyData[[#This Row],[ROW]]+1)))</f>
        <v>0</v>
      </c>
      <c r="F598" s="1220" t="str">
        <f ca="1">IF(INDIRECT("Penalties!"&amp;$N$29&amp;PenaltyData[[#This Row],[ROW]],TRUE)=0, "",INDIRECT("Penalties!"&amp;$N$29&amp;PenaltyData[[#This Row],[ROW]],TRUE))</f>
        <v>K9</v>
      </c>
      <c r="G598" s="1233">
        <f ca="1">COUNTIFS($H$1:H598,"&lt;&gt;0", $F$1:F598,PenaltyData[[#This Row],[PlayerIdx]],$D$1:D598,PenaltyData[[#This Row],[Team]])</f>
        <v>0</v>
      </c>
      <c r="H598" s="1233">
        <f ca="1">INDIRECT("Penalties!"&amp;PenaltyData[[#This Row],[REF]]&amp;PenaltyData[[#This Row],[ROW]])</f>
        <v>0</v>
      </c>
      <c r="I598" s="1233" t="str">
        <f ca="1">IFERROR(VLOOKUP(PenaltyData[[#This Row],[Penalty]],PenaltyNames91419[],2,FALSE),"")</f>
        <v/>
      </c>
      <c r="J598" s="1220" t="s">
        <v>159</v>
      </c>
      <c r="K598" s="1220">
        <f t="shared" si="37"/>
        <v>30</v>
      </c>
      <c r="M598" s="1220"/>
    </row>
    <row r="599" spans="1:13" x14ac:dyDescent="0.25">
      <c r="A599" s="1230">
        <f t="shared" si="38"/>
        <v>42105</v>
      </c>
      <c r="B599" s="1231">
        <f t="shared" si="39"/>
        <v>0.83333333333333337</v>
      </c>
      <c r="C599" s="1220">
        <v>1</v>
      </c>
      <c r="D599" s="1220" t="str">
        <f t="shared" si="36"/>
        <v>Harlots</v>
      </c>
      <c r="E599" s="1233">
        <f ca="1">VALUE(INDIRECT("Penalties!"&amp;PenaltyData[[#This Row],[REF]]&amp;(PenaltyData[[#This Row],[ROW]]+1)))</f>
        <v>0</v>
      </c>
      <c r="F599" s="1220" t="str">
        <f ca="1">IF(INDIRECT("Penalties!"&amp;$N$29&amp;PenaltyData[[#This Row],[ROW]],TRUE)=0, "",INDIRECT("Penalties!"&amp;$N$29&amp;PenaltyData[[#This Row],[ROW]],TRUE))</f>
        <v>K9</v>
      </c>
      <c r="G599" s="1233">
        <f ca="1">COUNTIFS($H$1:H599,"&lt;&gt;0", $F$1:F599,PenaltyData[[#This Row],[PlayerIdx]],$D$1:D599,PenaltyData[[#This Row],[Team]])</f>
        <v>0</v>
      </c>
      <c r="H599" s="1233">
        <f ca="1">INDIRECT("Penalties!"&amp;PenaltyData[[#This Row],[REF]]&amp;PenaltyData[[#This Row],[ROW]])</f>
        <v>0</v>
      </c>
      <c r="I599" s="1233" t="str">
        <f ca="1">IFERROR(VLOOKUP(PenaltyData[[#This Row],[Penalty]],PenaltyNames91419[],2,FALSE),"")</f>
        <v/>
      </c>
      <c r="J599" s="1220" t="s">
        <v>773</v>
      </c>
      <c r="K599" s="1220">
        <f t="shared" si="37"/>
        <v>30</v>
      </c>
      <c r="M599" s="1220"/>
    </row>
    <row r="600" spans="1:13" x14ac:dyDescent="0.25">
      <c r="A600" s="1230">
        <f t="shared" si="38"/>
        <v>42105</v>
      </c>
      <c r="B600" s="1231">
        <f t="shared" si="39"/>
        <v>0.83333333333333337</v>
      </c>
      <c r="C600" s="1220">
        <v>1</v>
      </c>
      <c r="D600" s="1220" t="str">
        <f t="shared" si="36"/>
        <v>Harlots</v>
      </c>
      <c r="E600" s="1233">
        <f ca="1">VALUE(INDIRECT("Penalties!"&amp;PenaltyData[[#This Row],[REF]]&amp;(PenaltyData[[#This Row],[ROW]]+1)))</f>
        <v>0</v>
      </c>
      <c r="F600" s="1220" t="str">
        <f ca="1">IF(INDIRECT("Penalties!"&amp;$N$29&amp;PenaltyData[[#This Row],[ROW]],TRUE)=0, "",INDIRECT("Penalties!"&amp;$N$29&amp;PenaltyData[[#This Row],[ROW]],TRUE))</f>
        <v>K9</v>
      </c>
      <c r="G600" s="1233">
        <f ca="1">COUNTIFS($H$1:H600,"&lt;&gt;0", $F$1:F600,PenaltyData[[#This Row],[PlayerIdx]],$D$1:D600,PenaltyData[[#This Row],[Team]])</f>
        <v>0</v>
      </c>
      <c r="H600" s="1233">
        <f ca="1">INDIRECT("Penalties!"&amp;PenaltyData[[#This Row],[REF]]&amp;PenaltyData[[#This Row],[ROW]])</f>
        <v>0</v>
      </c>
      <c r="I600" s="1233" t="str">
        <f ca="1">IFERROR(VLOOKUP(PenaltyData[[#This Row],[Penalty]],PenaltyNames91419[],2,FALSE),"")</f>
        <v/>
      </c>
      <c r="J600" s="1220" t="s">
        <v>774</v>
      </c>
      <c r="K600" s="1220">
        <f t="shared" si="37"/>
        <v>30</v>
      </c>
      <c r="M600" s="1220"/>
    </row>
    <row r="601" spans="1:13" x14ac:dyDescent="0.25">
      <c r="A601" s="1230">
        <f t="shared" si="38"/>
        <v>42105</v>
      </c>
      <c r="B601" s="1231">
        <f t="shared" si="39"/>
        <v>0.83333333333333337</v>
      </c>
      <c r="C601" s="1220">
        <v>1</v>
      </c>
      <c r="D601" s="1220" t="str">
        <f t="shared" si="36"/>
        <v>Harlots</v>
      </c>
      <c r="E601" s="1233">
        <f ca="1">VALUE(INDIRECT("Penalties!"&amp;PenaltyData[[#This Row],[REF]]&amp;(PenaltyData[[#This Row],[ROW]]+1)))</f>
        <v>0</v>
      </c>
      <c r="F601" s="1220" t="str">
        <f ca="1">IF(INDIRECT("Penalties!"&amp;$N$29&amp;PenaltyData[[#This Row],[ROW]],TRUE)=0, "",INDIRECT("Penalties!"&amp;$N$29&amp;PenaltyData[[#This Row],[ROW]],TRUE))</f>
        <v>K9</v>
      </c>
      <c r="G601" s="1233">
        <f ca="1">COUNTIFS($H$1:H601,"&lt;&gt;0", $F$1:F601,PenaltyData[[#This Row],[PlayerIdx]],$D$1:D601,PenaltyData[[#This Row],[Team]])</f>
        <v>0</v>
      </c>
      <c r="H601" s="1233">
        <f ca="1">INDIRECT("Penalties!"&amp;PenaltyData[[#This Row],[REF]]&amp;PenaltyData[[#This Row],[ROW]])</f>
        <v>0</v>
      </c>
      <c r="I601" s="1233" t="str">
        <f ca="1">IFERROR(VLOOKUP(PenaltyData[[#This Row],[Penalty]],PenaltyNames91419[],2,FALSE),"")</f>
        <v/>
      </c>
      <c r="J601" s="1220" t="s">
        <v>775</v>
      </c>
      <c r="K601" s="1220">
        <f t="shared" si="37"/>
        <v>30</v>
      </c>
      <c r="M601" s="1220"/>
    </row>
    <row r="602" spans="1:13" x14ac:dyDescent="0.25">
      <c r="A602" s="1230">
        <f t="shared" si="38"/>
        <v>42105</v>
      </c>
      <c r="B602" s="1231">
        <f t="shared" si="39"/>
        <v>0.83333333333333337</v>
      </c>
      <c r="C602" s="1220">
        <v>1</v>
      </c>
      <c r="D602" s="1220" t="str">
        <f t="shared" si="36"/>
        <v>Harlots</v>
      </c>
      <c r="E602" s="1233">
        <f ca="1">VALUE(INDIRECT("Penalties!"&amp;PenaltyData[[#This Row],[REF]]&amp;(PenaltyData[[#This Row],[ROW]]+1)))</f>
        <v>0</v>
      </c>
      <c r="F602" s="1220" t="str">
        <f ca="1">IF(INDIRECT("Penalties!"&amp;$N$29&amp;PenaltyData[[#This Row],[ROW]],TRUE)=0, "",INDIRECT("Penalties!"&amp;$N$29&amp;PenaltyData[[#This Row],[ROW]],TRUE))</f>
        <v>K9</v>
      </c>
      <c r="G602" s="1233">
        <f ca="1">COUNTIFS($H$1:H602,"&lt;&gt;0", $F$1:F602,PenaltyData[[#This Row],[PlayerIdx]],$D$1:D602,PenaltyData[[#This Row],[Team]])</f>
        <v>0</v>
      </c>
      <c r="H602" s="1233">
        <f ca="1">INDIRECT("Penalties!"&amp;PenaltyData[[#This Row],[REF]]&amp;PenaltyData[[#This Row],[ROW]])</f>
        <v>0</v>
      </c>
      <c r="I602" s="1233" t="str">
        <f ca="1">IFERROR(VLOOKUP(PenaltyData[[#This Row],[Penalty]],PenaltyNames91419[],2,FALSE),"")</f>
        <v/>
      </c>
      <c r="J602" s="1220" t="s">
        <v>776</v>
      </c>
      <c r="K602" s="1220">
        <f t="shared" si="37"/>
        <v>30</v>
      </c>
      <c r="M602" s="1220"/>
    </row>
    <row r="603" spans="1:13" x14ac:dyDescent="0.25">
      <c r="A603" s="1230">
        <f t="shared" si="38"/>
        <v>42105</v>
      </c>
      <c r="B603" s="1231">
        <f t="shared" si="39"/>
        <v>0.83333333333333337</v>
      </c>
      <c r="C603" s="1220">
        <v>1</v>
      </c>
      <c r="D603" s="1220" t="str">
        <f t="shared" si="36"/>
        <v>Harlots</v>
      </c>
      <c r="E603" s="1233">
        <f ca="1">VALUE(INDIRECT("Penalties!"&amp;PenaltyData[[#This Row],[REF]]&amp;(PenaltyData[[#This Row],[ROW]]+1)))</f>
        <v>0</v>
      </c>
      <c r="F603" s="1220" t="str">
        <f ca="1">IF(INDIRECT("Penalties!"&amp;$N$29&amp;PenaltyData[[#This Row],[ROW]],TRUE)=0, "",INDIRECT("Penalties!"&amp;$N$29&amp;PenaltyData[[#This Row],[ROW]],TRUE))</f>
        <v>K9</v>
      </c>
      <c r="G603" s="1233">
        <f ca="1">COUNTIFS($H$1:H603,"&lt;&gt;0", $F$1:F603,PenaltyData[[#This Row],[PlayerIdx]],$D$1:D603,PenaltyData[[#This Row],[Team]])</f>
        <v>0</v>
      </c>
      <c r="H603" s="1233">
        <f ca="1">INDIRECT("Penalties!"&amp;PenaltyData[[#This Row],[REF]]&amp;PenaltyData[[#This Row],[ROW]])</f>
        <v>0</v>
      </c>
      <c r="I603" s="1233" t="str">
        <f ca="1">IFERROR(VLOOKUP(PenaltyData[[#This Row],[Penalty]],PenaltyNames91419[],2,FALSE),"")</f>
        <v/>
      </c>
      <c r="J603" s="1220" t="s">
        <v>140</v>
      </c>
      <c r="K603" s="1220">
        <f t="shared" si="37"/>
        <v>30</v>
      </c>
      <c r="M603" s="1220"/>
    </row>
    <row r="604" spans="1:13" x14ac:dyDescent="0.25">
      <c r="A604" s="1230">
        <f t="shared" si="38"/>
        <v>42105</v>
      </c>
      <c r="B604" s="1231">
        <f t="shared" si="39"/>
        <v>0.83333333333333337</v>
      </c>
      <c r="C604" s="1220">
        <v>1</v>
      </c>
      <c r="D604" s="1220" t="str">
        <f t="shared" si="36"/>
        <v>Harlots</v>
      </c>
      <c r="E604" s="1233">
        <f ca="1">VALUE(INDIRECT("Penalties!"&amp;PenaltyData[[#This Row],[REF]]&amp;(PenaltyData[[#This Row],[ROW]]+1)))</f>
        <v>0</v>
      </c>
      <c r="F604" s="1220" t="str">
        <f ca="1">IF(INDIRECT("Penalties!"&amp;$N$29&amp;PenaltyData[[#This Row],[ROW]],TRUE)=0, "",INDIRECT("Penalties!"&amp;$N$29&amp;PenaltyData[[#This Row],[ROW]],TRUE))</f>
        <v>K9</v>
      </c>
      <c r="G604" s="1233">
        <f ca="1">COUNTIFS($H$1:H604,"&lt;&gt;0", $F$1:F604,PenaltyData[[#This Row],[PlayerIdx]],$D$1:D604,PenaltyData[[#This Row],[Team]])</f>
        <v>0</v>
      </c>
      <c r="H604" s="1233">
        <f ca="1">INDIRECT("Penalties!"&amp;PenaltyData[[#This Row],[REF]]&amp;PenaltyData[[#This Row],[ROW]])</f>
        <v>0</v>
      </c>
      <c r="I604" s="1233" t="str">
        <f ca="1">IFERROR(VLOOKUP(PenaltyData[[#This Row],[Penalty]],PenaltyNames91419[],2,FALSE),"")</f>
        <v/>
      </c>
      <c r="J604" s="1220" t="s">
        <v>777</v>
      </c>
      <c r="K604" s="1220">
        <f t="shared" si="37"/>
        <v>30</v>
      </c>
      <c r="M604" s="1220"/>
    </row>
    <row r="605" spans="1:13" x14ac:dyDescent="0.25">
      <c r="A605" s="1230">
        <f t="shared" si="38"/>
        <v>42105</v>
      </c>
      <c r="B605" s="1231">
        <f t="shared" si="39"/>
        <v>0.83333333333333337</v>
      </c>
      <c r="C605" s="1220">
        <v>2</v>
      </c>
      <c r="D605" s="1220" t="str">
        <f t="shared" si="36"/>
        <v>Harlots</v>
      </c>
      <c r="E605" s="1233">
        <f ca="1">VALUE(INDIRECT("Penalties!"&amp;PenaltyData[[#This Row],[REF]]&amp;(PenaltyData[[#This Row],[ROW]]+1)))</f>
        <v>17</v>
      </c>
      <c r="F605" s="1220" t="str">
        <f ca="1">IF(INDIRECT("Penalties!"&amp;$N$29&amp;PenaltyData[[#This Row],[ROW]],TRUE)=0, "",INDIRECT("Penalties!"&amp;$N$29&amp;PenaltyData[[#This Row],[ROW]],TRUE))</f>
        <v>K9</v>
      </c>
      <c r="G605" s="1233">
        <f ca="1">COUNTIFS($H$1:H605,"&lt;&gt;0", $F$1:F605,PenaltyData[[#This Row],[PlayerIdx]],$D$1:D605,PenaltyData[[#This Row],[Team]])</f>
        <v>1</v>
      </c>
      <c r="H605" s="1233" t="str">
        <f ca="1">INDIRECT("Penalties!"&amp;PenaltyData[[#This Row],[REF]]&amp;PenaltyData[[#This Row],[ROW]])</f>
        <v>X</v>
      </c>
      <c r="I605" s="1233" t="str">
        <f ca="1">IFERROR(VLOOKUP(PenaltyData[[#This Row],[Penalty]],PenaltyNames91419[],2,FALSE),"")</f>
        <v>Cut Track</v>
      </c>
      <c r="J605" s="1220" t="s">
        <v>778</v>
      </c>
      <c r="K605" s="1220">
        <f t="shared" si="37"/>
        <v>30</v>
      </c>
      <c r="M605" s="1220"/>
    </row>
    <row r="606" spans="1:13" x14ac:dyDescent="0.25">
      <c r="A606" s="1230">
        <f t="shared" si="38"/>
        <v>42105</v>
      </c>
      <c r="B606" s="1231">
        <f t="shared" si="39"/>
        <v>0.83333333333333337</v>
      </c>
      <c r="C606" s="1220">
        <v>2</v>
      </c>
      <c r="D606" s="1220" t="str">
        <f t="shared" si="36"/>
        <v>Harlots</v>
      </c>
      <c r="E606" s="1233">
        <f ca="1">VALUE(INDIRECT("Penalties!"&amp;PenaltyData[[#This Row],[REF]]&amp;(PenaltyData[[#This Row],[ROW]]+1)))</f>
        <v>18</v>
      </c>
      <c r="F606" s="1220" t="str">
        <f ca="1">IF(INDIRECT("Penalties!"&amp;$N$29&amp;PenaltyData[[#This Row],[ROW]],TRUE)=0, "",INDIRECT("Penalties!"&amp;$N$29&amp;PenaltyData[[#This Row],[ROW]],TRUE))</f>
        <v>K9</v>
      </c>
      <c r="G606" s="1233">
        <f ca="1">COUNTIFS($H$1:H606,"&lt;&gt;0", $F$1:F606,PenaltyData[[#This Row],[PlayerIdx]],$D$1:D606,PenaltyData[[#This Row],[Team]])</f>
        <v>2</v>
      </c>
      <c r="H606" s="1233" t="str">
        <f ca="1">INDIRECT("Penalties!"&amp;PenaltyData[[#This Row],[REF]]&amp;PenaltyData[[#This Row],[ROW]])</f>
        <v>X</v>
      </c>
      <c r="I606" s="1233" t="str">
        <f ca="1">IFERROR(VLOOKUP(PenaltyData[[#This Row],[Penalty]],PenaltyNames91419[],2,FALSE),"")</f>
        <v>Cut Track</v>
      </c>
      <c r="J606" s="1220" t="s">
        <v>779</v>
      </c>
      <c r="K606" s="1220">
        <f t="shared" si="37"/>
        <v>30</v>
      </c>
      <c r="M606" s="1220"/>
    </row>
    <row r="607" spans="1:13" x14ac:dyDescent="0.25">
      <c r="A607" s="1230">
        <f t="shared" si="38"/>
        <v>42105</v>
      </c>
      <c r="B607" s="1231">
        <f t="shared" si="39"/>
        <v>0.83333333333333337</v>
      </c>
      <c r="C607" s="1220">
        <v>2</v>
      </c>
      <c r="D607" s="1220" t="str">
        <f t="shared" si="36"/>
        <v>Harlots</v>
      </c>
      <c r="E607" s="1233">
        <f ca="1">VALUE(INDIRECT("Penalties!"&amp;PenaltyData[[#This Row],[REF]]&amp;(PenaltyData[[#This Row],[ROW]]+1)))</f>
        <v>0</v>
      </c>
      <c r="F607" s="1220" t="str">
        <f ca="1">IF(INDIRECT("Penalties!"&amp;$N$29&amp;PenaltyData[[#This Row],[ROW]],TRUE)=0, "",INDIRECT("Penalties!"&amp;$N$29&amp;PenaltyData[[#This Row],[ROW]],TRUE))</f>
        <v>K9</v>
      </c>
      <c r="G607" s="1233">
        <f ca="1">COUNTIFS($H$1:H607,"&lt;&gt;0", $F$1:F607,PenaltyData[[#This Row],[PlayerIdx]],$D$1:D607,PenaltyData[[#This Row],[Team]])</f>
        <v>2</v>
      </c>
      <c r="H607" s="1233">
        <f ca="1">INDIRECT("Penalties!"&amp;PenaltyData[[#This Row],[REF]]&amp;PenaltyData[[#This Row],[ROW]])</f>
        <v>0</v>
      </c>
      <c r="I607" s="1233" t="str">
        <f ca="1">IFERROR(VLOOKUP(PenaltyData[[#This Row],[Penalty]],PenaltyNames91419[],2,FALSE),"")</f>
        <v/>
      </c>
      <c r="J607" s="1220" t="s">
        <v>780</v>
      </c>
      <c r="K607" s="1220">
        <f t="shared" si="37"/>
        <v>30</v>
      </c>
      <c r="M607" s="1220"/>
    </row>
    <row r="608" spans="1:13" x14ac:dyDescent="0.25">
      <c r="A608" s="1230">
        <f t="shared" si="38"/>
        <v>42105</v>
      </c>
      <c r="B608" s="1231">
        <f t="shared" si="39"/>
        <v>0.83333333333333337</v>
      </c>
      <c r="C608" s="1220">
        <v>2</v>
      </c>
      <c r="D608" s="1220" t="str">
        <f t="shared" si="36"/>
        <v>Harlots</v>
      </c>
      <c r="E608" s="1233">
        <f ca="1">VALUE(INDIRECT("Penalties!"&amp;PenaltyData[[#This Row],[REF]]&amp;(PenaltyData[[#This Row],[ROW]]+1)))</f>
        <v>0</v>
      </c>
      <c r="F608" s="1220" t="str">
        <f ca="1">IF(INDIRECT("Penalties!"&amp;$N$29&amp;PenaltyData[[#This Row],[ROW]],TRUE)=0, "",INDIRECT("Penalties!"&amp;$N$29&amp;PenaltyData[[#This Row],[ROW]],TRUE))</f>
        <v>K9</v>
      </c>
      <c r="G608" s="1233">
        <f ca="1">COUNTIFS($H$1:H608,"&lt;&gt;0", $F$1:F608,PenaltyData[[#This Row],[PlayerIdx]],$D$1:D608,PenaltyData[[#This Row],[Team]])</f>
        <v>2</v>
      </c>
      <c r="H608" s="1233">
        <f ca="1">INDIRECT("Penalties!"&amp;PenaltyData[[#This Row],[REF]]&amp;PenaltyData[[#This Row],[ROW]])</f>
        <v>0</v>
      </c>
      <c r="I608" s="1233" t="str">
        <f ca="1">IFERROR(VLOOKUP(PenaltyData[[#This Row],[Penalty]],PenaltyNames91419[],2,FALSE),"")</f>
        <v/>
      </c>
      <c r="J608" s="1220" t="s">
        <v>781</v>
      </c>
      <c r="K608" s="1220">
        <f t="shared" si="37"/>
        <v>30</v>
      </c>
      <c r="M608" s="1220"/>
    </row>
    <row r="609" spans="1:13" x14ac:dyDescent="0.25">
      <c r="A609" s="1230">
        <f t="shared" si="38"/>
        <v>42105</v>
      </c>
      <c r="B609" s="1231">
        <f t="shared" si="39"/>
        <v>0.83333333333333337</v>
      </c>
      <c r="C609" s="1220">
        <v>2</v>
      </c>
      <c r="D609" s="1220" t="str">
        <f t="shared" si="36"/>
        <v>Harlots</v>
      </c>
      <c r="E609" s="1233">
        <f ca="1">VALUE(INDIRECT("Penalties!"&amp;PenaltyData[[#This Row],[REF]]&amp;(PenaltyData[[#This Row],[ROW]]+1)))</f>
        <v>0</v>
      </c>
      <c r="F609" s="1220" t="str">
        <f ca="1">IF(INDIRECT("Penalties!"&amp;$N$29&amp;PenaltyData[[#This Row],[ROW]],TRUE)=0, "",INDIRECT("Penalties!"&amp;$N$29&amp;PenaltyData[[#This Row],[ROW]],TRUE))</f>
        <v>K9</v>
      </c>
      <c r="G609" s="1233">
        <f ca="1">COUNTIFS($H$1:H609,"&lt;&gt;0", $F$1:F609,PenaltyData[[#This Row],[PlayerIdx]],$D$1:D609,PenaltyData[[#This Row],[Team]])</f>
        <v>2</v>
      </c>
      <c r="H609" s="1233">
        <f ca="1">INDIRECT("Penalties!"&amp;PenaltyData[[#This Row],[REF]]&amp;PenaltyData[[#This Row],[ROW]])</f>
        <v>0</v>
      </c>
      <c r="I609" s="1233" t="str">
        <f ca="1">IFERROR(VLOOKUP(PenaltyData[[#This Row],[Penalty]],PenaltyNames91419[],2,FALSE),"")</f>
        <v/>
      </c>
      <c r="J609" s="1220" t="s">
        <v>782</v>
      </c>
      <c r="K609" s="1220">
        <f t="shared" si="37"/>
        <v>30</v>
      </c>
      <c r="M609" s="1220"/>
    </row>
    <row r="610" spans="1:13" x14ac:dyDescent="0.25">
      <c r="A610" s="1230">
        <f t="shared" si="38"/>
        <v>42105</v>
      </c>
      <c r="B610" s="1231">
        <f t="shared" si="39"/>
        <v>0.83333333333333337</v>
      </c>
      <c r="C610" s="1220">
        <v>2</v>
      </c>
      <c r="D610" s="1220" t="str">
        <f t="shared" si="36"/>
        <v>Harlots</v>
      </c>
      <c r="E610" s="1233">
        <f ca="1">VALUE(INDIRECT("Penalties!"&amp;PenaltyData[[#This Row],[REF]]&amp;(PenaltyData[[#This Row],[ROW]]+1)))</f>
        <v>0</v>
      </c>
      <c r="F610" s="1220" t="str">
        <f ca="1">IF(INDIRECT("Penalties!"&amp;$N$29&amp;PenaltyData[[#This Row],[ROW]],TRUE)=0, "",INDIRECT("Penalties!"&amp;$N$29&amp;PenaltyData[[#This Row],[ROW]],TRUE))</f>
        <v>K9</v>
      </c>
      <c r="G610" s="1233">
        <f ca="1">COUNTIFS($H$1:H610,"&lt;&gt;0", $F$1:F610,PenaltyData[[#This Row],[PlayerIdx]],$D$1:D610,PenaltyData[[#This Row],[Team]])</f>
        <v>2</v>
      </c>
      <c r="H610" s="1233">
        <f ca="1">INDIRECT("Penalties!"&amp;PenaltyData[[#This Row],[REF]]&amp;PenaltyData[[#This Row],[ROW]])</f>
        <v>0</v>
      </c>
      <c r="I610" s="1233" t="str">
        <f ca="1">IFERROR(VLOOKUP(PenaltyData[[#This Row],[Penalty]],PenaltyNames91419[],2,FALSE),"")</f>
        <v/>
      </c>
      <c r="J610" s="1220" t="s">
        <v>783</v>
      </c>
      <c r="K610" s="1220">
        <f t="shared" si="37"/>
        <v>30</v>
      </c>
      <c r="M610" s="1220"/>
    </row>
    <row r="611" spans="1:13" x14ac:dyDescent="0.25">
      <c r="A611" s="1230">
        <f t="shared" si="38"/>
        <v>42105</v>
      </c>
      <c r="B611" s="1231">
        <f t="shared" si="39"/>
        <v>0.83333333333333337</v>
      </c>
      <c r="C611" s="1220">
        <v>2</v>
      </c>
      <c r="D611" s="1220" t="str">
        <f t="shared" si="36"/>
        <v>Harlots</v>
      </c>
      <c r="E611" s="1233">
        <f ca="1">VALUE(INDIRECT("Penalties!"&amp;PenaltyData[[#This Row],[REF]]&amp;(PenaltyData[[#This Row],[ROW]]+1)))</f>
        <v>0</v>
      </c>
      <c r="F611" s="1220" t="str">
        <f ca="1">IF(INDIRECT("Penalties!"&amp;$N$29&amp;PenaltyData[[#This Row],[ROW]],TRUE)=0, "",INDIRECT("Penalties!"&amp;$N$29&amp;PenaltyData[[#This Row],[ROW]],TRUE))</f>
        <v>K9</v>
      </c>
      <c r="G611" s="1233">
        <f ca="1">COUNTIFS($H$1:H611,"&lt;&gt;0", $F$1:F611,PenaltyData[[#This Row],[PlayerIdx]],$D$1:D611,PenaltyData[[#This Row],[Team]])</f>
        <v>2</v>
      </c>
      <c r="H611" s="1233">
        <f ca="1">INDIRECT("Penalties!"&amp;PenaltyData[[#This Row],[REF]]&amp;PenaltyData[[#This Row],[ROW]])</f>
        <v>0</v>
      </c>
      <c r="I611" s="1233" t="str">
        <f ca="1">IFERROR(VLOOKUP(PenaltyData[[#This Row],[Penalty]],PenaltyNames91419[],2,FALSE),"")</f>
        <v/>
      </c>
      <c r="J611" s="1220" t="s">
        <v>784</v>
      </c>
      <c r="K611" s="1220">
        <f t="shared" si="37"/>
        <v>30</v>
      </c>
      <c r="M611" s="1220"/>
    </row>
    <row r="612" spans="1:13" x14ac:dyDescent="0.25">
      <c r="A612" s="1230">
        <f t="shared" si="38"/>
        <v>42105</v>
      </c>
      <c r="B612" s="1231">
        <f t="shared" si="39"/>
        <v>0.83333333333333337</v>
      </c>
      <c r="C612" s="1220">
        <v>2</v>
      </c>
      <c r="D612" s="1220" t="str">
        <f t="shared" si="36"/>
        <v>Harlots</v>
      </c>
      <c r="E612" s="1233">
        <f ca="1">VALUE(INDIRECT("Penalties!"&amp;PenaltyData[[#This Row],[REF]]&amp;(PenaltyData[[#This Row],[ROW]]+1)))</f>
        <v>0</v>
      </c>
      <c r="F612" s="1220" t="str">
        <f ca="1">IF(INDIRECT("Penalties!"&amp;$N$29&amp;PenaltyData[[#This Row],[ROW]],TRUE)=0, "",INDIRECT("Penalties!"&amp;$N$29&amp;PenaltyData[[#This Row],[ROW]],TRUE))</f>
        <v>K9</v>
      </c>
      <c r="G612" s="1233">
        <f ca="1">COUNTIFS($H$1:H612,"&lt;&gt;0", $F$1:F612,PenaltyData[[#This Row],[PlayerIdx]],$D$1:D612,PenaltyData[[#This Row],[Team]])</f>
        <v>2</v>
      </c>
      <c r="H612" s="1233">
        <f ca="1">INDIRECT("Penalties!"&amp;PenaltyData[[#This Row],[REF]]&amp;PenaltyData[[#This Row],[ROW]])</f>
        <v>0</v>
      </c>
      <c r="I612" s="1233" t="str">
        <f ca="1">IFERROR(VLOOKUP(PenaltyData[[#This Row],[Penalty]],PenaltyNames91419[],2,FALSE),"")</f>
        <v/>
      </c>
      <c r="J612" s="1220" t="s">
        <v>785</v>
      </c>
      <c r="K612" s="1220">
        <f t="shared" si="37"/>
        <v>30</v>
      </c>
      <c r="M612" s="1220"/>
    </row>
    <row r="613" spans="1:13" x14ac:dyDescent="0.25">
      <c r="A613" s="1230">
        <f t="shared" si="38"/>
        <v>42105</v>
      </c>
      <c r="B613" s="1231">
        <f t="shared" si="39"/>
        <v>0.83333333333333337</v>
      </c>
      <c r="C613" s="1220">
        <v>2</v>
      </c>
      <c r="D613" s="1220" t="str">
        <f t="shared" si="36"/>
        <v>Harlots</v>
      </c>
      <c r="E613" s="1233">
        <f ca="1">VALUE(INDIRECT("Penalties!"&amp;PenaltyData[[#This Row],[REF]]&amp;(PenaltyData[[#This Row],[ROW]]+1)))</f>
        <v>0</v>
      </c>
      <c r="F613" s="1220" t="str">
        <f ca="1">IF(INDIRECT("Penalties!"&amp;$N$29&amp;PenaltyData[[#This Row],[ROW]],TRUE)=0, "",INDIRECT("Penalties!"&amp;$N$29&amp;PenaltyData[[#This Row],[ROW]],TRUE))</f>
        <v>K9</v>
      </c>
      <c r="G613" s="1233">
        <f ca="1">COUNTIFS($H$1:H613,"&lt;&gt;0", $F$1:F613,PenaltyData[[#This Row],[PlayerIdx]],$D$1:D613,PenaltyData[[#This Row],[Team]])</f>
        <v>2</v>
      </c>
      <c r="H613" s="1233">
        <f ca="1">INDIRECT("Penalties!"&amp;PenaltyData[[#This Row],[REF]]&amp;PenaltyData[[#This Row],[ROW]])</f>
        <v>0</v>
      </c>
      <c r="I613" s="1233" t="str">
        <f ca="1">IFERROR(VLOOKUP(PenaltyData[[#This Row],[Penalty]],PenaltyNames91419[],2,FALSE),"")</f>
        <v/>
      </c>
      <c r="J613" s="1220" t="s">
        <v>786</v>
      </c>
      <c r="K613" s="1220">
        <f t="shared" si="37"/>
        <v>30</v>
      </c>
      <c r="M613" s="1220"/>
    </row>
    <row r="614" spans="1:13" x14ac:dyDescent="0.25">
      <c r="A614" s="1230">
        <f t="shared" si="38"/>
        <v>42105</v>
      </c>
      <c r="B614" s="1231">
        <f t="shared" si="39"/>
        <v>0.83333333333333337</v>
      </c>
      <c r="C614" s="1220">
        <v>1</v>
      </c>
      <c r="D614" s="1220" t="str">
        <f t="shared" si="36"/>
        <v>Harlots</v>
      </c>
      <c r="E614" s="1233">
        <f ca="1">VALUE(INDIRECT("Penalties!"&amp;PenaltyData[[#This Row],[REF]]&amp;(PenaltyData[[#This Row],[ROW]]+1)))</f>
        <v>0</v>
      </c>
      <c r="F614" s="1220" t="str">
        <f ca="1">IF(INDIRECT("Penalties!"&amp;$N$29&amp;PenaltyData[[#This Row],[ROW]],TRUE)=0, "",INDIRECT("Penalties!"&amp;$N$29&amp;PenaltyData[[#This Row],[ROW]],TRUE))</f>
        <v/>
      </c>
      <c r="G614" s="1233">
        <f ca="1">COUNTIFS($H$1:H614,"&lt;&gt;0", $F$1:F614,PenaltyData[[#This Row],[PlayerIdx]],$D$1:D614,PenaltyData[[#This Row],[Team]])</f>
        <v>0</v>
      </c>
      <c r="H614" s="1233">
        <f ca="1">INDIRECT("Penalties!"&amp;PenaltyData[[#This Row],[REF]]&amp;PenaltyData[[#This Row],[ROW]])</f>
        <v>0</v>
      </c>
      <c r="I614" s="1233" t="str">
        <f ca="1">IFERROR(VLOOKUP(PenaltyData[[#This Row],[Penalty]],PenaltyNames91419[],2,FALSE),"")</f>
        <v/>
      </c>
      <c r="J614" s="1220" t="s">
        <v>771</v>
      </c>
      <c r="K614" s="1220">
        <f t="shared" si="37"/>
        <v>32</v>
      </c>
      <c r="M614" s="1220"/>
    </row>
    <row r="615" spans="1:13" x14ac:dyDescent="0.25">
      <c r="A615" s="1230">
        <f t="shared" si="38"/>
        <v>42105</v>
      </c>
      <c r="B615" s="1231">
        <f t="shared" si="39"/>
        <v>0.83333333333333337</v>
      </c>
      <c r="C615" s="1220">
        <v>1</v>
      </c>
      <c r="D615" s="1220" t="str">
        <f t="shared" si="36"/>
        <v>Harlots</v>
      </c>
      <c r="E615" s="1233">
        <f ca="1">VALUE(INDIRECT("Penalties!"&amp;PenaltyData[[#This Row],[REF]]&amp;(PenaltyData[[#This Row],[ROW]]+1)))</f>
        <v>0</v>
      </c>
      <c r="F615" s="1220" t="str">
        <f ca="1">IF(INDIRECT("Penalties!"&amp;$N$29&amp;PenaltyData[[#This Row],[ROW]],TRUE)=0, "",INDIRECT("Penalties!"&amp;$N$29&amp;PenaltyData[[#This Row],[ROW]],TRUE))</f>
        <v/>
      </c>
      <c r="G615" s="1233">
        <f ca="1">COUNTIFS($H$1:H615,"&lt;&gt;0", $F$1:F615,PenaltyData[[#This Row],[PlayerIdx]],$D$1:D615,PenaltyData[[#This Row],[Team]])</f>
        <v>0</v>
      </c>
      <c r="H615" s="1233">
        <f ca="1">INDIRECT("Penalties!"&amp;PenaltyData[[#This Row],[REF]]&amp;PenaltyData[[#This Row],[ROW]])</f>
        <v>0</v>
      </c>
      <c r="I615" s="1233" t="str">
        <f ca="1">IFERROR(VLOOKUP(PenaltyData[[#This Row],[Penalty]],PenaltyNames91419[],2,FALSE),"")</f>
        <v/>
      </c>
      <c r="J615" s="1220" t="s">
        <v>772</v>
      </c>
      <c r="K615" s="1220">
        <f t="shared" si="37"/>
        <v>32</v>
      </c>
      <c r="M615" s="1220"/>
    </row>
    <row r="616" spans="1:13" x14ac:dyDescent="0.25">
      <c r="A616" s="1230">
        <f t="shared" si="38"/>
        <v>42105</v>
      </c>
      <c r="B616" s="1231">
        <f t="shared" si="39"/>
        <v>0.83333333333333337</v>
      </c>
      <c r="C616" s="1220">
        <v>1</v>
      </c>
      <c r="D616" s="1220" t="str">
        <f t="shared" si="36"/>
        <v>Harlots</v>
      </c>
      <c r="E616" s="1233">
        <f ca="1">VALUE(INDIRECT("Penalties!"&amp;PenaltyData[[#This Row],[REF]]&amp;(PenaltyData[[#This Row],[ROW]]+1)))</f>
        <v>0</v>
      </c>
      <c r="F616" s="1220" t="str">
        <f ca="1">IF(INDIRECT("Penalties!"&amp;$N$29&amp;PenaltyData[[#This Row],[ROW]],TRUE)=0, "",INDIRECT("Penalties!"&amp;$N$29&amp;PenaltyData[[#This Row],[ROW]],TRUE))</f>
        <v/>
      </c>
      <c r="G616" s="1233">
        <f ca="1">COUNTIFS($H$1:H616,"&lt;&gt;0", $F$1:F616,PenaltyData[[#This Row],[PlayerIdx]],$D$1:D616,PenaltyData[[#This Row],[Team]])</f>
        <v>0</v>
      </c>
      <c r="H616" s="1233">
        <f ca="1">INDIRECT("Penalties!"&amp;PenaltyData[[#This Row],[REF]]&amp;PenaltyData[[#This Row],[ROW]])</f>
        <v>0</v>
      </c>
      <c r="I616" s="1233" t="str">
        <f ca="1">IFERROR(VLOOKUP(PenaltyData[[#This Row],[Penalty]],PenaltyNames91419[],2,FALSE),"")</f>
        <v/>
      </c>
      <c r="J616" s="1220" t="s">
        <v>159</v>
      </c>
      <c r="K616" s="1220">
        <f t="shared" si="37"/>
        <v>32</v>
      </c>
      <c r="M616" s="1220"/>
    </row>
    <row r="617" spans="1:13" x14ac:dyDescent="0.25">
      <c r="A617" s="1230">
        <f t="shared" si="38"/>
        <v>42105</v>
      </c>
      <c r="B617" s="1231">
        <f t="shared" si="39"/>
        <v>0.83333333333333337</v>
      </c>
      <c r="C617" s="1220">
        <v>1</v>
      </c>
      <c r="D617" s="1220" t="str">
        <f t="shared" si="36"/>
        <v>Harlots</v>
      </c>
      <c r="E617" s="1233">
        <f ca="1">VALUE(INDIRECT("Penalties!"&amp;PenaltyData[[#This Row],[REF]]&amp;(PenaltyData[[#This Row],[ROW]]+1)))</f>
        <v>0</v>
      </c>
      <c r="F617" s="1220" t="str">
        <f ca="1">IF(INDIRECT("Penalties!"&amp;$N$29&amp;PenaltyData[[#This Row],[ROW]],TRUE)=0, "",INDIRECT("Penalties!"&amp;$N$29&amp;PenaltyData[[#This Row],[ROW]],TRUE))</f>
        <v/>
      </c>
      <c r="G617" s="1233">
        <f ca="1">COUNTIFS($H$1:H617,"&lt;&gt;0", $F$1:F617,PenaltyData[[#This Row],[PlayerIdx]],$D$1:D617,PenaltyData[[#This Row],[Team]])</f>
        <v>0</v>
      </c>
      <c r="H617" s="1233">
        <f ca="1">INDIRECT("Penalties!"&amp;PenaltyData[[#This Row],[REF]]&amp;PenaltyData[[#This Row],[ROW]])</f>
        <v>0</v>
      </c>
      <c r="I617" s="1233" t="str">
        <f ca="1">IFERROR(VLOOKUP(PenaltyData[[#This Row],[Penalty]],PenaltyNames91419[],2,FALSE),"")</f>
        <v/>
      </c>
      <c r="J617" s="1220" t="s">
        <v>773</v>
      </c>
      <c r="K617" s="1220">
        <f t="shared" si="37"/>
        <v>32</v>
      </c>
      <c r="M617" s="1220"/>
    </row>
    <row r="618" spans="1:13" x14ac:dyDescent="0.25">
      <c r="A618" s="1230">
        <f t="shared" si="38"/>
        <v>42105</v>
      </c>
      <c r="B618" s="1231">
        <f t="shared" si="39"/>
        <v>0.83333333333333337</v>
      </c>
      <c r="C618" s="1220">
        <v>1</v>
      </c>
      <c r="D618" s="1220" t="str">
        <f t="shared" si="36"/>
        <v>Harlots</v>
      </c>
      <c r="E618" s="1233">
        <f ca="1">VALUE(INDIRECT("Penalties!"&amp;PenaltyData[[#This Row],[REF]]&amp;(PenaltyData[[#This Row],[ROW]]+1)))</f>
        <v>0</v>
      </c>
      <c r="F618" s="1220" t="str">
        <f ca="1">IF(INDIRECT("Penalties!"&amp;$N$29&amp;PenaltyData[[#This Row],[ROW]],TRUE)=0, "",INDIRECT("Penalties!"&amp;$N$29&amp;PenaltyData[[#This Row],[ROW]],TRUE))</f>
        <v/>
      </c>
      <c r="G618" s="1233">
        <f ca="1">COUNTIFS($H$1:H618,"&lt;&gt;0", $F$1:F618,PenaltyData[[#This Row],[PlayerIdx]],$D$1:D618,PenaltyData[[#This Row],[Team]])</f>
        <v>0</v>
      </c>
      <c r="H618" s="1233">
        <f ca="1">INDIRECT("Penalties!"&amp;PenaltyData[[#This Row],[REF]]&amp;PenaltyData[[#This Row],[ROW]])</f>
        <v>0</v>
      </c>
      <c r="I618" s="1233" t="str">
        <f ca="1">IFERROR(VLOOKUP(PenaltyData[[#This Row],[Penalty]],PenaltyNames91419[],2,FALSE),"")</f>
        <v/>
      </c>
      <c r="J618" s="1220" t="s">
        <v>774</v>
      </c>
      <c r="K618" s="1220">
        <f t="shared" si="37"/>
        <v>32</v>
      </c>
      <c r="M618" s="1220"/>
    </row>
    <row r="619" spans="1:13" x14ac:dyDescent="0.25">
      <c r="A619" s="1230">
        <f t="shared" si="38"/>
        <v>42105</v>
      </c>
      <c r="B619" s="1231">
        <f t="shared" si="39"/>
        <v>0.83333333333333337</v>
      </c>
      <c r="C619" s="1220">
        <v>1</v>
      </c>
      <c r="D619" s="1220" t="str">
        <f t="shared" ref="D619:D682" si="40">$O$3</f>
        <v>Harlots</v>
      </c>
      <c r="E619" s="1233">
        <f ca="1">VALUE(INDIRECT("Penalties!"&amp;PenaltyData[[#This Row],[REF]]&amp;(PenaltyData[[#This Row],[ROW]]+1)))</f>
        <v>0</v>
      </c>
      <c r="F619" s="1220" t="str">
        <f ca="1">IF(INDIRECT("Penalties!"&amp;$N$29&amp;PenaltyData[[#This Row],[ROW]],TRUE)=0, "",INDIRECT("Penalties!"&amp;$N$29&amp;PenaltyData[[#This Row],[ROW]],TRUE))</f>
        <v/>
      </c>
      <c r="G619" s="1233">
        <f ca="1">COUNTIFS($H$1:H619,"&lt;&gt;0", $F$1:F619,PenaltyData[[#This Row],[PlayerIdx]],$D$1:D619,PenaltyData[[#This Row],[Team]])</f>
        <v>0</v>
      </c>
      <c r="H619" s="1233">
        <f ca="1">INDIRECT("Penalties!"&amp;PenaltyData[[#This Row],[REF]]&amp;PenaltyData[[#This Row],[ROW]])</f>
        <v>0</v>
      </c>
      <c r="I619" s="1233" t="str">
        <f ca="1">IFERROR(VLOOKUP(PenaltyData[[#This Row],[Penalty]],PenaltyNames91419[],2,FALSE),"")</f>
        <v/>
      </c>
      <c r="J619" s="1220" t="s">
        <v>775</v>
      </c>
      <c r="K619" s="1220">
        <f t="shared" si="37"/>
        <v>32</v>
      </c>
      <c r="M619" s="1220"/>
    </row>
    <row r="620" spans="1:13" x14ac:dyDescent="0.25">
      <c r="A620" s="1230">
        <f t="shared" si="38"/>
        <v>42105</v>
      </c>
      <c r="B620" s="1231">
        <f t="shared" si="39"/>
        <v>0.83333333333333337</v>
      </c>
      <c r="C620" s="1220">
        <v>1</v>
      </c>
      <c r="D620" s="1220" t="str">
        <f t="shared" si="40"/>
        <v>Harlots</v>
      </c>
      <c r="E620" s="1233">
        <f ca="1">VALUE(INDIRECT("Penalties!"&amp;PenaltyData[[#This Row],[REF]]&amp;(PenaltyData[[#This Row],[ROW]]+1)))</f>
        <v>0</v>
      </c>
      <c r="F620" s="1220" t="str">
        <f ca="1">IF(INDIRECT("Penalties!"&amp;$N$29&amp;PenaltyData[[#This Row],[ROW]],TRUE)=0, "",INDIRECT("Penalties!"&amp;$N$29&amp;PenaltyData[[#This Row],[ROW]],TRUE))</f>
        <v/>
      </c>
      <c r="G620" s="1233">
        <f ca="1">COUNTIFS($H$1:H620,"&lt;&gt;0", $F$1:F620,PenaltyData[[#This Row],[PlayerIdx]],$D$1:D620,PenaltyData[[#This Row],[Team]])</f>
        <v>0</v>
      </c>
      <c r="H620" s="1233">
        <f ca="1">INDIRECT("Penalties!"&amp;PenaltyData[[#This Row],[REF]]&amp;PenaltyData[[#This Row],[ROW]])</f>
        <v>0</v>
      </c>
      <c r="I620" s="1233" t="str">
        <f ca="1">IFERROR(VLOOKUP(PenaltyData[[#This Row],[Penalty]],PenaltyNames91419[],2,FALSE),"")</f>
        <v/>
      </c>
      <c r="J620" s="1220" t="s">
        <v>776</v>
      </c>
      <c r="K620" s="1220">
        <f t="shared" si="37"/>
        <v>32</v>
      </c>
      <c r="M620" s="1220"/>
    </row>
    <row r="621" spans="1:13" x14ac:dyDescent="0.25">
      <c r="A621" s="1230">
        <f t="shared" si="38"/>
        <v>42105</v>
      </c>
      <c r="B621" s="1231">
        <f t="shared" si="39"/>
        <v>0.83333333333333337</v>
      </c>
      <c r="C621" s="1220">
        <v>1</v>
      </c>
      <c r="D621" s="1220" t="str">
        <f t="shared" si="40"/>
        <v>Harlots</v>
      </c>
      <c r="E621" s="1233">
        <f ca="1">VALUE(INDIRECT("Penalties!"&amp;PenaltyData[[#This Row],[REF]]&amp;(PenaltyData[[#This Row],[ROW]]+1)))</f>
        <v>0</v>
      </c>
      <c r="F621" s="1220" t="str">
        <f ca="1">IF(INDIRECT("Penalties!"&amp;$N$29&amp;PenaltyData[[#This Row],[ROW]],TRUE)=0, "",INDIRECT("Penalties!"&amp;$N$29&amp;PenaltyData[[#This Row],[ROW]],TRUE))</f>
        <v/>
      </c>
      <c r="G621" s="1233">
        <f ca="1">COUNTIFS($H$1:H621,"&lt;&gt;0", $F$1:F621,PenaltyData[[#This Row],[PlayerIdx]],$D$1:D621,PenaltyData[[#This Row],[Team]])</f>
        <v>0</v>
      </c>
      <c r="H621" s="1233">
        <f ca="1">INDIRECT("Penalties!"&amp;PenaltyData[[#This Row],[REF]]&amp;PenaltyData[[#This Row],[ROW]])</f>
        <v>0</v>
      </c>
      <c r="I621" s="1233" t="str">
        <f ca="1">IFERROR(VLOOKUP(PenaltyData[[#This Row],[Penalty]],PenaltyNames91419[],2,FALSE),"")</f>
        <v/>
      </c>
      <c r="J621" s="1220" t="s">
        <v>140</v>
      </c>
      <c r="K621" s="1220">
        <f t="shared" si="37"/>
        <v>32</v>
      </c>
      <c r="M621" s="1220"/>
    </row>
    <row r="622" spans="1:13" x14ac:dyDescent="0.25">
      <c r="A622" s="1230">
        <f t="shared" si="38"/>
        <v>42105</v>
      </c>
      <c r="B622" s="1231">
        <f t="shared" si="39"/>
        <v>0.83333333333333337</v>
      </c>
      <c r="C622" s="1220">
        <v>1</v>
      </c>
      <c r="D622" s="1220" t="str">
        <f t="shared" si="40"/>
        <v>Harlots</v>
      </c>
      <c r="E622" s="1233">
        <f ca="1">VALUE(INDIRECT("Penalties!"&amp;PenaltyData[[#This Row],[REF]]&amp;(PenaltyData[[#This Row],[ROW]]+1)))</f>
        <v>0</v>
      </c>
      <c r="F622" s="1220" t="str">
        <f ca="1">IF(INDIRECT("Penalties!"&amp;$N$29&amp;PenaltyData[[#This Row],[ROW]],TRUE)=0, "",INDIRECT("Penalties!"&amp;$N$29&amp;PenaltyData[[#This Row],[ROW]],TRUE))</f>
        <v/>
      </c>
      <c r="G622" s="1233">
        <f ca="1">COUNTIFS($H$1:H622,"&lt;&gt;0", $F$1:F622,PenaltyData[[#This Row],[PlayerIdx]],$D$1:D622,PenaltyData[[#This Row],[Team]])</f>
        <v>0</v>
      </c>
      <c r="H622" s="1233">
        <f ca="1">INDIRECT("Penalties!"&amp;PenaltyData[[#This Row],[REF]]&amp;PenaltyData[[#This Row],[ROW]])</f>
        <v>0</v>
      </c>
      <c r="I622" s="1233" t="str">
        <f ca="1">IFERROR(VLOOKUP(PenaltyData[[#This Row],[Penalty]],PenaltyNames91419[],2,FALSE),"")</f>
        <v/>
      </c>
      <c r="J622" s="1220" t="s">
        <v>777</v>
      </c>
      <c r="K622" s="1220">
        <f t="shared" si="37"/>
        <v>32</v>
      </c>
      <c r="M622" s="1220"/>
    </row>
    <row r="623" spans="1:13" x14ac:dyDescent="0.25">
      <c r="A623" s="1230">
        <f t="shared" si="38"/>
        <v>42105</v>
      </c>
      <c r="B623" s="1231">
        <f t="shared" si="39"/>
        <v>0.83333333333333337</v>
      </c>
      <c r="C623" s="1220">
        <v>2</v>
      </c>
      <c r="D623" s="1220" t="str">
        <f t="shared" si="40"/>
        <v>Harlots</v>
      </c>
      <c r="E623" s="1233">
        <f ca="1">VALUE(INDIRECT("Penalties!"&amp;PenaltyData[[#This Row],[REF]]&amp;(PenaltyData[[#This Row],[ROW]]+1)))</f>
        <v>0</v>
      </c>
      <c r="F623" s="1220" t="str">
        <f ca="1">IF(INDIRECT("Penalties!"&amp;$N$29&amp;PenaltyData[[#This Row],[ROW]],TRUE)=0, "",INDIRECT("Penalties!"&amp;$N$29&amp;PenaltyData[[#This Row],[ROW]],TRUE))</f>
        <v/>
      </c>
      <c r="G623" s="1233">
        <f ca="1">COUNTIFS($H$1:H623,"&lt;&gt;0", $F$1:F623,PenaltyData[[#This Row],[PlayerIdx]],$D$1:D623,PenaltyData[[#This Row],[Team]])</f>
        <v>0</v>
      </c>
      <c r="H623" s="1233">
        <f ca="1">INDIRECT("Penalties!"&amp;PenaltyData[[#This Row],[REF]]&amp;PenaltyData[[#This Row],[ROW]])</f>
        <v>0</v>
      </c>
      <c r="I623" s="1233" t="str">
        <f ca="1">IFERROR(VLOOKUP(PenaltyData[[#This Row],[Penalty]],PenaltyNames91419[],2,FALSE),"")</f>
        <v/>
      </c>
      <c r="J623" s="1220" t="s">
        <v>778</v>
      </c>
      <c r="K623" s="1220">
        <f t="shared" si="37"/>
        <v>32</v>
      </c>
      <c r="M623" s="1220"/>
    </row>
    <row r="624" spans="1:13" x14ac:dyDescent="0.25">
      <c r="A624" s="1230">
        <f t="shared" si="38"/>
        <v>42105</v>
      </c>
      <c r="B624" s="1231">
        <f t="shared" si="39"/>
        <v>0.83333333333333337</v>
      </c>
      <c r="C624" s="1220">
        <v>2</v>
      </c>
      <c r="D624" s="1220" t="str">
        <f t="shared" si="40"/>
        <v>Harlots</v>
      </c>
      <c r="E624" s="1233">
        <f ca="1">VALUE(INDIRECT("Penalties!"&amp;PenaltyData[[#This Row],[REF]]&amp;(PenaltyData[[#This Row],[ROW]]+1)))</f>
        <v>0</v>
      </c>
      <c r="F624" s="1220" t="str">
        <f ca="1">IF(INDIRECT("Penalties!"&amp;$N$29&amp;PenaltyData[[#This Row],[ROW]],TRUE)=0, "",INDIRECT("Penalties!"&amp;$N$29&amp;PenaltyData[[#This Row],[ROW]],TRUE))</f>
        <v/>
      </c>
      <c r="G624" s="1233">
        <f ca="1">COUNTIFS($H$1:H624,"&lt;&gt;0", $F$1:F624,PenaltyData[[#This Row],[PlayerIdx]],$D$1:D624,PenaltyData[[#This Row],[Team]])</f>
        <v>0</v>
      </c>
      <c r="H624" s="1233">
        <f ca="1">INDIRECT("Penalties!"&amp;PenaltyData[[#This Row],[REF]]&amp;PenaltyData[[#This Row],[ROW]])</f>
        <v>0</v>
      </c>
      <c r="I624" s="1233" t="str">
        <f ca="1">IFERROR(VLOOKUP(PenaltyData[[#This Row],[Penalty]],PenaltyNames91419[],2,FALSE),"")</f>
        <v/>
      </c>
      <c r="J624" s="1220" t="s">
        <v>779</v>
      </c>
      <c r="K624" s="1220">
        <f t="shared" si="37"/>
        <v>32</v>
      </c>
      <c r="M624" s="1220"/>
    </row>
    <row r="625" spans="1:13" x14ac:dyDescent="0.25">
      <c r="A625" s="1230">
        <f t="shared" si="38"/>
        <v>42105</v>
      </c>
      <c r="B625" s="1231">
        <f t="shared" si="39"/>
        <v>0.83333333333333337</v>
      </c>
      <c r="C625" s="1220">
        <v>2</v>
      </c>
      <c r="D625" s="1220" t="str">
        <f t="shared" si="40"/>
        <v>Harlots</v>
      </c>
      <c r="E625" s="1233">
        <f ca="1">VALUE(INDIRECT("Penalties!"&amp;PenaltyData[[#This Row],[REF]]&amp;(PenaltyData[[#This Row],[ROW]]+1)))</f>
        <v>0</v>
      </c>
      <c r="F625" s="1220" t="str">
        <f ca="1">IF(INDIRECT("Penalties!"&amp;$N$29&amp;PenaltyData[[#This Row],[ROW]],TRUE)=0, "",INDIRECT("Penalties!"&amp;$N$29&amp;PenaltyData[[#This Row],[ROW]],TRUE))</f>
        <v/>
      </c>
      <c r="G625" s="1233">
        <f ca="1">COUNTIFS($H$1:H625,"&lt;&gt;0", $F$1:F625,PenaltyData[[#This Row],[PlayerIdx]],$D$1:D625,PenaltyData[[#This Row],[Team]])</f>
        <v>0</v>
      </c>
      <c r="H625" s="1233">
        <f ca="1">INDIRECT("Penalties!"&amp;PenaltyData[[#This Row],[REF]]&amp;PenaltyData[[#This Row],[ROW]])</f>
        <v>0</v>
      </c>
      <c r="I625" s="1233" t="str">
        <f ca="1">IFERROR(VLOOKUP(PenaltyData[[#This Row],[Penalty]],PenaltyNames91419[],2,FALSE),"")</f>
        <v/>
      </c>
      <c r="J625" s="1220" t="s">
        <v>780</v>
      </c>
      <c r="K625" s="1220">
        <f t="shared" si="37"/>
        <v>32</v>
      </c>
      <c r="M625" s="1220"/>
    </row>
    <row r="626" spans="1:13" x14ac:dyDescent="0.25">
      <c r="A626" s="1230">
        <f t="shared" si="38"/>
        <v>42105</v>
      </c>
      <c r="B626" s="1231">
        <f t="shared" si="39"/>
        <v>0.83333333333333337</v>
      </c>
      <c r="C626" s="1220">
        <v>2</v>
      </c>
      <c r="D626" s="1220" t="str">
        <f t="shared" si="40"/>
        <v>Harlots</v>
      </c>
      <c r="E626" s="1233">
        <f ca="1">VALUE(INDIRECT("Penalties!"&amp;PenaltyData[[#This Row],[REF]]&amp;(PenaltyData[[#This Row],[ROW]]+1)))</f>
        <v>0</v>
      </c>
      <c r="F626" s="1220" t="str">
        <f ca="1">IF(INDIRECT("Penalties!"&amp;$N$29&amp;PenaltyData[[#This Row],[ROW]],TRUE)=0, "",INDIRECT("Penalties!"&amp;$N$29&amp;PenaltyData[[#This Row],[ROW]],TRUE))</f>
        <v/>
      </c>
      <c r="G626" s="1233">
        <f ca="1">COUNTIFS($H$1:H626,"&lt;&gt;0", $F$1:F626,PenaltyData[[#This Row],[PlayerIdx]],$D$1:D626,PenaltyData[[#This Row],[Team]])</f>
        <v>0</v>
      </c>
      <c r="H626" s="1233">
        <f ca="1">INDIRECT("Penalties!"&amp;PenaltyData[[#This Row],[REF]]&amp;PenaltyData[[#This Row],[ROW]])</f>
        <v>0</v>
      </c>
      <c r="I626" s="1233" t="str">
        <f ca="1">IFERROR(VLOOKUP(PenaltyData[[#This Row],[Penalty]],PenaltyNames91419[],2,FALSE),"")</f>
        <v/>
      </c>
      <c r="J626" s="1220" t="s">
        <v>781</v>
      </c>
      <c r="K626" s="1220">
        <f t="shared" si="37"/>
        <v>32</v>
      </c>
      <c r="M626" s="1220"/>
    </row>
    <row r="627" spans="1:13" x14ac:dyDescent="0.25">
      <c r="A627" s="1230">
        <f t="shared" si="38"/>
        <v>42105</v>
      </c>
      <c r="B627" s="1231">
        <f t="shared" si="39"/>
        <v>0.83333333333333337</v>
      </c>
      <c r="C627" s="1220">
        <v>2</v>
      </c>
      <c r="D627" s="1220" t="str">
        <f t="shared" si="40"/>
        <v>Harlots</v>
      </c>
      <c r="E627" s="1233">
        <f ca="1">VALUE(INDIRECT("Penalties!"&amp;PenaltyData[[#This Row],[REF]]&amp;(PenaltyData[[#This Row],[ROW]]+1)))</f>
        <v>0</v>
      </c>
      <c r="F627" s="1220" t="str">
        <f ca="1">IF(INDIRECT("Penalties!"&amp;$N$29&amp;PenaltyData[[#This Row],[ROW]],TRUE)=0, "",INDIRECT("Penalties!"&amp;$N$29&amp;PenaltyData[[#This Row],[ROW]],TRUE))</f>
        <v/>
      </c>
      <c r="G627" s="1233">
        <f ca="1">COUNTIFS($H$1:H627,"&lt;&gt;0", $F$1:F627,PenaltyData[[#This Row],[PlayerIdx]],$D$1:D627,PenaltyData[[#This Row],[Team]])</f>
        <v>0</v>
      </c>
      <c r="H627" s="1233">
        <f ca="1">INDIRECT("Penalties!"&amp;PenaltyData[[#This Row],[REF]]&amp;PenaltyData[[#This Row],[ROW]])</f>
        <v>0</v>
      </c>
      <c r="I627" s="1233" t="str">
        <f ca="1">IFERROR(VLOOKUP(PenaltyData[[#This Row],[Penalty]],PenaltyNames91419[],2,FALSE),"")</f>
        <v/>
      </c>
      <c r="J627" s="1220" t="s">
        <v>782</v>
      </c>
      <c r="K627" s="1220">
        <f t="shared" si="37"/>
        <v>32</v>
      </c>
      <c r="M627" s="1220"/>
    </row>
    <row r="628" spans="1:13" x14ac:dyDescent="0.25">
      <c r="A628" s="1230">
        <f t="shared" si="38"/>
        <v>42105</v>
      </c>
      <c r="B628" s="1231">
        <f t="shared" si="39"/>
        <v>0.83333333333333337</v>
      </c>
      <c r="C628" s="1220">
        <v>2</v>
      </c>
      <c r="D628" s="1220" t="str">
        <f t="shared" si="40"/>
        <v>Harlots</v>
      </c>
      <c r="E628" s="1233">
        <f ca="1">VALUE(INDIRECT("Penalties!"&amp;PenaltyData[[#This Row],[REF]]&amp;(PenaltyData[[#This Row],[ROW]]+1)))</f>
        <v>0</v>
      </c>
      <c r="F628" s="1220" t="str">
        <f ca="1">IF(INDIRECT("Penalties!"&amp;$N$29&amp;PenaltyData[[#This Row],[ROW]],TRUE)=0, "",INDIRECT("Penalties!"&amp;$N$29&amp;PenaltyData[[#This Row],[ROW]],TRUE))</f>
        <v/>
      </c>
      <c r="G628" s="1233">
        <f ca="1">COUNTIFS($H$1:H628,"&lt;&gt;0", $F$1:F628,PenaltyData[[#This Row],[PlayerIdx]],$D$1:D628,PenaltyData[[#This Row],[Team]])</f>
        <v>0</v>
      </c>
      <c r="H628" s="1233">
        <f ca="1">INDIRECT("Penalties!"&amp;PenaltyData[[#This Row],[REF]]&amp;PenaltyData[[#This Row],[ROW]])</f>
        <v>0</v>
      </c>
      <c r="I628" s="1233" t="str">
        <f ca="1">IFERROR(VLOOKUP(PenaltyData[[#This Row],[Penalty]],PenaltyNames91419[],2,FALSE),"")</f>
        <v/>
      </c>
      <c r="J628" s="1220" t="s">
        <v>783</v>
      </c>
      <c r="K628" s="1220">
        <f t="shared" si="37"/>
        <v>32</v>
      </c>
      <c r="M628" s="1220"/>
    </row>
    <row r="629" spans="1:13" x14ac:dyDescent="0.25">
      <c r="A629" s="1230">
        <f t="shared" si="38"/>
        <v>42105</v>
      </c>
      <c r="B629" s="1231">
        <f t="shared" si="39"/>
        <v>0.83333333333333337</v>
      </c>
      <c r="C629" s="1220">
        <v>2</v>
      </c>
      <c r="D629" s="1220" t="str">
        <f t="shared" si="40"/>
        <v>Harlots</v>
      </c>
      <c r="E629" s="1233">
        <f ca="1">VALUE(INDIRECT("Penalties!"&amp;PenaltyData[[#This Row],[REF]]&amp;(PenaltyData[[#This Row],[ROW]]+1)))</f>
        <v>0</v>
      </c>
      <c r="F629" s="1220" t="str">
        <f ca="1">IF(INDIRECT("Penalties!"&amp;$N$29&amp;PenaltyData[[#This Row],[ROW]],TRUE)=0, "",INDIRECT("Penalties!"&amp;$N$29&amp;PenaltyData[[#This Row],[ROW]],TRUE))</f>
        <v/>
      </c>
      <c r="G629" s="1233">
        <f ca="1">COUNTIFS($H$1:H629,"&lt;&gt;0", $F$1:F629,PenaltyData[[#This Row],[PlayerIdx]],$D$1:D629,PenaltyData[[#This Row],[Team]])</f>
        <v>0</v>
      </c>
      <c r="H629" s="1233">
        <f ca="1">INDIRECT("Penalties!"&amp;PenaltyData[[#This Row],[REF]]&amp;PenaltyData[[#This Row],[ROW]])</f>
        <v>0</v>
      </c>
      <c r="I629" s="1233" t="str">
        <f ca="1">IFERROR(VLOOKUP(PenaltyData[[#This Row],[Penalty]],PenaltyNames91419[],2,FALSE),"")</f>
        <v/>
      </c>
      <c r="J629" s="1220" t="s">
        <v>784</v>
      </c>
      <c r="K629" s="1220">
        <f t="shared" si="37"/>
        <v>32</v>
      </c>
      <c r="M629" s="1220"/>
    </row>
    <row r="630" spans="1:13" x14ac:dyDescent="0.25">
      <c r="A630" s="1230">
        <f t="shared" si="38"/>
        <v>42105</v>
      </c>
      <c r="B630" s="1231">
        <f t="shared" si="39"/>
        <v>0.83333333333333337</v>
      </c>
      <c r="C630" s="1220">
        <v>2</v>
      </c>
      <c r="D630" s="1220" t="str">
        <f t="shared" si="40"/>
        <v>Harlots</v>
      </c>
      <c r="E630" s="1233">
        <f ca="1">VALUE(INDIRECT("Penalties!"&amp;PenaltyData[[#This Row],[REF]]&amp;(PenaltyData[[#This Row],[ROW]]+1)))</f>
        <v>0</v>
      </c>
      <c r="F630" s="1220" t="str">
        <f ca="1">IF(INDIRECT("Penalties!"&amp;$N$29&amp;PenaltyData[[#This Row],[ROW]],TRUE)=0, "",INDIRECT("Penalties!"&amp;$N$29&amp;PenaltyData[[#This Row],[ROW]],TRUE))</f>
        <v/>
      </c>
      <c r="G630" s="1233">
        <f ca="1">COUNTIFS($H$1:H630,"&lt;&gt;0", $F$1:F630,PenaltyData[[#This Row],[PlayerIdx]],$D$1:D630,PenaltyData[[#This Row],[Team]])</f>
        <v>0</v>
      </c>
      <c r="H630" s="1233">
        <f ca="1">INDIRECT("Penalties!"&amp;PenaltyData[[#This Row],[REF]]&amp;PenaltyData[[#This Row],[ROW]])</f>
        <v>0</v>
      </c>
      <c r="I630" s="1233" t="str">
        <f ca="1">IFERROR(VLOOKUP(PenaltyData[[#This Row],[Penalty]],PenaltyNames91419[],2,FALSE),"")</f>
        <v/>
      </c>
      <c r="J630" s="1220" t="s">
        <v>785</v>
      </c>
      <c r="K630" s="1220">
        <f t="shared" si="37"/>
        <v>32</v>
      </c>
      <c r="M630" s="1220"/>
    </row>
    <row r="631" spans="1:13" x14ac:dyDescent="0.25">
      <c r="A631" s="1230">
        <f t="shared" si="38"/>
        <v>42105</v>
      </c>
      <c r="B631" s="1231">
        <f t="shared" si="39"/>
        <v>0.83333333333333337</v>
      </c>
      <c r="C631" s="1220">
        <v>2</v>
      </c>
      <c r="D631" s="1220" t="str">
        <f t="shared" si="40"/>
        <v>Harlots</v>
      </c>
      <c r="E631" s="1233">
        <f ca="1">VALUE(INDIRECT("Penalties!"&amp;PenaltyData[[#This Row],[REF]]&amp;(PenaltyData[[#This Row],[ROW]]+1)))</f>
        <v>0</v>
      </c>
      <c r="F631" s="1220" t="str">
        <f ca="1">IF(INDIRECT("Penalties!"&amp;$N$29&amp;PenaltyData[[#This Row],[ROW]],TRUE)=0, "",INDIRECT("Penalties!"&amp;$N$29&amp;PenaltyData[[#This Row],[ROW]],TRUE))</f>
        <v/>
      </c>
      <c r="G631" s="1233">
        <f ca="1">COUNTIFS($H$1:H631,"&lt;&gt;0", $F$1:F631,PenaltyData[[#This Row],[PlayerIdx]],$D$1:D631,PenaltyData[[#This Row],[Team]])</f>
        <v>0</v>
      </c>
      <c r="H631" s="1233">
        <f ca="1">INDIRECT("Penalties!"&amp;PenaltyData[[#This Row],[REF]]&amp;PenaltyData[[#This Row],[ROW]])</f>
        <v>0</v>
      </c>
      <c r="I631" s="1233" t="str">
        <f ca="1">IFERROR(VLOOKUP(PenaltyData[[#This Row],[Penalty]],PenaltyNames91419[],2,FALSE),"")</f>
        <v/>
      </c>
      <c r="J631" s="1220" t="s">
        <v>786</v>
      </c>
      <c r="K631" s="1220">
        <f t="shared" si="37"/>
        <v>32</v>
      </c>
      <c r="M631" s="1220"/>
    </row>
    <row r="632" spans="1:13" x14ac:dyDescent="0.25">
      <c r="A632" s="1230">
        <f t="shared" si="38"/>
        <v>42105</v>
      </c>
      <c r="B632" s="1231">
        <f t="shared" si="39"/>
        <v>0.83333333333333337</v>
      </c>
      <c r="C632" s="1220">
        <v>1</v>
      </c>
      <c r="D632" s="1220" t="str">
        <f t="shared" si="40"/>
        <v>Harlots</v>
      </c>
      <c r="E632" s="1233">
        <f ca="1">VALUE(INDIRECT("Penalties!"&amp;PenaltyData[[#This Row],[REF]]&amp;(PenaltyData[[#This Row],[ROW]]+1)))</f>
        <v>0</v>
      </c>
      <c r="F632" s="1220" t="str">
        <f ca="1">IF(INDIRECT("Penalties!"&amp;$N$29&amp;PenaltyData[[#This Row],[ROW]],TRUE)=0, "",INDIRECT("Penalties!"&amp;$N$29&amp;PenaltyData[[#This Row],[ROW]],TRUE))</f>
        <v/>
      </c>
      <c r="G632" s="1233">
        <f ca="1">COUNTIFS($H$1:H632,"&lt;&gt;0", $F$1:F632,PenaltyData[[#This Row],[PlayerIdx]],$D$1:D632,PenaltyData[[#This Row],[Team]])</f>
        <v>0</v>
      </c>
      <c r="H632" s="1233">
        <f ca="1">INDIRECT("Penalties!"&amp;PenaltyData[[#This Row],[REF]]&amp;PenaltyData[[#This Row],[ROW]])</f>
        <v>0</v>
      </c>
      <c r="I632" s="1233" t="str">
        <f ca="1">IFERROR(VLOOKUP(PenaltyData[[#This Row],[Penalty]],PenaltyNames91419[],2,FALSE),"")</f>
        <v/>
      </c>
      <c r="J632" s="1220" t="s">
        <v>771</v>
      </c>
      <c r="K632" s="1220">
        <f t="shared" si="37"/>
        <v>34</v>
      </c>
      <c r="M632" s="1220"/>
    </row>
    <row r="633" spans="1:13" x14ac:dyDescent="0.25">
      <c r="A633" s="1230">
        <f t="shared" si="38"/>
        <v>42105</v>
      </c>
      <c r="B633" s="1231">
        <f t="shared" si="39"/>
        <v>0.83333333333333337</v>
      </c>
      <c r="C633" s="1220">
        <v>1</v>
      </c>
      <c r="D633" s="1220" t="str">
        <f t="shared" si="40"/>
        <v>Harlots</v>
      </c>
      <c r="E633" s="1233">
        <f ca="1">VALUE(INDIRECT("Penalties!"&amp;PenaltyData[[#This Row],[REF]]&amp;(PenaltyData[[#This Row],[ROW]]+1)))</f>
        <v>0</v>
      </c>
      <c r="F633" s="1220" t="str">
        <f ca="1">IF(INDIRECT("Penalties!"&amp;$N$29&amp;PenaltyData[[#This Row],[ROW]],TRUE)=0, "",INDIRECT("Penalties!"&amp;$N$29&amp;PenaltyData[[#This Row],[ROW]],TRUE))</f>
        <v/>
      </c>
      <c r="G633" s="1233">
        <f ca="1">COUNTIFS($H$1:H633,"&lt;&gt;0", $F$1:F633,PenaltyData[[#This Row],[PlayerIdx]],$D$1:D633,PenaltyData[[#This Row],[Team]])</f>
        <v>0</v>
      </c>
      <c r="H633" s="1233">
        <f ca="1">INDIRECT("Penalties!"&amp;PenaltyData[[#This Row],[REF]]&amp;PenaltyData[[#This Row],[ROW]])</f>
        <v>0</v>
      </c>
      <c r="I633" s="1233" t="str">
        <f ca="1">IFERROR(VLOOKUP(PenaltyData[[#This Row],[Penalty]],PenaltyNames91419[],2,FALSE),"")</f>
        <v/>
      </c>
      <c r="J633" s="1220" t="s">
        <v>772</v>
      </c>
      <c r="K633" s="1220">
        <f t="shared" si="37"/>
        <v>34</v>
      </c>
      <c r="M633" s="1220"/>
    </row>
    <row r="634" spans="1:13" x14ac:dyDescent="0.25">
      <c r="A634" s="1230">
        <f t="shared" si="38"/>
        <v>42105</v>
      </c>
      <c r="B634" s="1231">
        <f t="shared" si="39"/>
        <v>0.83333333333333337</v>
      </c>
      <c r="C634" s="1220">
        <v>1</v>
      </c>
      <c r="D634" s="1220" t="str">
        <f t="shared" si="40"/>
        <v>Harlots</v>
      </c>
      <c r="E634" s="1233">
        <f ca="1">VALUE(INDIRECT("Penalties!"&amp;PenaltyData[[#This Row],[REF]]&amp;(PenaltyData[[#This Row],[ROW]]+1)))</f>
        <v>0</v>
      </c>
      <c r="F634" s="1220" t="str">
        <f ca="1">IF(INDIRECT("Penalties!"&amp;$N$29&amp;PenaltyData[[#This Row],[ROW]],TRUE)=0, "",INDIRECT("Penalties!"&amp;$N$29&amp;PenaltyData[[#This Row],[ROW]],TRUE))</f>
        <v/>
      </c>
      <c r="G634" s="1233">
        <f ca="1">COUNTIFS($H$1:H634,"&lt;&gt;0", $F$1:F634,PenaltyData[[#This Row],[PlayerIdx]],$D$1:D634,PenaltyData[[#This Row],[Team]])</f>
        <v>0</v>
      </c>
      <c r="H634" s="1233">
        <f ca="1">INDIRECT("Penalties!"&amp;PenaltyData[[#This Row],[REF]]&amp;PenaltyData[[#This Row],[ROW]])</f>
        <v>0</v>
      </c>
      <c r="I634" s="1233" t="str">
        <f ca="1">IFERROR(VLOOKUP(PenaltyData[[#This Row],[Penalty]],PenaltyNames91419[],2,FALSE),"")</f>
        <v/>
      </c>
      <c r="J634" s="1220" t="s">
        <v>159</v>
      </c>
      <c r="K634" s="1220">
        <f t="shared" si="37"/>
        <v>34</v>
      </c>
      <c r="M634" s="1220"/>
    </row>
    <row r="635" spans="1:13" x14ac:dyDescent="0.25">
      <c r="A635" s="1230">
        <f t="shared" si="38"/>
        <v>42105</v>
      </c>
      <c r="B635" s="1231">
        <f t="shared" si="39"/>
        <v>0.83333333333333337</v>
      </c>
      <c r="C635" s="1220">
        <v>1</v>
      </c>
      <c r="D635" s="1220" t="str">
        <f t="shared" si="40"/>
        <v>Harlots</v>
      </c>
      <c r="E635" s="1233">
        <f ca="1">VALUE(INDIRECT("Penalties!"&amp;PenaltyData[[#This Row],[REF]]&amp;(PenaltyData[[#This Row],[ROW]]+1)))</f>
        <v>0</v>
      </c>
      <c r="F635" s="1220" t="str">
        <f ca="1">IF(INDIRECT("Penalties!"&amp;$N$29&amp;PenaltyData[[#This Row],[ROW]],TRUE)=0, "",INDIRECT("Penalties!"&amp;$N$29&amp;PenaltyData[[#This Row],[ROW]],TRUE))</f>
        <v/>
      </c>
      <c r="G635" s="1233">
        <f ca="1">COUNTIFS($H$1:H635,"&lt;&gt;0", $F$1:F635,PenaltyData[[#This Row],[PlayerIdx]],$D$1:D635,PenaltyData[[#This Row],[Team]])</f>
        <v>0</v>
      </c>
      <c r="H635" s="1233">
        <f ca="1">INDIRECT("Penalties!"&amp;PenaltyData[[#This Row],[REF]]&amp;PenaltyData[[#This Row],[ROW]])</f>
        <v>0</v>
      </c>
      <c r="I635" s="1233" t="str">
        <f ca="1">IFERROR(VLOOKUP(PenaltyData[[#This Row],[Penalty]],PenaltyNames91419[],2,FALSE),"")</f>
        <v/>
      </c>
      <c r="J635" s="1220" t="s">
        <v>773</v>
      </c>
      <c r="K635" s="1220">
        <f t="shared" si="37"/>
        <v>34</v>
      </c>
      <c r="M635" s="1220"/>
    </row>
    <row r="636" spans="1:13" x14ac:dyDescent="0.25">
      <c r="A636" s="1230">
        <f t="shared" si="38"/>
        <v>42105</v>
      </c>
      <c r="B636" s="1231">
        <f t="shared" si="39"/>
        <v>0.83333333333333337</v>
      </c>
      <c r="C636" s="1220">
        <v>1</v>
      </c>
      <c r="D636" s="1220" t="str">
        <f t="shared" si="40"/>
        <v>Harlots</v>
      </c>
      <c r="E636" s="1233">
        <f ca="1">VALUE(INDIRECT("Penalties!"&amp;PenaltyData[[#This Row],[REF]]&amp;(PenaltyData[[#This Row],[ROW]]+1)))</f>
        <v>0</v>
      </c>
      <c r="F636" s="1220" t="str">
        <f ca="1">IF(INDIRECT("Penalties!"&amp;$N$29&amp;PenaltyData[[#This Row],[ROW]],TRUE)=0, "",INDIRECT("Penalties!"&amp;$N$29&amp;PenaltyData[[#This Row],[ROW]],TRUE))</f>
        <v/>
      </c>
      <c r="G636" s="1233">
        <f ca="1">COUNTIFS($H$1:H636,"&lt;&gt;0", $F$1:F636,PenaltyData[[#This Row],[PlayerIdx]],$D$1:D636,PenaltyData[[#This Row],[Team]])</f>
        <v>0</v>
      </c>
      <c r="H636" s="1233">
        <f ca="1">INDIRECT("Penalties!"&amp;PenaltyData[[#This Row],[REF]]&amp;PenaltyData[[#This Row],[ROW]])</f>
        <v>0</v>
      </c>
      <c r="I636" s="1233" t="str">
        <f ca="1">IFERROR(VLOOKUP(PenaltyData[[#This Row],[Penalty]],PenaltyNames91419[],2,FALSE),"")</f>
        <v/>
      </c>
      <c r="J636" s="1220" t="s">
        <v>774</v>
      </c>
      <c r="K636" s="1220">
        <f t="shared" si="37"/>
        <v>34</v>
      </c>
      <c r="M636" s="1220"/>
    </row>
    <row r="637" spans="1:13" x14ac:dyDescent="0.25">
      <c r="A637" s="1230">
        <f t="shared" si="38"/>
        <v>42105</v>
      </c>
      <c r="B637" s="1231">
        <f t="shared" si="39"/>
        <v>0.83333333333333337</v>
      </c>
      <c r="C637" s="1220">
        <v>1</v>
      </c>
      <c r="D637" s="1220" t="str">
        <f t="shared" si="40"/>
        <v>Harlots</v>
      </c>
      <c r="E637" s="1233">
        <f ca="1">VALUE(INDIRECT("Penalties!"&amp;PenaltyData[[#This Row],[REF]]&amp;(PenaltyData[[#This Row],[ROW]]+1)))</f>
        <v>0</v>
      </c>
      <c r="F637" s="1220" t="str">
        <f ca="1">IF(INDIRECT("Penalties!"&amp;$N$29&amp;PenaltyData[[#This Row],[ROW]],TRUE)=0, "",INDIRECT("Penalties!"&amp;$N$29&amp;PenaltyData[[#This Row],[ROW]],TRUE))</f>
        <v/>
      </c>
      <c r="G637" s="1233">
        <f ca="1">COUNTIFS($H$1:H637,"&lt;&gt;0", $F$1:F637,PenaltyData[[#This Row],[PlayerIdx]],$D$1:D637,PenaltyData[[#This Row],[Team]])</f>
        <v>0</v>
      </c>
      <c r="H637" s="1233">
        <f ca="1">INDIRECT("Penalties!"&amp;PenaltyData[[#This Row],[REF]]&amp;PenaltyData[[#This Row],[ROW]])</f>
        <v>0</v>
      </c>
      <c r="I637" s="1233" t="str">
        <f ca="1">IFERROR(VLOOKUP(PenaltyData[[#This Row],[Penalty]],PenaltyNames91419[],2,FALSE),"")</f>
        <v/>
      </c>
      <c r="J637" s="1220" t="s">
        <v>775</v>
      </c>
      <c r="K637" s="1220">
        <f t="shared" ref="K637:K700" si="41">K619+2</f>
        <v>34</v>
      </c>
      <c r="M637" s="1220"/>
    </row>
    <row r="638" spans="1:13" x14ac:dyDescent="0.25">
      <c r="A638" s="1230">
        <f t="shared" si="38"/>
        <v>42105</v>
      </c>
      <c r="B638" s="1231">
        <f t="shared" si="39"/>
        <v>0.83333333333333337</v>
      </c>
      <c r="C638" s="1220">
        <v>1</v>
      </c>
      <c r="D638" s="1220" t="str">
        <f t="shared" si="40"/>
        <v>Harlots</v>
      </c>
      <c r="E638" s="1233">
        <f ca="1">VALUE(INDIRECT("Penalties!"&amp;PenaltyData[[#This Row],[REF]]&amp;(PenaltyData[[#This Row],[ROW]]+1)))</f>
        <v>0</v>
      </c>
      <c r="F638" s="1220" t="str">
        <f ca="1">IF(INDIRECT("Penalties!"&amp;$N$29&amp;PenaltyData[[#This Row],[ROW]],TRUE)=0, "",INDIRECT("Penalties!"&amp;$N$29&amp;PenaltyData[[#This Row],[ROW]],TRUE))</f>
        <v/>
      </c>
      <c r="G638" s="1233">
        <f ca="1">COUNTIFS($H$1:H638,"&lt;&gt;0", $F$1:F638,PenaltyData[[#This Row],[PlayerIdx]],$D$1:D638,PenaltyData[[#This Row],[Team]])</f>
        <v>0</v>
      </c>
      <c r="H638" s="1233">
        <f ca="1">INDIRECT("Penalties!"&amp;PenaltyData[[#This Row],[REF]]&amp;PenaltyData[[#This Row],[ROW]])</f>
        <v>0</v>
      </c>
      <c r="I638" s="1233" t="str">
        <f ca="1">IFERROR(VLOOKUP(PenaltyData[[#This Row],[Penalty]],PenaltyNames91419[],2,FALSE),"")</f>
        <v/>
      </c>
      <c r="J638" s="1220" t="s">
        <v>776</v>
      </c>
      <c r="K638" s="1220">
        <f t="shared" si="41"/>
        <v>34</v>
      </c>
      <c r="M638" s="1220"/>
    </row>
    <row r="639" spans="1:13" x14ac:dyDescent="0.25">
      <c r="A639" s="1230">
        <f t="shared" si="38"/>
        <v>42105</v>
      </c>
      <c r="B639" s="1231">
        <f t="shared" si="39"/>
        <v>0.83333333333333337</v>
      </c>
      <c r="C639" s="1220">
        <v>1</v>
      </c>
      <c r="D639" s="1220" t="str">
        <f t="shared" si="40"/>
        <v>Harlots</v>
      </c>
      <c r="E639" s="1233">
        <f ca="1">VALUE(INDIRECT("Penalties!"&amp;PenaltyData[[#This Row],[REF]]&amp;(PenaltyData[[#This Row],[ROW]]+1)))</f>
        <v>0</v>
      </c>
      <c r="F639" s="1220" t="str">
        <f ca="1">IF(INDIRECT("Penalties!"&amp;$N$29&amp;PenaltyData[[#This Row],[ROW]],TRUE)=0, "",INDIRECT("Penalties!"&amp;$N$29&amp;PenaltyData[[#This Row],[ROW]],TRUE))</f>
        <v/>
      </c>
      <c r="G639" s="1233">
        <f ca="1">COUNTIFS($H$1:H639,"&lt;&gt;0", $F$1:F639,PenaltyData[[#This Row],[PlayerIdx]],$D$1:D639,PenaltyData[[#This Row],[Team]])</f>
        <v>0</v>
      </c>
      <c r="H639" s="1233">
        <f ca="1">INDIRECT("Penalties!"&amp;PenaltyData[[#This Row],[REF]]&amp;PenaltyData[[#This Row],[ROW]])</f>
        <v>0</v>
      </c>
      <c r="I639" s="1233" t="str">
        <f ca="1">IFERROR(VLOOKUP(PenaltyData[[#This Row],[Penalty]],PenaltyNames91419[],2,FALSE),"")</f>
        <v/>
      </c>
      <c r="J639" s="1220" t="s">
        <v>140</v>
      </c>
      <c r="K639" s="1220">
        <f t="shared" si="41"/>
        <v>34</v>
      </c>
      <c r="M639" s="1220"/>
    </row>
    <row r="640" spans="1:13" x14ac:dyDescent="0.25">
      <c r="A640" s="1230">
        <f t="shared" si="38"/>
        <v>42105</v>
      </c>
      <c r="B640" s="1231">
        <f t="shared" si="39"/>
        <v>0.83333333333333337</v>
      </c>
      <c r="C640" s="1220">
        <v>1</v>
      </c>
      <c r="D640" s="1220" t="str">
        <f t="shared" si="40"/>
        <v>Harlots</v>
      </c>
      <c r="E640" s="1233">
        <f ca="1">VALUE(INDIRECT("Penalties!"&amp;PenaltyData[[#This Row],[REF]]&amp;(PenaltyData[[#This Row],[ROW]]+1)))</f>
        <v>0</v>
      </c>
      <c r="F640" s="1220" t="str">
        <f ca="1">IF(INDIRECT("Penalties!"&amp;$N$29&amp;PenaltyData[[#This Row],[ROW]],TRUE)=0, "",INDIRECT("Penalties!"&amp;$N$29&amp;PenaltyData[[#This Row],[ROW]],TRUE))</f>
        <v/>
      </c>
      <c r="G640" s="1233">
        <f ca="1">COUNTIFS($H$1:H640,"&lt;&gt;0", $F$1:F640,PenaltyData[[#This Row],[PlayerIdx]],$D$1:D640,PenaltyData[[#This Row],[Team]])</f>
        <v>0</v>
      </c>
      <c r="H640" s="1233">
        <f ca="1">INDIRECT("Penalties!"&amp;PenaltyData[[#This Row],[REF]]&amp;PenaltyData[[#This Row],[ROW]])</f>
        <v>0</v>
      </c>
      <c r="I640" s="1233" t="str">
        <f ca="1">IFERROR(VLOOKUP(PenaltyData[[#This Row],[Penalty]],PenaltyNames91419[],2,FALSE),"")</f>
        <v/>
      </c>
      <c r="J640" s="1220" t="s">
        <v>777</v>
      </c>
      <c r="K640" s="1220">
        <f t="shared" si="41"/>
        <v>34</v>
      </c>
      <c r="M640" s="1220"/>
    </row>
    <row r="641" spans="1:13" x14ac:dyDescent="0.25">
      <c r="A641" s="1230">
        <f t="shared" si="38"/>
        <v>42105</v>
      </c>
      <c r="B641" s="1231">
        <f t="shared" si="39"/>
        <v>0.83333333333333337</v>
      </c>
      <c r="C641" s="1220">
        <v>2</v>
      </c>
      <c r="D641" s="1220" t="str">
        <f t="shared" si="40"/>
        <v>Harlots</v>
      </c>
      <c r="E641" s="1233">
        <f ca="1">VALUE(INDIRECT("Penalties!"&amp;PenaltyData[[#This Row],[REF]]&amp;(PenaltyData[[#This Row],[ROW]]+1)))</f>
        <v>0</v>
      </c>
      <c r="F641" s="1220" t="str">
        <f ca="1">IF(INDIRECT("Penalties!"&amp;$N$29&amp;PenaltyData[[#This Row],[ROW]],TRUE)=0, "",INDIRECT("Penalties!"&amp;$N$29&amp;PenaltyData[[#This Row],[ROW]],TRUE))</f>
        <v/>
      </c>
      <c r="G641" s="1233">
        <f ca="1">COUNTIFS($H$1:H641,"&lt;&gt;0", $F$1:F641,PenaltyData[[#This Row],[PlayerIdx]],$D$1:D641,PenaltyData[[#This Row],[Team]])</f>
        <v>0</v>
      </c>
      <c r="H641" s="1233">
        <f ca="1">INDIRECT("Penalties!"&amp;PenaltyData[[#This Row],[REF]]&amp;PenaltyData[[#This Row],[ROW]])</f>
        <v>0</v>
      </c>
      <c r="I641" s="1233" t="str">
        <f ca="1">IFERROR(VLOOKUP(PenaltyData[[#This Row],[Penalty]],PenaltyNames91419[],2,FALSE),"")</f>
        <v/>
      </c>
      <c r="J641" s="1220" t="s">
        <v>778</v>
      </c>
      <c r="K641" s="1220">
        <f t="shared" si="41"/>
        <v>34</v>
      </c>
      <c r="M641" s="1220"/>
    </row>
    <row r="642" spans="1:13" x14ac:dyDescent="0.25">
      <c r="A642" s="1230">
        <f t="shared" si="38"/>
        <v>42105</v>
      </c>
      <c r="B642" s="1231">
        <f t="shared" si="39"/>
        <v>0.83333333333333337</v>
      </c>
      <c r="C642" s="1220">
        <v>2</v>
      </c>
      <c r="D642" s="1220" t="str">
        <f t="shared" si="40"/>
        <v>Harlots</v>
      </c>
      <c r="E642" s="1233">
        <f ca="1">VALUE(INDIRECT("Penalties!"&amp;PenaltyData[[#This Row],[REF]]&amp;(PenaltyData[[#This Row],[ROW]]+1)))</f>
        <v>0</v>
      </c>
      <c r="F642" s="1220" t="str">
        <f ca="1">IF(INDIRECT("Penalties!"&amp;$N$29&amp;PenaltyData[[#This Row],[ROW]],TRUE)=0, "",INDIRECT("Penalties!"&amp;$N$29&amp;PenaltyData[[#This Row],[ROW]],TRUE))</f>
        <v/>
      </c>
      <c r="G642" s="1233">
        <f ca="1">COUNTIFS($H$1:H642,"&lt;&gt;0", $F$1:F642,PenaltyData[[#This Row],[PlayerIdx]],$D$1:D642,PenaltyData[[#This Row],[Team]])</f>
        <v>0</v>
      </c>
      <c r="H642" s="1233">
        <f ca="1">INDIRECT("Penalties!"&amp;PenaltyData[[#This Row],[REF]]&amp;PenaltyData[[#This Row],[ROW]])</f>
        <v>0</v>
      </c>
      <c r="I642" s="1233" t="str">
        <f ca="1">IFERROR(VLOOKUP(PenaltyData[[#This Row],[Penalty]],PenaltyNames91419[],2,FALSE),"")</f>
        <v/>
      </c>
      <c r="J642" s="1220" t="s">
        <v>779</v>
      </c>
      <c r="K642" s="1220">
        <f t="shared" si="41"/>
        <v>34</v>
      </c>
      <c r="M642" s="1220"/>
    </row>
    <row r="643" spans="1:13" x14ac:dyDescent="0.25">
      <c r="A643" s="1230">
        <f t="shared" si="38"/>
        <v>42105</v>
      </c>
      <c r="B643" s="1231">
        <f t="shared" si="39"/>
        <v>0.83333333333333337</v>
      </c>
      <c r="C643" s="1220">
        <v>2</v>
      </c>
      <c r="D643" s="1220" t="str">
        <f t="shared" si="40"/>
        <v>Harlots</v>
      </c>
      <c r="E643" s="1233">
        <f ca="1">VALUE(INDIRECT("Penalties!"&amp;PenaltyData[[#This Row],[REF]]&amp;(PenaltyData[[#This Row],[ROW]]+1)))</f>
        <v>0</v>
      </c>
      <c r="F643" s="1220" t="str">
        <f ca="1">IF(INDIRECT("Penalties!"&amp;$N$29&amp;PenaltyData[[#This Row],[ROW]],TRUE)=0, "",INDIRECT("Penalties!"&amp;$N$29&amp;PenaltyData[[#This Row],[ROW]],TRUE))</f>
        <v/>
      </c>
      <c r="G643" s="1233">
        <f ca="1">COUNTIFS($H$1:H643,"&lt;&gt;0", $F$1:F643,PenaltyData[[#This Row],[PlayerIdx]],$D$1:D643,PenaltyData[[#This Row],[Team]])</f>
        <v>0</v>
      </c>
      <c r="H643" s="1233">
        <f ca="1">INDIRECT("Penalties!"&amp;PenaltyData[[#This Row],[REF]]&amp;PenaltyData[[#This Row],[ROW]])</f>
        <v>0</v>
      </c>
      <c r="I643" s="1233" t="str">
        <f ca="1">IFERROR(VLOOKUP(PenaltyData[[#This Row],[Penalty]],PenaltyNames91419[],2,FALSE),"")</f>
        <v/>
      </c>
      <c r="J643" s="1220" t="s">
        <v>780</v>
      </c>
      <c r="K643" s="1220">
        <f t="shared" si="41"/>
        <v>34</v>
      </c>
      <c r="M643" s="1220"/>
    </row>
    <row r="644" spans="1:13" x14ac:dyDescent="0.25">
      <c r="A644" s="1230">
        <f t="shared" si="38"/>
        <v>42105</v>
      </c>
      <c r="B644" s="1231">
        <f t="shared" si="39"/>
        <v>0.83333333333333337</v>
      </c>
      <c r="C644" s="1220">
        <v>2</v>
      </c>
      <c r="D644" s="1220" t="str">
        <f t="shared" si="40"/>
        <v>Harlots</v>
      </c>
      <c r="E644" s="1233">
        <f ca="1">VALUE(INDIRECT("Penalties!"&amp;PenaltyData[[#This Row],[REF]]&amp;(PenaltyData[[#This Row],[ROW]]+1)))</f>
        <v>0</v>
      </c>
      <c r="F644" s="1220" t="str">
        <f ca="1">IF(INDIRECT("Penalties!"&amp;$N$29&amp;PenaltyData[[#This Row],[ROW]],TRUE)=0, "",INDIRECT("Penalties!"&amp;$N$29&amp;PenaltyData[[#This Row],[ROW]],TRUE))</f>
        <v/>
      </c>
      <c r="G644" s="1233">
        <f ca="1">COUNTIFS($H$1:H644,"&lt;&gt;0", $F$1:F644,PenaltyData[[#This Row],[PlayerIdx]],$D$1:D644,PenaltyData[[#This Row],[Team]])</f>
        <v>0</v>
      </c>
      <c r="H644" s="1233">
        <f ca="1">INDIRECT("Penalties!"&amp;PenaltyData[[#This Row],[REF]]&amp;PenaltyData[[#This Row],[ROW]])</f>
        <v>0</v>
      </c>
      <c r="I644" s="1233" t="str">
        <f ca="1">IFERROR(VLOOKUP(PenaltyData[[#This Row],[Penalty]],PenaltyNames91419[],2,FALSE),"")</f>
        <v/>
      </c>
      <c r="J644" s="1220" t="s">
        <v>781</v>
      </c>
      <c r="K644" s="1220">
        <f t="shared" si="41"/>
        <v>34</v>
      </c>
      <c r="M644" s="1220"/>
    </row>
    <row r="645" spans="1:13" x14ac:dyDescent="0.25">
      <c r="A645" s="1230">
        <f t="shared" si="38"/>
        <v>42105</v>
      </c>
      <c r="B645" s="1231">
        <f t="shared" si="39"/>
        <v>0.83333333333333337</v>
      </c>
      <c r="C645" s="1220">
        <v>2</v>
      </c>
      <c r="D645" s="1220" t="str">
        <f t="shared" si="40"/>
        <v>Harlots</v>
      </c>
      <c r="E645" s="1233">
        <f ca="1">VALUE(INDIRECT("Penalties!"&amp;PenaltyData[[#This Row],[REF]]&amp;(PenaltyData[[#This Row],[ROW]]+1)))</f>
        <v>0</v>
      </c>
      <c r="F645" s="1220" t="str">
        <f ca="1">IF(INDIRECT("Penalties!"&amp;$N$29&amp;PenaltyData[[#This Row],[ROW]],TRUE)=0, "",INDIRECT("Penalties!"&amp;$N$29&amp;PenaltyData[[#This Row],[ROW]],TRUE))</f>
        <v/>
      </c>
      <c r="G645" s="1233">
        <f ca="1">COUNTIFS($H$1:H645,"&lt;&gt;0", $F$1:F645,PenaltyData[[#This Row],[PlayerIdx]],$D$1:D645,PenaltyData[[#This Row],[Team]])</f>
        <v>0</v>
      </c>
      <c r="H645" s="1233">
        <f ca="1">INDIRECT("Penalties!"&amp;PenaltyData[[#This Row],[REF]]&amp;PenaltyData[[#This Row],[ROW]])</f>
        <v>0</v>
      </c>
      <c r="I645" s="1233" t="str">
        <f ca="1">IFERROR(VLOOKUP(PenaltyData[[#This Row],[Penalty]],PenaltyNames91419[],2,FALSE),"")</f>
        <v/>
      </c>
      <c r="J645" s="1220" t="s">
        <v>782</v>
      </c>
      <c r="K645" s="1220">
        <f t="shared" si="41"/>
        <v>34</v>
      </c>
      <c r="M645" s="1220"/>
    </row>
    <row r="646" spans="1:13" x14ac:dyDescent="0.25">
      <c r="A646" s="1230">
        <f t="shared" ref="A646:A709" si="42">$N$1</f>
        <v>42105</v>
      </c>
      <c r="B646" s="1231">
        <f t="shared" ref="B646:B709" si="43">$O$1</f>
        <v>0.83333333333333337</v>
      </c>
      <c r="C646" s="1220">
        <v>2</v>
      </c>
      <c r="D646" s="1220" t="str">
        <f t="shared" si="40"/>
        <v>Harlots</v>
      </c>
      <c r="E646" s="1233">
        <f ca="1">VALUE(INDIRECT("Penalties!"&amp;PenaltyData[[#This Row],[REF]]&amp;(PenaltyData[[#This Row],[ROW]]+1)))</f>
        <v>0</v>
      </c>
      <c r="F646" s="1220" t="str">
        <f ca="1">IF(INDIRECT("Penalties!"&amp;$N$29&amp;PenaltyData[[#This Row],[ROW]],TRUE)=0, "",INDIRECT("Penalties!"&amp;$N$29&amp;PenaltyData[[#This Row],[ROW]],TRUE))</f>
        <v/>
      </c>
      <c r="G646" s="1233">
        <f ca="1">COUNTIFS($H$1:H646,"&lt;&gt;0", $F$1:F646,PenaltyData[[#This Row],[PlayerIdx]],$D$1:D646,PenaltyData[[#This Row],[Team]])</f>
        <v>0</v>
      </c>
      <c r="H646" s="1233">
        <f ca="1">INDIRECT("Penalties!"&amp;PenaltyData[[#This Row],[REF]]&amp;PenaltyData[[#This Row],[ROW]])</f>
        <v>0</v>
      </c>
      <c r="I646" s="1233" t="str">
        <f ca="1">IFERROR(VLOOKUP(PenaltyData[[#This Row],[Penalty]],PenaltyNames91419[],2,FALSE),"")</f>
        <v/>
      </c>
      <c r="J646" s="1220" t="s">
        <v>783</v>
      </c>
      <c r="K646" s="1220">
        <f t="shared" si="41"/>
        <v>34</v>
      </c>
      <c r="M646" s="1220"/>
    </row>
    <row r="647" spans="1:13" x14ac:dyDescent="0.25">
      <c r="A647" s="1230">
        <f t="shared" si="42"/>
        <v>42105</v>
      </c>
      <c r="B647" s="1231">
        <f t="shared" si="43"/>
        <v>0.83333333333333337</v>
      </c>
      <c r="C647" s="1220">
        <v>2</v>
      </c>
      <c r="D647" s="1220" t="str">
        <f t="shared" si="40"/>
        <v>Harlots</v>
      </c>
      <c r="E647" s="1233">
        <f ca="1">VALUE(INDIRECT("Penalties!"&amp;PenaltyData[[#This Row],[REF]]&amp;(PenaltyData[[#This Row],[ROW]]+1)))</f>
        <v>0</v>
      </c>
      <c r="F647" s="1220" t="str">
        <f ca="1">IF(INDIRECT("Penalties!"&amp;$N$29&amp;PenaltyData[[#This Row],[ROW]],TRUE)=0, "",INDIRECT("Penalties!"&amp;$N$29&amp;PenaltyData[[#This Row],[ROW]],TRUE))</f>
        <v/>
      </c>
      <c r="G647" s="1233">
        <f ca="1">COUNTIFS($H$1:H647,"&lt;&gt;0", $F$1:F647,PenaltyData[[#This Row],[PlayerIdx]],$D$1:D647,PenaltyData[[#This Row],[Team]])</f>
        <v>0</v>
      </c>
      <c r="H647" s="1233">
        <f ca="1">INDIRECT("Penalties!"&amp;PenaltyData[[#This Row],[REF]]&amp;PenaltyData[[#This Row],[ROW]])</f>
        <v>0</v>
      </c>
      <c r="I647" s="1233" t="str">
        <f ca="1">IFERROR(VLOOKUP(PenaltyData[[#This Row],[Penalty]],PenaltyNames91419[],2,FALSE),"")</f>
        <v/>
      </c>
      <c r="J647" s="1220" t="s">
        <v>784</v>
      </c>
      <c r="K647" s="1220">
        <f t="shared" si="41"/>
        <v>34</v>
      </c>
      <c r="M647" s="1220"/>
    </row>
    <row r="648" spans="1:13" x14ac:dyDescent="0.25">
      <c r="A648" s="1230">
        <f t="shared" si="42"/>
        <v>42105</v>
      </c>
      <c r="B648" s="1231">
        <f t="shared" si="43"/>
        <v>0.83333333333333337</v>
      </c>
      <c r="C648" s="1220">
        <v>2</v>
      </c>
      <c r="D648" s="1220" t="str">
        <f t="shared" si="40"/>
        <v>Harlots</v>
      </c>
      <c r="E648" s="1233">
        <f ca="1">VALUE(INDIRECT("Penalties!"&amp;PenaltyData[[#This Row],[REF]]&amp;(PenaltyData[[#This Row],[ROW]]+1)))</f>
        <v>0</v>
      </c>
      <c r="F648" s="1220" t="str">
        <f ca="1">IF(INDIRECT("Penalties!"&amp;$N$29&amp;PenaltyData[[#This Row],[ROW]],TRUE)=0, "",INDIRECT("Penalties!"&amp;$N$29&amp;PenaltyData[[#This Row],[ROW]],TRUE))</f>
        <v/>
      </c>
      <c r="G648" s="1233">
        <f ca="1">COUNTIFS($H$1:H648,"&lt;&gt;0", $F$1:F648,PenaltyData[[#This Row],[PlayerIdx]],$D$1:D648,PenaltyData[[#This Row],[Team]])</f>
        <v>0</v>
      </c>
      <c r="H648" s="1233">
        <f ca="1">INDIRECT("Penalties!"&amp;PenaltyData[[#This Row],[REF]]&amp;PenaltyData[[#This Row],[ROW]])</f>
        <v>0</v>
      </c>
      <c r="I648" s="1233" t="str">
        <f ca="1">IFERROR(VLOOKUP(PenaltyData[[#This Row],[Penalty]],PenaltyNames91419[],2,FALSE),"")</f>
        <v/>
      </c>
      <c r="J648" s="1220" t="s">
        <v>785</v>
      </c>
      <c r="K648" s="1220">
        <f t="shared" si="41"/>
        <v>34</v>
      </c>
      <c r="M648" s="1220"/>
    </row>
    <row r="649" spans="1:13" x14ac:dyDescent="0.25">
      <c r="A649" s="1230">
        <f t="shared" si="42"/>
        <v>42105</v>
      </c>
      <c r="B649" s="1231">
        <f t="shared" si="43"/>
        <v>0.83333333333333337</v>
      </c>
      <c r="C649" s="1220">
        <v>2</v>
      </c>
      <c r="D649" s="1220" t="str">
        <f t="shared" si="40"/>
        <v>Harlots</v>
      </c>
      <c r="E649" s="1233">
        <f ca="1">VALUE(INDIRECT("Penalties!"&amp;PenaltyData[[#This Row],[REF]]&amp;(PenaltyData[[#This Row],[ROW]]+1)))</f>
        <v>0</v>
      </c>
      <c r="F649" s="1220" t="str">
        <f ca="1">IF(INDIRECT("Penalties!"&amp;$N$29&amp;PenaltyData[[#This Row],[ROW]],TRUE)=0, "",INDIRECT("Penalties!"&amp;$N$29&amp;PenaltyData[[#This Row],[ROW]],TRUE))</f>
        <v/>
      </c>
      <c r="G649" s="1233">
        <f ca="1">COUNTIFS($H$1:H649,"&lt;&gt;0", $F$1:F649,PenaltyData[[#This Row],[PlayerIdx]],$D$1:D649,PenaltyData[[#This Row],[Team]])</f>
        <v>0</v>
      </c>
      <c r="H649" s="1233">
        <f ca="1">INDIRECT("Penalties!"&amp;PenaltyData[[#This Row],[REF]]&amp;PenaltyData[[#This Row],[ROW]])</f>
        <v>0</v>
      </c>
      <c r="I649" s="1233" t="str">
        <f ca="1">IFERROR(VLOOKUP(PenaltyData[[#This Row],[Penalty]],PenaltyNames91419[],2,FALSE),"")</f>
        <v/>
      </c>
      <c r="J649" s="1220" t="s">
        <v>786</v>
      </c>
      <c r="K649" s="1220">
        <f t="shared" si="41"/>
        <v>34</v>
      </c>
      <c r="M649" s="1220"/>
    </row>
    <row r="650" spans="1:13" x14ac:dyDescent="0.25">
      <c r="A650" s="1230">
        <f t="shared" si="42"/>
        <v>42105</v>
      </c>
      <c r="B650" s="1231">
        <f t="shared" si="43"/>
        <v>0.83333333333333337</v>
      </c>
      <c r="C650" s="1220">
        <v>1</v>
      </c>
      <c r="D650" s="1220" t="str">
        <f t="shared" si="40"/>
        <v>Harlots</v>
      </c>
      <c r="E650" s="1233">
        <f ca="1">VALUE(INDIRECT("Penalties!"&amp;PenaltyData[[#This Row],[REF]]&amp;(PenaltyData[[#This Row],[ROW]]+1)))</f>
        <v>0</v>
      </c>
      <c r="F650" s="1220" t="str">
        <f ca="1">IF(INDIRECT("Penalties!"&amp;$N$29&amp;PenaltyData[[#This Row],[ROW]],TRUE)=0, "",INDIRECT("Penalties!"&amp;$N$29&amp;PenaltyData[[#This Row],[ROW]],TRUE))</f>
        <v/>
      </c>
      <c r="G650" s="1233">
        <f ca="1">COUNTIFS($H$1:H650,"&lt;&gt;0", $F$1:F650,PenaltyData[[#This Row],[PlayerIdx]],$D$1:D650,PenaltyData[[#This Row],[Team]])</f>
        <v>0</v>
      </c>
      <c r="H650" s="1233">
        <f ca="1">INDIRECT("Penalties!"&amp;PenaltyData[[#This Row],[REF]]&amp;PenaltyData[[#This Row],[ROW]])</f>
        <v>0</v>
      </c>
      <c r="I650" s="1233" t="str">
        <f ca="1">IFERROR(VLOOKUP(PenaltyData[[#This Row],[Penalty]],PenaltyNames91419[],2,FALSE),"")</f>
        <v/>
      </c>
      <c r="J650" s="1220" t="s">
        <v>771</v>
      </c>
      <c r="K650" s="1220">
        <f t="shared" si="41"/>
        <v>36</v>
      </c>
      <c r="M650" s="1220"/>
    </row>
    <row r="651" spans="1:13" x14ac:dyDescent="0.25">
      <c r="A651" s="1230">
        <f t="shared" si="42"/>
        <v>42105</v>
      </c>
      <c r="B651" s="1231">
        <f t="shared" si="43"/>
        <v>0.83333333333333337</v>
      </c>
      <c r="C651" s="1220">
        <v>1</v>
      </c>
      <c r="D651" s="1220" t="str">
        <f t="shared" si="40"/>
        <v>Harlots</v>
      </c>
      <c r="E651" s="1233">
        <f ca="1">VALUE(INDIRECT("Penalties!"&amp;PenaltyData[[#This Row],[REF]]&amp;(PenaltyData[[#This Row],[ROW]]+1)))</f>
        <v>0</v>
      </c>
      <c r="F651" s="1220" t="str">
        <f ca="1">IF(INDIRECT("Penalties!"&amp;$N$29&amp;PenaltyData[[#This Row],[ROW]],TRUE)=0, "",INDIRECT("Penalties!"&amp;$N$29&amp;PenaltyData[[#This Row],[ROW]],TRUE))</f>
        <v/>
      </c>
      <c r="G651" s="1233">
        <f ca="1">COUNTIFS($H$1:H651,"&lt;&gt;0", $F$1:F651,PenaltyData[[#This Row],[PlayerIdx]],$D$1:D651,PenaltyData[[#This Row],[Team]])</f>
        <v>0</v>
      </c>
      <c r="H651" s="1233">
        <f ca="1">INDIRECT("Penalties!"&amp;PenaltyData[[#This Row],[REF]]&amp;PenaltyData[[#This Row],[ROW]])</f>
        <v>0</v>
      </c>
      <c r="I651" s="1233" t="str">
        <f ca="1">IFERROR(VLOOKUP(PenaltyData[[#This Row],[Penalty]],PenaltyNames91419[],2,FALSE),"")</f>
        <v/>
      </c>
      <c r="J651" s="1220" t="s">
        <v>772</v>
      </c>
      <c r="K651" s="1220">
        <f t="shared" si="41"/>
        <v>36</v>
      </c>
      <c r="M651" s="1220"/>
    </row>
    <row r="652" spans="1:13" x14ac:dyDescent="0.25">
      <c r="A652" s="1230">
        <f t="shared" si="42"/>
        <v>42105</v>
      </c>
      <c r="B652" s="1231">
        <f t="shared" si="43"/>
        <v>0.83333333333333337</v>
      </c>
      <c r="C652" s="1220">
        <v>1</v>
      </c>
      <c r="D652" s="1220" t="str">
        <f t="shared" si="40"/>
        <v>Harlots</v>
      </c>
      <c r="E652" s="1233">
        <f ca="1">VALUE(INDIRECT("Penalties!"&amp;PenaltyData[[#This Row],[REF]]&amp;(PenaltyData[[#This Row],[ROW]]+1)))</f>
        <v>0</v>
      </c>
      <c r="F652" s="1220" t="str">
        <f ca="1">IF(INDIRECT("Penalties!"&amp;$N$29&amp;PenaltyData[[#This Row],[ROW]],TRUE)=0, "",INDIRECT("Penalties!"&amp;$N$29&amp;PenaltyData[[#This Row],[ROW]],TRUE))</f>
        <v/>
      </c>
      <c r="G652" s="1233">
        <f ca="1">COUNTIFS($H$1:H652,"&lt;&gt;0", $F$1:F652,PenaltyData[[#This Row],[PlayerIdx]],$D$1:D652,PenaltyData[[#This Row],[Team]])</f>
        <v>0</v>
      </c>
      <c r="H652" s="1233">
        <f ca="1">INDIRECT("Penalties!"&amp;PenaltyData[[#This Row],[REF]]&amp;PenaltyData[[#This Row],[ROW]])</f>
        <v>0</v>
      </c>
      <c r="I652" s="1233" t="str">
        <f ca="1">IFERROR(VLOOKUP(PenaltyData[[#This Row],[Penalty]],PenaltyNames91419[],2,FALSE),"")</f>
        <v/>
      </c>
      <c r="J652" s="1220" t="s">
        <v>159</v>
      </c>
      <c r="K652" s="1220">
        <f t="shared" si="41"/>
        <v>36</v>
      </c>
      <c r="M652" s="1220"/>
    </row>
    <row r="653" spans="1:13" x14ac:dyDescent="0.25">
      <c r="A653" s="1230">
        <f t="shared" si="42"/>
        <v>42105</v>
      </c>
      <c r="B653" s="1231">
        <f t="shared" si="43"/>
        <v>0.83333333333333337</v>
      </c>
      <c r="C653" s="1220">
        <v>1</v>
      </c>
      <c r="D653" s="1220" t="str">
        <f t="shared" si="40"/>
        <v>Harlots</v>
      </c>
      <c r="E653" s="1233">
        <f ca="1">VALUE(INDIRECT("Penalties!"&amp;PenaltyData[[#This Row],[REF]]&amp;(PenaltyData[[#This Row],[ROW]]+1)))</f>
        <v>0</v>
      </c>
      <c r="F653" s="1220" t="str">
        <f ca="1">IF(INDIRECT("Penalties!"&amp;$N$29&amp;PenaltyData[[#This Row],[ROW]],TRUE)=0, "",INDIRECT("Penalties!"&amp;$N$29&amp;PenaltyData[[#This Row],[ROW]],TRUE))</f>
        <v/>
      </c>
      <c r="G653" s="1233">
        <f ca="1">COUNTIFS($H$1:H653,"&lt;&gt;0", $F$1:F653,PenaltyData[[#This Row],[PlayerIdx]],$D$1:D653,PenaltyData[[#This Row],[Team]])</f>
        <v>0</v>
      </c>
      <c r="H653" s="1233">
        <f ca="1">INDIRECT("Penalties!"&amp;PenaltyData[[#This Row],[REF]]&amp;PenaltyData[[#This Row],[ROW]])</f>
        <v>0</v>
      </c>
      <c r="I653" s="1233" t="str">
        <f ca="1">IFERROR(VLOOKUP(PenaltyData[[#This Row],[Penalty]],PenaltyNames91419[],2,FALSE),"")</f>
        <v/>
      </c>
      <c r="J653" s="1220" t="s">
        <v>773</v>
      </c>
      <c r="K653" s="1220">
        <f t="shared" si="41"/>
        <v>36</v>
      </c>
      <c r="M653" s="1220"/>
    </row>
    <row r="654" spans="1:13" x14ac:dyDescent="0.25">
      <c r="A654" s="1230">
        <f t="shared" si="42"/>
        <v>42105</v>
      </c>
      <c r="B654" s="1231">
        <f t="shared" si="43"/>
        <v>0.83333333333333337</v>
      </c>
      <c r="C654" s="1220">
        <v>1</v>
      </c>
      <c r="D654" s="1220" t="str">
        <f t="shared" si="40"/>
        <v>Harlots</v>
      </c>
      <c r="E654" s="1233">
        <f ca="1">VALUE(INDIRECT("Penalties!"&amp;PenaltyData[[#This Row],[REF]]&amp;(PenaltyData[[#This Row],[ROW]]+1)))</f>
        <v>0</v>
      </c>
      <c r="F654" s="1220" t="str">
        <f ca="1">IF(INDIRECT("Penalties!"&amp;$N$29&amp;PenaltyData[[#This Row],[ROW]],TRUE)=0, "",INDIRECT("Penalties!"&amp;$N$29&amp;PenaltyData[[#This Row],[ROW]],TRUE))</f>
        <v/>
      </c>
      <c r="G654" s="1233">
        <f ca="1">COUNTIFS($H$1:H654,"&lt;&gt;0", $F$1:F654,PenaltyData[[#This Row],[PlayerIdx]],$D$1:D654,PenaltyData[[#This Row],[Team]])</f>
        <v>0</v>
      </c>
      <c r="H654" s="1233">
        <f ca="1">INDIRECT("Penalties!"&amp;PenaltyData[[#This Row],[REF]]&amp;PenaltyData[[#This Row],[ROW]])</f>
        <v>0</v>
      </c>
      <c r="I654" s="1233" t="str">
        <f ca="1">IFERROR(VLOOKUP(PenaltyData[[#This Row],[Penalty]],PenaltyNames91419[],2,FALSE),"")</f>
        <v/>
      </c>
      <c r="J654" s="1220" t="s">
        <v>774</v>
      </c>
      <c r="K654" s="1220">
        <f t="shared" si="41"/>
        <v>36</v>
      </c>
      <c r="M654" s="1220"/>
    </row>
    <row r="655" spans="1:13" x14ac:dyDescent="0.25">
      <c r="A655" s="1230">
        <f t="shared" si="42"/>
        <v>42105</v>
      </c>
      <c r="B655" s="1231">
        <f t="shared" si="43"/>
        <v>0.83333333333333337</v>
      </c>
      <c r="C655" s="1220">
        <v>1</v>
      </c>
      <c r="D655" s="1220" t="str">
        <f t="shared" si="40"/>
        <v>Harlots</v>
      </c>
      <c r="E655" s="1233">
        <f ca="1">VALUE(INDIRECT("Penalties!"&amp;PenaltyData[[#This Row],[REF]]&amp;(PenaltyData[[#This Row],[ROW]]+1)))</f>
        <v>0</v>
      </c>
      <c r="F655" s="1220" t="str">
        <f ca="1">IF(INDIRECT("Penalties!"&amp;$N$29&amp;PenaltyData[[#This Row],[ROW]],TRUE)=0, "",INDIRECT("Penalties!"&amp;$N$29&amp;PenaltyData[[#This Row],[ROW]],TRUE))</f>
        <v/>
      </c>
      <c r="G655" s="1233">
        <f ca="1">COUNTIFS($H$1:H655,"&lt;&gt;0", $F$1:F655,PenaltyData[[#This Row],[PlayerIdx]],$D$1:D655,PenaltyData[[#This Row],[Team]])</f>
        <v>0</v>
      </c>
      <c r="H655" s="1233">
        <f ca="1">INDIRECT("Penalties!"&amp;PenaltyData[[#This Row],[REF]]&amp;PenaltyData[[#This Row],[ROW]])</f>
        <v>0</v>
      </c>
      <c r="I655" s="1233" t="str">
        <f ca="1">IFERROR(VLOOKUP(PenaltyData[[#This Row],[Penalty]],PenaltyNames91419[],2,FALSE),"")</f>
        <v/>
      </c>
      <c r="J655" s="1220" t="s">
        <v>775</v>
      </c>
      <c r="K655" s="1220">
        <f t="shared" si="41"/>
        <v>36</v>
      </c>
      <c r="M655" s="1220"/>
    </row>
    <row r="656" spans="1:13" x14ac:dyDescent="0.25">
      <c r="A656" s="1230">
        <f t="shared" si="42"/>
        <v>42105</v>
      </c>
      <c r="B656" s="1231">
        <f t="shared" si="43"/>
        <v>0.83333333333333337</v>
      </c>
      <c r="C656" s="1220">
        <v>1</v>
      </c>
      <c r="D656" s="1220" t="str">
        <f t="shared" si="40"/>
        <v>Harlots</v>
      </c>
      <c r="E656" s="1233">
        <f ca="1">VALUE(INDIRECT("Penalties!"&amp;PenaltyData[[#This Row],[REF]]&amp;(PenaltyData[[#This Row],[ROW]]+1)))</f>
        <v>0</v>
      </c>
      <c r="F656" s="1220" t="str">
        <f ca="1">IF(INDIRECT("Penalties!"&amp;$N$29&amp;PenaltyData[[#This Row],[ROW]],TRUE)=0, "",INDIRECT("Penalties!"&amp;$N$29&amp;PenaltyData[[#This Row],[ROW]],TRUE))</f>
        <v/>
      </c>
      <c r="G656" s="1233">
        <f ca="1">COUNTIFS($H$1:H656,"&lt;&gt;0", $F$1:F656,PenaltyData[[#This Row],[PlayerIdx]],$D$1:D656,PenaltyData[[#This Row],[Team]])</f>
        <v>0</v>
      </c>
      <c r="H656" s="1233">
        <f ca="1">INDIRECT("Penalties!"&amp;PenaltyData[[#This Row],[REF]]&amp;PenaltyData[[#This Row],[ROW]])</f>
        <v>0</v>
      </c>
      <c r="I656" s="1233" t="str">
        <f ca="1">IFERROR(VLOOKUP(PenaltyData[[#This Row],[Penalty]],PenaltyNames91419[],2,FALSE),"")</f>
        <v/>
      </c>
      <c r="J656" s="1220" t="s">
        <v>776</v>
      </c>
      <c r="K656" s="1220">
        <f t="shared" si="41"/>
        <v>36</v>
      </c>
      <c r="M656" s="1220"/>
    </row>
    <row r="657" spans="1:13" x14ac:dyDescent="0.25">
      <c r="A657" s="1230">
        <f t="shared" si="42"/>
        <v>42105</v>
      </c>
      <c r="B657" s="1231">
        <f t="shared" si="43"/>
        <v>0.83333333333333337</v>
      </c>
      <c r="C657" s="1220">
        <v>1</v>
      </c>
      <c r="D657" s="1220" t="str">
        <f t="shared" si="40"/>
        <v>Harlots</v>
      </c>
      <c r="E657" s="1233">
        <f ca="1">VALUE(INDIRECT("Penalties!"&amp;PenaltyData[[#This Row],[REF]]&amp;(PenaltyData[[#This Row],[ROW]]+1)))</f>
        <v>0</v>
      </c>
      <c r="F657" s="1220" t="str">
        <f ca="1">IF(INDIRECT("Penalties!"&amp;$N$29&amp;PenaltyData[[#This Row],[ROW]],TRUE)=0, "",INDIRECT("Penalties!"&amp;$N$29&amp;PenaltyData[[#This Row],[ROW]],TRUE))</f>
        <v/>
      </c>
      <c r="G657" s="1233">
        <f ca="1">COUNTIFS($H$1:H657,"&lt;&gt;0", $F$1:F657,PenaltyData[[#This Row],[PlayerIdx]],$D$1:D657,PenaltyData[[#This Row],[Team]])</f>
        <v>0</v>
      </c>
      <c r="H657" s="1233">
        <f ca="1">INDIRECT("Penalties!"&amp;PenaltyData[[#This Row],[REF]]&amp;PenaltyData[[#This Row],[ROW]])</f>
        <v>0</v>
      </c>
      <c r="I657" s="1233" t="str">
        <f ca="1">IFERROR(VLOOKUP(PenaltyData[[#This Row],[Penalty]],PenaltyNames91419[],2,FALSE),"")</f>
        <v/>
      </c>
      <c r="J657" s="1220" t="s">
        <v>140</v>
      </c>
      <c r="K657" s="1220">
        <f t="shared" si="41"/>
        <v>36</v>
      </c>
      <c r="M657" s="1220"/>
    </row>
    <row r="658" spans="1:13" x14ac:dyDescent="0.25">
      <c r="A658" s="1230">
        <f t="shared" si="42"/>
        <v>42105</v>
      </c>
      <c r="B658" s="1231">
        <f t="shared" si="43"/>
        <v>0.83333333333333337</v>
      </c>
      <c r="C658" s="1220">
        <v>1</v>
      </c>
      <c r="D658" s="1220" t="str">
        <f t="shared" si="40"/>
        <v>Harlots</v>
      </c>
      <c r="E658" s="1233">
        <f ca="1">VALUE(INDIRECT("Penalties!"&amp;PenaltyData[[#This Row],[REF]]&amp;(PenaltyData[[#This Row],[ROW]]+1)))</f>
        <v>0</v>
      </c>
      <c r="F658" s="1220" t="str">
        <f ca="1">IF(INDIRECT("Penalties!"&amp;$N$29&amp;PenaltyData[[#This Row],[ROW]],TRUE)=0, "",INDIRECT("Penalties!"&amp;$N$29&amp;PenaltyData[[#This Row],[ROW]],TRUE))</f>
        <v/>
      </c>
      <c r="G658" s="1233">
        <f ca="1">COUNTIFS($H$1:H658,"&lt;&gt;0", $F$1:F658,PenaltyData[[#This Row],[PlayerIdx]],$D$1:D658,PenaltyData[[#This Row],[Team]])</f>
        <v>0</v>
      </c>
      <c r="H658" s="1233">
        <f ca="1">INDIRECT("Penalties!"&amp;PenaltyData[[#This Row],[REF]]&amp;PenaltyData[[#This Row],[ROW]])</f>
        <v>0</v>
      </c>
      <c r="I658" s="1233" t="str">
        <f ca="1">IFERROR(VLOOKUP(PenaltyData[[#This Row],[Penalty]],PenaltyNames91419[],2,FALSE),"")</f>
        <v/>
      </c>
      <c r="J658" s="1220" t="s">
        <v>777</v>
      </c>
      <c r="K658" s="1220">
        <f t="shared" si="41"/>
        <v>36</v>
      </c>
      <c r="M658" s="1220"/>
    </row>
    <row r="659" spans="1:13" x14ac:dyDescent="0.25">
      <c r="A659" s="1230">
        <f t="shared" si="42"/>
        <v>42105</v>
      </c>
      <c r="B659" s="1231">
        <f t="shared" si="43"/>
        <v>0.83333333333333337</v>
      </c>
      <c r="C659" s="1220">
        <v>2</v>
      </c>
      <c r="D659" s="1220" t="str">
        <f t="shared" si="40"/>
        <v>Harlots</v>
      </c>
      <c r="E659" s="1233">
        <f ca="1">VALUE(INDIRECT("Penalties!"&amp;PenaltyData[[#This Row],[REF]]&amp;(PenaltyData[[#This Row],[ROW]]+1)))</f>
        <v>0</v>
      </c>
      <c r="F659" s="1220" t="str">
        <f ca="1">IF(INDIRECT("Penalties!"&amp;$N$29&amp;PenaltyData[[#This Row],[ROW]],TRUE)=0, "",INDIRECT("Penalties!"&amp;$N$29&amp;PenaltyData[[#This Row],[ROW]],TRUE))</f>
        <v/>
      </c>
      <c r="G659" s="1233">
        <f ca="1">COUNTIFS($H$1:H659,"&lt;&gt;0", $F$1:F659,PenaltyData[[#This Row],[PlayerIdx]],$D$1:D659,PenaltyData[[#This Row],[Team]])</f>
        <v>0</v>
      </c>
      <c r="H659" s="1233">
        <f ca="1">INDIRECT("Penalties!"&amp;PenaltyData[[#This Row],[REF]]&amp;PenaltyData[[#This Row],[ROW]])</f>
        <v>0</v>
      </c>
      <c r="I659" s="1233" t="str">
        <f ca="1">IFERROR(VLOOKUP(PenaltyData[[#This Row],[Penalty]],PenaltyNames91419[],2,FALSE),"")</f>
        <v/>
      </c>
      <c r="J659" s="1220" t="s">
        <v>778</v>
      </c>
      <c r="K659" s="1220">
        <f t="shared" si="41"/>
        <v>36</v>
      </c>
      <c r="M659" s="1220"/>
    </row>
    <row r="660" spans="1:13" x14ac:dyDescent="0.25">
      <c r="A660" s="1230">
        <f t="shared" si="42"/>
        <v>42105</v>
      </c>
      <c r="B660" s="1231">
        <f t="shared" si="43"/>
        <v>0.83333333333333337</v>
      </c>
      <c r="C660" s="1220">
        <v>2</v>
      </c>
      <c r="D660" s="1220" t="str">
        <f t="shared" si="40"/>
        <v>Harlots</v>
      </c>
      <c r="E660" s="1233">
        <f ca="1">VALUE(INDIRECT("Penalties!"&amp;PenaltyData[[#This Row],[REF]]&amp;(PenaltyData[[#This Row],[ROW]]+1)))</f>
        <v>0</v>
      </c>
      <c r="F660" s="1220" t="str">
        <f ca="1">IF(INDIRECT("Penalties!"&amp;$N$29&amp;PenaltyData[[#This Row],[ROW]],TRUE)=0, "",INDIRECT("Penalties!"&amp;$N$29&amp;PenaltyData[[#This Row],[ROW]],TRUE))</f>
        <v/>
      </c>
      <c r="G660" s="1233">
        <f ca="1">COUNTIFS($H$1:H660,"&lt;&gt;0", $F$1:F660,PenaltyData[[#This Row],[PlayerIdx]],$D$1:D660,PenaltyData[[#This Row],[Team]])</f>
        <v>0</v>
      </c>
      <c r="H660" s="1233">
        <f ca="1">INDIRECT("Penalties!"&amp;PenaltyData[[#This Row],[REF]]&amp;PenaltyData[[#This Row],[ROW]])</f>
        <v>0</v>
      </c>
      <c r="I660" s="1233" t="str">
        <f ca="1">IFERROR(VLOOKUP(PenaltyData[[#This Row],[Penalty]],PenaltyNames91419[],2,FALSE),"")</f>
        <v/>
      </c>
      <c r="J660" s="1220" t="s">
        <v>779</v>
      </c>
      <c r="K660" s="1220">
        <f t="shared" si="41"/>
        <v>36</v>
      </c>
      <c r="M660" s="1220"/>
    </row>
    <row r="661" spans="1:13" x14ac:dyDescent="0.25">
      <c r="A661" s="1230">
        <f t="shared" si="42"/>
        <v>42105</v>
      </c>
      <c r="B661" s="1231">
        <f t="shared" si="43"/>
        <v>0.83333333333333337</v>
      </c>
      <c r="C661" s="1220">
        <v>2</v>
      </c>
      <c r="D661" s="1220" t="str">
        <f t="shared" si="40"/>
        <v>Harlots</v>
      </c>
      <c r="E661" s="1233">
        <f ca="1">VALUE(INDIRECT("Penalties!"&amp;PenaltyData[[#This Row],[REF]]&amp;(PenaltyData[[#This Row],[ROW]]+1)))</f>
        <v>0</v>
      </c>
      <c r="F661" s="1220" t="str">
        <f ca="1">IF(INDIRECT("Penalties!"&amp;$N$29&amp;PenaltyData[[#This Row],[ROW]],TRUE)=0, "",INDIRECT("Penalties!"&amp;$N$29&amp;PenaltyData[[#This Row],[ROW]],TRUE))</f>
        <v/>
      </c>
      <c r="G661" s="1233">
        <f ca="1">COUNTIFS($H$1:H661,"&lt;&gt;0", $F$1:F661,PenaltyData[[#This Row],[PlayerIdx]],$D$1:D661,PenaltyData[[#This Row],[Team]])</f>
        <v>0</v>
      </c>
      <c r="H661" s="1233">
        <f ca="1">INDIRECT("Penalties!"&amp;PenaltyData[[#This Row],[REF]]&amp;PenaltyData[[#This Row],[ROW]])</f>
        <v>0</v>
      </c>
      <c r="I661" s="1233" t="str">
        <f ca="1">IFERROR(VLOOKUP(PenaltyData[[#This Row],[Penalty]],PenaltyNames91419[],2,FALSE),"")</f>
        <v/>
      </c>
      <c r="J661" s="1220" t="s">
        <v>780</v>
      </c>
      <c r="K661" s="1220">
        <f t="shared" si="41"/>
        <v>36</v>
      </c>
      <c r="M661" s="1220"/>
    </row>
    <row r="662" spans="1:13" x14ac:dyDescent="0.25">
      <c r="A662" s="1230">
        <f t="shared" si="42"/>
        <v>42105</v>
      </c>
      <c r="B662" s="1231">
        <f t="shared" si="43"/>
        <v>0.83333333333333337</v>
      </c>
      <c r="C662" s="1220">
        <v>2</v>
      </c>
      <c r="D662" s="1220" t="str">
        <f t="shared" si="40"/>
        <v>Harlots</v>
      </c>
      <c r="E662" s="1233">
        <f ca="1">VALUE(INDIRECT("Penalties!"&amp;PenaltyData[[#This Row],[REF]]&amp;(PenaltyData[[#This Row],[ROW]]+1)))</f>
        <v>0</v>
      </c>
      <c r="F662" s="1220" t="str">
        <f ca="1">IF(INDIRECT("Penalties!"&amp;$N$29&amp;PenaltyData[[#This Row],[ROW]],TRUE)=0, "",INDIRECT("Penalties!"&amp;$N$29&amp;PenaltyData[[#This Row],[ROW]],TRUE))</f>
        <v/>
      </c>
      <c r="G662" s="1233">
        <f ca="1">COUNTIFS($H$1:H662,"&lt;&gt;0", $F$1:F662,PenaltyData[[#This Row],[PlayerIdx]],$D$1:D662,PenaltyData[[#This Row],[Team]])</f>
        <v>0</v>
      </c>
      <c r="H662" s="1233">
        <f ca="1">INDIRECT("Penalties!"&amp;PenaltyData[[#This Row],[REF]]&amp;PenaltyData[[#This Row],[ROW]])</f>
        <v>0</v>
      </c>
      <c r="I662" s="1233" t="str">
        <f ca="1">IFERROR(VLOOKUP(PenaltyData[[#This Row],[Penalty]],PenaltyNames91419[],2,FALSE),"")</f>
        <v/>
      </c>
      <c r="J662" s="1220" t="s">
        <v>781</v>
      </c>
      <c r="K662" s="1220">
        <f t="shared" si="41"/>
        <v>36</v>
      </c>
      <c r="M662" s="1220"/>
    </row>
    <row r="663" spans="1:13" x14ac:dyDescent="0.25">
      <c r="A663" s="1230">
        <f t="shared" si="42"/>
        <v>42105</v>
      </c>
      <c r="B663" s="1231">
        <f t="shared" si="43"/>
        <v>0.83333333333333337</v>
      </c>
      <c r="C663" s="1220">
        <v>2</v>
      </c>
      <c r="D663" s="1220" t="str">
        <f t="shared" si="40"/>
        <v>Harlots</v>
      </c>
      <c r="E663" s="1233">
        <f ca="1">VALUE(INDIRECT("Penalties!"&amp;PenaltyData[[#This Row],[REF]]&amp;(PenaltyData[[#This Row],[ROW]]+1)))</f>
        <v>0</v>
      </c>
      <c r="F663" s="1220" t="str">
        <f ca="1">IF(INDIRECT("Penalties!"&amp;$N$29&amp;PenaltyData[[#This Row],[ROW]],TRUE)=0, "",INDIRECT("Penalties!"&amp;$N$29&amp;PenaltyData[[#This Row],[ROW]],TRUE))</f>
        <v/>
      </c>
      <c r="G663" s="1233">
        <f ca="1">COUNTIFS($H$1:H663,"&lt;&gt;0", $F$1:F663,PenaltyData[[#This Row],[PlayerIdx]],$D$1:D663,PenaltyData[[#This Row],[Team]])</f>
        <v>0</v>
      </c>
      <c r="H663" s="1233">
        <f ca="1">INDIRECT("Penalties!"&amp;PenaltyData[[#This Row],[REF]]&amp;PenaltyData[[#This Row],[ROW]])</f>
        <v>0</v>
      </c>
      <c r="I663" s="1233" t="str">
        <f ca="1">IFERROR(VLOOKUP(PenaltyData[[#This Row],[Penalty]],PenaltyNames91419[],2,FALSE),"")</f>
        <v/>
      </c>
      <c r="J663" s="1220" t="s">
        <v>782</v>
      </c>
      <c r="K663" s="1220">
        <f t="shared" si="41"/>
        <v>36</v>
      </c>
      <c r="M663" s="1220"/>
    </row>
    <row r="664" spans="1:13" x14ac:dyDescent="0.25">
      <c r="A664" s="1230">
        <f t="shared" si="42"/>
        <v>42105</v>
      </c>
      <c r="B664" s="1231">
        <f t="shared" si="43"/>
        <v>0.83333333333333337</v>
      </c>
      <c r="C664" s="1220">
        <v>2</v>
      </c>
      <c r="D664" s="1220" t="str">
        <f t="shared" si="40"/>
        <v>Harlots</v>
      </c>
      <c r="E664" s="1233">
        <f ca="1">VALUE(INDIRECT("Penalties!"&amp;PenaltyData[[#This Row],[REF]]&amp;(PenaltyData[[#This Row],[ROW]]+1)))</f>
        <v>0</v>
      </c>
      <c r="F664" s="1220" t="str">
        <f ca="1">IF(INDIRECT("Penalties!"&amp;$N$29&amp;PenaltyData[[#This Row],[ROW]],TRUE)=0, "",INDIRECT("Penalties!"&amp;$N$29&amp;PenaltyData[[#This Row],[ROW]],TRUE))</f>
        <v/>
      </c>
      <c r="G664" s="1233">
        <f ca="1">COUNTIFS($H$1:H664,"&lt;&gt;0", $F$1:F664,PenaltyData[[#This Row],[PlayerIdx]],$D$1:D664,PenaltyData[[#This Row],[Team]])</f>
        <v>0</v>
      </c>
      <c r="H664" s="1233">
        <f ca="1">INDIRECT("Penalties!"&amp;PenaltyData[[#This Row],[REF]]&amp;PenaltyData[[#This Row],[ROW]])</f>
        <v>0</v>
      </c>
      <c r="I664" s="1233" t="str">
        <f ca="1">IFERROR(VLOOKUP(PenaltyData[[#This Row],[Penalty]],PenaltyNames91419[],2,FALSE),"")</f>
        <v/>
      </c>
      <c r="J664" s="1220" t="s">
        <v>783</v>
      </c>
      <c r="K664" s="1220">
        <f t="shared" si="41"/>
        <v>36</v>
      </c>
      <c r="M664" s="1220"/>
    </row>
    <row r="665" spans="1:13" x14ac:dyDescent="0.25">
      <c r="A665" s="1230">
        <f t="shared" si="42"/>
        <v>42105</v>
      </c>
      <c r="B665" s="1231">
        <f t="shared" si="43"/>
        <v>0.83333333333333337</v>
      </c>
      <c r="C665" s="1220">
        <v>2</v>
      </c>
      <c r="D665" s="1220" t="str">
        <f t="shared" si="40"/>
        <v>Harlots</v>
      </c>
      <c r="E665" s="1233">
        <f ca="1">VALUE(INDIRECT("Penalties!"&amp;PenaltyData[[#This Row],[REF]]&amp;(PenaltyData[[#This Row],[ROW]]+1)))</f>
        <v>0</v>
      </c>
      <c r="F665" s="1220" t="str">
        <f ca="1">IF(INDIRECT("Penalties!"&amp;$N$29&amp;PenaltyData[[#This Row],[ROW]],TRUE)=0, "",INDIRECT("Penalties!"&amp;$N$29&amp;PenaltyData[[#This Row],[ROW]],TRUE))</f>
        <v/>
      </c>
      <c r="G665" s="1233">
        <f ca="1">COUNTIFS($H$1:H665,"&lt;&gt;0", $F$1:F665,PenaltyData[[#This Row],[PlayerIdx]],$D$1:D665,PenaltyData[[#This Row],[Team]])</f>
        <v>0</v>
      </c>
      <c r="H665" s="1233">
        <f ca="1">INDIRECT("Penalties!"&amp;PenaltyData[[#This Row],[REF]]&amp;PenaltyData[[#This Row],[ROW]])</f>
        <v>0</v>
      </c>
      <c r="I665" s="1233" t="str">
        <f ca="1">IFERROR(VLOOKUP(PenaltyData[[#This Row],[Penalty]],PenaltyNames91419[],2,FALSE),"")</f>
        <v/>
      </c>
      <c r="J665" s="1220" t="s">
        <v>784</v>
      </c>
      <c r="K665" s="1220">
        <f t="shared" si="41"/>
        <v>36</v>
      </c>
      <c r="M665" s="1220"/>
    </row>
    <row r="666" spans="1:13" x14ac:dyDescent="0.25">
      <c r="A666" s="1230">
        <f t="shared" si="42"/>
        <v>42105</v>
      </c>
      <c r="B666" s="1231">
        <f t="shared" si="43"/>
        <v>0.83333333333333337</v>
      </c>
      <c r="C666" s="1220">
        <v>2</v>
      </c>
      <c r="D666" s="1220" t="str">
        <f t="shared" si="40"/>
        <v>Harlots</v>
      </c>
      <c r="E666" s="1233">
        <f ca="1">VALUE(INDIRECT("Penalties!"&amp;PenaltyData[[#This Row],[REF]]&amp;(PenaltyData[[#This Row],[ROW]]+1)))</f>
        <v>0</v>
      </c>
      <c r="F666" s="1220" t="str">
        <f ca="1">IF(INDIRECT("Penalties!"&amp;$N$29&amp;PenaltyData[[#This Row],[ROW]],TRUE)=0, "",INDIRECT("Penalties!"&amp;$N$29&amp;PenaltyData[[#This Row],[ROW]],TRUE))</f>
        <v/>
      </c>
      <c r="G666" s="1233">
        <f ca="1">COUNTIFS($H$1:H666,"&lt;&gt;0", $F$1:F666,PenaltyData[[#This Row],[PlayerIdx]],$D$1:D666,PenaltyData[[#This Row],[Team]])</f>
        <v>0</v>
      </c>
      <c r="H666" s="1233">
        <f ca="1">INDIRECT("Penalties!"&amp;PenaltyData[[#This Row],[REF]]&amp;PenaltyData[[#This Row],[ROW]])</f>
        <v>0</v>
      </c>
      <c r="I666" s="1233" t="str">
        <f ca="1">IFERROR(VLOOKUP(PenaltyData[[#This Row],[Penalty]],PenaltyNames91419[],2,FALSE),"")</f>
        <v/>
      </c>
      <c r="J666" s="1220" t="s">
        <v>785</v>
      </c>
      <c r="K666" s="1220">
        <f t="shared" si="41"/>
        <v>36</v>
      </c>
      <c r="M666" s="1220"/>
    </row>
    <row r="667" spans="1:13" x14ac:dyDescent="0.25">
      <c r="A667" s="1230">
        <f t="shared" si="42"/>
        <v>42105</v>
      </c>
      <c r="B667" s="1231">
        <f t="shared" si="43"/>
        <v>0.83333333333333337</v>
      </c>
      <c r="C667" s="1220">
        <v>2</v>
      </c>
      <c r="D667" s="1220" t="str">
        <f t="shared" si="40"/>
        <v>Harlots</v>
      </c>
      <c r="E667" s="1233">
        <f ca="1">VALUE(INDIRECT("Penalties!"&amp;PenaltyData[[#This Row],[REF]]&amp;(PenaltyData[[#This Row],[ROW]]+1)))</f>
        <v>0</v>
      </c>
      <c r="F667" s="1220" t="str">
        <f ca="1">IF(INDIRECT("Penalties!"&amp;$N$29&amp;PenaltyData[[#This Row],[ROW]],TRUE)=0, "",INDIRECT("Penalties!"&amp;$N$29&amp;PenaltyData[[#This Row],[ROW]],TRUE))</f>
        <v/>
      </c>
      <c r="G667" s="1233">
        <f ca="1">COUNTIFS($H$1:H667,"&lt;&gt;0", $F$1:F667,PenaltyData[[#This Row],[PlayerIdx]],$D$1:D667,PenaltyData[[#This Row],[Team]])</f>
        <v>0</v>
      </c>
      <c r="H667" s="1233">
        <f ca="1">INDIRECT("Penalties!"&amp;PenaltyData[[#This Row],[REF]]&amp;PenaltyData[[#This Row],[ROW]])</f>
        <v>0</v>
      </c>
      <c r="I667" s="1233" t="str">
        <f ca="1">IFERROR(VLOOKUP(PenaltyData[[#This Row],[Penalty]],PenaltyNames91419[],2,FALSE),"")</f>
        <v/>
      </c>
      <c r="J667" s="1220" t="s">
        <v>786</v>
      </c>
      <c r="K667" s="1220">
        <f t="shared" si="41"/>
        <v>36</v>
      </c>
      <c r="M667" s="1220"/>
    </row>
    <row r="668" spans="1:13" x14ac:dyDescent="0.25">
      <c r="A668" s="1230">
        <f t="shared" si="42"/>
        <v>42105</v>
      </c>
      <c r="B668" s="1231">
        <f t="shared" si="43"/>
        <v>0.83333333333333337</v>
      </c>
      <c r="C668" s="1220">
        <v>1</v>
      </c>
      <c r="D668" s="1220" t="str">
        <f t="shared" si="40"/>
        <v>Harlots</v>
      </c>
      <c r="E668" s="1233">
        <f ca="1">VALUE(INDIRECT("Penalties!"&amp;PenaltyData[[#This Row],[REF]]&amp;(PenaltyData[[#This Row],[ROW]]+1)))</f>
        <v>0</v>
      </c>
      <c r="F668" s="1220" t="str">
        <f ca="1">IF(INDIRECT("Penalties!"&amp;$N$29&amp;PenaltyData[[#This Row],[ROW]],TRUE)=0, "",INDIRECT("Penalties!"&amp;$N$29&amp;PenaltyData[[#This Row],[ROW]],TRUE))</f>
        <v/>
      </c>
      <c r="G668" s="1233">
        <f ca="1">COUNTIFS($H$1:H668,"&lt;&gt;0", $F$1:F668,PenaltyData[[#This Row],[PlayerIdx]],$D$1:D668,PenaltyData[[#This Row],[Team]])</f>
        <v>0</v>
      </c>
      <c r="H668" s="1233">
        <f ca="1">INDIRECT("Penalties!"&amp;PenaltyData[[#This Row],[REF]]&amp;PenaltyData[[#This Row],[ROW]])</f>
        <v>0</v>
      </c>
      <c r="I668" s="1233" t="str">
        <f ca="1">IFERROR(VLOOKUP(PenaltyData[[#This Row],[Penalty]],PenaltyNames91419[],2,FALSE),"")</f>
        <v/>
      </c>
      <c r="J668" s="1220" t="s">
        <v>771</v>
      </c>
      <c r="K668" s="1220">
        <f t="shared" si="41"/>
        <v>38</v>
      </c>
      <c r="M668" s="1220"/>
    </row>
    <row r="669" spans="1:13" x14ac:dyDescent="0.25">
      <c r="A669" s="1230">
        <f t="shared" si="42"/>
        <v>42105</v>
      </c>
      <c r="B669" s="1231">
        <f t="shared" si="43"/>
        <v>0.83333333333333337</v>
      </c>
      <c r="C669" s="1220">
        <v>1</v>
      </c>
      <c r="D669" s="1220" t="str">
        <f t="shared" si="40"/>
        <v>Harlots</v>
      </c>
      <c r="E669" s="1233">
        <f ca="1">VALUE(INDIRECT("Penalties!"&amp;PenaltyData[[#This Row],[REF]]&amp;(PenaltyData[[#This Row],[ROW]]+1)))</f>
        <v>0</v>
      </c>
      <c r="F669" s="1220" t="str">
        <f ca="1">IF(INDIRECT("Penalties!"&amp;$N$29&amp;PenaltyData[[#This Row],[ROW]],TRUE)=0, "",INDIRECT("Penalties!"&amp;$N$29&amp;PenaltyData[[#This Row],[ROW]],TRUE))</f>
        <v/>
      </c>
      <c r="G669" s="1233">
        <f ca="1">COUNTIFS($H$1:H669,"&lt;&gt;0", $F$1:F669,PenaltyData[[#This Row],[PlayerIdx]],$D$1:D669,PenaltyData[[#This Row],[Team]])</f>
        <v>0</v>
      </c>
      <c r="H669" s="1233">
        <f ca="1">INDIRECT("Penalties!"&amp;PenaltyData[[#This Row],[REF]]&amp;PenaltyData[[#This Row],[ROW]])</f>
        <v>0</v>
      </c>
      <c r="I669" s="1233" t="str">
        <f ca="1">IFERROR(VLOOKUP(PenaltyData[[#This Row],[Penalty]],PenaltyNames91419[],2,FALSE),"")</f>
        <v/>
      </c>
      <c r="J669" s="1220" t="s">
        <v>772</v>
      </c>
      <c r="K669" s="1220">
        <f t="shared" si="41"/>
        <v>38</v>
      </c>
      <c r="M669" s="1220"/>
    </row>
    <row r="670" spans="1:13" x14ac:dyDescent="0.25">
      <c r="A670" s="1230">
        <f t="shared" si="42"/>
        <v>42105</v>
      </c>
      <c r="B670" s="1231">
        <f t="shared" si="43"/>
        <v>0.83333333333333337</v>
      </c>
      <c r="C670" s="1220">
        <v>1</v>
      </c>
      <c r="D670" s="1220" t="str">
        <f t="shared" si="40"/>
        <v>Harlots</v>
      </c>
      <c r="E670" s="1233">
        <f ca="1">VALUE(INDIRECT("Penalties!"&amp;PenaltyData[[#This Row],[REF]]&amp;(PenaltyData[[#This Row],[ROW]]+1)))</f>
        <v>0</v>
      </c>
      <c r="F670" s="1220" t="str">
        <f ca="1">IF(INDIRECT("Penalties!"&amp;$N$29&amp;PenaltyData[[#This Row],[ROW]],TRUE)=0, "",INDIRECT("Penalties!"&amp;$N$29&amp;PenaltyData[[#This Row],[ROW]],TRUE))</f>
        <v/>
      </c>
      <c r="G670" s="1233">
        <f ca="1">COUNTIFS($H$1:H670,"&lt;&gt;0", $F$1:F670,PenaltyData[[#This Row],[PlayerIdx]],$D$1:D670,PenaltyData[[#This Row],[Team]])</f>
        <v>0</v>
      </c>
      <c r="H670" s="1233">
        <f ca="1">INDIRECT("Penalties!"&amp;PenaltyData[[#This Row],[REF]]&amp;PenaltyData[[#This Row],[ROW]])</f>
        <v>0</v>
      </c>
      <c r="I670" s="1233" t="str">
        <f ca="1">IFERROR(VLOOKUP(PenaltyData[[#This Row],[Penalty]],PenaltyNames91419[],2,FALSE),"")</f>
        <v/>
      </c>
      <c r="J670" s="1220" t="s">
        <v>159</v>
      </c>
      <c r="K670" s="1220">
        <f t="shared" si="41"/>
        <v>38</v>
      </c>
      <c r="M670" s="1220"/>
    </row>
    <row r="671" spans="1:13" x14ac:dyDescent="0.25">
      <c r="A671" s="1230">
        <f t="shared" si="42"/>
        <v>42105</v>
      </c>
      <c r="B671" s="1231">
        <f t="shared" si="43"/>
        <v>0.83333333333333337</v>
      </c>
      <c r="C671" s="1220">
        <v>1</v>
      </c>
      <c r="D671" s="1220" t="str">
        <f t="shared" si="40"/>
        <v>Harlots</v>
      </c>
      <c r="E671" s="1233">
        <f ca="1">VALUE(INDIRECT("Penalties!"&amp;PenaltyData[[#This Row],[REF]]&amp;(PenaltyData[[#This Row],[ROW]]+1)))</f>
        <v>0</v>
      </c>
      <c r="F671" s="1220" t="str">
        <f ca="1">IF(INDIRECT("Penalties!"&amp;$N$29&amp;PenaltyData[[#This Row],[ROW]],TRUE)=0, "",INDIRECT("Penalties!"&amp;$N$29&amp;PenaltyData[[#This Row],[ROW]],TRUE))</f>
        <v/>
      </c>
      <c r="G671" s="1233">
        <f ca="1">COUNTIFS($H$1:H671,"&lt;&gt;0", $F$1:F671,PenaltyData[[#This Row],[PlayerIdx]],$D$1:D671,PenaltyData[[#This Row],[Team]])</f>
        <v>0</v>
      </c>
      <c r="H671" s="1233">
        <f ca="1">INDIRECT("Penalties!"&amp;PenaltyData[[#This Row],[REF]]&amp;PenaltyData[[#This Row],[ROW]])</f>
        <v>0</v>
      </c>
      <c r="I671" s="1233" t="str">
        <f ca="1">IFERROR(VLOOKUP(PenaltyData[[#This Row],[Penalty]],PenaltyNames91419[],2,FALSE),"")</f>
        <v/>
      </c>
      <c r="J671" s="1220" t="s">
        <v>773</v>
      </c>
      <c r="K671" s="1220">
        <f t="shared" si="41"/>
        <v>38</v>
      </c>
      <c r="M671" s="1220"/>
    </row>
    <row r="672" spans="1:13" x14ac:dyDescent="0.25">
      <c r="A672" s="1230">
        <f t="shared" si="42"/>
        <v>42105</v>
      </c>
      <c r="B672" s="1231">
        <f t="shared" si="43"/>
        <v>0.83333333333333337</v>
      </c>
      <c r="C672" s="1220">
        <v>1</v>
      </c>
      <c r="D672" s="1220" t="str">
        <f t="shared" si="40"/>
        <v>Harlots</v>
      </c>
      <c r="E672" s="1233">
        <f ca="1">VALUE(INDIRECT("Penalties!"&amp;PenaltyData[[#This Row],[REF]]&amp;(PenaltyData[[#This Row],[ROW]]+1)))</f>
        <v>0</v>
      </c>
      <c r="F672" s="1220" t="str">
        <f ca="1">IF(INDIRECT("Penalties!"&amp;$N$29&amp;PenaltyData[[#This Row],[ROW]],TRUE)=0, "",INDIRECT("Penalties!"&amp;$N$29&amp;PenaltyData[[#This Row],[ROW]],TRUE))</f>
        <v/>
      </c>
      <c r="G672" s="1233">
        <f ca="1">COUNTIFS($H$1:H672,"&lt;&gt;0", $F$1:F672,PenaltyData[[#This Row],[PlayerIdx]],$D$1:D672,PenaltyData[[#This Row],[Team]])</f>
        <v>0</v>
      </c>
      <c r="H672" s="1233">
        <f ca="1">INDIRECT("Penalties!"&amp;PenaltyData[[#This Row],[REF]]&amp;PenaltyData[[#This Row],[ROW]])</f>
        <v>0</v>
      </c>
      <c r="I672" s="1233" t="str">
        <f ca="1">IFERROR(VLOOKUP(PenaltyData[[#This Row],[Penalty]],PenaltyNames91419[],2,FALSE),"")</f>
        <v/>
      </c>
      <c r="J672" s="1220" t="s">
        <v>774</v>
      </c>
      <c r="K672" s="1220">
        <f t="shared" si="41"/>
        <v>38</v>
      </c>
      <c r="M672" s="1220"/>
    </row>
    <row r="673" spans="1:13" x14ac:dyDescent="0.25">
      <c r="A673" s="1230">
        <f t="shared" si="42"/>
        <v>42105</v>
      </c>
      <c r="B673" s="1231">
        <f t="shared" si="43"/>
        <v>0.83333333333333337</v>
      </c>
      <c r="C673" s="1220">
        <v>1</v>
      </c>
      <c r="D673" s="1220" t="str">
        <f t="shared" si="40"/>
        <v>Harlots</v>
      </c>
      <c r="E673" s="1233">
        <f ca="1">VALUE(INDIRECT("Penalties!"&amp;PenaltyData[[#This Row],[REF]]&amp;(PenaltyData[[#This Row],[ROW]]+1)))</f>
        <v>0</v>
      </c>
      <c r="F673" s="1220" t="str">
        <f ca="1">IF(INDIRECT("Penalties!"&amp;$N$29&amp;PenaltyData[[#This Row],[ROW]],TRUE)=0, "",INDIRECT("Penalties!"&amp;$N$29&amp;PenaltyData[[#This Row],[ROW]],TRUE))</f>
        <v/>
      </c>
      <c r="G673" s="1233">
        <f ca="1">COUNTIFS($H$1:H673,"&lt;&gt;0", $F$1:F673,PenaltyData[[#This Row],[PlayerIdx]],$D$1:D673,PenaltyData[[#This Row],[Team]])</f>
        <v>0</v>
      </c>
      <c r="H673" s="1233">
        <f ca="1">INDIRECT("Penalties!"&amp;PenaltyData[[#This Row],[REF]]&amp;PenaltyData[[#This Row],[ROW]])</f>
        <v>0</v>
      </c>
      <c r="I673" s="1233" t="str">
        <f ca="1">IFERROR(VLOOKUP(PenaltyData[[#This Row],[Penalty]],PenaltyNames91419[],2,FALSE),"")</f>
        <v/>
      </c>
      <c r="J673" s="1220" t="s">
        <v>775</v>
      </c>
      <c r="K673" s="1220">
        <f t="shared" si="41"/>
        <v>38</v>
      </c>
      <c r="M673" s="1220"/>
    </row>
    <row r="674" spans="1:13" x14ac:dyDescent="0.25">
      <c r="A674" s="1230">
        <f t="shared" si="42"/>
        <v>42105</v>
      </c>
      <c r="B674" s="1231">
        <f t="shared" si="43"/>
        <v>0.83333333333333337</v>
      </c>
      <c r="C674" s="1220">
        <v>1</v>
      </c>
      <c r="D674" s="1220" t="str">
        <f t="shared" si="40"/>
        <v>Harlots</v>
      </c>
      <c r="E674" s="1233">
        <f ca="1">VALUE(INDIRECT("Penalties!"&amp;PenaltyData[[#This Row],[REF]]&amp;(PenaltyData[[#This Row],[ROW]]+1)))</f>
        <v>0</v>
      </c>
      <c r="F674" s="1220" t="str">
        <f ca="1">IF(INDIRECT("Penalties!"&amp;$N$29&amp;PenaltyData[[#This Row],[ROW]],TRUE)=0, "",INDIRECT("Penalties!"&amp;$N$29&amp;PenaltyData[[#This Row],[ROW]],TRUE))</f>
        <v/>
      </c>
      <c r="G674" s="1233">
        <f ca="1">COUNTIFS($H$1:H674,"&lt;&gt;0", $F$1:F674,PenaltyData[[#This Row],[PlayerIdx]],$D$1:D674,PenaltyData[[#This Row],[Team]])</f>
        <v>0</v>
      </c>
      <c r="H674" s="1233">
        <f ca="1">INDIRECT("Penalties!"&amp;PenaltyData[[#This Row],[REF]]&amp;PenaltyData[[#This Row],[ROW]])</f>
        <v>0</v>
      </c>
      <c r="I674" s="1233" t="str">
        <f ca="1">IFERROR(VLOOKUP(PenaltyData[[#This Row],[Penalty]],PenaltyNames91419[],2,FALSE),"")</f>
        <v/>
      </c>
      <c r="J674" s="1220" t="s">
        <v>776</v>
      </c>
      <c r="K674" s="1220">
        <f t="shared" si="41"/>
        <v>38</v>
      </c>
      <c r="M674" s="1220"/>
    </row>
    <row r="675" spans="1:13" x14ac:dyDescent="0.25">
      <c r="A675" s="1230">
        <f t="shared" si="42"/>
        <v>42105</v>
      </c>
      <c r="B675" s="1231">
        <f t="shared" si="43"/>
        <v>0.83333333333333337</v>
      </c>
      <c r="C675" s="1220">
        <v>1</v>
      </c>
      <c r="D675" s="1220" t="str">
        <f t="shared" si="40"/>
        <v>Harlots</v>
      </c>
      <c r="E675" s="1233">
        <f ca="1">VALUE(INDIRECT("Penalties!"&amp;PenaltyData[[#This Row],[REF]]&amp;(PenaltyData[[#This Row],[ROW]]+1)))</f>
        <v>0</v>
      </c>
      <c r="F675" s="1220" t="str">
        <f ca="1">IF(INDIRECT("Penalties!"&amp;$N$29&amp;PenaltyData[[#This Row],[ROW]],TRUE)=0, "",INDIRECT("Penalties!"&amp;$N$29&amp;PenaltyData[[#This Row],[ROW]],TRUE))</f>
        <v/>
      </c>
      <c r="G675" s="1233">
        <f ca="1">COUNTIFS($H$1:H675,"&lt;&gt;0", $F$1:F675,PenaltyData[[#This Row],[PlayerIdx]],$D$1:D675,PenaltyData[[#This Row],[Team]])</f>
        <v>0</v>
      </c>
      <c r="H675" s="1233">
        <f ca="1">INDIRECT("Penalties!"&amp;PenaltyData[[#This Row],[REF]]&amp;PenaltyData[[#This Row],[ROW]])</f>
        <v>0</v>
      </c>
      <c r="I675" s="1233" t="str">
        <f ca="1">IFERROR(VLOOKUP(PenaltyData[[#This Row],[Penalty]],PenaltyNames91419[],2,FALSE),"")</f>
        <v/>
      </c>
      <c r="J675" s="1220" t="s">
        <v>140</v>
      </c>
      <c r="K675" s="1220">
        <f t="shared" si="41"/>
        <v>38</v>
      </c>
      <c r="M675" s="1220"/>
    </row>
    <row r="676" spans="1:13" x14ac:dyDescent="0.25">
      <c r="A676" s="1230">
        <f t="shared" si="42"/>
        <v>42105</v>
      </c>
      <c r="B676" s="1231">
        <f t="shared" si="43"/>
        <v>0.83333333333333337</v>
      </c>
      <c r="C676" s="1220">
        <v>1</v>
      </c>
      <c r="D676" s="1220" t="str">
        <f t="shared" si="40"/>
        <v>Harlots</v>
      </c>
      <c r="E676" s="1233">
        <f ca="1">VALUE(INDIRECT("Penalties!"&amp;PenaltyData[[#This Row],[REF]]&amp;(PenaltyData[[#This Row],[ROW]]+1)))</f>
        <v>0</v>
      </c>
      <c r="F676" s="1220" t="str">
        <f ca="1">IF(INDIRECT("Penalties!"&amp;$N$29&amp;PenaltyData[[#This Row],[ROW]],TRUE)=0, "",INDIRECT("Penalties!"&amp;$N$29&amp;PenaltyData[[#This Row],[ROW]],TRUE))</f>
        <v/>
      </c>
      <c r="G676" s="1233">
        <f ca="1">COUNTIFS($H$1:H676,"&lt;&gt;0", $F$1:F676,PenaltyData[[#This Row],[PlayerIdx]],$D$1:D676,PenaltyData[[#This Row],[Team]])</f>
        <v>0</v>
      </c>
      <c r="H676" s="1233">
        <f ca="1">INDIRECT("Penalties!"&amp;PenaltyData[[#This Row],[REF]]&amp;PenaltyData[[#This Row],[ROW]])</f>
        <v>0</v>
      </c>
      <c r="I676" s="1233" t="str">
        <f ca="1">IFERROR(VLOOKUP(PenaltyData[[#This Row],[Penalty]],PenaltyNames91419[],2,FALSE),"")</f>
        <v/>
      </c>
      <c r="J676" s="1220" t="s">
        <v>777</v>
      </c>
      <c r="K676" s="1220">
        <f t="shared" si="41"/>
        <v>38</v>
      </c>
      <c r="M676" s="1220"/>
    </row>
    <row r="677" spans="1:13" x14ac:dyDescent="0.25">
      <c r="A677" s="1230">
        <f t="shared" si="42"/>
        <v>42105</v>
      </c>
      <c r="B677" s="1231">
        <f t="shared" si="43"/>
        <v>0.83333333333333337</v>
      </c>
      <c r="C677" s="1220">
        <v>2</v>
      </c>
      <c r="D677" s="1220" t="str">
        <f t="shared" si="40"/>
        <v>Harlots</v>
      </c>
      <c r="E677" s="1233">
        <f ca="1">VALUE(INDIRECT("Penalties!"&amp;PenaltyData[[#This Row],[REF]]&amp;(PenaltyData[[#This Row],[ROW]]+1)))</f>
        <v>0</v>
      </c>
      <c r="F677" s="1220" t="str">
        <f ca="1">IF(INDIRECT("Penalties!"&amp;$N$29&amp;PenaltyData[[#This Row],[ROW]],TRUE)=0, "",INDIRECT("Penalties!"&amp;$N$29&amp;PenaltyData[[#This Row],[ROW]],TRUE))</f>
        <v/>
      </c>
      <c r="G677" s="1233">
        <f ca="1">COUNTIFS($H$1:H677,"&lt;&gt;0", $F$1:F677,PenaltyData[[#This Row],[PlayerIdx]],$D$1:D677,PenaltyData[[#This Row],[Team]])</f>
        <v>0</v>
      </c>
      <c r="H677" s="1233">
        <f ca="1">INDIRECT("Penalties!"&amp;PenaltyData[[#This Row],[REF]]&amp;PenaltyData[[#This Row],[ROW]])</f>
        <v>0</v>
      </c>
      <c r="I677" s="1233" t="str">
        <f ca="1">IFERROR(VLOOKUP(PenaltyData[[#This Row],[Penalty]],PenaltyNames91419[],2,FALSE),"")</f>
        <v/>
      </c>
      <c r="J677" s="1220" t="s">
        <v>778</v>
      </c>
      <c r="K677" s="1220">
        <f t="shared" si="41"/>
        <v>38</v>
      </c>
      <c r="M677" s="1220"/>
    </row>
    <row r="678" spans="1:13" x14ac:dyDescent="0.25">
      <c r="A678" s="1230">
        <f t="shared" si="42"/>
        <v>42105</v>
      </c>
      <c r="B678" s="1231">
        <f t="shared" si="43"/>
        <v>0.83333333333333337</v>
      </c>
      <c r="C678" s="1220">
        <v>2</v>
      </c>
      <c r="D678" s="1220" t="str">
        <f t="shared" si="40"/>
        <v>Harlots</v>
      </c>
      <c r="E678" s="1233">
        <f ca="1">VALUE(INDIRECT("Penalties!"&amp;PenaltyData[[#This Row],[REF]]&amp;(PenaltyData[[#This Row],[ROW]]+1)))</f>
        <v>0</v>
      </c>
      <c r="F678" s="1220" t="str">
        <f ca="1">IF(INDIRECT("Penalties!"&amp;$N$29&amp;PenaltyData[[#This Row],[ROW]],TRUE)=0, "",INDIRECT("Penalties!"&amp;$N$29&amp;PenaltyData[[#This Row],[ROW]],TRUE))</f>
        <v/>
      </c>
      <c r="G678" s="1233">
        <f ca="1">COUNTIFS($H$1:H678,"&lt;&gt;0", $F$1:F678,PenaltyData[[#This Row],[PlayerIdx]],$D$1:D678,PenaltyData[[#This Row],[Team]])</f>
        <v>0</v>
      </c>
      <c r="H678" s="1233">
        <f ca="1">INDIRECT("Penalties!"&amp;PenaltyData[[#This Row],[REF]]&amp;PenaltyData[[#This Row],[ROW]])</f>
        <v>0</v>
      </c>
      <c r="I678" s="1233" t="str">
        <f ca="1">IFERROR(VLOOKUP(PenaltyData[[#This Row],[Penalty]],PenaltyNames91419[],2,FALSE),"")</f>
        <v/>
      </c>
      <c r="J678" s="1220" t="s">
        <v>779</v>
      </c>
      <c r="K678" s="1220">
        <f t="shared" si="41"/>
        <v>38</v>
      </c>
      <c r="M678" s="1220"/>
    </row>
    <row r="679" spans="1:13" x14ac:dyDescent="0.25">
      <c r="A679" s="1230">
        <f t="shared" si="42"/>
        <v>42105</v>
      </c>
      <c r="B679" s="1231">
        <f t="shared" si="43"/>
        <v>0.83333333333333337</v>
      </c>
      <c r="C679" s="1220">
        <v>2</v>
      </c>
      <c r="D679" s="1220" t="str">
        <f t="shared" si="40"/>
        <v>Harlots</v>
      </c>
      <c r="E679" s="1233">
        <f ca="1">VALUE(INDIRECT("Penalties!"&amp;PenaltyData[[#This Row],[REF]]&amp;(PenaltyData[[#This Row],[ROW]]+1)))</f>
        <v>0</v>
      </c>
      <c r="F679" s="1220" t="str">
        <f ca="1">IF(INDIRECT("Penalties!"&amp;$N$29&amp;PenaltyData[[#This Row],[ROW]],TRUE)=0, "",INDIRECT("Penalties!"&amp;$N$29&amp;PenaltyData[[#This Row],[ROW]],TRUE))</f>
        <v/>
      </c>
      <c r="G679" s="1233">
        <f ca="1">COUNTIFS($H$1:H679,"&lt;&gt;0", $F$1:F679,PenaltyData[[#This Row],[PlayerIdx]],$D$1:D679,PenaltyData[[#This Row],[Team]])</f>
        <v>0</v>
      </c>
      <c r="H679" s="1233">
        <f ca="1">INDIRECT("Penalties!"&amp;PenaltyData[[#This Row],[REF]]&amp;PenaltyData[[#This Row],[ROW]])</f>
        <v>0</v>
      </c>
      <c r="I679" s="1233" t="str">
        <f ca="1">IFERROR(VLOOKUP(PenaltyData[[#This Row],[Penalty]],PenaltyNames91419[],2,FALSE),"")</f>
        <v/>
      </c>
      <c r="J679" s="1220" t="s">
        <v>780</v>
      </c>
      <c r="K679" s="1220">
        <f t="shared" si="41"/>
        <v>38</v>
      </c>
      <c r="M679" s="1220"/>
    </row>
    <row r="680" spans="1:13" x14ac:dyDescent="0.25">
      <c r="A680" s="1230">
        <f t="shared" si="42"/>
        <v>42105</v>
      </c>
      <c r="B680" s="1231">
        <f t="shared" si="43"/>
        <v>0.83333333333333337</v>
      </c>
      <c r="C680" s="1220">
        <v>2</v>
      </c>
      <c r="D680" s="1220" t="str">
        <f t="shared" si="40"/>
        <v>Harlots</v>
      </c>
      <c r="E680" s="1233">
        <f ca="1">VALUE(INDIRECT("Penalties!"&amp;PenaltyData[[#This Row],[REF]]&amp;(PenaltyData[[#This Row],[ROW]]+1)))</f>
        <v>0</v>
      </c>
      <c r="F680" s="1220" t="str">
        <f ca="1">IF(INDIRECT("Penalties!"&amp;$N$29&amp;PenaltyData[[#This Row],[ROW]],TRUE)=0, "",INDIRECT("Penalties!"&amp;$N$29&amp;PenaltyData[[#This Row],[ROW]],TRUE))</f>
        <v/>
      </c>
      <c r="G680" s="1233">
        <f ca="1">COUNTIFS($H$1:H680,"&lt;&gt;0", $F$1:F680,PenaltyData[[#This Row],[PlayerIdx]],$D$1:D680,PenaltyData[[#This Row],[Team]])</f>
        <v>0</v>
      </c>
      <c r="H680" s="1233">
        <f ca="1">INDIRECT("Penalties!"&amp;PenaltyData[[#This Row],[REF]]&amp;PenaltyData[[#This Row],[ROW]])</f>
        <v>0</v>
      </c>
      <c r="I680" s="1233" t="str">
        <f ca="1">IFERROR(VLOOKUP(PenaltyData[[#This Row],[Penalty]],PenaltyNames91419[],2,FALSE),"")</f>
        <v/>
      </c>
      <c r="J680" s="1220" t="s">
        <v>781</v>
      </c>
      <c r="K680" s="1220">
        <f t="shared" si="41"/>
        <v>38</v>
      </c>
      <c r="M680" s="1220"/>
    </row>
    <row r="681" spans="1:13" x14ac:dyDescent="0.25">
      <c r="A681" s="1230">
        <f t="shared" si="42"/>
        <v>42105</v>
      </c>
      <c r="B681" s="1231">
        <f t="shared" si="43"/>
        <v>0.83333333333333337</v>
      </c>
      <c r="C681" s="1220">
        <v>2</v>
      </c>
      <c r="D681" s="1220" t="str">
        <f t="shared" si="40"/>
        <v>Harlots</v>
      </c>
      <c r="E681" s="1233">
        <f ca="1">VALUE(INDIRECT("Penalties!"&amp;PenaltyData[[#This Row],[REF]]&amp;(PenaltyData[[#This Row],[ROW]]+1)))</f>
        <v>0</v>
      </c>
      <c r="F681" s="1220" t="str">
        <f ca="1">IF(INDIRECT("Penalties!"&amp;$N$29&amp;PenaltyData[[#This Row],[ROW]],TRUE)=0, "",INDIRECT("Penalties!"&amp;$N$29&amp;PenaltyData[[#This Row],[ROW]],TRUE))</f>
        <v/>
      </c>
      <c r="G681" s="1233">
        <f ca="1">COUNTIFS($H$1:H681,"&lt;&gt;0", $F$1:F681,PenaltyData[[#This Row],[PlayerIdx]],$D$1:D681,PenaltyData[[#This Row],[Team]])</f>
        <v>0</v>
      </c>
      <c r="H681" s="1233">
        <f ca="1">INDIRECT("Penalties!"&amp;PenaltyData[[#This Row],[REF]]&amp;PenaltyData[[#This Row],[ROW]])</f>
        <v>0</v>
      </c>
      <c r="I681" s="1233" t="str">
        <f ca="1">IFERROR(VLOOKUP(PenaltyData[[#This Row],[Penalty]],PenaltyNames91419[],2,FALSE),"")</f>
        <v/>
      </c>
      <c r="J681" s="1220" t="s">
        <v>782</v>
      </c>
      <c r="K681" s="1220">
        <f t="shared" si="41"/>
        <v>38</v>
      </c>
      <c r="M681" s="1220"/>
    </row>
    <row r="682" spans="1:13" x14ac:dyDescent="0.25">
      <c r="A682" s="1230">
        <f t="shared" si="42"/>
        <v>42105</v>
      </c>
      <c r="B682" s="1231">
        <f t="shared" si="43"/>
        <v>0.83333333333333337</v>
      </c>
      <c r="C682" s="1220">
        <v>2</v>
      </c>
      <c r="D682" s="1220" t="str">
        <f t="shared" si="40"/>
        <v>Harlots</v>
      </c>
      <c r="E682" s="1233">
        <f ca="1">VALUE(INDIRECT("Penalties!"&amp;PenaltyData[[#This Row],[REF]]&amp;(PenaltyData[[#This Row],[ROW]]+1)))</f>
        <v>0</v>
      </c>
      <c r="F682" s="1220" t="str">
        <f ca="1">IF(INDIRECT("Penalties!"&amp;$N$29&amp;PenaltyData[[#This Row],[ROW]],TRUE)=0, "",INDIRECT("Penalties!"&amp;$N$29&amp;PenaltyData[[#This Row],[ROW]],TRUE))</f>
        <v/>
      </c>
      <c r="G682" s="1233">
        <f ca="1">COUNTIFS($H$1:H682,"&lt;&gt;0", $F$1:F682,PenaltyData[[#This Row],[PlayerIdx]],$D$1:D682,PenaltyData[[#This Row],[Team]])</f>
        <v>0</v>
      </c>
      <c r="H682" s="1233">
        <f ca="1">INDIRECT("Penalties!"&amp;PenaltyData[[#This Row],[REF]]&amp;PenaltyData[[#This Row],[ROW]])</f>
        <v>0</v>
      </c>
      <c r="I682" s="1233" t="str">
        <f ca="1">IFERROR(VLOOKUP(PenaltyData[[#This Row],[Penalty]],PenaltyNames91419[],2,FALSE),"")</f>
        <v/>
      </c>
      <c r="J682" s="1220" t="s">
        <v>783</v>
      </c>
      <c r="K682" s="1220">
        <f t="shared" si="41"/>
        <v>38</v>
      </c>
      <c r="M682" s="1220"/>
    </row>
    <row r="683" spans="1:13" x14ac:dyDescent="0.25">
      <c r="A683" s="1230">
        <f t="shared" si="42"/>
        <v>42105</v>
      </c>
      <c r="B683" s="1231">
        <f t="shared" si="43"/>
        <v>0.83333333333333337</v>
      </c>
      <c r="C683" s="1220">
        <v>2</v>
      </c>
      <c r="D683" s="1220" t="str">
        <f t="shared" ref="D683:D721" si="44">$O$3</f>
        <v>Harlots</v>
      </c>
      <c r="E683" s="1233">
        <f ca="1">VALUE(INDIRECT("Penalties!"&amp;PenaltyData[[#This Row],[REF]]&amp;(PenaltyData[[#This Row],[ROW]]+1)))</f>
        <v>0</v>
      </c>
      <c r="F683" s="1220" t="str">
        <f ca="1">IF(INDIRECT("Penalties!"&amp;$N$29&amp;PenaltyData[[#This Row],[ROW]],TRUE)=0, "",INDIRECT("Penalties!"&amp;$N$29&amp;PenaltyData[[#This Row],[ROW]],TRUE))</f>
        <v/>
      </c>
      <c r="G683" s="1233">
        <f ca="1">COUNTIFS($H$1:H683,"&lt;&gt;0", $F$1:F683,PenaltyData[[#This Row],[PlayerIdx]],$D$1:D683,PenaltyData[[#This Row],[Team]])</f>
        <v>0</v>
      </c>
      <c r="H683" s="1233">
        <f ca="1">INDIRECT("Penalties!"&amp;PenaltyData[[#This Row],[REF]]&amp;PenaltyData[[#This Row],[ROW]])</f>
        <v>0</v>
      </c>
      <c r="I683" s="1233" t="str">
        <f ca="1">IFERROR(VLOOKUP(PenaltyData[[#This Row],[Penalty]],PenaltyNames91419[],2,FALSE),"")</f>
        <v/>
      </c>
      <c r="J683" s="1220" t="s">
        <v>784</v>
      </c>
      <c r="K683" s="1220">
        <f t="shared" si="41"/>
        <v>38</v>
      </c>
      <c r="M683" s="1220"/>
    </row>
    <row r="684" spans="1:13" x14ac:dyDescent="0.25">
      <c r="A684" s="1230">
        <f t="shared" si="42"/>
        <v>42105</v>
      </c>
      <c r="B684" s="1231">
        <f t="shared" si="43"/>
        <v>0.83333333333333337</v>
      </c>
      <c r="C684" s="1220">
        <v>2</v>
      </c>
      <c r="D684" s="1220" t="str">
        <f t="shared" si="44"/>
        <v>Harlots</v>
      </c>
      <c r="E684" s="1233">
        <f ca="1">VALUE(INDIRECT("Penalties!"&amp;PenaltyData[[#This Row],[REF]]&amp;(PenaltyData[[#This Row],[ROW]]+1)))</f>
        <v>0</v>
      </c>
      <c r="F684" s="1220" t="str">
        <f ca="1">IF(INDIRECT("Penalties!"&amp;$N$29&amp;PenaltyData[[#This Row],[ROW]],TRUE)=0, "",INDIRECT("Penalties!"&amp;$N$29&amp;PenaltyData[[#This Row],[ROW]],TRUE))</f>
        <v/>
      </c>
      <c r="G684" s="1233">
        <f ca="1">COUNTIFS($H$1:H684,"&lt;&gt;0", $F$1:F684,PenaltyData[[#This Row],[PlayerIdx]],$D$1:D684,PenaltyData[[#This Row],[Team]])</f>
        <v>0</v>
      </c>
      <c r="H684" s="1233">
        <f ca="1">INDIRECT("Penalties!"&amp;PenaltyData[[#This Row],[REF]]&amp;PenaltyData[[#This Row],[ROW]])</f>
        <v>0</v>
      </c>
      <c r="I684" s="1233" t="str">
        <f ca="1">IFERROR(VLOOKUP(PenaltyData[[#This Row],[Penalty]],PenaltyNames91419[],2,FALSE),"")</f>
        <v/>
      </c>
      <c r="J684" s="1220" t="s">
        <v>785</v>
      </c>
      <c r="K684" s="1220">
        <f t="shared" si="41"/>
        <v>38</v>
      </c>
      <c r="M684" s="1220"/>
    </row>
    <row r="685" spans="1:13" x14ac:dyDescent="0.25">
      <c r="A685" s="1230">
        <f t="shared" si="42"/>
        <v>42105</v>
      </c>
      <c r="B685" s="1231">
        <f t="shared" si="43"/>
        <v>0.83333333333333337</v>
      </c>
      <c r="C685" s="1220">
        <v>2</v>
      </c>
      <c r="D685" s="1220" t="str">
        <f t="shared" si="44"/>
        <v>Harlots</v>
      </c>
      <c r="E685" s="1233">
        <f ca="1">VALUE(INDIRECT("Penalties!"&amp;PenaltyData[[#This Row],[REF]]&amp;(PenaltyData[[#This Row],[ROW]]+1)))</f>
        <v>0</v>
      </c>
      <c r="F685" s="1220" t="str">
        <f ca="1">IF(INDIRECT("Penalties!"&amp;$N$29&amp;PenaltyData[[#This Row],[ROW]],TRUE)=0, "",INDIRECT("Penalties!"&amp;$N$29&amp;PenaltyData[[#This Row],[ROW]],TRUE))</f>
        <v/>
      </c>
      <c r="G685" s="1233">
        <f ca="1">COUNTIFS($H$1:H685,"&lt;&gt;0", $F$1:F685,PenaltyData[[#This Row],[PlayerIdx]],$D$1:D685,PenaltyData[[#This Row],[Team]])</f>
        <v>0</v>
      </c>
      <c r="H685" s="1233">
        <f ca="1">INDIRECT("Penalties!"&amp;PenaltyData[[#This Row],[REF]]&amp;PenaltyData[[#This Row],[ROW]])</f>
        <v>0</v>
      </c>
      <c r="I685" s="1233" t="str">
        <f ca="1">IFERROR(VLOOKUP(PenaltyData[[#This Row],[Penalty]],PenaltyNames91419[],2,FALSE),"")</f>
        <v/>
      </c>
      <c r="J685" s="1220" t="s">
        <v>786</v>
      </c>
      <c r="K685" s="1220">
        <f t="shared" si="41"/>
        <v>38</v>
      </c>
      <c r="M685" s="1220"/>
    </row>
    <row r="686" spans="1:13" x14ac:dyDescent="0.25">
      <c r="A686" s="1230">
        <f t="shared" si="42"/>
        <v>42105</v>
      </c>
      <c r="B686" s="1231">
        <f t="shared" si="43"/>
        <v>0.83333333333333337</v>
      </c>
      <c r="C686" s="1220">
        <v>1</v>
      </c>
      <c r="D686" s="1220" t="str">
        <f t="shared" si="44"/>
        <v>Harlots</v>
      </c>
      <c r="E686" s="1233">
        <f ca="1">VALUE(INDIRECT("Penalties!"&amp;PenaltyData[[#This Row],[REF]]&amp;(PenaltyData[[#This Row],[ROW]]+1)))</f>
        <v>0</v>
      </c>
      <c r="F686" s="1220" t="str">
        <f ca="1">IF(INDIRECT("Penalties!"&amp;$N$29&amp;PenaltyData[[#This Row],[ROW]],TRUE)=0, "",INDIRECT("Penalties!"&amp;$N$29&amp;PenaltyData[[#This Row],[ROW]],TRUE))</f>
        <v/>
      </c>
      <c r="G686" s="1233">
        <f ca="1">COUNTIFS($H$1:H686,"&lt;&gt;0", $F$1:F686,PenaltyData[[#This Row],[PlayerIdx]],$D$1:D686,PenaltyData[[#This Row],[Team]])</f>
        <v>0</v>
      </c>
      <c r="H686" s="1233">
        <f ca="1">INDIRECT("Penalties!"&amp;PenaltyData[[#This Row],[REF]]&amp;PenaltyData[[#This Row],[ROW]])</f>
        <v>0</v>
      </c>
      <c r="I686" s="1233" t="str">
        <f ca="1">IFERROR(VLOOKUP(PenaltyData[[#This Row],[Penalty]],PenaltyNames91419[],2,FALSE),"")</f>
        <v/>
      </c>
      <c r="J686" s="1220" t="s">
        <v>771</v>
      </c>
      <c r="K686" s="1220">
        <f t="shared" si="41"/>
        <v>40</v>
      </c>
      <c r="M686" s="1220"/>
    </row>
    <row r="687" spans="1:13" x14ac:dyDescent="0.25">
      <c r="A687" s="1230">
        <f t="shared" si="42"/>
        <v>42105</v>
      </c>
      <c r="B687" s="1231">
        <f t="shared" si="43"/>
        <v>0.83333333333333337</v>
      </c>
      <c r="C687" s="1220">
        <v>1</v>
      </c>
      <c r="D687" s="1220" t="str">
        <f t="shared" si="44"/>
        <v>Harlots</v>
      </c>
      <c r="E687" s="1233">
        <f ca="1">VALUE(INDIRECT("Penalties!"&amp;PenaltyData[[#This Row],[REF]]&amp;(PenaltyData[[#This Row],[ROW]]+1)))</f>
        <v>0</v>
      </c>
      <c r="F687" s="1220" t="str">
        <f ca="1">IF(INDIRECT("Penalties!"&amp;$N$29&amp;PenaltyData[[#This Row],[ROW]],TRUE)=0, "",INDIRECT("Penalties!"&amp;$N$29&amp;PenaltyData[[#This Row],[ROW]],TRUE))</f>
        <v/>
      </c>
      <c r="G687" s="1233">
        <f ca="1">COUNTIFS($H$1:H687,"&lt;&gt;0", $F$1:F687,PenaltyData[[#This Row],[PlayerIdx]],$D$1:D687,PenaltyData[[#This Row],[Team]])</f>
        <v>0</v>
      </c>
      <c r="H687" s="1233">
        <f ca="1">INDIRECT("Penalties!"&amp;PenaltyData[[#This Row],[REF]]&amp;PenaltyData[[#This Row],[ROW]])</f>
        <v>0</v>
      </c>
      <c r="I687" s="1233" t="str">
        <f ca="1">IFERROR(VLOOKUP(PenaltyData[[#This Row],[Penalty]],PenaltyNames91419[],2,FALSE),"")</f>
        <v/>
      </c>
      <c r="J687" s="1220" t="s">
        <v>772</v>
      </c>
      <c r="K687" s="1220">
        <f t="shared" si="41"/>
        <v>40</v>
      </c>
      <c r="M687" s="1220"/>
    </row>
    <row r="688" spans="1:13" x14ac:dyDescent="0.25">
      <c r="A688" s="1230">
        <f t="shared" si="42"/>
        <v>42105</v>
      </c>
      <c r="B688" s="1231">
        <f t="shared" si="43"/>
        <v>0.83333333333333337</v>
      </c>
      <c r="C688" s="1220">
        <v>1</v>
      </c>
      <c r="D688" s="1220" t="str">
        <f t="shared" si="44"/>
        <v>Harlots</v>
      </c>
      <c r="E688" s="1233">
        <f ca="1">VALUE(INDIRECT("Penalties!"&amp;PenaltyData[[#This Row],[REF]]&amp;(PenaltyData[[#This Row],[ROW]]+1)))</f>
        <v>0</v>
      </c>
      <c r="F688" s="1220" t="str">
        <f ca="1">IF(INDIRECT("Penalties!"&amp;$N$29&amp;PenaltyData[[#This Row],[ROW]],TRUE)=0, "",INDIRECT("Penalties!"&amp;$N$29&amp;PenaltyData[[#This Row],[ROW]],TRUE))</f>
        <v/>
      </c>
      <c r="G688" s="1233">
        <f ca="1">COUNTIFS($H$1:H688,"&lt;&gt;0", $F$1:F688,PenaltyData[[#This Row],[PlayerIdx]],$D$1:D688,PenaltyData[[#This Row],[Team]])</f>
        <v>0</v>
      </c>
      <c r="H688" s="1233">
        <f ca="1">INDIRECT("Penalties!"&amp;PenaltyData[[#This Row],[REF]]&amp;PenaltyData[[#This Row],[ROW]])</f>
        <v>0</v>
      </c>
      <c r="I688" s="1233" t="str">
        <f ca="1">IFERROR(VLOOKUP(PenaltyData[[#This Row],[Penalty]],PenaltyNames91419[],2,FALSE),"")</f>
        <v/>
      </c>
      <c r="J688" s="1220" t="s">
        <v>159</v>
      </c>
      <c r="K688" s="1220">
        <f t="shared" si="41"/>
        <v>40</v>
      </c>
      <c r="M688" s="1220"/>
    </row>
    <row r="689" spans="1:13" x14ac:dyDescent="0.25">
      <c r="A689" s="1230">
        <f t="shared" si="42"/>
        <v>42105</v>
      </c>
      <c r="B689" s="1231">
        <f t="shared" si="43"/>
        <v>0.83333333333333337</v>
      </c>
      <c r="C689" s="1220">
        <v>1</v>
      </c>
      <c r="D689" s="1220" t="str">
        <f t="shared" si="44"/>
        <v>Harlots</v>
      </c>
      <c r="E689" s="1233">
        <f ca="1">VALUE(INDIRECT("Penalties!"&amp;PenaltyData[[#This Row],[REF]]&amp;(PenaltyData[[#This Row],[ROW]]+1)))</f>
        <v>0</v>
      </c>
      <c r="F689" s="1220" t="str">
        <f ca="1">IF(INDIRECT("Penalties!"&amp;$N$29&amp;PenaltyData[[#This Row],[ROW]],TRUE)=0, "",INDIRECT("Penalties!"&amp;$N$29&amp;PenaltyData[[#This Row],[ROW]],TRUE))</f>
        <v/>
      </c>
      <c r="G689" s="1233">
        <f ca="1">COUNTIFS($H$1:H689,"&lt;&gt;0", $F$1:F689,PenaltyData[[#This Row],[PlayerIdx]],$D$1:D689,PenaltyData[[#This Row],[Team]])</f>
        <v>0</v>
      </c>
      <c r="H689" s="1233">
        <f ca="1">INDIRECT("Penalties!"&amp;PenaltyData[[#This Row],[REF]]&amp;PenaltyData[[#This Row],[ROW]])</f>
        <v>0</v>
      </c>
      <c r="I689" s="1233" t="str">
        <f ca="1">IFERROR(VLOOKUP(PenaltyData[[#This Row],[Penalty]],PenaltyNames91419[],2,FALSE),"")</f>
        <v/>
      </c>
      <c r="J689" s="1220" t="s">
        <v>773</v>
      </c>
      <c r="K689" s="1220">
        <f t="shared" si="41"/>
        <v>40</v>
      </c>
      <c r="M689" s="1220"/>
    </row>
    <row r="690" spans="1:13" x14ac:dyDescent="0.25">
      <c r="A690" s="1230">
        <f t="shared" si="42"/>
        <v>42105</v>
      </c>
      <c r="B690" s="1231">
        <f t="shared" si="43"/>
        <v>0.83333333333333337</v>
      </c>
      <c r="C690" s="1220">
        <v>1</v>
      </c>
      <c r="D690" s="1220" t="str">
        <f t="shared" si="44"/>
        <v>Harlots</v>
      </c>
      <c r="E690" s="1233">
        <f ca="1">VALUE(INDIRECT("Penalties!"&amp;PenaltyData[[#This Row],[REF]]&amp;(PenaltyData[[#This Row],[ROW]]+1)))</f>
        <v>0</v>
      </c>
      <c r="F690" s="1220" t="str">
        <f ca="1">IF(INDIRECT("Penalties!"&amp;$N$29&amp;PenaltyData[[#This Row],[ROW]],TRUE)=0, "",INDIRECT("Penalties!"&amp;$N$29&amp;PenaltyData[[#This Row],[ROW]],TRUE))</f>
        <v/>
      </c>
      <c r="G690" s="1233">
        <f ca="1">COUNTIFS($H$1:H690,"&lt;&gt;0", $F$1:F690,PenaltyData[[#This Row],[PlayerIdx]],$D$1:D690,PenaltyData[[#This Row],[Team]])</f>
        <v>0</v>
      </c>
      <c r="H690" s="1233">
        <f ca="1">INDIRECT("Penalties!"&amp;PenaltyData[[#This Row],[REF]]&amp;PenaltyData[[#This Row],[ROW]])</f>
        <v>0</v>
      </c>
      <c r="I690" s="1233" t="str">
        <f ca="1">IFERROR(VLOOKUP(PenaltyData[[#This Row],[Penalty]],PenaltyNames91419[],2,FALSE),"")</f>
        <v/>
      </c>
      <c r="J690" s="1220" t="s">
        <v>774</v>
      </c>
      <c r="K690" s="1220">
        <f t="shared" si="41"/>
        <v>40</v>
      </c>
      <c r="M690" s="1220"/>
    </row>
    <row r="691" spans="1:13" x14ac:dyDescent="0.25">
      <c r="A691" s="1230">
        <f t="shared" si="42"/>
        <v>42105</v>
      </c>
      <c r="B691" s="1231">
        <f t="shared" si="43"/>
        <v>0.83333333333333337</v>
      </c>
      <c r="C691" s="1220">
        <v>1</v>
      </c>
      <c r="D691" s="1220" t="str">
        <f t="shared" si="44"/>
        <v>Harlots</v>
      </c>
      <c r="E691" s="1233">
        <f ca="1">VALUE(INDIRECT("Penalties!"&amp;PenaltyData[[#This Row],[REF]]&amp;(PenaltyData[[#This Row],[ROW]]+1)))</f>
        <v>0</v>
      </c>
      <c r="F691" s="1220" t="str">
        <f ca="1">IF(INDIRECT("Penalties!"&amp;$N$29&amp;PenaltyData[[#This Row],[ROW]],TRUE)=0, "",INDIRECT("Penalties!"&amp;$N$29&amp;PenaltyData[[#This Row],[ROW]],TRUE))</f>
        <v/>
      </c>
      <c r="G691" s="1233">
        <f ca="1">COUNTIFS($H$1:H691,"&lt;&gt;0", $F$1:F691,PenaltyData[[#This Row],[PlayerIdx]],$D$1:D691,PenaltyData[[#This Row],[Team]])</f>
        <v>0</v>
      </c>
      <c r="H691" s="1233">
        <f ca="1">INDIRECT("Penalties!"&amp;PenaltyData[[#This Row],[REF]]&amp;PenaltyData[[#This Row],[ROW]])</f>
        <v>0</v>
      </c>
      <c r="I691" s="1233" t="str">
        <f ca="1">IFERROR(VLOOKUP(PenaltyData[[#This Row],[Penalty]],PenaltyNames91419[],2,FALSE),"")</f>
        <v/>
      </c>
      <c r="J691" s="1220" t="s">
        <v>775</v>
      </c>
      <c r="K691" s="1220">
        <f t="shared" si="41"/>
        <v>40</v>
      </c>
      <c r="M691" s="1220"/>
    </row>
    <row r="692" spans="1:13" x14ac:dyDescent="0.25">
      <c r="A692" s="1230">
        <f t="shared" si="42"/>
        <v>42105</v>
      </c>
      <c r="B692" s="1231">
        <f t="shared" si="43"/>
        <v>0.83333333333333337</v>
      </c>
      <c r="C692" s="1220">
        <v>1</v>
      </c>
      <c r="D692" s="1220" t="str">
        <f t="shared" si="44"/>
        <v>Harlots</v>
      </c>
      <c r="E692" s="1233">
        <f ca="1">VALUE(INDIRECT("Penalties!"&amp;PenaltyData[[#This Row],[REF]]&amp;(PenaltyData[[#This Row],[ROW]]+1)))</f>
        <v>0</v>
      </c>
      <c r="F692" s="1220" t="str">
        <f ca="1">IF(INDIRECT("Penalties!"&amp;$N$29&amp;PenaltyData[[#This Row],[ROW]],TRUE)=0, "",INDIRECT("Penalties!"&amp;$N$29&amp;PenaltyData[[#This Row],[ROW]],TRUE))</f>
        <v/>
      </c>
      <c r="G692" s="1233">
        <f ca="1">COUNTIFS($H$1:H692,"&lt;&gt;0", $F$1:F692,PenaltyData[[#This Row],[PlayerIdx]],$D$1:D692,PenaltyData[[#This Row],[Team]])</f>
        <v>0</v>
      </c>
      <c r="H692" s="1233">
        <f ca="1">INDIRECT("Penalties!"&amp;PenaltyData[[#This Row],[REF]]&amp;PenaltyData[[#This Row],[ROW]])</f>
        <v>0</v>
      </c>
      <c r="I692" s="1233" t="str">
        <f ca="1">IFERROR(VLOOKUP(PenaltyData[[#This Row],[Penalty]],PenaltyNames91419[],2,FALSE),"")</f>
        <v/>
      </c>
      <c r="J692" s="1220" t="s">
        <v>776</v>
      </c>
      <c r="K692" s="1220">
        <f t="shared" si="41"/>
        <v>40</v>
      </c>
      <c r="M692" s="1220"/>
    </row>
    <row r="693" spans="1:13" x14ac:dyDescent="0.25">
      <c r="A693" s="1230">
        <f t="shared" si="42"/>
        <v>42105</v>
      </c>
      <c r="B693" s="1231">
        <f t="shared" si="43"/>
        <v>0.83333333333333337</v>
      </c>
      <c r="C693" s="1220">
        <v>1</v>
      </c>
      <c r="D693" s="1220" t="str">
        <f t="shared" si="44"/>
        <v>Harlots</v>
      </c>
      <c r="E693" s="1233">
        <f ca="1">VALUE(INDIRECT("Penalties!"&amp;PenaltyData[[#This Row],[REF]]&amp;(PenaltyData[[#This Row],[ROW]]+1)))</f>
        <v>0</v>
      </c>
      <c r="F693" s="1220" t="str">
        <f ca="1">IF(INDIRECT("Penalties!"&amp;$N$29&amp;PenaltyData[[#This Row],[ROW]],TRUE)=0, "",INDIRECT("Penalties!"&amp;$N$29&amp;PenaltyData[[#This Row],[ROW]],TRUE))</f>
        <v/>
      </c>
      <c r="G693" s="1233">
        <f ca="1">COUNTIFS($H$1:H693,"&lt;&gt;0", $F$1:F693,PenaltyData[[#This Row],[PlayerIdx]],$D$1:D693,PenaltyData[[#This Row],[Team]])</f>
        <v>0</v>
      </c>
      <c r="H693" s="1233">
        <f ca="1">INDIRECT("Penalties!"&amp;PenaltyData[[#This Row],[REF]]&amp;PenaltyData[[#This Row],[ROW]])</f>
        <v>0</v>
      </c>
      <c r="I693" s="1233" t="str">
        <f ca="1">IFERROR(VLOOKUP(PenaltyData[[#This Row],[Penalty]],PenaltyNames91419[],2,FALSE),"")</f>
        <v/>
      </c>
      <c r="J693" s="1220" t="s">
        <v>140</v>
      </c>
      <c r="K693" s="1220">
        <f t="shared" si="41"/>
        <v>40</v>
      </c>
      <c r="M693" s="1220"/>
    </row>
    <row r="694" spans="1:13" x14ac:dyDescent="0.25">
      <c r="A694" s="1230">
        <f t="shared" si="42"/>
        <v>42105</v>
      </c>
      <c r="B694" s="1231">
        <f t="shared" si="43"/>
        <v>0.83333333333333337</v>
      </c>
      <c r="C694" s="1220">
        <v>1</v>
      </c>
      <c r="D694" s="1220" t="str">
        <f t="shared" si="44"/>
        <v>Harlots</v>
      </c>
      <c r="E694" s="1233">
        <f ca="1">VALUE(INDIRECT("Penalties!"&amp;PenaltyData[[#This Row],[REF]]&amp;(PenaltyData[[#This Row],[ROW]]+1)))</f>
        <v>0</v>
      </c>
      <c r="F694" s="1220" t="str">
        <f ca="1">IF(INDIRECT("Penalties!"&amp;$N$29&amp;PenaltyData[[#This Row],[ROW]],TRUE)=0, "",INDIRECT("Penalties!"&amp;$N$29&amp;PenaltyData[[#This Row],[ROW]],TRUE))</f>
        <v/>
      </c>
      <c r="G694" s="1233">
        <f ca="1">COUNTIFS($H$1:H694,"&lt;&gt;0", $F$1:F694,PenaltyData[[#This Row],[PlayerIdx]],$D$1:D694,PenaltyData[[#This Row],[Team]])</f>
        <v>0</v>
      </c>
      <c r="H694" s="1233">
        <f ca="1">INDIRECT("Penalties!"&amp;PenaltyData[[#This Row],[REF]]&amp;PenaltyData[[#This Row],[ROW]])</f>
        <v>0</v>
      </c>
      <c r="I694" s="1233" t="str">
        <f ca="1">IFERROR(VLOOKUP(PenaltyData[[#This Row],[Penalty]],PenaltyNames91419[],2,FALSE),"")</f>
        <v/>
      </c>
      <c r="J694" s="1220" t="s">
        <v>777</v>
      </c>
      <c r="K694" s="1220">
        <f t="shared" si="41"/>
        <v>40</v>
      </c>
      <c r="M694" s="1220"/>
    </row>
    <row r="695" spans="1:13" x14ac:dyDescent="0.25">
      <c r="A695" s="1230">
        <f t="shared" si="42"/>
        <v>42105</v>
      </c>
      <c r="B695" s="1231">
        <f t="shared" si="43"/>
        <v>0.83333333333333337</v>
      </c>
      <c r="C695" s="1220">
        <v>2</v>
      </c>
      <c r="D695" s="1220" t="str">
        <f t="shared" si="44"/>
        <v>Harlots</v>
      </c>
      <c r="E695" s="1233">
        <f ca="1">VALUE(INDIRECT("Penalties!"&amp;PenaltyData[[#This Row],[REF]]&amp;(PenaltyData[[#This Row],[ROW]]+1)))</f>
        <v>0</v>
      </c>
      <c r="F695" s="1220" t="str">
        <f ca="1">IF(INDIRECT("Penalties!"&amp;$N$29&amp;PenaltyData[[#This Row],[ROW]],TRUE)=0, "",INDIRECT("Penalties!"&amp;$N$29&amp;PenaltyData[[#This Row],[ROW]],TRUE))</f>
        <v/>
      </c>
      <c r="G695" s="1233">
        <f ca="1">COUNTIFS($H$1:H695,"&lt;&gt;0", $F$1:F695,PenaltyData[[#This Row],[PlayerIdx]],$D$1:D695,PenaltyData[[#This Row],[Team]])</f>
        <v>0</v>
      </c>
      <c r="H695" s="1233">
        <f ca="1">INDIRECT("Penalties!"&amp;PenaltyData[[#This Row],[REF]]&amp;PenaltyData[[#This Row],[ROW]])</f>
        <v>0</v>
      </c>
      <c r="I695" s="1233" t="str">
        <f ca="1">IFERROR(VLOOKUP(PenaltyData[[#This Row],[Penalty]],PenaltyNames91419[],2,FALSE),"")</f>
        <v/>
      </c>
      <c r="J695" s="1220" t="s">
        <v>778</v>
      </c>
      <c r="K695" s="1220">
        <f t="shared" si="41"/>
        <v>40</v>
      </c>
      <c r="M695" s="1220"/>
    </row>
    <row r="696" spans="1:13" x14ac:dyDescent="0.25">
      <c r="A696" s="1230">
        <f t="shared" si="42"/>
        <v>42105</v>
      </c>
      <c r="B696" s="1231">
        <f t="shared" si="43"/>
        <v>0.83333333333333337</v>
      </c>
      <c r="C696" s="1220">
        <v>2</v>
      </c>
      <c r="D696" s="1220" t="str">
        <f t="shared" si="44"/>
        <v>Harlots</v>
      </c>
      <c r="E696" s="1233">
        <f ca="1">VALUE(INDIRECT("Penalties!"&amp;PenaltyData[[#This Row],[REF]]&amp;(PenaltyData[[#This Row],[ROW]]+1)))</f>
        <v>0</v>
      </c>
      <c r="F696" s="1220" t="str">
        <f ca="1">IF(INDIRECT("Penalties!"&amp;$N$29&amp;PenaltyData[[#This Row],[ROW]],TRUE)=0, "",INDIRECT("Penalties!"&amp;$N$29&amp;PenaltyData[[#This Row],[ROW]],TRUE))</f>
        <v/>
      </c>
      <c r="G696" s="1233">
        <f ca="1">COUNTIFS($H$1:H696,"&lt;&gt;0", $F$1:F696,PenaltyData[[#This Row],[PlayerIdx]],$D$1:D696,PenaltyData[[#This Row],[Team]])</f>
        <v>0</v>
      </c>
      <c r="H696" s="1233">
        <f ca="1">INDIRECT("Penalties!"&amp;PenaltyData[[#This Row],[REF]]&amp;PenaltyData[[#This Row],[ROW]])</f>
        <v>0</v>
      </c>
      <c r="I696" s="1233" t="str">
        <f ca="1">IFERROR(VLOOKUP(PenaltyData[[#This Row],[Penalty]],PenaltyNames91419[],2,FALSE),"")</f>
        <v/>
      </c>
      <c r="J696" s="1220" t="s">
        <v>779</v>
      </c>
      <c r="K696" s="1220">
        <f t="shared" si="41"/>
        <v>40</v>
      </c>
      <c r="M696" s="1220"/>
    </row>
    <row r="697" spans="1:13" x14ac:dyDescent="0.25">
      <c r="A697" s="1230">
        <f t="shared" si="42"/>
        <v>42105</v>
      </c>
      <c r="B697" s="1231">
        <f t="shared" si="43"/>
        <v>0.83333333333333337</v>
      </c>
      <c r="C697" s="1220">
        <v>2</v>
      </c>
      <c r="D697" s="1220" t="str">
        <f t="shared" si="44"/>
        <v>Harlots</v>
      </c>
      <c r="E697" s="1233">
        <f ca="1">VALUE(INDIRECT("Penalties!"&amp;PenaltyData[[#This Row],[REF]]&amp;(PenaltyData[[#This Row],[ROW]]+1)))</f>
        <v>0</v>
      </c>
      <c r="F697" s="1220" t="str">
        <f ca="1">IF(INDIRECT("Penalties!"&amp;$N$29&amp;PenaltyData[[#This Row],[ROW]],TRUE)=0, "",INDIRECT("Penalties!"&amp;$N$29&amp;PenaltyData[[#This Row],[ROW]],TRUE))</f>
        <v/>
      </c>
      <c r="G697" s="1233">
        <f ca="1">COUNTIFS($H$1:H697,"&lt;&gt;0", $F$1:F697,PenaltyData[[#This Row],[PlayerIdx]],$D$1:D697,PenaltyData[[#This Row],[Team]])</f>
        <v>0</v>
      </c>
      <c r="H697" s="1233">
        <f ca="1">INDIRECT("Penalties!"&amp;PenaltyData[[#This Row],[REF]]&amp;PenaltyData[[#This Row],[ROW]])</f>
        <v>0</v>
      </c>
      <c r="I697" s="1233" t="str">
        <f ca="1">IFERROR(VLOOKUP(PenaltyData[[#This Row],[Penalty]],PenaltyNames91419[],2,FALSE),"")</f>
        <v/>
      </c>
      <c r="J697" s="1220" t="s">
        <v>780</v>
      </c>
      <c r="K697" s="1220">
        <f t="shared" si="41"/>
        <v>40</v>
      </c>
      <c r="M697" s="1220"/>
    </row>
    <row r="698" spans="1:13" x14ac:dyDescent="0.25">
      <c r="A698" s="1230">
        <f t="shared" si="42"/>
        <v>42105</v>
      </c>
      <c r="B698" s="1231">
        <f t="shared" si="43"/>
        <v>0.83333333333333337</v>
      </c>
      <c r="C698" s="1220">
        <v>2</v>
      </c>
      <c r="D698" s="1220" t="str">
        <f t="shared" si="44"/>
        <v>Harlots</v>
      </c>
      <c r="E698" s="1233">
        <f ca="1">VALUE(INDIRECT("Penalties!"&amp;PenaltyData[[#This Row],[REF]]&amp;(PenaltyData[[#This Row],[ROW]]+1)))</f>
        <v>0</v>
      </c>
      <c r="F698" s="1220" t="str">
        <f ca="1">IF(INDIRECT("Penalties!"&amp;$N$29&amp;PenaltyData[[#This Row],[ROW]],TRUE)=0, "",INDIRECT("Penalties!"&amp;$N$29&amp;PenaltyData[[#This Row],[ROW]],TRUE))</f>
        <v/>
      </c>
      <c r="G698" s="1233">
        <f ca="1">COUNTIFS($H$1:H698,"&lt;&gt;0", $F$1:F698,PenaltyData[[#This Row],[PlayerIdx]],$D$1:D698,PenaltyData[[#This Row],[Team]])</f>
        <v>0</v>
      </c>
      <c r="H698" s="1233">
        <f ca="1">INDIRECT("Penalties!"&amp;PenaltyData[[#This Row],[REF]]&amp;PenaltyData[[#This Row],[ROW]])</f>
        <v>0</v>
      </c>
      <c r="I698" s="1233" t="str">
        <f ca="1">IFERROR(VLOOKUP(PenaltyData[[#This Row],[Penalty]],PenaltyNames91419[],2,FALSE),"")</f>
        <v/>
      </c>
      <c r="J698" s="1220" t="s">
        <v>781</v>
      </c>
      <c r="K698" s="1220">
        <f t="shared" si="41"/>
        <v>40</v>
      </c>
      <c r="M698" s="1220"/>
    </row>
    <row r="699" spans="1:13" x14ac:dyDescent="0.25">
      <c r="A699" s="1230">
        <f t="shared" si="42"/>
        <v>42105</v>
      </c>
      <c r="B699" s="1231">
        <f t="shared" si="43"/>
        <v>0.83333333333333337</v>
      </c>
      <c r="C699" s="1220">
        <v>2</v>
      </c>
      <c r="D699" s="1220" t="str">
        <f t="shared" si="44"/>
        <v>Harlots</v>
      </c>
      <c r="E699" s="1233">
        <f ca="1">VALUE(INDIRECT("Penalties!"&amp;PenaltyData[[#This Row],[REF]]&amp;(PenaltyData[[#This Row],[ROW]]+1)))</f>
        <v>0</v>
      </c>
      <c r="F699" s="1220" t="str">
        <f ca="1">IF(INDIRECT("Penalties!"&amp;$N$29&amp;PenaltyData[[#This Row],[ROW]],TRUE)=0, "",INDIRECT("Penalties!"&amp;$N$29&amp;PenaltyData[[#This Row],[ROW]],TRUE))</f>
        <v/>
      </c>
      <c r="G699" s="1233">
        <f ca="1">COUNTIFS($H$1:H699,"&lt;&gt;0", $F$1:F699,PenaltyData[[#This Row],[PlayerIdx]],$D$1:D699,PenaltyData[[#This Row],[Team]])</f>
        <v>0</v>
      </c>
      <c r="H699" s="1233">
        <f ca="1">INDIRECT("Penalties!"&amp;PenaltyData[[#This Row],[REF]]&amp;PenaltyData[[#This Row],[ROW]])</f>
        <v>0</v>
      </c>
      <c r="I699" s="1233" t="str">
        <f ca="1">IFERROR(VLOOKUP(PenaltyData[[#This Row],[Penalty]],PenaltyNames91419[],2,FALSE),"")</f>
        <v/>
      </c>
      <c r="J699" s="1220" t="s">
        <v>782</v>
      </c>
      <c r="K699" s="1220">
        <f t="shared" si="41"/>
        <v>40</v>
      </c>
      <c r="M699" s="1220"/>
    </row>
    <row r="700" spans="1:13" x14ac:dyDescent="0.25">
      <c r="A700" s="1230">
        <f t="shared" si="42"/>
        <v>42105</v>
      </c>
      <c r="B700" s="1231">
        <f t="shared" si="43"/>
        <v>0.83333333333333337</v>
      </c>
      <c r="C700" s="1220">
        <v>2</v>
      </c>
      <c r="D700" s="1220" t="str">
        <f t="shared" si="44"/>
        <v>Harlots</v>
      </c>
      <c r="E700" s="1233">
        <f ca="1">VALUE(INDIRECT("Penalties!"&amp;PenaltyData[[#This Row],[REF]]&amp;(PenaltyData[[#This Row],[ROW]]+1)))</f>
        <v>0</v>
      </c>
      <c r="F700" s="1220" t="str">
        <f ca="1">IF(INDIRECT("Penalties!"&amp;$N$29&amp;PenaltyData[[#This Row],[ROW]],TRUE)=0, "",INDIRECT("Penalties!"&amp;$N$29&amp;PenaltyData[[#This Row],[ROW]],TRUE))</f>
        <v/>
      </c>
      <c r="G700" s="1233">
        <f ca="1">COUNTIFS($H$1:H700,"&lt;&gt;0", $F$1:F700,PenaltyData[[#This Row],[PlayerIdx]],$D$1:D700,PenaltyData[[#This Row],[Team]])</f>
        <v>0</v>
      </c>
      <c r="H700" s="1233">
        <f ca="1">INDIRECT("Penalties!"&amp;PenaltyData[[#This Row],[REF]]&amp;PenaltyData[[#This Row],[ROW]])</f>
        <v>0</v>
      </c>
      <c r="I700" s="1233" t="str">
        <f ca="1">IFERROR(VLOOKUP(PenaltyData[[#This Row],[Penalty]],PenaltyNames91419[],2,FALSE),"")</f>
        <v/>
      </c>
      <c r="J700" s="1220" t="s">
        <v>783</v>
      </c>
      <c r="K700" s="1220">
        <f t="shared" si="41"/>
        <v>40</v>
      </c>
      <c r="M700" s="1220"/>
    </row>
    <row r="701" spans="1:13" x14ac:dyDescent="0.25">
      <c r="A701" s="1230">
        <f t="shared" si="42"/>
        <v>42105</v>
      </c>
      <c r="B701" s="1231">
        <f t="shared" si="43"/>
        <v>0.83333333333333337</v>
      </c>
      <c r="C701" s="1220">
        <v>2</v>
      </c>
      <c r="D701" s="1220" t="str">
        <f t="shared" si="44"/>
        <v>Harlots</v>
      </c>
      <c r="E701" s="1233">
        <f ca="1">VALUE(INDIRECT("Penalties!"&amp;PenaltyData[[#This Row],[REF]]&amp;(PenaltyData[[#This Row],[ROW]]+1)))</f>
        <v>0</v>
      </c>
      <c r="F701" s="1220" t="str">
        <f ca="1">IF(INDIRECT("Penalties!"&amp;$N$29&amp;PenaltyData[[#This Row],[ROW]],TRUE)=0, "",INDIRECT("Penalties!"&amp;$N$29&amp;PenaltyData[[#This Row],[ROW]],TRUE))</f>
        <v/>
      </c>
      <c r="G701" s="1233">
        <f ca="1">COUNTIFS($H$1:H701,"&lt;&gt;0", $F$1:F701,PenaltyData[[#This Row],[PlayerIdx]],$D$1:D701,PenaltyData[[#This Row],[Team]])</f>
        <v>0</v>
      </c>
      <c r="H701" s="1233">
        <f ca="1">INDIRECT("Penalties!"&amp;PenaltyData[[#This Row],[REF]]&amp;PenaltyData[[#This Row],[ROW]])</f>
        <v>0</v>
      </c>
      <c r="I701" s="1233" t="str">
        <f ca="1">IFERROR(VLOOKUP(PenaltyData[[#This Row],[Penalty]],PenaltyNames91419[],2,FALSE),"")</f>
        <v/>
      </c>
      <c r="J701" s="1220" t="s">
        <v>784</v>
      </c>
      <c r="K701" s="1220">
        <f t="shared" ref="K701:K721" si="45">K683+2</f>
        <v>40</v>
      </c>
      <c r="M701" s="1220"/>
    </row>
    <row r="702" spans="1:13" x14ac:dyDescent="0.25">
      <c r="A702" s="1230">
        <f t="shared" si="42"/>
        <v>42105</v>
      </c>
      <c r="B702" s="1231">
        <f t="shared" si="43"/>
        <v>0.83333333333333337</v>
      </c>
      <c r="C702" s="1220">
        <v>2</v>
      </c>
      <c r="D702" s="1220" t="str">
        <f t="shared" si="44"/>
        <v>Harlots</v>
      </c>
      <c r="E702" s="1233">
        <f ca="1">VALUE(INDIRECT("Penalties!"&amp;PenaltyData[[#This Row],[REF]]&amp;(PenaltyData[[#This Row],[ROW]]+1)))</f>
        <v>0</v>
      </c>
      <c r="F702" s="1220" t="str">
        <f ca="1">IF(INDIRECT("Penalties!"&amp;$N$29&amp;PenaltyData[[#This Row],[ROW]],TRUE)=0, "",INDIRECT("Penalties!"&amp;$N$29&amp;PenaltyData[[#This Row],[ROW]],TRUE))</f>
        <v/>
      </c>
      <c r="G702" s="1233">
        <f ca="1">COUNTIFS($H$1:H702,"&lt;&gt;0", $F$1:F702,PenaltyData[[#This Row],[PlayerIdx]],$D$1:D702,PenaltyData[[#This Row],[Team]])</f>
        <v>0</v>
      </c>
      <c r="H702" s="1233">
        <f ca="1">INDIRECT("Penalties!"&amp;PenaltyData[[#This Row],[REF]]&amp;PenaltyData[[#This Row],[ROW]])</f>
        <v>0</v>
      </c>
      <c r="I702" s="1233" t="str">
        <f ca="1">IFERROR(VLOOKUP(PenaltyData[[#This Row],[Penalty]],PenaltyNames91419[],2,FALSE),"")</f>
        <v/>
      </c>
      <c r="J702" s="1220" t="s">
        <v>785</v>
      </c>
      <c r="K702" s="1220">
        <f t="shared" si="45"/>
        <v>40</v>
      </c>
      <c r="M702" s="1220"/>
    </row>
    <row r="703" spans="1:13" x14ac:dyDescent="0.25">
      <c r="A703" s="1230">
        <f t="shared" si="42"/>
        <v>42105</v>
      </c>
      <c r="B703" s="1231">
        <f t="shared" si="43"/>
        <v>0.83333333333333337</v>
      </c>
      <c r="C703" s="1220">
        <v>2</v>
      </c>
      <c r="D703" s="1220" t="str">
        <f t="shared" si="44"/>
        <v>Harlots</v>
      </c>
      <c r="E703" s="1233">
        <f ca="1">VALUE(INDIRECT("Penalties!"&amp;PenaltyData[[#This Row],[REF]]&amp;(PenaltyData[[#This Row],[ROW]]+1)))</f>
        <v>0</v>
      </c>
      <c r="F703" s="1220" t="str">
        <f ca="1">IF(INDIRECT("Penalties!"&amp;$N$29&amp;PenaltyData[[#This Row],[ROW]],TRUE)=0, "",INDIRECT("Penalties!"&amp;$N$29&amp;PenaltyData[[#This Row],[ROW]],TRUE))</f>
        <v/>
      </c>
      <c r="G703" s="1233">
        <f ca="1">COUNTIFS($H$1:H703,"&lt;&gt;0", $F$1:F703,PenaltyData[[#This Row],[PlayerIdx]],$D$1:D703,PenaltyData[[#This Row],[Team]])</f>
        <v>0</v>
      </c>
      <c r="H703" s="1233">
        <f ca="1">INDIRECT("Penalties!"&amp;PenaltyData[[#This Row],[REF]]&amp;PenaltyData[[#This Row],[ROW]])</f>
        <v>0</v>
      </c>
      <c r="I703" s="1233" t="str">
        <f ca="1">IFERROR(VLOOKUP(PenaltyData[[#This Row],[Penalty]],PenaltyNames91419[],2,FALSE),"")</f>
        <v/>
      </c>
      <c r="J703" s="1220" t="s">
        <v>786</v>
      </c>
      <c r="K703" s="1220">
        <f t="shared" si="45"/>
        <v>40</v>
      </c>
      <c r="M703" s="1220"/>
    </row>
    <row r="704" spans="1:13" x14ac:dyDescent="0.25">
      <c r="A704" s="1230">
        <f t="shared" si="42"/>
        <v>42105</v>
      </c>
      <c r="B704" s="1231">
        <f t="shared" si="43"/>
        <v>0.83333333333333337</v>
      </c>
      <c r="C704" s="1220">
        <v>1</v>
      </c>
      <c r="D704" s="1220" t="str">
        <f t="shared" si="44"/>
        <v>Harlots</v>
      </c>
      <c r="E704" s="1233">
        <f ca="1">VALUE(INDIRECT("Penalties!"&amp;PenaltyData[[#This Row],[REF]]&amp;(PenaltyData[[#This Row],[ROW]]+1)))</f>
        <v>0</v>
      </c>
      <c r="F704" s="1220" t="str">
        <f ca="1">IF(INDIRECT("Penalties!"&amp;$N$29&amp;PenaltyData[[#This Row],[ROW]],TRUE)=0, "",INDIRECT("Penalties!"&amp;$N$29&amp;PenaltyData[[#This Row],[ROW]],TRUE))</f>
        <v/>
      </c>
      <c r="G704" s="1233">
        <f ca="1">COUNTIFS($H$1:H704,"&lt;&gt;0", $F$1:F704,PenaltyData[[#This Row],[PlayerIdx]],$D$1:D704,PenaltyData[[#This Row],[Team]])</f>
        <v>0</v>
      </c>
      <c r="H704" s="1233">
        <f ca="1">INDIRECT("Penalties!"&amp;PenaltyData[[#This Row],[REF]]&amp;PenaltyData[[#This Row],[ROW]])</f>
        <v>0</v>
      </c>
      <c r="I704" s="1233" t="str">
        <f ca="1">IFERROR(VLOOKUP(PenaltyData[[#This Row],[Penalty]],PenaltyNames91419[],2,FALSE),"")</f>
        <v/>
      </c>
      <c r="J704" s="1220" t="s">
        <v>771</v>
      </c>
      <c r="K704" s="1220">
        <f t="shared" si="45"/>
        <v>42</v>
      </c>
      <c r="M704" s="1220"/>
    </row>
    <row r="705" spans="1:13" x14ac:dyDescent="0.25">
      <c r="A705" s="1230">
        <f t="shared" si="42"/>
        <v>42105</v>
      </c>
      <c r="B705" s="1231">
        <f t="shared" si="43"/>
        <v>0.83333333333333337</v>
      </c>
      <c r="C705" s="1220">
        <v>1</v>
      </c>
      <c r="D705" s="1220" t="str">
        <f t="shared" si="44"/>
        <v>Harlots</v>
      </c>
      <c r="E705" s="1233">
        <f ca="1">VALUE(INDIRECT("Penalties!"&amp;PenaltyData[[#This Row],[REF]]&amp;(PenaltyData[[#This Row],[ROW]]+1)))</f>
        <v>0</v>
      </c>
      <c r="F705" s="1220" t="str">
        <f ca="1">IF(INDIRECT("Penalties!"&amp;$N$29&amp;PenaltyData[[#This Row],[ROW]],TRUE)=0, "",INDIRECT("Penalties!"&amp;$N$29&amp;PenaltyData[[#This Row],[ROW]],TRUE))</f>
        <v/>
      </c>
      <c r="G705" s="1233">
        <f ca="1">COUNTIFS($H$1:H705,"&lt;&gt;0", $F$1:F705,PenaltyData[[#This Row],[PlayerIdx]],$D$1:D705,PenaltyData[[#This Row],[Team]])</f>
        <v>0</v>
      </c>
      <c r="H705" s="1233">
        <f ca="1">INDIRECT("Penalties!"&amp;PenaltyData[[#This Row],[REF]]&amp;PenaltyData[[#This Row],[ROW]])</f>
        <v>0</v>
      </c>
      <c r="I705" s="1233" t="str">
        <f ca="1">IFERROR(VLOOKUP(PenaltyData[[#This Row],[Penalty]],PenaltyNames91419[],2,FALSE),"")</f>
        <v/>
      </c>
      <c r="J705" s="1220" t="s">
        <v>772</v>
      </c>
      <c r="K705" s="1220">
        <f t="shared" si="45"/>
        <v>42</v>
      </c>
      <c r="M705" s="1220"/>
    </row>
    <row r="706" spans="1:13" x14ac:dyDescent="0.25">
      <c r="A706" s="1230">
        <f t="shared" si="42"/>
        <v>42105</v>
      </c>
      <c r="B706" s="1231">
        <f t="shared" si="43"/>
        <v>0.83333333333333337</v>
      </c>
      <c r="C706" s="1220">
        <v>1</v>
      </c>
      <c r="D706" s="1220" t="str">
        <f t="shared" si="44"/>
        <v>Harlots</v>
      </c>
      <c r="E706" s="1233">
        <f ca="1">VALUE(INDIRECT("Penalties!"&amp;PenaltyData[[#This Row],[REF]]&amp;(PenaltyData[[#This Row],[ROW]]+1)))</f>
        <v>0</v>
      </c>
      <c r="F706" s="1220" t="str">
        <f ca="1">IF(INDIRECT("Penalties!"&amp;$N$29&amp;PenaltyData[[#This Row],[ROW]],TRUE)=0, "",INDIRECT("Penalties!"&amp;$N$29&amp;PenaltyData[[#This Row],[ROW]],TRUE))</f>
        <v/>
      </c>
      <c r="G706" s="1233">
        <f ca="1">COUNTIFS($H$1:H706,"&lt;&gt;0", $F$1:F706,PenaltyData[[#This Row],[PlayerIdx]],$D$1:D706,PenaltyData[[#This Row],[Team]])</f>
        <v>0</v>
      </c>
      <c r="H706" s="1233">
        <f ca="1">INDIRECT("Penalties!"&amp;PenaltyData[[#This Row],[REF]]&amp;PenaltyData[[#This Row],[ROW]])</f>
        <v>0</v>
      </c>
      <c r="I706" s="1233" t="str">
        <f ca="1">IFERROR(VLOOKUP(PenaltyData[[#This Row],[Penalty]],PenaltyNames91419[],2,FALSE),"")</f>
        <v/>
      </c>
      <c r="J706" s="1220" t="s">
        <v>159</v>
      </c>
      <c r="K706" s="1220">
        <f t="shared" si="45"/>
        <v>42</v>
      </c>
      <c r="M706" s="1220"/>
    </row>
    <row r="707" spans="1:13" x14ac:dyDescent="0.25">
      <c r="A707" s="1230">
        <f t="shared" si="42"/>
        <v>42105</v>
      </c>
      <c r="B707" s="1231">
        <f t="shared" si="43"/>
        <v>0.83333333333333337</v>
      </c>
      <c r="C707" s="1220">
        <v>1</v>
      </c>
      <c r="D707" s="1220" t="str">
        <f t="shared" si="44"/>
        <v>Harlots</v>
      </c>
      <c r="E707" s="1233">
        <f ca="1">VALUE(INDIRECT("Penalties!"&amp;PenaltyData[[#This Row],[REF]]&amp;(PenaltyData[[#This Row],[ROW]]+1)))</f>
        <v>0</v>
      </c>
      <c r="F707" s="1220" t="str">
        <f ca="1">IF(INDIRECT("Penalties!"&amp;$N$29&amp;PenaltyData[[#This Row],[ROW]],TRUE)=0, "",INDIRECT("Penalties!"&amp;$N$29&amp;PenaltyData[[#This Row],[ROW]],TRUE))</f>
        <v/>
      </c>
      <c r="G707" s="1233">
        <f ca="1">COUNTIFS($H$1:H707,"&lt;&gt;0", $F$1:F707,PenaltyData[[#This Row],[PlayerIdx]],$D$1:D707,PenaltyData[[#This Row],[Team]])</f>
        <v>0</v>
      </c>
      <c r="H707" s="1233">
        <f ca="1">INDIRECT("Penalties!"&amp;PenaltyData[[#This Row],[REF]]&amp;PenaltyData[[#This Row],[ROW]])</f>
        <v>0</v>
      </c>
      <c r="I707" s="1233" t="str">
        <f ca="1">IFERROR(VLOOKUP(PenaltyData[[#This Row],[Penalty]],PenaltyNames91419[],2,FALSE),"")</f>
        <v/>
      </c>
      <c r="J707" s="1220" t="s">
        <v>773</v>
      </c>
      <c r="K707" s="1220">
        <f t="shared" si="45"/>
        <v>42</v>
      </c>
      <c r="M707" s="1220"/>
    </row>
    <row r="708" spans="1:13" x14ac:dyDescent="0.25">
      <c r="A708" s="1230">
        <f t="shared" si="42"/>
        <v>42105</v>
      </c>
      <c r="B708" s="1231">
        <f t="shared" si="43"/>
        <v>0.83333333333333337</v>
      </c>
      <c r="C708" s="1220">
        <v>1</v>
      </c>
      <c r="D708" s="1220" t="str">
        <f t="shared" si="44"/>
        <v>Harlots</v>
      </c>
      <c r="E708" s="1233">
        <f ca="1">VALUE(INDIRECT("Penalties!"&amp;PenaltyData[[#This Row],[REF]]&amp;(PenaltyData[[#This Row],[ROW]]+1)))</f>
        <v>0</v>
      </c>
      <c r="F708" s="1220" t="str">
        <f ca="1">IF(INDIRECT("Penalties!"&amp;$N$29&amp;PenaltyData[[#This Row],[ROW]],TRUE)=0, "",INDIRECT("Penalties!"&amp;$N$29&amp;PenaltyData[[#This Row],[ROW]],TRUE))</f>
        <v/>
      </c>
      <c r="G708" s="1233">
        <f ca="1">COUNTIFS($H$1:H708,"&lt;&gt;0", $F$1:F708,PenaltyData[[#This Row],[PlayerIdx]],$D$1:D708,PenaltyData[[#This Row],[Team]])</f>
        <v>0</v>
      </c>
      <c r="H708" s="1233">
        <f ca="1">INDIRECT("Penalties!"&amp;PenaltyData[[#This Row],[REF]]&amp;PenaltyData[[#This Row],[ROW]])</f>
        <v>0</v>
      </c>
      <c r="I708" s="1233" t="str">
        <f ca="1">IFERROR(VLOOKUP(PenaltyData[[#This Row],[Penalty]],PenaltyNames91419[],2,FALSE),"")</f>
        <v/>
      </c>
      <c r="J708" s="1220" t="s">
        <v>774</v>
      </c>
      <c r="K708" s="1220">
        <f t="shared" si="45"/>
        <v>42</v>
      </c>
      <c r="M708" s="1220"/>
    </row>
    <row r="709" spans="1:13" x14ac:dyDescent="0.25">
      <c r="A709" s="1230">
        <f t="shared" si="42"/>
        <v>42105</v>
      </c>
      <c r="B709" s="1231">
        <f t="shared" si="43"/>
        <v>0.83333333333333337</v>
      </c>
      <c r="C709" s="1220">
        <v>1</v>
      </c>
      <c r="D709" s="1220" t="str">
        <f t="shared" si="44"/>
        <v>Harlots</v>
      </c>
      <c r="E709" s="1233">
        <f ca="1">VALUE(INDIRECT("Penalties!"&amp;PenaltyData[[#This Row],[REF]]&amp;(PenaltyData[[#This Row],[ROW]]+1)))</f>
        <v>0</v>
      </c>
      <c r="F709" s="1220" t="str">
        <f ca="1">IF(INDIRECT("Penalties!"&amp;$N$29&amp;PenaltyData[[#This Row],[ROW]],TRUE)=0, "",INDIRECT("Penalties!"&amp;$N$29&amp;PenaltyData[[#This Row],[ROW]],TRUE))</f>
        <v/>
      </c>
      <c r="G709" s="1233">
        <f ca="1">COUNTIFS($H$1:H709,"&lt;&gt;0", $F$1:F709,PenaltyData[[#This Row],[PlayerIdx]],$D$1:D709,PenaltyData[[#This Row],[Team]])</f>
        <v>0</v>
      </c>
      <c r="H709" s="1233">
        <f ca="1">INDIRECT("Penalties!"&amp;PenaltyData[[#This Row],[REF]]&amp;PenaltyData[[#This Row],[ROW]])</f>
        <v>0</v>
      </c>
      <c r="I709" s="1233" t="str">
        <f ca="1">IFERROR(VLOOKUP(PenaltyData[[#This Row],[Penalty]],PenaltyNames91419[],2,FALSE),"")</f>
        <v/>
      </c>
      <c r="J709" s="1220" t="s">
        <v>775</v>
      </c>
      <c r="K709" s="1220">
        <f t="shared" si="45"/>
        <v>42</v>
      </c>
      <c r="M709" s="1220"/>
    </row>
    <row r="710" spans="1:13" x14ac:dyDescent="0.25">
      <c r="A710" s="1230">
        <f t="shared" ref="A710:A721" si="46">$N$1</f>
        <v>42105</v>
      </c>
      <c r="B710" s="1231">
        <f t="shared" ref="B710:B721" si="47">$O$1</f>
        <v>0.83333333333333337</v>
      </c>
      <c r="C710" s="1220">
        <v>1</v>
      </c>
      <c r="D710" s="1220" t="str">
        <f t="shared" si="44"/>
        <v>Harlots</v>
      </c>
      <c r="E710" s="1233">
        <f ca="1">VALUE(INDIRECT("Penalties!"&amp;PenaltyData[[#This Row],[REF]]&amp;(PenaltyData[[#This Row],[ROW]]+1)))</f>
        <v>0</v>
      </c>
      <c r="F710" s="1220" t="str">
        <f ca="1">IF(INDIRECT("Penalties!"&amp;$N$29&amp;PenaltyData[[#This Row],[ROW]],TRUE)=0, "",INDIRECT("Penalties!"&amp;$N$29&amp;PenaltyData[[#This Row],[ROW]],TRUE))</f>
        <v/>
      </c>
      <c r="G710" s="1233">
        <f ca="1">COUNTIFS($H$1:H710,"&lt;&gt;0", $F$1:F710,PenaltyData[[#This Row],[PlayerIdx]],$D$1:D710,PenaltyData[[#This Row],[Team]])</f>
        <v>0</v>
      </c>
      <c r="H710" s="1233">
        <f ca="1">INDIRECT("Penalties!"&amp;PenaltyData[[#This Row],[REF]]&amp;PenaltyData[[#This Row],[ROW]])</f>
        <v>0</v>
      </c>
      <c r="I710" s="1233" t="str">
        <f ca="1">IFERROR(VLOOKUP(PenaltyData[[#This Row],[Penalty]],PenaltyNames91419[],2,FALSE),"")</f>
        <v/>
      </c>
      <c r="J710" s="1220" t="s">
        <v>776</v>
      </c>
      <c r="K710" s="1220">
        <f t="shared" si="45"/>
        <v>42</v>
      </c>
      <c r="M710" s="1220"/>
    </row>
    <row r="711" spans="1:13" x14ac:dyDescent="0.25">
      <c r="A711" s="1230">
        <f t="shared" si="46"/>
        <v>42105</v>
      </c>
      <c r="B711" s="1231">
        <f t="shared" si="47"/>
        <v>0.83333333333333337</v>
      </c>
      <c r="C711" s="1220">
        <v>1</v>
      </c>
      <c r="D711" s="1220" t="str">
        <f t="shared" si="44"/>
        <v>Harlots</v>
      </c>
      <c r="E711" s="1233">
        <f ca="1">VALUE(INDIRECT("Penalties!"&amp;PenaltyData[[#This Row],[REF]]&amp;(PenaltyData[[#This Row],[ROW]]+1)))</f>
        <v>0</v>
      </c>
      <c r="F711" s="1220" t="str">
        <f ca="1">IF(INDIRECT("Penalties!"&amp;$N$29&amp;PenaltyData[[#This Row],[ROW]],TRUE)=0, "",INDIRECT("Penalties!"&amp;$N$29&amp;PenaltyData[[#This Row],[ROW]],TRUE))</f>
        <v/>
      </c>
      <c r="G711" s="1233">
        <f ca="1">COUNTIFS($H$1:H711,"&lt;&gt;0", $F$1:F711,PenaltyData[[#This Row],[PlayerIdx]],$D$1:D711,PenaltyData[[#This Row],[Team]])</f>
        <v>0</v>
      </c>
      <c r="H711" s="1233">
        <f ca="1">INDIRECT("Penalties!"&amp;PenaltyData[[#This Row],[REF]]&amp;PenaltyData[[#This Row],[ROW]])</f>
        <v>0</v>
      </c>
      <c r="I711" s="1233" t="str">
        <f ca="1">IFERROR(VLOOKUP(PenaltyData[[#This Row],[Penalty]],PenaltyNames91419[],2,FALSE),"")</f>
        <v/>
      </c>
      <c r="J711" s="1220" t="s">
        <v>140</v>
      </c>
      <c r="K711" s="1220">
        <f t="shared" si="45"/>
        <v>42</v>
      </c>
      <c r="M711" s="1220"/>
    </row>
    <row r="712" spans="1:13" x14ac:dyDescent="0.25">
      <c r="A712" s="1230">
        <f t="shared" si="46"/>
        <v>42105</v>
      </c>
      <c r="B712" s="1231">
        <f t="shared" si="47"/>
        <v>0.83333333333333337</v>
      </c>
      <c r="C712" s="1220">
        <v>1</v>
      </c>
      <c r="D712" s="1220" t="str">
        <f t="shared" si="44"/>
        <v>Harlots</v>
      </c>
      <c r="E712" s="1233">
        <f ca="1">VALUE(INDIRECT("Penalties!"&amp;PenaltyData[[#This Row],[REF]]&amp;(PenaltyData[[#This Row],[ROW]]+1)))</f>
        <v>0</v>
      </c>
      <c r="F712" s="1220" t="str">
        <f ca="1">IF(INDIRECT("Penalties!"&amp;$N$29&amp;PenaltyData[[#This Row],[ROW]],TRUE)=0, "",INDIRECT("Penalties!"&amp;$N$29&amp;PenaltyData[[#This Row],[ROW]],TRUE))</f>
        <v/>
      </c>
      <c r="G712" s="1233">
        <f ca="1">COUNTIFS($H$1:H712,"&lt;&gt;0", $F$1:F712,PenaltyData[[#This Row],[PlayerIdx]],$D$1:D712,PenaltyData[[#This Row],[Team]])</f>
        <v>0</v>
      </c>
      <c r="H712" s="1233">
        <f ca="1">INDIRECT("Penalties!"&amp;PenaltyData[[#This Row],[REF]]&amp;PenaltyData[[#This Row],[ROW]])</f>
        <v>0</v>
      </c>
      <c r="I712" s="1233" t="str">
        <f ca="1">IFERROR(VLOOKUP(PenaltyData[[#This Row],[Penalty]],PenaltyNames91419[],2,FALSE),"")</f>
        <v/>
      </c>
      <c r="J712" s="1220" t="s">
        <v>777</v>
      </c>
      <c r="K712" s="1220">
        <f t="shared" si="45"/>
        <v>42</v>
      </c>
      <c r="M712" s="1220"/>
    </row>
    <row r="713" spans="1:13" x14ac:dyDescent="0.25">
      <c r="A713" s="1230">
        <f t="shared" si="46"/>
        <v>42105</v>
      </c>
      <c r="B713" s="1231">
        <f t="shared" si="47"/>
        <v>0.83333333333333337</v>
      </c>
      <c r="C713" s="1220">
        <v>2</v>
      </c>
      <c r="D713" s="1220" t="str">
        <f t="shared" si="44"/>
        <v>Harlots</v>
      </c>
      <c r="E713" s="1233">
        <f ca="1">VALUE(INDIRECT("Penalties!"&amp;PenaltyData[[#This Row],[REF]]&amp;(PenaltyData[[#This Row],[ROW]]+1)))</f>
        <v>0</v>
      </c>
      <c r="F713" s="1220" t="str">
        <f ca="1">IF(INDIRECT("Penalties!"&amp;$N$29&amp;PenaltyData[[#This Row],[ROW]],TRUE)=0, "",INDIRECT("Penalties!"&amp;$N$29&amp;PenaltyData[[#This Row],[ROW]],TRUE))</f>
        <v/>
      </c>
      <c r="G713" s="1233">
        <f ca="1">COUNTIFS($H$1:H713,"&lt;&gt;0", $F$1:F713,PenaltyData[[#This Row],[PlayerIdx]],$D$1:D713,PenaltyData[[#This Row],[Team]])</f>
        <v>0</v>
      </c>
      <c r="H713" s="1233">
        <f ca="1">INDIRECT("Penalties!"&amp;PenaltyData[[#This Row],[REF]]&amp;PenaltyData[[#This Row],[ROW]])</f>
        <v>0</v>
      </c>
      <c r="I713" s="1233" t="str">
        <f ca="1">IFERROR(VLOOKUP(PenaltyData[[#This Row],[Penalty]],PenaltyNames91419[],2,FALSE),"")</f>
        <v/>
      </c>
      <c r="J713" s="1220" t="s">
        <v>778</v>
      </c>
      <c r="K713" s="1220">
        <f t="shared" si="45"/>
        <v>42</v>
      </c>
      <c r="M713" s="1220"/>
    </row>
    <row r="714" spans="1:13" x14ac:dyDescent="0.25">
      <c r="A714" s="1230">
        <f t="shared" si="46"/>
        <v>42105</v>
      </c>
      <c r="B714" s="1231">
        <f t="shared" si="47"/>
        <v>0.83333333333333337</v>
      </c>
      <c r="C714" s="1220">
        <v>2</v>
      </c>
      <c r="D714" s="1220" t="str">
        <f t="shared" si="44"/>
        <v>Harlots</v>
      </c>
      <c r="E714" s="1233">
        <f ca="1">VALUE(INDIRECT("Penalties!"&amp;PenaltyData[[#This Row],[REF]]&amp;(PenaltyData[[#This Row],[ROW]]+1)))</f>
        <v>0</v>
      </c>
      <c r="F714" s="1220" t="str">
        <f ca="1">IF(INDIRECT("Penalties!"&amp;$N$29&amp;PenaltyData[[#This Row],[ROW]],TRUE)=0, "",INDIRECT("Penalties!"&amp;$N$29&amp;PenaltyData[[#This Row],[ROW]],TRUE))</f>
        <v/>
      </c>
      <c r="G714" s="1233">
        <f ca="1">COUNTIFS($H$1:H714,"&lt;&gt;0", $F$1:F714,PenaltyData[[#This Row],[PlayerIdx]],$D$1:D714,PenaltyData[[#This Row],[Team]])</f>
        <v>0</v>
      </c>
      <c r="H714" s="1233">
        <f ca="1">INDIRECT("Penalties!"&amp;PenaltyData[[#This Row],[REF]]&amp;PenaltyData[[#This Row],[ROW]])</f>
        <v>0</v>
      </c>
      <c r="I714" s="1233" t="str">
        <f ca="1">IFERROR(VLOOKUP(PenaltyData[[#This Row],[Penalty]],PenaltyNames91419[],2,FALSE),"")</f>
        <v/>
      </c>
      <c r="J714" s="1220" t="s">
        <v>779</v>
      </c>
      <c r="K714" s="1220">
        <f t="shared" si="45"/>
        <v>42</v>
      </c>
      <c r="M714" s="1220"/>
    </row>
    <row r="715" spans="1:13" x14ac:dyDescent="0.25">
      <c r="A715" s="1230">
        <f t="shared" si="46"/>
        <v>42105</v>
      </c>
      <c r="B715" s="1231">
        <f t="shared" si="47"/>
        <v>0.83333333333333337</v>
      </c>
      <c r="C715" s="1220">
        <v>2</v>
      </c>
      <c r="D715" s="1220" t="str">
        <f t="shared" si="44"/>
        <v>Harlots</v>
      </c>
      <c r="E715" s="1233">
        <f ca="1">VALUE(INDIRECT("Penalties!"&amp;PenaltyData[[#This Row],[REF]]&amp;(PenaltyData[[#This Row],[ROW]]+1)))</f>
        <v>0</v>
      </c>
      <c r="F715" s="1220" t="str">
        <f ca="1">IF(INDIRECT("Penalties!"&amp;$N$29&amp;PenaltyData[[#This Row],[ROW]],TRUE)=0, "",INDIRECT("Penalties!"&amp;$N$29&amp;PenaltyData[[#This Row],[ROW]],TRUE))</f>
        <v/>
      </c>
      <c r="G715" s="1233">
        <f ca="1">COUNTIFS($H$1:H715,"&lt;&gt;0", $F$1:F715,PenaltyData[[#This Row],[PlayerIdx]],$D$1:D715,PenaltyData[[#This Row],[Team]])</f>
        <v>0</v>
      </c>
      <c r="H715" s="1233">
        <f ca="1">INDIRECT("Penalties!"&amp;PenaltyData[[#This Row],[REF]]&amp;PenaltyData[[#This Row],[ROW]])</f>
        <v>0</v>
      </c>
      <c r="I715" s="1233" t="str">
        <f ca="1">IFERROR(VLOOKUP(PenaltyData[[#This Row],[Penalty]],PenaltyNames91419[],2,FALSE),"")</f>
        <v/>
      </c>
      <c r="J715" s="1220" t="s">
        <v>780</v>
      </c>
      <c r="K715" s="1220">
        <f t="shared" si="45"/>
        <v>42</v>
      </c>
      <c r="M715" s="1220"/>
    </row>
    <row r="716" spans="1:13" x14ac:dyDescent="0.25">
      <c r="A716" s="1230">
        <f t="shared" si="46"/>
        <v>42105</v>
      </c>
      <c r="B716" s="1231">
        <f t="shared" si="47"/>
        <v>0.83333333333333337</v>
      </c>
      <c r="C716" s="1220">
        <v>2</v>
      </c>
      <c r="D716" s="1220" t="str">
        <f t="shared" si="44"/>
        <v>Harlots</v>
      </c>
      <c r="E716" s="1233">
        <f ca="1">VALUE(INDIRECT("Penalties!"&amp;PenaltyData[[#This Row],[REF]]&amp;(PenaltyData[[#This Row],[ROW]]+1)))</f>
        <v>0</v>
      </c>
      <c r="F716" s="1220" t="str">
        <f ca="1">IF(INDIRECT("Penalties!"&amp;$N$29&amp;PenaltyData[[#This Row],[ROW]],TRUE)=0, "",INDIRECT("Penalties!"&amp;$N$29&amp;PenaltyData[[#This Row],[ROW]],TRUE))</f>
        <v/>
      </c>
      <c r="G716" s="1233">
        <f ca="1">COUNTIFS($H$1:H716,"&lt;&gt;0", $F$1:F716,PenaltyData[[#This Row],[PlayerIdx]],$D$1:D716,PenaltyData[[#This Row],[Team]])</f>
        <v>0</v>
      </c>
      <c r="H716" s="1233">
        <f ca="1">INDIRECT("Penalties!"&amp;PenaltyData[[#This Row],[REF]]&amp;PenaltyData[[#This Row],[ROW]])</f>
        <v>0</v>
      </c>
      <c r="I716" s="1233" t="str">
        <f ca="1">IFERROR(VLOOKUP(PenaltyData[[#This Row],[Penalty]],PenaltyNames91419[],2,FALSE),"")</f>
        <v/>
      </c>
      <c r="J716" s="1220" t="s">
        <v>781</v>
      </c>
      <c r="K716" s="1220">
        <f t="shared" si="45"/>
        <v>42</v>
      </c>
      <c r="M716" s="1220"/>
    </row>
    <row r="717" spans="1:13" x14ac:dyDescent="0.25">
      <c r="A717" s="1230">
        <f t="shared" si="46"/>
        <v>42105</v>
      </c>
      <c r="B717" s="1231">
        <f t="shared" si="47"/>
        <v>0.83333333333333337</v>
      </c>
      <c r="C717" s="1220">
        <v>2</v>
      </c>
      <c r="D717" s="1220" t="str">
        <f t="shared" si="44"/>
        <v>Harlots</v>
      </c>
      <c r="E717" s="1233">
        <f ca="1">VALUE(INDIRECT("Penalties!"&amp;PenaltyData[[#This Row],[REF]]&amp;(PenaltyData[[#This Row],[ROW]]+1)))</f>
        <v>0</v>
      </c>
      <c r="F717" s="1220" t="str">
        <f ca="1">IF(INDIRECT("Penalties!"&amp;$N$29&amp;PenaltyData[[#This Row],[ROW]],TRUE)=0, "",INDIRECT("Penalties!"&amp;$N$29&amp;PenaltyData[[#This Row],[ROW]],TRUE))</f>
        <v/>
      </c>
      <c r="G717" s="1233">
        <f ca="1">COUNTIFS($H$1:H717,"&lt;&gt;0", $F$1:F717,PenaltyData[[#This Row],[PlayerIdx]],$D$1:D717,PenaltyData[[#This Row],[Team]])</f>
        <v>0</v>
      </c>
      <c r="H717" s="1233">
        <f ca="1">INDIRECT("Penalties!"&amp;PenaltyData[[#This Row],[REF]]&amp;PenaltyData[[#This Row],[ROW]])</f>
        <v>0</v>
      </c>
      <c r="I717" s="1233" t="str">
        <f ca="1">IFERROR(VLOOKUP(PenaltyData[[#This Row],[Penalty]],PenaltyNames91419[],2,FALSE),"")</f>
        <v/>
      </c>
      <c r="J717" s="1220" t="s">
        <v>782</v>
      </c>
      <c r="K717" s="1220">
        <f t="shared" si="45"/>
        <v>42</v>
      </c>
      <c r="M717" s="1220"/>
    </row>
    <row r="718" spans="1:13" x14ac:dyDescent="0.25">
      <c r="A718" s="1230">
        <f t="shared" si="46"/>
        <v>42105</v>
      </c>
      <c r="B718" s="1231">
        <f t="shared" si="47"/>
        <v>0.83333333333333337</v>
      </c>
      <c r="C718" s="1220">
        <v>2</v>
      </c>
      <c r="D718" s="1220" t="str">
        <f t="shared" si="44"/>
        <v>Harlots</v>
      </c>
      <c r="E718" s="1233">
        <f ca="1">VALUE(INDIRECT("Penalties!"&amp;PenaltyData[[#This Row],[REF]]&amp;(PenaltyData[[#This Row],[ROW]]+1)))</f>
        <v>0</v>
      </c>
      <c r="F718" s="1220" t="str">
        <f ca="1">IF(INDIRECT("Penalties!"&amp;$N$29&amp;PenaltyData[[#This Row],[ROW]],TRUE)=0, "",INDIRECT("Penalties!"&amp;$N$29&amp;PenaltyData[[#This Row],[ROW]],TRUE))</f>
        <v/>
      </c>
      <c r="G718" s="1233">
        <f ca="1">COUNTIFS($H$1:H718,"&lt;&gt;0", $F$1:F718,PenaltyData[[#This Row],[PlayerIdx]],$D$1:D718,PenaltyData[[#This Row],[Team]])</f>
        <v>0</v>
      </c>
      <c r="H718" s="1233">
        <f ca="1">INDIRECT("Penalties!"&amp;PenaltyData[[#This Row],[REF]]&amp;PenaltyData[[#This Row],[ROW]])</f>
        <v>0</v>
      </c>
      <c r="I718" s="1233" t="str">
        <f ca="1">IFERROR(VLOOKUP(PenaltyData[[#This Row],[Penalty]],PenaltyNames91419[],2,FALSE),"")</f>
        <v/>
      </c>
      <c r="J718" s="1220" t="s">
        <v>783</v>
      </c>
      <c r="K718" s="1220">
        <f t="shared" si="45"/>
        <v>42</v>
      </c>
      <c r="M718" s="1220"/>
    </row>
    <row r="719" spans="1:13" x14ac:dyDescent="0.25">
      <c r="A719" s="1230">
        <f t="shared" si="46"/>
        <v>42105</v>
      </c>
      <c r="B719" s="1231">
        <f t="shared" si="47"/>
        <v>0.83333333333333337</v>
      </c>
      <c r="C719" s="1220">
        <v>2</v>
      </c>
      <c r="D719" s="1220" t="str">
        <f t="shared" si="44"/>
        <v>Harlots</v>
      </c>
      <c r="E719" s="1233">
        <f ca="1">VALUE(INDIRECT("Penalties!"&amp;PenaltyData[[#This Row],[REF]]&amp;(PenaltyData[[#This Row],[ROW]]+1)))</f>
        <v>0</v>
      </c>
      <c r="F719" s="1220" t="str">
        <f ca="1">IF(INDIRECT("Penalties!"&amp;$N$29&amp;PenaltyData[[#This Row],[ROW]],TRUE)=0, "",INDIRECT("Penalties!"&amp;$N$29&amp;PenaltyData[[#This Row],[ROW]],TRUE))</f>
        <v/>
      </c>
      <c r="G719" s="1233">
        <f ca="1">COUNTIFS($H$1:H719,"&lt;&gt;0", $F$1:F719,PenaltyData[[#This Row],[PlayerIdx]],$D$1:D719,PenaltyData[[#This Row],[Team]])</f>
        <v>0</v>
      </c>
      <c r="H719" s="1233">
        <f ca="1">INDIRECT("Penalties!"&amp;PenaltyData[[#This Row],[REF]]&amp;PenaltyData[[#This Row],[ROW]])</f>
        <v>0</v>
      </c>
      <c r="I719" s="1233" t="str">
        <f ca="1">IFERROR(VLOOKUP(PenaltyData[[#This Row],[Penalty]],PenaltyNames91419[],2,FALSE),"")</f>
        <v/>
      </c>
      <c r="J719" s="1220" t="s">
        <v>784</v>
      </c>
      <c r="K719" s="1220">
        <f t="shared" si="45"/>
        <v>42</v>
      </c>
      <c r="M719" s="1220"/>
    </row>
    <row r="720" spans="1:13" x14ac:dyDescent="0.25">
      <c r="A720" s="1230">
        <f t="shared" si="46"/>
        <v>42105</v>
      </c>
      <c r="B720" s="1231">
        <f t="shared" si="47"/>
        <v>0.83333333333333337</v>
      </c>
      <c r="C720" s="1220">
        <v>2</v>
      </c>
      <c r="D720" s="1220" t="str">
        <f t="shared" si="44"/>
        <v>Harlots</v>
      </c>
      <c r="E720" s="1233">
        <f ca="1">VALUE(INDIRECT("Penalties!"&amp;PenaltyData[[#This Row],[REF]]&amp;(PenaltyData[[#This Row],[ROW]]+1)))</f>
        <v>0</v>
      </c>
      <c r="F720" s="1220" t="str">
        <f ca="1">IF(INDIRECT("Penalties!"&amp;$N$29&amp;PenaltyData[[#This Row],[ROW]],TRUE)=0, "",INDIRECT("Penalties!"&amp;$N$29&amp;PenaltyData[[#This Row],[ROW]],TRUE))</f>
        <v/>
      </c>
      <c r="G720" s="1233">
        <f ca="1">COUNTIFS($H$1:H720,"&lt;&gt;0", $F$1:F720,PenaltyData[[#This Row],[PlayerIdx]],$D$1:D720,PenaltyData[[#This Row],[Team]])</f>
        <v>0</v>
      </c>
      <c r="H720" s="1233">
        <f ca="1">INDIRECT("Penalties!"&amp;PenaltyData[[#This Row],[REF]]&amp;PenaltyData[[#This Row],[ROW]])</f>
        <v>0</v>
      </c>
      <c r="I720" s="1233" t="str">
        <f ca="1">IFERROR(VLOOKUP(PenaltyData[[#This Row],[Penalty]],PenaltyNames91419[],2,FALSE),"")</f>
        <v/>
      </c>
      <c r="J720" s="1220" t="s">
        <v>785</v>
      </c>
      <c r="K720" s="1220">
        <f t="shared" si="45"/>
        <v>42</v>
      </c>
      <c r="M720" s="1220"/>
    </row>
    <row r="721" spans="1:13" x14ac:dyDescent="0.25">
      <c r="A721" s="1230">
        <f t="shared" si="46"/>
        <v>42105</v>
      </c>
      <c r="B721" s="1231">
        <f t="shared" si="47"/>
        <v>0.83333333333333337</v>
      </c>
      <c r="C721" s="1220">
        <v>2</v>
      </c>
      <c r="D721" s="1220" t="str">
        <f t="shared" si="44"/>
        <v>Harlots</v>
      </c>
      <c r="E721" s="1233">
        <f ca="1">VALUE(INDIRECT("Penalties!"&amp;PenaltyData[[#This Row],[REF]]&amp;(PenaltyData[[#This Row],[ROW]]+1)))</f>
        <v>0</v>
      </c>
      <c r="F721" s="1220" t="str">
        <f ca="1">IF(INDIRECT("Penalties!"&amp;$N$29&amp;PenaltyData[[#This Row],[ROW]],TRUE)=0, "",INDIRECT("Penalties!"&amp;$N$29&amp;PenaltyData[[#This Row],[ROW]],TRUE))</f>
        <v/>
      </c>
      <c r="G721" s="1233">
        <f ca="1">COUNTIFS($H$1:H721,"&lt;&gt;0", $F$1:F721,PenaltyData[[#This Row],[PlayerIdx]],$D$1:D721,PenaltyData[[#This Row],[Team]])</f>
        <v>0</v>
      </c>
      <c r="H721" s="1233">
        <f ca="1">INDIRECT("Penalties!"&amp;PenaltyData[[#This Row],[REF]]&amp;PenaltyData[[#This Row],[ROW]])</f>
        <v>0</v>
      </c>
      <c r="I721" s="1233" t="str">
        <f ca="1">IFERROR(VLOOKUP(PenaltyData[[#This Row],[Penalty]],PenaltyNames91419[],2,FALSE),"")</f>
        <v/>
      </c>
      <c r="J721" s="1220" t="s">
        <v>786</v>
      </c>
      <c r="K721" s="1220">
        <f t="shared" si="45"/>
        <v>42</v>
      </c>
      <c r="M721" s="1220"/>
    </row>
    <row r="722" spans="1:13" x14ac:dyDescent="0.25">
      <c r="M722" s="1220"/>
    </row>
    <row r="723" spans="1:13" x14ac:dyDescent="0.25">
      <c r="M723" s="1220"/>
    </row>
    <row r="724" spans="1:13" x14ac:dyDescent="0.25">
      <c r="M724" s="1220"/>
    </row>
    <row r="725" spans="1:13" x14ac:dyDescent="0.25">
      <c r="M725" s="1220"/>
    </row>
    <row r="726" spans="1:13" x14ac:dyDescent="0.25">
      <c r="M726" s="1220"/>
    </row>
    <row r="727" spans="1:13" x14ac:dyDescent="0.25">
      <c r="M727" s="1220"/>
    </row>
    <row r="728" spans="1:13" x14ac:dyDescent="0.25">
      <c r="M728" s="1220"/>
    </row>
    <row r="729" spans="1:13" x14ac:dyDescent="0.25">
      <c r="M729" s="1220"/>
    </row>
    <row r="730" spans="1:13" x14ac:dyDescent="0.25">
      <c r="M730" s="1220"/>
    </row>
    <row r="731" spans="1:13" x14ac:dyDescent="0.25">
      <c r="M731" s="1220"/>
    </row>
    <row r="732" spans="1:13" x14ac:dyDescent="0.25">
      <c r="M732" s="1220"/>
    </row>
    <row r="733" spans="1:13" x14ac:dyDescent="0.25">
      <c r="M733" s="1220"/>
    </row>
    <row r="734" spans="1:13" x14ac:dyDescent="0.25">
      <c r="M734" s="1220"/>
    </row>
    <row r="735" spans="1:13" x14ac:dyDescent="0.25">
      <c r="M735" s="1220"/>
    </row>
    <row r="736" spans="1:13" x14ac:dyDescent="0.25">
      <c r="M736" s="1220"/>
    </row>
    <row r="737" spans="13:13" x14ac:dyDescent="0.25">
      <c r="M737" s="1220"/>
    </row>
    <row r="738" spans="13:13" x14ac:dyDescent="0.25">
      <c r="M738" s="1220"/>
    </row>
    <row r="739" spans="13:13" x14ac:dyDescent="0.25">
      <c r="M739" s="1220"/>
    </row>
    <row r="740" spans="13:13" x14ac:dyDescent="0.25">
      <c r="M740" s="1220"/>
    </row>
    <row r="741" spans="13:13" x14ac:dyDescent="0.25">
      <c r="M741" s="1220"/>
    </row>
    <row r="742" spans="13:13" x14ac:dyDescent="0.25">
      <c r="M742" s="1220"/>
    </row>
    <row r="743" spans="13:13" x14ac:dyDescent="0.25">
      <c r="M743" s="1220"/>
    </row>
    <row r="744" spans="13:13" x14ac:dyDescent="0.25">
      <c r="M744" s="1220"/>
    </row>
    <row r="745" spans="13:13" x14ac:dyDescent="0.25">
      <c r="M745" s="1220"/>
    </row>
    <row r="746" spans="13:13" x14ac:dyDescent="0.25">
      <c r="M746" s="1220"/>
    </row>
    <row r="747" spans="13:13" x14ac:dyDescent="0.25">
      <c r="M747" s="1220"/>
    </row>
    <row r="748" spans="13:13" x14ac:dyDescent="0.25">
      <c r="M748" s="1220"/>
    </row>
    <row r="749" spans="13:13" x14ac:dyDescent="0.25">
      <c r="M749" s="1220"/>
    </row>
    <row r="750" spans="13:13" x14ac:dyDescent="0.25">
      <c r="M750" s="1220"/>
    </row>
    <row r="751" spans="13:13" x14ac:dyDescent="0.25">
      <c r="M751" s="1220"/>
    </row>
    <row r="752" spans="13:13" x14ac:dyDescent="0.25">
      <c r="M752" s="1220"/>
    </row>
    <row r="753" spans="13:13" x14ac:dyDescent="0.25">
      <c r="M753" s="1220"/>
    </row>
    <row r="754" spans="13:13" x14ac:dyDescent="0.25">
      <c r="M754" s="1220"/>
    </row>
    <row r="755" spans="13:13" x14ac:dyDescent="0.25">
      <c r="M755" s="1220"/>
    </row>
    <row r="756" spans="13:13" x14ac:dyDescent="0.25">
      <c r="M756" s="1220"/>
    </row>
    <row r="757" spans="13:13" x14ac:dyDescent="0.25">
      <c r="M757" s="1220"/>
    </row>
    <row r="758" spans="13:13" x14ac:dyDescent="0.25">
      <c r="M758" s="1220"/>
    </row>
    <row r="759" spans="13:13" x14ac:dyDescent="0.25">
      <c r="M759" s="1220"/>
    </row>
    <row r="760" spans="13:13" x14ac:dyDescent="0.25">
      <c r="M760" s="1220"/>
    </row>
    <row r="761" spans="13:13" x14ac:dyDescent="0.25">
      <c r="M761" s="1220"/>
    </row>
    <row r="762" spans="13:13" x14ac:dyDescent="0.25">
      <c r="M762" s="1220"/>
    </row>
    <row r="763" spans="13:13" x14ac:dyDescent="0.25">
      <c r="M763" s="1220"/>
    </row>
    <row r="764" spans="13:13" x14ac:dyDescent="0.25">
      <c r="M764" s="1220"/>
    </row>
    <row r="765" spans="13:13" x14ac:dyDescent="0.25">
      <c r="M765" s="1220"/>
    </row>
    <row r="766" spans="13:13" x14ac:dyDescent="0.25">
      <c r="M766" s="1220"/>
    </row>
    <row r="767" spans="13:13" x14ac:dyDescent="0.25">
      <c r="M767" s="1220"/>
    </row>
    <row r="768" spans="13:13" x14ac:dyDescent="0.25">
      <c r="M768" s="1220"/>
    </row>
    <row r="769" spans="13:13" x14ac:dyDescent="0.25">
      <c r="M769" s="1220"/>
    </row>
    <row r="770" spans="13:13" x14ac:dyDescent="0.25">
      <c r="M770" s="1220"/>
    </row>
    <row r="771" spans="13:13" x14ac:dyDescent="0.25">
      <c r="M771" s="1220"/>
    </row>
    <row r="772" spans="13:13" x14ac:dyDescent="0.25">
      <c r="M772" s="1220"/>
    </row>
    <row r="773" spans="13:13" x14ac:dyDescent="0.25">
      <c r="M773" s="1220"/>
    </row>
    <row r="774" spans="13:13" x14ac:dyDescent="0.25">
      <c r="M774" s="1220"/>
    </row>
    <row r="775" spans="13:13" x14ac:dyDescent="0.25">
      <c r="M775" s="1220"/>
    </row>
    <row r="776" spans="13:13" x14ac:dyDescent="0.25">
      <c r="M776" s="1220"/>
    </row>
    <row r="777" spans="13:13" x14ac:dyDescent="0.25">
      <c r="M777" s="1220"/>
    </row>
    <row r="778" spans="13:13" x14ac:dyDescent="0.25">
      <c r="M778" s="1220"/>
    </row>
    <row r="779" spans="13:13" x14ac:dyDescent="0.25">
      <c r="M779" s="1220"/>
    </row>
    <row r="780" spans="13:13" x14ac:dyDescent="0.25">
      <c r="M780" s="1220"/>
    </row>
    <row r="781" spans="13:13" x14ac:dyDescent="0.25">
      <c r="M781" s="1220"/>
    </row>
    <row r="782" spans="13:13" x14ac:dyDescent="0.25">
      <c r="M782" s="1220"/>
    </row>
    <row r="783" spans="13:13" x14ac:dyDescent="0.25">
      <c r="M783" s="1220"/>
    </row>
    <row r="784" spans="13:13" x14ac:dyDescent="0.25">
      <c r="M784" s="1220"/>
    </row>
    <row r="785" spans="13:13" x14ac:dyDescent="0.25">
      <c r="M785" s="1220"/>
    </row>
    <row r="786" spans="13:13" x14ac:dyDescent="0.25">
      <c r="M786" s="1220"/>
    </row>
    <row r="787" spans="13:13" x14ac:dyDescent="0.25">
      <c r="M787" s="1220"/>
    </row>
    <row r="788" spans="13:13" x14ac:dyDescent="0.25">
      <c r="M788" s="1220"/>
    </row>
    <row r="789" spans="13:13" x14ac:dyDescent="0.25">
      <c r="M789" s="1220"/>
    </row>
    <row r="790" spans="13:13" x14ac:dyDescent="0.25">
      <c r="M790" s="1220"/>
    </row>
    <row r="791" spans="13:13" x14ac:dyDescent="0.25">
      <c r="M791" s="1220"/>
    </row>
    <row r="792" spans="13:13" x14ac:dyDescent="0.25">
      <c r="M792" s="1220"/>
    </row>
    <row r="793" spans="13:13" x14ac:dyDescent="0.25">
      <c r="M793" s="1220"/>
    </row>
    <row r="794" spans="13:13" x14ac:dyDescent="0.25">
      <c r="M794" s="1220"/>
    </row>
    <row r="795" spans="13:13" x14ac:dyDescent="0.25">
      <c r="M795" s="1220"/>
    </row>
    <row r="796" spans="13:13" x14ac:dyDescent="0.25">
      <c r="M796" s="1220"/>
    </row>
    <row r="797" spans="13:13" x14ac:dyDescent="0.25">
      <c r="M797" s="1220"/>
    </row>
    <row r="798" spans="13:13" x14ac:dyDescent="0.25">
      <c r="M798" s="1220"/>
    </row>
    <row r="799" spans="13:13" x14ac:dyDescent="0.25">
      <c r="M799" s="1220"/>
    </row>
    <row r="800" spans="13:13" x14ac:dyDescent="0.25">
      <c r="M800" s="1220"/>
    </row>
    <row r="801" spans="13:13" x14ac:dyDescent="0.25">
      <c r="M801" s="1220"/>
    </row>
    <row r="802" spans="13:13" x14ac:dyDescent="0.25">
      <c r="M802" s="1220"/>
    </row>
    <row r="803" spans="13:13" x14ac:dyDescent="0.25">
      <c r="M803" s="1220"/>
    </row>
    <row r="804" spans="13:13" x14ac:dyDescent="0.25">
      <c r="M804" s="1220"/>
    </row>
    <row r="805" spans="13:13" x14ac:dyDescent="0.25">
      <c r="M805" s="1220"/>
    </row>
    <row r="806" spans="13:13" x14ac:dyDescent="0.25">
      <c r="M806" s="1220"/>
    </row>
    <row r="807" spans="13:13" x14ac:dyDescent="0.25">
      <c r="M807" s="1220"/>
    </row>
    <row r="808" spans="13:13" x14ac:dyDescent="0.25">
      <c r="M808" s="1220"/>
    </row>
    <row r="809" spans="13:13" x14ac:dyDescent="0.25">
      <c r="M809" s="1220"/>
    </row>
    <row r="810" spans="13:13" x14ac:dyDescent="0.25">
      <c r="M810" s="1220"/>
    </row>
    <row r="811" spans="13:13" x14ac:dyDescent="0.25">
      <c r="M811" s="1220"/>
    </row>
    <row r="812" spans="13:13" x14ac:dyDescent="0.25">
      <c r="M812" s="1220"/>
    </row>
    <row r="813" spans="13:13" x14ac:dyDescent="0.25">
      <c r="M813" s="1220"/>
    </row>
    <row r="814" spans="13:13" x14ac:dyDescent="0.25">
      <c r="M814" s="1220"/>
    </row>
    <row r="815" spans="13:13" x14ac:dyDescent="0.25">
      <c r="M815" s="1220"/>
    </row>
    <row r="816" spans="13:13" x14ac:dyDescent="0.25">
      <c r="M816" s="1220"/>
    </row>
    <row r="817" spans="13:13" x14ac:dyDescent="0.25">
      <c r="M817" s="1220"/>
    </row>
    <row r="818" spans="13:13" x14ac:dyDescent="0.25">
      <c r="M818" s="1220"/>
    </row>
    <row r="819" spans="13:13" x14ac:dyDescent="0.25">
      <c r="M819" s="1220"/>
    </row>
    <row r="820" spans="13:13" x14ac:dyDescent="0.25">
      <c r="M820" s="1220"/>
    </row>
    <row r="821" spans="13:13" x14ac:dyDescent="0.25">
      <c r="M821" s="1220"/>
    </row>
    <row r="822" spans="13:13" x14ac:dyDescent="0.25">
      <c r="M822" s="1220"/>
    </row>
    <row r="823" spans="13:13" x14ac:dyDescent="0.25">
      <c r="M823" s="1220"/>
    </row>
    <row r="824" spans="13:13" x14ac:dyDescent="0.25">
      <c r="M824" s="1220"/>
    </row>
    <row r="825" spans="13:13" x14ac:dyDescent="0.25">
      <c r="M825" s="1220"/>
    </row>
    <row r="826" spans="13:13" x14ac:dyDescent="0.25">
      <c r="M826" s="1220"/>
    </row>
    <row r="827" spans="13:13" x14ac:dyDescent="0.25">
      <c r="M827" s="1220"/>
    </row>
    <row r="828" spans="13:13" x14ac:dyDescent="0.25">
      <c r="M828" s="1220"/>
    </row>
    <row r="829" spans="13:13" x14ac:dyDescent="0.25">
      <c r="M829" s="1220"/>
    </row>
    <row r="830" spans="13:13" x14ac:dyDescent="0.25">
      <c r="M830" s="1220"/>
    </row>
    <row r="831" spans="13:13" x14ac:dyDescent="0.25">
      <c r="M831" s="1220"/>
    </row>
    <row r="832" spans="13:13" x14ac:dyDescent="0.25">
      <c r="M832" s="1220"/>
    </row>
    <row r="833" spans="13:13" x14ac:dyDescent="0.25">
      <c r="M833" s="1220"/>
    </row>
    <row r="834" spans="13:13" x14ac:dyDescent="0.25">
      <c r="M834" s="1220"/>
    </row>
    <row r="835" spans="13:13" x14ac:dyDescent="0.25">
      <c r="M835" s="1220"/>
    </row>
    <row r="836" spans="13:13" x14ac:dyDescent="0.25">
      <c r="M836" s="1220"/>
    </row>
    <row r="837" spans="13:13" x14ac:dyDescent="0.25">
      <c r="M837" s="1220"/>
    </row>
    <row r="838" spans="13:13" x14ac:dyDescent="0.25">
      <c r="M838" s="1220"/>
    </row>
    <row r="839" spans="13:13" x14ac:dyDescent="0.25">
      <c r="M839" s="1220"/>
    </row>
    <row r="840" spans="13:13" x14ac:dyDescent="0.25">
      <c r="M840" s="1220"/>
    </row>
    <row r="841" spans="13:13" x14ac:dyDescent="0.25">
      <c r="M841" s="1220"/>
    </row>
    <row r="842" spans="13:13" x14ac:dyDescent="0.25">
      <c r="M842" s="1220"/>
    </row>
    <row r="843" spans="13:13" x14ac:dyDescent="0.25">
      <c r="M843" s="1220"/>
    </row>
    <row r="844" spans="13:13" x14ac:dyDescent="0.25">
      <c r="M844" s="1220"/>
    </row>
    <row r="845" spans="13:13" x14ac:dyDescent="0.25">
      <c r="M845" s="1220"/>
    </row>
    <row r="846" spans="13:13" x14ac:dyDescent="0.25">
      <c r="M846" s="1220"/>
    </row>
    <row r="847" spans="13:13" x14ac:dyDescent="0.25">
      <c r="M847" s="1220"/>
    </row>
    <row r="848" spans="13:13" x14ac:dyDescent="0.25">
      <c r="M848" s="1220"/>
    </row>
    <row r="849" spans="13:13" x14ac:dyDescent="0.25">
      <c r="M849" s="1220"/>
    </row>
    <row r="850" spans="13:13" x14ac:dyDescent="0.25">
      <c r="M850" s="1220"/>
    </row>
    <row r="851" spans="13:13" x14ac:dyDescent="0.25">
      <c r="M851" s="1220"/>
    </row>
    <row r="852" spans="13:13" x14ac:dyDescent="0.25">
      <c r="M852" s="1220"/>
    </row>
    <row r="853" spans="13:13" x14ac:dyDescent="0.25">
      <c r="M853" s="1220"/>
    </row>
    <row r="854" spans="13:13" x14ac:dyDescent="0.25">
      <c r="M854" s="1220"/>
    </row>
    <row r="855" spans="13:13" x14ac:dyDescent="0.25">
      <c r="M855" s="1220"/>
    </row>
    <row r="856" spans="13:13" x14ac:dyDescent="0.25">
      <c r="M856" s="1220"/>
    </row>
    <row r="857" spans="13:13" x14ac:dyDescent="0.25">
      <c r="M857" s="1220"/>
    </row>
    <row r="858" spans="13:13" x14ac:dyDescent="0.25">
      <c r="M858" s="1220"/>
    </row>
    <row r="859" spans="13:13" x14ac:dyDescent="0.25">
      <c r="M859" s="1220"/>
    </row>
    <row r="860" spans="13:13" x14ac:dyDescent="0.25">
      <c r="M860" s="1220"/>
    </row>
    <row r="861" spans="13:13" x14ac:dyDescent="0.25">
      <c r="M861" s="1220"/>
    </row>
    <row r="862" spans="13:13" x14ac:dyDescent="0.25">
      <c r="M862" s="1220"/>
    </row>
    <row r="863" spans="13:13" x14ac:dyDescent="0.25">
      <c r="M863" s="1220"/>
    </row>
    <row r="864" spans="13:13" x14ac:dyDescent="0.25">
      <c r="M864" s="1220"/>
    </row>
    <row r="865" spans="13:13" x14ac:dyDescent="0.25">
      <c r="M865" s="1220"/>
    </row>
    <row r="866" spans="13:13" x14ac:dyDescent="0.25">
      <c r="M866" s="1220"/>
    </row>
    <row r="867" spans="13:13" x14ac:dyDescent="0.25">
      <c r="M867" s="1220"/>
    </row>
    <row r="868" spans="13:13" x14ac:dyDescent="0.25">
      <c r="M868" s="1220"/>
    </row>
    <row r="869" spans="13:13" x14ac:dyDescent="0.25">
      <c r="M869" s="1220"/>
    </row>
    <row r="870" spans="13:13" x14ac:dyDescent="0.25">
      <c r="M870" s="1220"/>
    </row>
    <row r="871" spans="13:13" x14ac:dyDescent="0.25">
      <c r="M871" s="1220"/>
    </row>
    <row r="872" spans="13:13" x14ac:dyDescent="0.25">
      <c r="M872" s="1220"/>
    </row>
    <row r="873" spans="13:13" x14ac:dyDescent="0.25">
      <c r="M873" s="1220"/>
    </row>
    <row r="874" spans="13:13" x14ac:dyDescent="0.25">
      <c r="M874" s="1220"/>
    </row>
    <row r="875" spans="13:13" x14ac:dyDescent="0.25">
      <c r="M875" s="1220"/>
    </row>
    <row r="876" spans="13:13" x14ac:dyDescent="0.25">
      <c r="M876" s="1220"/>
    </row>
    <row r="877" spans="13:13" x14ac:dyDescent="0.25">
      <c r="M877" s="1220"/>
    </row>
    <row r="878" spans="13:13" x14ac:dyDescent="0.25">
      <c r="M878" s="1220"/>
    </row>
    <row r="879" spans="13:13" x14ac:dyDescent="0.25">
      <c r="M879" s="1220"/>
    </row>
    <row r="880" spans="13:13" x14ac:dyDescent="0.25">
      <c r="M880" s="1220"/>
    </row>
    <row r="881" spans="13:13" x14ac:dyDescent="0.25">
      <c r="M881" s="1220"/>
    </row>
    <row r="882" spans="13:13" x14ac:dyDescent="0.25">
      <c r="M882" s="1220"/>
    </row>
    <row r="883" spans="13:13" x14ac:dyDescent="0.25">
      <c r="M883" s="1220"/>
    </row>
    <row r="884" spans="13:13" x14ac:dyDescent="0.25">
      <c r="M884" s="1220"/>
    </row>
    <row r="885" spans="13:13" x14ac:dyDescent="0.25">
      <c r="M885" s="1220"/>
    </row>
    <row r="886" spans="13:13" x14ac:dyDescent="0.25">
      <c r="M886" s="1220"/>
    </row>
    <row r="887" spans="13:13" x14ac:dyDescent="0.25">
      <c r="M887" s="1220"/>
    </row>
    <row r="888" spans="13:13" x14ac:dyDescent="0.25">
      <c r="M888" s="1220"/>
    </row>
    <row r="889" spans="13:13" x14ac:dyDescent="0.25">
      <c r="M889" s="1220"/>
    </row>
    <row r="890" spans="13:13" x14ac:dyDescent="0.25">
      <c r="M890" s="1220"/>
    </row>
    <row r="891" spans="13:13" x14ac:dyDescent="0.25">
      <c r="M891" s="1220"/>
    </row>
    <row r="892" spans="13:13" x14ac:dyDescent="0.25">
      <c r="M892" s="1220"/>
    </row>
    <row r="893" spans="13:13" x14ac:dyDescent="0.25">
      <c r="M893" s="1220"/>
    </row>
    <row r="894" spans="13:13" x14ac:dyDescent="0.25">
      <c r="M894" s="1220"/>
    </row>
    <row r="895" spans="13:13" x14ac:dyDescent="0.25">
      <c r="M895" s="1220"/>
    </row>
    <row r="896" spans="13:13" x14ac:dyDescent="0.25">
      <c r="M896" s="1220"/>
    </row>
    <row r="897" spans="13:13" x14ac:dyDescent="0.25">
      <c r="M897" s="1220"/>
    </row>
    <row r="898" spans="13:13" x14ac:dyDescent="0.25">
      <c r="M898" s="1220"/>
    </row>
    <row r="899" spans="13:13" x14ac:dyDescent="0.25">
      <c r="M899" s="1220"/>
    </row>
    <row r="900" spans="13:13" x14ac:dyDescent="0.25">
      <c r="M900" s="1220"/>
    </row>
    <row r="901" spans="13:13" x14ac:dyDescent="0.25">
      <c r="M901" s="1220"/>
    </row>
    <row r="902" spans="13:13" x14ac:dyDescent="0.25">
      <c r="M902" s="1220"/>
    </row>
    <row r="903" spans="13:13" x14ac:dyDescent="0.25">
      <c r="M903" s="1220"/>
    </row>
    <row r="904" spans="13:13" x14ac:dyDescent="0.25">
      <c r="M904" s="1220"/>
    </row>
    <row r="905" spans="13:13" x14ac:dyDescent="0.25">
      <c r="M905" s="1220"/>
    </row>
    <row r="906" spans="13:13" x14ac:dyDescent="0.25">
      <c r="M906" s="1220"/>
    </row>
    <row r="907" spans="13:13" x14ac:dyDescent="0.25">
      <c r="M907" s="1220"/>
    </row>
    <row r="908" spans="13:13" x14ac:dyDescent="0.25">
      <c r="M908" s="1220"/>
    </row>
    <row r="909" spans="13:13" x14ac:dyDescent="0.25">
      <c r="M909" s="1220"/>
    </row>
    <row r="910" spans="13:13" x14ac:dyDescent="0.25">
      <c r="M910" s="1220"/>
    </row>
    <row r="911" spans="13:13" x14ac:dyDescent="0.25">
      <c r="M911" s="1220"/>
    </row>
    <row r="912" spans="13:13" x14ac:dyDescent="0.25">
      <c r="M912" s="1220"/>
    </row>
    <row r="913" spans="13:13" x14ac:dyDescent="0.25">
      <c r="M913" s="1220"/>
    </row>
    <row r="914" spans="13:13" x14ac:dyDescent="0.25">
      <c r="M914" s="1220"/>
    </row>
    <row r="915" spans="13:13" x14ac:dyDescent="0.25">
      <c r="M915" s="1220"/>
    </row>
    <row r="916" spans="13:13" x14ac:dyDescent="0.25">
      <c r="M916" s="1220"/>
    </row>
    <row r="917" spans="13:13" x14ac:dyDescent="0.25">
      <c r="M917" s="1220"/>
    </row>
    <row r="918" spans="13:13" x14ac:dyDescent="0.25">
      <c r="M918" s="1220"/>
    </row>
    <row r="919" spans="13:13" x14ac:dyDescent="0.25">
      <c r="M919" s="1220"/>
    </row>
    <row r="920" spans="13:13" x14ac:dyDescent="0.25">
      <c r="M920" s="1220"/>
    </row>
    <row r="921" spans="13:13" x14ac:dyDescent="0.25">
      <c r="M921" s="1220"/>
    </row>
    <row r="922" spans="13:13" x14ac:dyDescent="0.25">
      <c r="M922" s="1220"/>
    </row>
    <row r="923" spans="13:13" x14ac:dyDescent="0.25">
      <c r="M923" s="1220"/>
    </row>
    <row r="924" spans="13:13" x14ac:dyDescent="0.25">
      <c r="M924" s="1220"/>
    </row>
    <row r="925" spans="13:13" x14ac:dyDescent="0.25">
      <c r="M925" s="1220"/>
    </row>
    <row r="926" spans="13:13" x14ac:dyDescent="0.25">
      <c r="M926" s="1220"/>
    </row>
    <row r="927" spans="13:13" x14ac:dyDescent="0.25">
      <c r="M927" s="1220"/>
    </row>
    <row r="928" spans="13:13" x14ac:dyDescent="0.25">
      <c r="M928" s="1220"/>
    </row>
    <row r="929" spans="13:13" x14ac:dyDescent="0.25">
      <c r="M929" s="1220"/>
    </row>
    <row r="930" spans="13:13" x14ac:dyDescent="0.25">
      <c r="M930" s="1220"/>
    </row>
    <row r="931" spans="13:13" x14ac:dyDescent="0.25">
      <c r="M931" s="1220"/>
    </row>
    <row r="932" spans="13:13" x14ac:dyDescent="0.25">
      <c r="M932" s="1220"/>
    </row>
    <row r="933" spans="13:13" x14ac:dyDescent="0.25">
      <c r="M933" s="1220"/>
    </row>
    <row r="934" spans="13:13" x14ac:dyDescent="0.25">
      <c r="M934" s="1220"/>
    </row>
    <row r="935" spans="13:13" x14ac:dyDescent="0.25">
      <c r="M935" s="1220"/>
    </row>
    <row r="936" spans="13:13" x14ac:dyDescent="0.25">
      <c r="M936" s="1220"/>
    </row>
    <row r="937" spans="13:13" x14ac:dyDescent="0.25">
      <c r="M937" s="1220"/>
    </row>
    <row r="938" spans="13:13" x14ac:dyDescent="0.25">
      <c r="M938" s="1220"/>
    </row>
    <row r="939" spans="13:13" x14ac:dyDescent="0.25">
      <c r="M939" s="1220"/>
    </row>
    <row r="940" spans="13:13" x14ac:dyDescent="0.25">
      <c r="M940" s="1220"/>
    </row>
    <row r="941" spans="13:13" x14ac:dyDescent="0.25">
      <c r="M941" s="1220"/>
    </row>
    <row r="942" spans="13:13" x14ac:dyDescent="0.25">
      <c r="M942" s="1220"/>
    </row>
    <row r="943" spans="13:13" x14ac:dyDescent="0.25">
      <c r="M943" s="1220"/>
    </row>
    <row r="944" spans="13:13" x14ac:dyDescent="0.25">
      <c r="M944" s="1220"/>
    </row>
    <row r="945" spans="13:13" x14ac:dyDescent="0.25">
      <c r="M945" s="1220"/>
    </row>
    <row r="946" spans="13:13" x14ac:dyDescent="0.25">
      <c r="M946" s="1220"/>
    </row>
    <row r="947" spans="13:13" x14ac:dyDescent="0.25">
      <c r="M947" s="1220"/>
    </row>
    <row r="948" spans="13:13" x14ac:dyDescent="0.25">
      <c r="M948" s="1220"/>
    </row>
    <row r="949" spans="13:13" x14ac:dyDescent="0.25">
      <c r="M949" s="1220"/>
    </row>
    <row r="950" spans="13:13" x14ac:dyDescent="0.25">
      <c r="M950" s="1220"/>
    </row>
    <row r="951" spans="13:13" x14ac:dyDescent="0.25">
      <c r="M951" s="1220"/>
    </row>
    <row r="952" spans="13:13" x14ac:dyDescent="0.25">
      <c r="M952" s="1220"/>
    </row>
    <row r="953" spans="13:13" x14ac:dyDescent="0.25">
      <c r="M953" s="1220"/>
    </row>
    <row r="954" spans="13:13" x14ac:dyDescent="0.25">
      <c r="M954" s="1220"/>
    </row>
    <row r="955" spans="13:13" x14ac:dyDescent="0.25">
      <c r="M955" s="1220"/>
    </row>
    <row r="956" spans="13:13" x14ac:dyDescent="0.25">
      <c r="M956" s="1220"/>
    </row>
    <row r="957" spans="13:13" x14ac:dyDescent="0.25">
      <c r="M957" s="1220"/>
    </row>
    <row r="958" spans="13:13" x14ac:dyDescent="0.25">
      <c r="M958" s="1220"/>
    </row>
    <row r="959" spans="13:13" x14ac:dyDescent="0.25">
      <c r="M959" s="1220"/>
    </row>
    <row r="960" spans="13:13" x14ac:dyDescent="0.25">
      <c r="M960" s="1220"/>
    </row>
    <row r="961" spans="13:13" x14ac:dyDescent="0.25">
      <c r="M961" s="1220"/>
    </row>
    <row r="962" spans="13:13" x14ac:dyDescent="0.25">
      <c r="M962" s="1220"/>
    </row>
    <row r="963" spans="13:13" x14ac:dyDescent="0.25">
      <c r="M963" s="1220"/>
    </row>
    <row r="964" spans="13:13" x14ac:dyDescent="0.25">
      <c r="M964" s="1220"/>
    </row>
    <row r="965" spans="13:13" x14ac:dyDescent="0.25">
      <c r="M965" s="1220"/>
    </row>
    <row r="966" spans="13:13" x14ac:dyDescent="0.25">
      <c r="M966" s="1220"/>
    </row>
    <row r="967" spans="13:13" x14ac:dyDescent="0.25">
      <c r="M967" s="1220"/>
    </row>
    <row r="968" spans="13:13" x14ac:dyDescent="0.25">
      <c r="M968" s="1220"/>
    </row>
    <row r="969" spans="13:13" x14ac:dyDescent="0.25">
      <c r="M969" s="1220"/>
    </row>
    <row r="970" spans="13:13" x14ac:dyDescent="0.25">
      <c r="M970" s="1220"/>
    </row>
    <row r="971" spans="13:13" x14ac:dyDescent="0.25">
      <c r="M971" s="1220"/>
    </row>
    <row r="972" spans="13:13" x14ac:dyDescent="0.25">
      <c r="M972" s="1220"/>
    </row>
    <row r="973" spans="13:13" x14ac:dyDescent="0.25">
      <c r="M973" s="1220"/>
    </row>
    <row r="974" spans="13:13" x14ac:dyDescent="0.25">
      <c r="M974" s="1220"/>
    </row>
    <row r="975" spans="13:13" x14ac:dyDescent="0.25">
      <c r="M975" s="1220"/>
    </row>
    <row r="976" spans="13:13" x14ac:dyDescent="0.25">
      <c r="M976" s="1220"/>
    </row>
    <row r="977" spans="13:13" x14ac:dyDescent="0.25">
      <c r="M977" s="1220"/>
    </row>
    <row r="978" spans="13:13" x14ac:dyDescent="0.25">
      <c r="M978" s="1220"/>
    </row>
    <row r="979" spans="13:13" x14ac:dyDescent="0.25">
      <c r="M979" s="1220"/>
    </row>
    <row r="980" spans="13:13" x14ac:dyDescent="0.25">
      <c r="M980" s="1220"/>
    </row>
    <row r="981" spans="13:13" x14ac:dyDescent="0.25">
      <c r="M981" s="1220"/>
    </row>
    <row r="982" spans="13:13" x14ac:dyDescent="0.25">
      <c r="M982" s="1220"/>
    </row>
    <row r="983" spans="13:13" x14ac:dyDescent="0.25">
      <c r="M983" s="1220"/>
    </row>
    <row r="984" spans="13:13" x14ac:dyDescent="0.25">
      <c r="M984" s="1220"/>
    </row>
    <row r="985" spans="13:13" x14ac:dyDescent="0.25">
      <c r="M985" s="1220"/>
    </row>
    <row r="986" spans="13:13" x14ac:dyDescent="0.25">
      <c r="M986" s="1220"/>
    </row>
    <row r="987" spans="13:13" x14ac:dyDescent="0.25">
      <c r="M987" s="1220"/>
    </row>
    <row r="988" spans="13:13" x14ac:dyDescent="0.25">
      <c r="M988" s="1220"/>
    </row>
    <row r="989" spans="13:13" x14ac:dyDescent="0.25">
      <c r="M989" s="1220"/>
    </row>
    <row r="990" spans="13:13" x14ac:dyDescent="0.25">
      <c r="M990" s="1220"/>
    </row>
    <row r="991" spans="13:13" x14ac:dyDescent="0.25">
      <c r="M991" s="1220"/>
    </row>
    <row r="992" spans="13:13" x14ac:dyDescent="0.25">
      <c r="M992" s="1220"/>
    </row>
    <row r="993" spans="13:13" x14ac:dyDescent="0.25">
      <c r="M993" s="1220"/>
    </row>
    <row r="994" spans="13:13" x14ac:dyDescent="0.25">
      <c r="M994" s="1220"/>
    </row>
    <row r="995" spans="13:13" x14ac:dyDescent="0.25">
      <c r="M995" s="1220"/>
    </row>
    <row r="996" spans="13:13" x14ac:dyDescent="0.25">
      <c r="M996" s="1220"/>
    </row>
    <row r="997" spans="13:13" x14ac:dyDescent="0.25">
      <c r="M997" s="1220"/>
    </row>
    <row r="998" spans="13:13" x14ac:dyDescent="0.25">
      <c r="M998" s="1220"/>
    </row>
    <row r="999" spans="13:13" x14ac:dyDescent="0.25">
      <c r="M999" s="1220"/>
    </row>
    <row r="1000" spans="13:13" x14ac:dyDescent="0.25">
      <c r="M1000" s="1220"/>
    </row>
    <row r="1001" spans="13:13" x14ac:dyDescent="0.25">
      <c r="M1001" s="1220"/>
    </row>
    <row r="1002" spans="13:13" x14ac:dyDescent="0.25">
      <c r="M1002" s="1220"/>
    </row>
    <row r="1003" spans="13:13" x14ac:dyDescent="0.25">
      <c r="M1003" s="1220"/>
    </row>
    <row r="1004" spans="13:13" x14ac:dyDescent="0.25">
      <c r="M1004" s="1220"/>
    </row>
    <row r="1005" spans="13:13" x14ac:dyDescent="0.25">
      <c r="M1005" s="1220"/>
    </row>
    <row r="1006" spans="13:13" x14ac:dyDescent="0.25">
      <c r="M1006" s="1220"/>
    </row>
    <row r="1007" spans="13:13" x14ac:dyDescent="0.25">
      <c r="M1007" s="1220"/>
    </row>
    <row r="1008" spans="13:13" x14ac:dyDescent="0.25">
      <c r="M1008" s="1220"/>
    </row>
    <row r="1009" spans="13:13" x14ac:dyDescent="0.25">
      <c r="M1009" s="1220"/>
    </row>
    <row r="1010" spans="13:13" x14ac:dyDescent="0.25">
      <c r="M1010" s="1220"/>
    </row>
    <row r="1011" spans="13:13" x14ac:dyDescent="0.25">
      <c r="M1011" s="1220"/>
    </row>
    <row r="1012" spans="13:13" x14ac:dyDescent="0.25">
      <c r="M1012" s="1220"/>
    </row>
    <row r="1013" spans="13:13" x14ac:dyDescent="0.25">
      <c r="M1013" s="1220"/>
    </row>
    <row r="1014" spans="13:13" x14ac:dyDescent="0.25">
      <c r="M1014" s="1220"/>
    </row>
    <row r="1015" spans="13:13" x14ac:dyDescent="0.25">
      <c r="M1015" s="1220"/>
    </row>
    <row r="1016" spans="13:13" x14ac:dyDescent="0.25">
      <c r="M1016" s="1220"/>
    </row>
    <row r="1017" spans="13:13" x14ac:dyDescent="0.25">
      <c r="M1017" s="1220"/>
    </row>
    <row r="1018" spans="13:13" x14ac:dyDescent="0.25">
      <c r="M1018" s="1220"/>
    </row>
    <row r="1019" spans="13:13" x14ac:dyDescent="0.25">
      <c r="M1019" s="1220"/>
    </row>
    <row r="1020" spans="13:13" x14ac:dyDescent="0.25">
      <c r="M1020" s="1220"/>
    </row>
    <row r="1021" spans="13:13" x14ac:dyDescent="0.25">
      <c r="M1021" s="1220"/>
    </row>
    <row r="1022" spans="13:13" x14ac:dyDescent="0.25">
      <c r="M1022" s="1220"/>
    </row>
    <row r="1023" spans="13:13" x14ac:dyDescent="0.25">
      <c r="M1023" s="1220"/>
    </row>
    <row r="1024" spans="13:13" x14ac:dyDescent="0.25">
      <c r="M1024" s="1220"/>
    </row>
    <row r="1025" spans="13:13" x14ac:dyDescent="0.25">
      <c r="M1025" s="1220"/>
    </row>
    <row r="1026" spans="13:13" x14ac:dyDescent="0.25">
      <c r="M1026" s="1220"/>
    </row>
    <row r="1027" spans="13:13" x14ac:dyDescent="0.25">
      <c r="M1027" s="1220"/>
    </row>
    <row r="1028" spans="13:13" x14ac:dyDescent="0.25">
      <c r="M1028" s="1220"/>
    </row>
    <row r="1029" spans="13:13" x14ac:dyDescent="0.25">
      <c r="M1029" s="1220"/>
    </row>
    <row r="1030" spans="13:13" x14ac:dyDescent="0.25">
      <c r="M1030" s="1220"/>
    </row>
    <row r="1031" spans="13:13" x14ac:dyDescent="0.25">
      <c r="M1031" s="1220"/>
    </row>
    <row r="1032" spans="13:13" x14ac:dyDescent="0.25">
      <c r="M1032" s="1220"/>
    </row>
    <row r="1033" spans="13:13" x14ac:dyDescent="0.25">
      <c r="M1033" s="1220"/>
    </row>
    <row r="1034" spans="13:13" x14ac:dyDescent="0.25">
      <c r="M1034" s="1220"/>
    </row>
    <row r="1035" spans="13:13" x14ac:dyDescent="0.25">
      <c r="M1035" s="1220"/>
    </row>
    <row r="1036" spans="13:13" x14ac:dyDescent="0.25">
      <c r="M1036" s="1220"/>
    </row>
    <row r="1037" spans="13:13" x14ac:dyDescent="0.25">
      <c r="M1037" s="1220"/>
    </row>
    <row r="1038" spans="13:13" x14ac:dyDescent="0.25">
      <c r="M1038" s="1220"/>
    </row>
    <row r="1039" spans="13:13" x14ac:dyDescent="0.25">
      <c r="M1039" s="1220"/>
    </row>
    <row r="1040" spans="13:13" x14ac:dyDescent="0.25">
      <c r="M1040" s="1220"/>
    </row>
    <row r="1041" spans="13:13" x14ac:dyDescent="0.25">
      <c r="M1041" s="1220"/>
    </row>
    <row r="1042" spans="13:13" x14ac:dyDescent="0.25">
      <c r="M1042" s="1220"/>
    </row>
    <row r="1043" spans="13:13" x14ac:dyDescent="0.25">
      <c r="M1043" s="1220"/>
    </row>
    <row r="1044" spans="13:13" x14ac:dyDescent="0.25">
      <c r="M1044" s="1220"/>
    </row>
    <row r="1045" spans="13:13" x14ac:dyDescent="0.25">
      <c r="M1045" s="1220"/>
    </row>
    <row r="1046" spans="13:13" x14ac:dyDescent="0.25">
      <c r="M1046" s="1220"/>
    </row>
    <row r="1047" spans="13:13" x14ac:dyDescent="0.25">
      <c r="M1047" s="1220"/>
    </row>
    <row r="1048" spans="13:13" x14ac:dyDescent="0.25">
      <c r="M1048" s="1220"/>
    </row>
    <row r="1049" spans="13:13" x14ac:dyDescent="0.25">
      <c r="M1049" s="1220"/>
    </row>
    <row r="1050" spans="13:13" x14ac:dyDescent="0.25">
      <c r="M1050" s="1220"/>
    </row>
    <row r="1051" spans="13:13" x14ac:dyDescent="0.25">
      <c r="M1051" s="1220"/>
    </row>
    <row r="1052" spans="13:13" x14ac:dyDescent="0.25">
      <c r="M1052" s="1220"/>
    </row>
    <row r="1053" spans="13:13" x14ac:dyDescent="0.25">
      <c r="M1053" s="1220"/>
    </row>
    <row r="1054" spans="13:13" x14ac:dyDescent="0.25">
      <c r="M1054" s="1220"/>
    </row>
    <row r="1055" spans="13:13" x14ac:dyDescent="0.25">
      <c r="M1055" s="1220"/>
    </row>
    <row r="1056" spans="13:13" x14ac:dyDescent="0.25">
      <c r="M1056" s="1220"/>
    </row>
    <row r="1057" spans="13:13" x14ac:dyDescent="0.25">
      <c r="M1057" s="1220"/>
    </row>
    <row r="1058" spans="13:13" x14ac:dyDescent="0.25">
      <c r="M1058" s="1220"/>
    </row>
    <row r="1059" spans="13:13" x14ac:dyDescent="0.25">
      <c r="M1059" s="1220"/>
    </row>
    <row r="1060" spans="13:13" x14ac:dyDescent="0.25">
      <c r="M1060" s="1220"/>
    </row>
    <row r="1061" spans="13:13" x14ac:dyDescent="0.25">
      <c r="M1061" s="1220"/>
    </row>
    <row r="1062" spans="13:13" x14ac:dyDescent="0.25">
      <c r="M1062" s="1220"/>
    </row>
    <row r="1063" spans="13:13" x14ac:dyDescent="0.25">
      <c r="M1063" s="1220"/>
    </row>
    <row r="1064" spans="13:13" x14ac:dyDescent="0.25">
      <c r="M1064" s="1220"/>
    </row>
    <row r="1065" spans="13:13" x14ac:dyDescent="0.25">
      <c r="M1065" s="1220"/>
    </row>
    <row r="1066" spans="13:13" x14ac:dyDescent="0.25">
      <c r="M1066" s="1220"/>
    </row>
    <row r="1067" spans="13:13" x14ac:dyDescent="0.25">
      <c r="M1067" s="1220"/>
    </row>
    <row r="1068" spans="13:13" x14ac:dyDescent="0.25">
      <c r="M1068" s="1220"/>
    </row>
    <row r="1069" spans="13:13" x14ac:dyDescent="0.25">
      <c r="M1069" s="1220"/>
    </row>
    <row r="1070" spans="13:13" x14ac:dyDescent="0.25">
      <c r="M1070" s="1220"/>
    </row>
    <row r="1071" spans="13:13" x14ac:dyDescent="0.25">
      <c r="M1071" s="1220"/>
    </row>
    <row r="1072" spans="13:13" x14ac:dyDescent="0.25">
      <c r="M1072" s="1220"/>
    </row>
    <row r="1073" spans="13:13" x14ac:dyDescent="0.25">
      <c r="M1073" s="1220"/>
    </row>
    <row r="1074" spans="13:13" x14ac:dyDescent="0.25">
      <c r="M1074" s="1220"/>
    </row>
    <row r="1075" spans="13:13" x14ac:dyDescent="0.25">
      <c r="M1075" s="1220"/>
    </row>
    <row r="1076" spans="13:13" x14ac:dyDescent="0.25">
      <c r="M1076" s="1220"/>
    </row>
    <row r="1077" spans="13:13" x14ac:dyDescent="0.25">
      <c r="M1077" s="1220"/>
    </row>
    <row r="1078" spans="13:13" x14ac:dyDescent="0.25">
      <c r="M1078" s="1220"/>
    </row>
    <row r="1079" spans="13:13" x14ac:dyDescent="0.25">
      <c r="M1079" s="1220"/>
    </row>
    <row r="1080" spans="13:13" x14ac:dyDescent="0.25">
      <c r="M1080" s="1220"/>
    </row>
    <row r="1081" spans="13:13" x14ac:dyDescent="0.25">
      <c r="M1081" s="1220"/>
    </row>
    <row r="1082" spans="13:13" x14ac:dyDescent="0.25">
      <c r="M1082" s="1220"/>
    </row>
    <row r="1083" spans="13:13" x14ac:dyDescent="0.25">
      <c r="M1083" s="1220"/>
    </row>
    <row r="1084" spans="13:13" x14ac:dyDescent="0.25">
      <c r="M1084" s="1220"/>
    </row>
    <row r="1085" spans="13:13" x14ac:dyDescent="0.25">
      <c r="M1085" s="1220"/>
    </row>
    <row r="1086" spans="13:13" x14ac:dyDescent="0.25">
      <c r="M1086" s="1220"/>
    </row>
    <row r="1087" spans="13:13" x14ac:dyDescent="0.25">
      <c r="M1087" s="1220"/>
    </row>
    <row r="1088" spans="13:13" x14ac:dyDescent="0.25">
      <c r="M1088" s="1220"/>
    </row>
    <row r="1089" spans="13:13" x14ac:dyDescent="0.25">
      <c r="M1089" s="1220"/>
    </row>
    <row r="1090" spans="13:13" x14ac:dyDescent="0.25">
      <c r="M1090" s="1220"/>
    </row>
    <row r="1091" spans="13:13" x14ac:dyDescent="0.25">
      <c r="M1091" s="1220"/>
    </row>
    <row r="1092" spans="13:13" x14ac:dyDescent="0.25">
      <c r="M1092" s="1220"/>
    </row>
    <row r="1093" spans="13:13" x14ac:dyDescent="0.25">
      <c r="M1093" s="1220"/>
    </row>
    <row r="1094" spans="13:13" x14ac:dyDescent="0.25">
      <c r="M1094" s="1220"/>
    </row>
    <row r="1095" spans="13:13" x14ac:dyDescent="0.25">
      <c r="M1095" s="1220"/>
    </row>
    <row r="1096" spans="13:13" x14ac:dyDescent="0.25">
      <c r="M1096" s="1220"/>
    </row>
    <row r="1097" spans="13:13" x14ac:dyDescent="0.25">
      <c r="M1097" s="1220"/>
    </row>
    <row r="1098" spans="13:13" x14ac:dyDescent="0.25">
      <c r="M1098" s="1220"/>
    </row>
    <row r="1099" spans="13:13" x14ac:dyDescent="0.25">
      <c r="M1099" s="1220"/>
    </row>
    <row r="1100" spans="13:13" x14ac:dyDescent="0.25">
      <c r="M1100" s="1220"/>
    </row>
    <row r="1101" spans="13:13" x14ac:dyDescent="0.25">
      <c r="M1101" s="1220"/>
    </row>
    <row r="1102" spans="13:13" x14ac:dyDescent="0.25">
      <c r="M1102" s="1220"/>
    </row>
    <row r="1103" spans="13:13" x14ac:dyDescent="0.25">
      <c r="M1103" s="1220"/>
    </row>
    <row r="1104" spans="13:13" x14ac:dyDescent="0.25">
      <c r="M1104" s="1220"/>
    </row>
    <row r="1105" spans="13:13" x14ac:dyDescent="0.25">
      <c r="M1105" s="1220"/>
    </row>
    <row r="1106" spans="13:13" x14ac:dyDescent="0.25">
      <c r="M1106" s="1220"/>
    </row>
    <row r="1107" spans="13:13" x14ac:dyDescent="0.25">
      <c r="M1107" s="1220"/>
    </row>
    <row r="1108" spans="13:13" x14ac:dyDescent="0.25">
      <c r="M1108" s="1220"/>
    </row>
    <row r="1109" spans="13:13" x14ac:dyDescent="0.25">
      <c r="M1109" s="1220"/>
    </row>
    <row r="1110" spans="13:13" x14ac:dyDescent="0.25">
      <c r="M1110" s="1220"/>
    </row>
    <row r="1111" spans="13:13" x14ac:dyDescent="0.25">
      <c r="M1111" s="1220"/>
    </row>
    <row r="1112" spans="13:13" x14ac:dyDescent="0.25">
      <c r="M1112" s="1220"/>
    </row>
    <row r="1113" spans="13:13" x14ac:dyDescent="0.25">
      <c r="M1113" s="1220"/>
    </row>
    <row r="1114" spans="13:13" x14ac:dyDescent="0.25">
      <c r="M1114" s="1220"/>
    </row>
    <row r="1115" spans="13:13" x14ac:dyDescent="0.25">
      <c r="M1115" s="1220"/>
    </row>
    <row r="1116" spans="13:13" x14ac:dyDescent="0.25">
      <c r="M1116" s="1220"/>
    </row>
    <row r="1117" spans="13:13" x14ac:dyDescent="0.25">
      <c r="M1117" s="1220"/>
    </row>
    <row r="1118" spans="13:13" x14ac:dyDescent="0.25">
      <c r="M1118" s="1220"/>
    </row>
    <row r="1119" spans="13:13" x14ac:dyDescent="0.25">
      <c r="M1119" s="1220"/>
    </row>
    <row r="1120" spans="13:13" x14ac:dyDescent="0.25">
      <c r="M1120" s="1220"/>
    </row>
    <row r="1121" spans="13:13" x14ac:dyDescent="0.25">
      <c r="M1121" s="1220"/>
    </row>
    <row r="1122" spans="13:13" x14ac:dyDescent="0.25">
      <c r="M1122" s="1220"/>
    </row>
    <row r="1123" spans="13:13" x14ac:dyDescent="0.25">
      <c r="M1123" s="1220"/>
    </row>
    <row r="1124" spans="13:13" x14ac:dyDescent="0.25">
      <c r="M1124" s="1220"/>
    </row>
    <row r="1125" spans="13:13" x14ac:dyDescent="0.25">
      <c r="M1125" s="1220"/>
    </row>
    <row r="1126" spans="13:13" x14ac:dyDescent="0.25">
      <c r="M1126" s="1220"/>
    </row>
    <row r="1127" spans="13:13" x14ac:dyDescent="0.25">
      <c r="M1127" s="1220"/>
    </row>
    <row r="1128" spans="13:13" x14ac:dyDescent="0.25">
      <c r="M1128" s="1220"/>
    </row>
    <row r="1129" spans="13:13" x14ac:dyDescent="0.25">
      <c r="M1129" s="1220"/>
    </row>
    <row r="1130" spans="13:13" x14ac:dyDescent="0.25">
      <c r="M1130" s="1220"/>
    </row>
    <row r="1131" spans="13:13" x14ac:dyDescent="0.25">
      <c r="M1131" s="1220"/>
    </row>
    <row r="1132" spans="13:13" x14ac:dyDescent="0.25">
      <c r="M1132" s="1220"/>
    </row>
    <row r="1133" spans="13:13" x14ac:dyDescent="0.25">
      <c r="M1133" s="1220"/>
    </row>
    <row r="1134" spans="13:13" x14ac:dyDescent="0.25">
      <c r="M1134" s="1220"/>
    </row>
    <row r="1135" spans="13:13" x14ac:dyDescent="0.25">
      <c r="M1135" s="1220"/>
    </row>
    <row r="1136" spans="13:13" x14ac:dyDescent="0.25">
      <c r="M1136" s="1220"/>
    </row>
    <row r="1137" spans="13:13" x14ac:dyDescent="0.25">
      <c r="M1137" s="1220"/>
    </row>
    <row r="1138" spans="13:13" x14ac:dyDescent="0.25">
      <c r="M1138" s="1220"/>
    </row>
    <row r="1139" spans="13:13" x14ac:dyDescent="0.25">
      <c r="M1139" s="1220"/>
    </row>
    <row r="1140" spans="13:13" x14ac:dyDescent="0.25">
      <c r="M1140" s="1220"/>
    </row>
    <row r="1141" spans="13:13" x14ac:dyDescent="0.25">
      <c r="M1141" s="1220"/>
    </row>
    <row r="1142" spans="13:13" x14ac:dyDescent="0.25">
      <c r="M1142" s="1220"/>
    </row>
    <row r="1143" spans="13:13" x14ac:dyDescent="0.25">
      <c r="M1143" s="1220"/>
    </row>
    <row r="1144" spans="13:13" x14ac:dyDescent="0.25">
      <c r="M1144" s="1220"/>
    </row>
    <row r="1145" spans="13:13" x14ac:dyDescent="0.25">
      <c r="M1145" s="1220"/>
    </row>
    <row r="1146" spans="13:13" x14ac:dyDescent="0.25">
      <c r="M1146" s="1220"/>
    </row>
    <row r="1147" spans="13:13" x14ac:dyDescent="0.25">
      <c r="M1147" s="1220"/>
    </row>
    <row r="1148" spans="13:13" x14ac:dyDescent="0.25">
      <c r="M1148" s="1220"/>
    </row>
    <row r="1149" spans="13:13" x14ac:dyDescent="0.25">
      <c r="M1149" s="1220"/>
    </row>
    <row r="1150" spans="13:13" x14ac:dyDescent="0.25">
      <c r="M1150" s="1220"/>
    </row>
    <row r="1151" spans="13:13" x14ac:dyDescent="0.25">
      <c r="M1151" s="1220"/>
    </row>
    <row r="1152" spans="13:13" x14ac:dyDescent="0.25">
      <c r="M1152" s="1220"/>
    </row>
    <row r="1153" spans="13:13" x14ac:dyDescent="0.25">
      <c r="M1153" s="1220"/>
    </row>
    <row r="1154" spans="13:13" x14ac:dyDescent="0.25">
      <c r="M1154" s="1220"/>
    </row>
    <row r="1155" spans="13:13" x14ac:dyDescent="0.25">
      <c r="M1155" s="1220"/>
    </row>
    <row r="1156" spans="13:13" x14ac:dyDescent="0.25">
      <c r="M1156" s="1220"/>
    </row>
    <row r="1157" spans="13:13" x14ac:dyDescent="0.25">
      <c r="M1157" s="1220"/>
    </row>
    <row r="1158" spans="13:13" x14ac:dyDescent="0.25">
      <c r="M1158" s="1220"/>
    </row>
    <row r="1159" spans="13:13" x14ac:dyDescent="0.25">
      <c r="M1159" s="1220"/>
    </row>
    <row r="1160" spans="13:13" x14ac:dyDescent="0.25">
      <c r="M1160" s="1220"/>
    </row>
    <row r="1161" spans="13:13" x14ac:dyDescent="0.25">
      <c r="M1161" s="1220"/>
    </row>
    <row r="1162" spans="13:13" x14ac:dyDescent="0.25">
      <c r="M1162" s="1220"/>
    </row>
    <row r="1163" spans="13:13" x14ac:dyDescent="0.25">
      <c r="M1163" s="1220"/>
    </row>
    <row r="1164" spans="13:13" x14ac:dyDescent="0.25">
      <c r="M1164" s="1220"/>
    </row>
    <row r="1165" spans="13:13" x14ac:dyDescent="0.25">
      <c r="M1165" s="1220"/>
    </row>
    <row r="1166" spans="13:13" x14ac:dyDescent="0.25">
      <c r="M1166" s="1220"/>
    </row>
    <row r="1167" spans="13:13" x14ac:dyDescent="0.25">
      <c r="M1167" s="1220"/>
    </row>
    <row r="1168" spans="13:13" x14ac:dyDescent="0.25">
      <c r="M1168" s="1220"/>
    </row>
    <row r="1169" spans="13:13" x14ac:dyDescent="0.25">
      <c r="M1169" s="1220"/>
    </row>
    <row r="1170" spans="13:13" x14ac:dyDescent="0.25">
      <c r="M1170" s="1220"/>
    </row>
    <row r="1171" spans="13:13" x14ac:dyDescent="0.25">
      <c r="M1171" s="1220"/>
    </row>
    <row r="1172" spans="13:13" x14ac:dyDescent="0.25">
      <c r="M1172" s="1220"/>
    </row>
    <row r="1173" spans="13:13" x14ac:dyDescent="0.25">
      <c r="M1173" s="1220"/>
    </row>
    <row r="1174" spans="13:13" x14ac:dyDescent="0.25">
      <c r="M1174" s="1220"/>
    </row>
    <row r="1175" spans="13:13" x14ac:dyDescent="0.25">
      <c r="M1175" s="1220"/>
    </row>
    <row r="1176" spans="13:13" x14ac:dyDescent="0.25">
      <c r="M1176" s="1220"/>
    </row>
    <row r="1177" spans="13:13" x14ac:dyDescent="0.25">
      <c r="M1177" s="1220"/>
    </row>
    <row r="1178" spans="13:13" x14ac:dyDescent="0.25">
      <c r="M1178" s="1220"/>
    </row>
    <row r="1179" spans="13:13" x14ac:dyDescent="0.25">
      <c r="M1179" s="1220"/>
    </row>
    <row r="1180" spans="13:13" x14ac:dyDescent="0.25">
      <c r="M1180" s="1220"/>
    </row>
    <row r="1181" spans="13:13" x14ac:dyDescent="0.25">
      <c r="M1181" s="1220"/>
    </row>
    <row r="1182" spans="13:13" x14ac:dyDescent="0.25">
      <c r="M1182" s="1220"/>
    </row>
    <row r="1183" spans="13:13" x14ac:dyDescent="0.25">
      <c r="M1183" s="1220"/>
    </row>
    <row r="1184" spans="13:13" x14ac:dyDescent="0.25">
      <c r="M1184" s="1220"/>
    </row>
    <row r="1185" spans="13:13" x14ac:dyDescent="0.25">
      <c r="M1185" s="1220"/>
    </row>
    <row r="1186" spans="13:13" x14ac:dyDescent="0.25">
      <c r="M1186" s="1220"/>
    </row>
    <row r="1187" spans="13:13" x14ac:dyDescent="0.25">
      <c r="M1187" s="1220"/>
    </row>
    <row r="1188" spans="13:13" x14ac:dyDescent="0.25">
      <c r="M1188" s="1220"/>
    </row>
    <row r="1189" spans="13:13" x14ac:dyDescent="0.25">
      <c r="M1189" s="1220"/>
    </row>
    <row r="1190" spans="13:13" x14ac:dyDescent="0.25">
      <c r="M1190" s="1220"/>
    </row>
    <row r="1191" spans="13:13" x14ac:dyDescent="0.25">
      <c r="M1191" s="1220"/>
    </row>
    <row r="1192" spans="13:13" x14ac:dyDescent="0.25">
      <c r="M1192" s="1220"/>
    </row>
    <row r="1193" spans="13:13" x14ac:dyDescent="0.25">
      <c r="M1193" s="1220"/>
    </row>
    <row r="1194" spans="13:13" x14ac:dyDescent="0.25">
      <c r="M1194" s="1220"/>
    </row>
    <row r="1195" spans="13:13" x14ac:dyDescent="0.25">
      <c r="M1195" s="1220"/>
    </row>
    <row r="1196" spans="13:13" x14ac:dyDescent="0.25">
      <c r="M1196" s="1220"/>
    </row>
    <row r="1197" spans="13:13" x14ac:dyDescent="0.25">
      <c r="M1197" s="1220"/>
    </row>
    <row r="1198" spans="13:13" x14ac:dyDescent="0.25">
      <c r="M1198" s="1220"/>
    </row>
    <row r="1199" spans="13:13" x14ac:dyDescent="0.25">
      <c r="M1199" s="1220"/>
    </row>
    <row r="1200" spans="13:13" x14ac:dyDescent="0.25">
      <c r="M1200" s="1220"/>
    </row>
    <row r="1201" spans="13:13" x14ac:dyDescent="0.25">
      <c r="M1201" s="1220"/>
    </row>
    <row r="1202" spans="13:13" x14ac:dyDescent="0.25">
      <c r="M1202" s="1220"/>
    </row>
    <row r="1203" spans="13:13" x14ac:dyDescent="0.25">
      <c r="M1203" s="1220"/>
    </row>
    <row r="1204" spans="13:13" x14ac:dyDescent="0.25">
      <c r="M1204" s="1220"/>
    </row>
    <row r="1205" spans="13:13" x14ac:dyDescent="0.25">
      <c r="M1205" s="1220"/>
    </row>
    <row r="1206" spans="13:13" x14ac:dyDescent="0.25">
      <c r="M1206" s="1220"/>
    </row>
    <row r="1207" spans="13:13" x14ac:dyDescent="0.25">
      <c r="M1207" s="1220"/>
    </row>
    <row r="1208" spans="13:13" x14ac:dyDescent="0.25">
      <c r="M1208" s="1220"/>
    </row>
    <row r="1209" spans="13:13" x14ac:dyDescent="0.25">
      <c r="M1209" s="1220"/>
    </row>
    <row r="1210" spans="13:13" x14ac:dyDescent="0.25">
      <c r="M1210" s="1220"/>
    </row>
    <row r="1211" spans="13:13" x14ac:dyDescent="0.25">
      <c r="M1211" s="1220"/>
    </row>
    <row r="1212" spans="13:13" x14ac:dyDescent="0.25">
      <c r="M1212" s="1220"/>
    </row>
    <row r="1213" spans="13:13" x14ac:dyDescent="0.25">
      <c r="M1213" s="1220"/>
    </row>
    <row r="1214" spans="13:13" x14ac:dyDescent="0.25">
      <c r="M1214" s="1220"/>
    </row>
    <row r="1215" spans="13:13" x14ac:dyDescent="0.25">
      <c r="M1215" s="1220"/>
    </row>
    <row r="1216" spans="13:13" x14ac:dyDescent="0.25">
      <c r="M1216" s="1220"/>
    </row>
    <row r="1217" spans="13:13" x14ac:dyDescent="0.25">
      <c r="M1217" s="1220"/>
    </row>
    <row r="1218" spans="13:13" x14ac:dyDescent="0.25">
      <c r="M1218" s="1220"/>
    </row>
    <row r="1219" spans="13:13" x14ac:dyDescent="0.25">
      <c r="M1219" s="1220"/>
    </row>
    <row r="1220" spans="13:13" x14ac:dyDescent="0.25">
      <c r="M1220" s="1220"/>
    </row>
    <row r="1221" spans="13:13" x14ac:dyDescent="0.25">
      <c r="M1221" s="1220"/>
    </row>
    <row r="1222" spans="13:13" x14ac:dyDescent="0.25">
      <c r="M1222" s="1220"/>
    </row>
    <row r="1223" spans="13:13" x14ac:dyDescent="0.25">
      <c r="M1223" s="1220"/>
    </row>
    <row r="1224" spans="13:13" x14ac:dyDescent="0.25">
      <c r="M1224" s="1220"/>
    </row>
    <row r="1225" spans="13:13" x14ac:dyDescent="0.25">
      <c r="M1225" s="1220"/>
    </row>
    <row r="1226" spans="13:13" x14ac:dyDescent="0.25">
      <c r="M1226" s="1220"/>
    </row>
    <row r="1227" spans="13:13" x14ac:dyDescent="0.25">
      <c r="M1227" s="1220"/>
    </row>
    <row r="1228" spans="13:13" x14ac:dyDescent="0.25">
      <c r="M1228" s="1220"/>
    </row>
    <row r="1229" spans="13:13" x14ac:dyDescent="0.25">
      <c r="M1229" s="1220"/>
    </row>
    <row r="1230" spans="13:13" x14ac:dyDescent="0.25">
      <c r="M1230" s="1220"/>
    </row>
    <row r="1231" spans="13:13" x14ac:dyDescent="0.25">
      <c r="M1231" s="1220"/>
    </row>
    <row r="1232" spans="13:13" x14ac:dyDescent="0.25">
      <c r="M1232" s="1220"/>
    </row>
    <row r="1233" spans="13:13" x14ac:dyDescent="0.25">
      <c r="M1233" s="1220"/>
    </row>
    <row r="1234" spans="13:13" x14ac:dyDescent="0.25">
      <c r="M1234" s="1220"/>
    </row>
    <row r="1235" spans="13:13" x14ac:dyDescent="0.25">
      <c r="M1235" s="1220"/>
    </row>
    <row r="1236" spans="13:13" x14ac:dyDescent="0.25">
      <c r="M1236" s="1220"/>
    </row>
    <row r="1237" spans="13:13" x14ac:dyDescent="0.25">
      <c r="M1237" s="1220"/>
    </row>
    <row r="1238" spans="13:13" x14ac:dyDescent="0.25">
      <c r="M1238" s="1220"/>
    </row>
    <row r="1239" spans="13:13" x14ac:dyDescent="0.25">
      <c r="M1239" s="1220"/>
    </row>
    <row r="1240" spans="13:13" x14ac:dyDescent="0.25">
      <c r="M1240" s="1220"/>
    </row>
    <row r="1241" spans="13:13" x14ac:dyDescent="0.25">
      <c r="M1241" s="1220"/>
    </row>
    <row r="1242" spans="13:13" x14ac:dyDescent="0.25">
      <c r="M1242" s="1220"/>
    </row>
    <row r="1243" spans="13:13" x14ac:dyDescent="0.25">
      <c r="M1243" s="1220"/>
    </row>
    <row r="1244" spans="13:13" x14ac:dyDescent="0.25">
      <c r="M1244" s="1220"/>
    </row>
    <row r="1245" spans="13:13" x14ac:dyDescent="0.25">
      <c r="M1245" s="1220"/>
    </row>
    <row r="1246" spans="13:13" x14ac:dyDescent="0.25">
      <c r="M1246" s="1220"/>
    </row>
    <row r="1247" spans="13:13" x14ac:dyDescent="0.25">
      <c r="M1247" s="1220"/>
    </row>
    <row r="1248" spans="13:13" x14ac:dyDescent="0.25">
      <c r="M1248" s="1220"/>
    </row>
    <row r="1249" spans="13:13" x14ac:dyDescent="0.25">
      <c r="M1249" s="1220"/>
    </row>
    <row r="1250" spans="13:13" x14ac:dyDescent="0.25">
      <c r="M1250" s="1220"/>
    </row>
    <row r="1251" spans="13:13" x14ac:dyDescent="0.25">
      <c r="M1251" s="1220"/>
    </row>
    <row r="1252" spans="13:13" x14ac:dyDescent="0.25">
      <c r="M1252" s="1220"/>
    </row>
    <row r="1253" spans="13:13" x14ac:dyDescent="0.25">
      <c r="M1253" s="1220"/>
    </row>
    <row r="1254" spans="13:13" x14ac:dyDescent="0.25">
      <c r="M1254" s="1220"/>
    </row>
    <row r="1255" spans="13:13" x14ac:dyDescent="0.25">
      <c r="M1255" s="1220"/>
    </row>
    <row r="1256" spans="13:13" x14ac:dyDescent="0.25">
      <c r="M1256" s="1220"/>
    </row>
    <row r="1257" spans="13:13" x14ac:dyDescent="0.25">
      <c r="M1257" s="1220"/>
    </row>
    <row r="1258" spans="13:13" x14ac:dyDescent="0.25">
      <c r="M1258" s="1220"/>
    </row>
    <row r="1259" spans="13:13" x14ac:dyDescent="0.25">
      <c r="M1259" s="1220"/>
    </row>
    <row r="1260" spans="13:13" x14ac:dyDescent="0.25">
      <c r="M1260" s="1220"/>
    </row>
    <row r="1261" spans="13:13" x14ac:dyDescent="0.25">
      <c r="M1261" s="1220"/>
    </row>
    <row r="1262" spans="13:13" x14ac:dyDescent="0.25">
      <c r="M1262" s="1220"/>
    </row>
    <row r="1263" spans="13:13" x14ac:dyDescent="0.25">
      <c r="M1263" s="1220"/>
    </row>
    <row r="1264" spans="13:13" x14ac:dyDescent="0.25">
      <c r="M1264" s="1220"/>
    </row>
    <row r="1265" spans="13:13" x14ac:dyDescent="0.25">
      <c r="M1265" s="1220"/>
    </row>
    <row r="1266" spans="13:13" x14ac:dyDescent="0.25">
      <c r="M1266" s="1220"/>
    </row>
    <row r="1267" spans="13:13" x14ac:dyDescent="0.25">
      <c r="M1267" s="1220"/>
    </row>
    <row r="1268" spans="13:13" x14ac:dyDescent="0.25">
      <c r="M1268" s="1220"/>
    </row>
    <row r="1269" spans="13:13" x14ac:dyDescent="0.25">
      <c r="M1269" s="1220"/>
    </row>
    <row r="1270" spans="13:13" x14ac:dyDescent="0.25">
      <c r="M1270" s="1220"/>
    </row>
    <row r="1271" spans="13:13" x14ac:dyDescent="0.25">
      <c r="M1271" s="1220"/>
    </row>
    <row r="1272" spans="13:13" x14ac:dyDescent="0.25">
      <c r="M1272" s="1220"/>
    </row>
    <row r="1273" spans="13:13" x14ac:dyDescent="0.25">
      <c r="M1273" s="1220"/>
    </row>
    <row r="1274" spans="13:13" x14ac:dyDescent="0.25">
      <c r="M1274" s="1220"/>
    </row>
    <row r="1275" spans="13:13" x14ac:dyDescent="0.25">
      <c r="M1275" s="1220"/>
    </row>
    <row r="1276" spans="13:13" x14ac:dyDescent="0.25">
      <c r="M1276" s="1220"/>
    </row>
    <row r="1277" spans="13:13" x14ac:dyDescent="0.25">
      <c r="M1277" s="1220"/>
    </row>
    <row r="1278" spans="13:13" x14ac:dyDescent="0.25">
      <c r="M1278" s="1220"/>
    </row>
    <row r="1279" spans="13:13" x14ac:dyDescent="0.25">
      <c r="M1279" s="1220"/>
    </row>
    <row r="1280" spans="13:13" x14ac:dyDescent="0.25">
      <c r="M1280" s="1220"/>
    </row>
    <row r="1281" spans="13:13" x14ac:dyDescent="0.25">
      <c r="M1281" s="1220"/>
    </row>
    <row r="1282" spans="13:13" x14ac:dyDescent="0.25">
      <c r="M1282" s="1220"/>
    </row>
    <row r="1283" spans="13:13" x14ac:dyDescent="0.25">
      <c r="M1283" s="1220"/>
    </row>
    <row r="1284" spans="13:13" x14ac:dyDescent="0.25">
      <c r="M1284" s="1220"/>
    </row>
    <row r="1285" spans="13:13" x14ac:dyDescent="0.25">
      <c r="M1285" s="1220"/>
    </row>
    <row r="1286" spans="13:13" x14ac:dyDescent="0.25">
      <c r="M1286" s="1220"/>
    </row>
    <row r="1287" spans="13:13" x14ac:dyDescent="0.25">
      <c r="M1287" s="1220"/>
    </row>
    <row r="1288" spans="13:13" x14ac:dyDescent="0.25">
      <c r="M1288" s="1220"/>
    </row>
    <row r="1289" spans="13:13" x14ac:dyDescent="0.25">
      <c r="M1289" s="1220"/>
    </row>
    <row r="1290" spans="13:13" x14ac:dyDescent="0.25">
      <c r="M1290" s="1220"/>
    </row>
    <row r="1291" spans="13:13" x14ac:dyDescent="0.25">
      <c r="M1291" s="1220"/>
    </row>
    <row r="1292" spans="13:13" x14ac:dyDescent="0.25">
      <c r="M1292" s="1220"/>
    </row>
    <row r="1293" spans="13:13" x14ac:dyDescent="0.25">
      <c r="M1293" s="1220"/>
    </row>
    <row r="1294" spans="13:13" x14ac:dyDescent="0.25">
      <c r="M1294" s="1220"/>
    </row>
    <row r="1295" spans="13:13" x14ac:dyDescent="0.25">
      <c r="M1295" s="1220"/>
    </row>
    <row r="1296" spans="13:13" x14ac:dyDescent="0.25">
      <c r="M1296" s="1220"/>
    </row>
    <row r="1297" spans="13:13" x14ac:dyDescent="0.25">
      <c r="M1297" s="1220"/>
    </row>
    <row r="1298" spans="13:13" x14ac:dyDescent="0.25">
      <c r="M1298" s="1220"/>
    </row>
    <row r="1299" spans="13:13" x14ac:dyDescent="0.25">
      <c r="M1299" s="1220"/>
    </row>
    <row r="1300" spans="13:13" x14ac:dyDescent="0.25">
      <c r="M1300" s="1220"/>
    </row>
    <row r="1301" spans="13:13" x14ac:dyDescent="0.25">
      <c r="M1301" s="1220"/>
    </row>
    <row r="1302" spans="13:13" x14ac:dyDescent="0.25">
      <c r="M1302" s="1220"/>
    </row>
    <row r="1303" spans="13:13" x14ac:dyDescent="0.25">
      <c r="M1303" s="1220"/>
    </row>
    <row r="1304" spans="13:13" x14ac:dyDescent="0.25">
      <c r="M1304" s="1220"/>
    </row>
    <row r="1305" spans="13:13" x14ac:dyDescent="0.25">
      <c r="M1305" s="1220"/>
    </row>
    <row r="1306" spans="13:13" x14ac:dyDescent="0.25">
      <c r="M1306" s="1220"/>
    </row>
    <row r="1307" spans="13:13" x14ac:dyDescent="0.25">
      <c r="M1307" s="1220"/>
    </row>
    <row r="1308" spans="13:13" x14ac:dyDescent="0.25">
      <c r="M1308" s="1220"/>
    </row>
    <row r="1309" spans="13:13" x14ac:dyDescent="0.25">
      <c r="M1309" s="1220"/>
    </row>
    <row r="1310" spans="13:13" x14ac:dyDescent="0.25">
      <c r="M1310" s="1220"/>
    </row>
    <row r="1311" spans="13:13" x14ac:dyDescent="0.25">
      <c r="M1311" s="1220"/>
    </row>
    <row r="1312" spans="13:13" x14ac:dyDescent="0.25">
      <c r="M1312" s="1220"/>
    </row>
    <row r="1313" spans="13:13" x14ac:dyDescent="0.25">
      <c r="M1313" s="1220"/>
    </row>
    <row r="1314" spans="13:13" x14ac:dyDescent="0.25">
      <c r="M1314" s="1220"/>
    </row>
    <row r="1315" spans="13:13" x14ac:dyDescent="0.25">
      <c r="M1315" s="1220"/>
    </row>
    <row r="1316" spans="13:13" x14ac:dyDescent="0.25">
      <c r="M1316" s="1220"/>
    </row>
    <row r="1317" spans="13:13" x14ac:dyDescent="0.25">
      <c r="M1317" s="1220"/>
    </row>
    <row r="1318" spans="13:13" x14ac:dyDescent="0.25">
      <c r="M1318" s="1220"/>
    </row>
    <row r="1319" spans="13:13" x14ac:dyDescent="0.25">
      <c r="M1319" s="1220"/>
    </row>
    <row r="1320" spans="13:13" x14ac:dyDescent="0.25">
      <c r="M1320" s="1220"/>
    </row>
    <row r="1321" spans="13:13" x14ac:dyDescent="0.25">
      <c r="M1321" s="1220"/>
    </row>
    <row r="1322" spans="13:13" x14ac:dyDescent="0.25">
      <c r="M1322" s="1220"/>
    </row>
    <row r="1323" spans="13:13" x14ac:dyDescent="0.25">
      <c r="M1323" s="1220"/>
    </row>
    <row r="1324" spans="13:13" x14ac:dyDescent="0.25">
      <c r="M1324" s="1220"/>
    </row>
    <row r="1325" spans="13:13" x14ac:dyDescent="0.25">
      <c r="M1325" s="1220"/>
    </row>
    <row r="1326" spans="13:13" x14ac:dyDescent="0.25">
      <c r="M1326" s="1220"/>
    </row>
    <row r="1327" spans="13:13" x14ac:dyDescent="0.25">
      <c r="M1327" s="1220"/>
    </row>
    <row r="1328" spans="13:13" x14ac:dyDescent="0.25">
      <c r="M1328" s="1220"/>
    </row>
    <row r="1329" spans="13:13" x14ac:dyDescent="0.25">
      <c r="M1329" s="1220"/>
    </row>
    <row r="1330" spans="13:13" x14ac:dyDescent="0.25">
      <c r="M1330" s="1220"/>
    </row>
    <row r="1331" spans="13:13" x14ac:dyDescent="0.25">
      <c r="M1331" s="1220"/>
    </row>
    <row r="1332" spans="13:13" x14ac:dyDescent="0.25">
      <c r="M1332" s="1220"/>
    </row>
    <row r="1333" spans="13:13" x14ac:dyDescent="0.25">
      <c r="M1333" s="1220"/>
    </row>
    <row r="1334" spans="13:13" x14ac:dyDescent="0.25">
      <c r="M1334" s="1220"/>
    </row>
    <row r="1335" spans="13:13" x14ac:dyDescent="0.25">
      <c r="M1335" s="1220"/>
    </row>
    <row r="1336" spans="13:13" x14ac:dyDescent="0.25">
      <c r="M1336" s="1220"/>
    </row>
    <row r="1337" spans="13:13" x14ac:dyDescent="0.25">
      <c r="M1337" s="1220"/>
    </row>
    <row r="1338" spans="13:13" x14ac:dyDescent="0.25">
      <c r="M1338" s="1220"/>
    </row>
    <row r="1339" spans="13:13" x14ac:dyDescent="0.25">
      <c r="M1339" s="1220"/>
    </row>
    <row r="1340" spans="13:13" x14ac:dyDescent="0.25">
      <c r="M1340" s="1220"/>
    </row>
    <row r="1341" spans="13:13" x14ac:dyDescent="0.25">
      <c r="M1341" s="1220"/>
    </row>
    <row r="1342" spans="13:13" x14ac:dyDescent="0.25">
      <c r="M1342" s="1220"/>
    </row>
    <row r="1343" spans="13:13" x14ac:dyDescent="0.25">
      <c r="M1343" s="1220"/>
    </row>
    <row r="1344" spans="13:13" x14ac:dyDescent="0.25">
      <c r="M1344" s="1220"/>
    </row>
    <row r="1345" spans="13:13" x14ac:dyDescent="0.25">
      <c r="M1345" s="1220"/>
    </row>
    <row r="1346" spans="13:13" x14ac:dyDescent="0.25">
      <c r="M1346" s="1220"/>
    </row>
    <row r="1347" spans="13:13" x14ac:dyDescent="0.25">
      <c r="M1347" s="1220"/>
    </row>
    <row r="1348" spans="13:13" x14ac:dyDescent="0.25">
      <c r="M1348" s="1220"/>
    </row>
    <row r="1349" spans="13:13" x14ac:dyDescent="0.25">
      <c r="M1349" s="1220"/>
    </row>
    <row r="1350" spans="13:13" x14ac:dyDescent="0.25">
      <c r="M1350" s="1220"/>
    </row>
    <row r="1351" spans="13:13" x14ac:dyDescent="0.25">
      <c r="M1351" s="1220"/>
    </row>
    <row r="1352" spans="13:13" x14ac:dyDescent="0.25">
      <c r="M1352" s="1220"/>
    </row>
    <row r="1353" spans="13:13" x14ac:dyDescent="0.25">
      <c r="M1353" s="1220"/>
    </row>
    <row r="1354" spans="13:13" x14ac:dyDescent="0.25">
      <c r="M1354" s="1220"/>
    </row>
    <row r="1355" spans="13:13" x14ac:dyDescent="0.25">
      <c r="M1355" s="1220"/>
    </row>
    <row r="1356" spans="13:13" x14ac:dyDescent="0.25">
      <c r="M1356" s="1220"/>
    </row>
    <row r="1357" spans="13:13" x14ac:dyDescent="0.25">
      <c r="M1357" s="1220"/>
    </row>
    <row r="1358" spans="13:13" x14ac:dyDescent="0.25">
      <c r="M1358" s="1220"/>
    </row>
    <row r="1359" spans="13:13" x14ac:dyDescent="0.25">
      <c r="M1359" s="1220"/>
    </row>
    <row r="1360" spans="13:13" x14ac:dyDescent="0.25">
      <c r="M1360" s="1220"/>
    </row>
    <row r="1361" spans="13:13" x14ac:dyDescent="0.25">
      <c r="M1361" s="1220"/>
    </row>
    <row r="1362" spans="13:13" x14ac:dyDescent="0.25">
      <c r="M1362" s="1220"/>
    </row>
    <row r="1363" spans="13:13" x14ac:dyDescent="0.25">
      <c r="M1363" s="1220"/>
    </row>
    <row r="1364" spans="13:13" x14ac:dyDescent="0.25">
      <c r="M1364" s="1220"/>
    </row>
    <row r="1365" spans="13:13" x14ac:dyDescent="0.25">
      <c r="M1365" s="1220"/>
    </row>
    <row r="1366" spans="13:13" x14ac:dyDescent="0.25">
      <c r="M1366" s="1220"/>
    </row>
    <row r="1367" spans="13:13" x14ac:dyDescent="0.25">
      <c r="M1367" s="1220"/>
    </row>
    <row r="1368" spans="13:13" x14ac:dyDescent="0.25">
      <c r="M1368" s="1220"/>
    </row>
    <row r="1369" spans="13:13" x14ac:dyDescent="0.25">
      <c r="M1369" s="1220"/>
    </row>
    <row r="1370" spans="13:13" x14ac:dyDescent="0.25">
      <c r="M1370" s="1220"/>
    </row>
    <row r="1371" spans="13:13" x14ac:dyDescent="0.25">
      <c r="M1371" s="1220"/>
    </row>
    <row r="1372" spans="13:13" x14ac:dyDescent="0.25">
      <c r="M1372" s="1220"/>
    </row>
    <row r="1373" spans="13:13" x14ac:dyDescent="0.25">
      <c r="M1373" s="1220"/>
    </row>
    <row r="1374" spans="13:13" x14ac:dyDescent="0.25">
      <c r="M1374" s="1220"/>
    </row>
    <row r="1375" spans="13:13" x14ac:dyDescent="0.25">
      <c r="M1375" s="1220"/>
    </row>
    <row r="1376" spans="13:13" x14ac:dyDescent="0.25">
      <c r="M1376" s="1220"/>
    </row>
    <row r="1377" spans="13:13" x14ac:dyDescent="0.25">
      <c r="M1377" s="1220"/>
    </row>
    <row r="1378" spans="13:13" x14ac:dyDescent="0.25">
      <c r="M1378" s="1220"/>
    </row>
    <row r="1379" spans="13:13" x14ac:dyDescent="0.25">
      <c r="M1379" s="1220"/>
    </row>
    <row r="1380" spans="13:13" x14ac:dyDescent="0.25">
      <c r="M1380" s="1220"/>
    </row>
    <row r="1381" spans="13:13" x14ac:dyDescent="0.25">
      <c r="M1381" s="1220"/>
    </row>
    <row r="1382" spans="13:13" x14ac:dyDescent="0.25">
      <c r="M1382" s="1220"/>
    </row>
    <row r="1383" spans="13:13" x14ac:dyDescent="0.25">
      <c r="M1383" s="1220"/>
    </row>
    <row r="1384" spans="13:13" x14ac:dyDescent="0.25">
      <c r="M1384" s="1220"/>
    </row>
    <row r="1385" spans="13:13" x14ac:dyDescent="0.25">
      <c r="M1385" s="1220"/>
    </row>
    <row r="1386" spans="13:13" x14ac:dyDescent="0.25">
      <c r="M1386" s="1220"/>
    </row>
    <row r="1387" spans="13:13" x14ac:dyDescent="0.25">
      <c r="M1387" s="1220"/>
    </row>
    <row r="1388" spans="13:13" x14ac:dyDescent="0.25">
      <c r="M1388" s="1220"/>
    </row>
    <row r="1389" spans="13:13" x14ac:dyDescent="0.25">
      <c r="M1389" s="1220"/>
    </row>
    <row r="1390" spans="13:13" x14ac:dyDescent="0.25">
      <c r="M1390" s="1220"/>
    </row>
    <row r="1391" spans="13:13" x14ac:dyDescent="0.25">
      <c r="M1391" s="1220"/>
    </row>
    <row r="1392" spans="13:13" x14ac:dyDescent="0.25">
      <c r="M1392" s="1220"/>
    </row>
    <row r="1393" spans="13:13" x14ac:dyDescent="0.25">
      <c r="M1393" s="1220"/>
    </row>
    <row r="1394" spans="13:13" x14ac:dyDescent="0.25">
      <c r="M1394" s="1220"/>
    </row>
    <row r="1395" spans="13:13" x14ac:dyDescent="0.25">
      <c r="M1395" s="1220"/>
    </row>
    <row r="1396" spans="13:13" x14ac:dyDescent="0.25">
      <c r="M1396" s="1220"/>
    </row>
    <row r="1397" spans="13:13" x14ac:dyDescent="0.25">
      <c r="M1397" s="1220"/>
    </row>
    <row r="1398" spans="13:13" x14ac:dyDescent="0.25">
      <c r="M1398" s="1220"/>
    </row>
    <row r="1399" spans="13:13" x14ac:dyDescent="0.25">
      <c r="M1399" s="1220"/>
    </row>
    <row r="1400" spans="13:13" x14ac:dyDescent="0.25">
      <c r="M1400" s="1220"/>
    </row>
    <row r="1401" spans="13:13" x14ac:dyDescent="0.25">
      <c r="M1401" s="1220"/>
    </row>
    <row r="1402" spans="13:13" x14ac:dyDescent="0.25">
      <c r="M1402" s="1220"/>
    </row>
    <row r="1403" spans="13:13" x14ac:dyDescent="0.25">
      <c r="M1403" s="1220"/>
    </row>
    <row r="1404" spans="13:13" x14ac:dyDescent="0.25">
      <c r="M1404" s="1220"/>
    </row>
    <row r="1405" spans="13:13" x14ac:dyDescent="0.25">
      <c r="M1405" s="1220"/>
    </row>
    <row r="1406" spans="13:13" x14ac:dyDescent="0.25">
      <c r="M1406" s="1220"/>
    </row>
    <row r="1407" spans="13:13" x14ac:dyDescent="0.25">
      <c r="M1407" s="1220"/>
    </row>
    <row r="1408" spans="13:13" x14ac:dyDescent="0.25">
      <c r="M1408" s="1220"/>
    </row>
    <row r="1409" spans="13:13" x14ac:dyDescent="0.25">
      <c r="M1409" s="1220"/>
    </row>
    <row r="1410" spans="13:13" x14ac:dyDescent="0.25">
      <c r="M1410" s="1220"/>
    </row>
    <row r="1411" spans="13:13" x14ac:dyDescent="0.25">
      <c r="M1411" s="1220"/>
    </row>
    <row r="1412" spans="13:13" x14ac:dyDescent="0.25">
      <c r="M1412" s="1220"/>
    </row>
    <row r="1413" spans="13:13" x14ac:dyDescent="0.25">
      <c r="M1413" s="1220"/>
    </row>
    <row r="1414" spans="13:13" x14ac:dyDescent="0.25">
      <c r="M1414" s="1220"/>
    </row>
    <row r="1415" spans="13:13" x14ac:dyDescent="0.25">
      <c r="M1415" s="1220"/>
    </row>
    <row r="1416" spans="13:13" x14ac:dyDescent="0.25">
      <c r="M1416" s="1220"/>
    </row>
    <row r="1417" spans="13:13" x14ac:dyDescent="0.25">
      <c r="M1417" s="1220"/>
    </row>
    <row r="1418" spans="13:13" x14ac:dyDescent="0.25">
      <c r="M1418" s="1220"/>
    </row>
    <row r="1419" spans="13:13" x14ac:dyDescent="0.25">
      <c r="M1419" s="1220"/>
    </row>
    <row r="1420" spans="13:13" x14ac:dyDescent="0.25">
      <c r="M1420" s="1220"/>
    </row>
    <row r="1421" spans="13:13" x14ac:dyDescent="0.25">
      <c r="M1421" s="1220"/>
    </row>
    <row r="1422" spans="13:13" x14ac:dyDescent="0.25">
      <c r="M1422" s="1220"/>
    </row>
    <row r="1423" spans="13:13" x14ac:dyDescent="0.25">
      <c r="M1423" s="1220"/>
    </row>
    <row r="1424" spans="13:13" x14ac:dyDescent="0.25">
      <c r="M1424" s="1220"/>
    </row>
    <row r="1425" spans="13:13" x14ac:dyDescent="0.25">
      <c r="M1425" s="1220"/>
    </row>
    <row r="1426" spans="13:13" x14ac:dyDescent="0.25">
      <c r="M1426" s="1220"/>
    </row>
    <row r="1427" spans="13:13" x14ac:dyDescent="0.25">
      <c r="M1427" s="1220"/>
    </row>
    <row r="1428" spans="13:13" x14ac:dyDescent="0.25">
      <c r="M1428" s="1220"/>
    </row>
    <row r="1429" spans="13:13" x14ac:dyDescent="0.25">
      <c r="M1429" s="1220"/>
    </row>
    <row r="1430" spans="13:13" x14ac:dyDescent="0.25">
      <c r="M1430" s="1220"/>
    </row>
    <row r="1431" spans="13:13" x14ac:dyDescent="0.25">
      <c r="M1431" s="1220"/>
    </row>
    <row r="1432" spans="13:13" x14ac:dyDescent="0.25">
      <c r="M1432" s="1220"/>
    </row>
    <row r="1433" spans="13:13" x14ac:dyDescent="0.25">
      <c r="M1433" s="1220"/>
    </row>
    <row r="1434" spans="13:13" x14ac:dyDescent="0.25">
      <c r="M1434" s="1220"/>
    </row>
    <row r="1435" spans="13:13" x14ac:dyDescent="0.25">
      <c r="M1435" s="1220"/>
    </row>
    <row r="1436" spans="13:13" x14ac:dyDescent="0.25">
      <c r="M1436" s="1220"/>
    </row>
    <row r="1437" spans="13:13" x14ac:dyDescent="0.25">
      <c r="M1437" s="1220"/>
    </row>
    <row r="1438" spans="13:13" x14ac:dyDescent="0.25">
      <c r="M1438" s="1220"/>
    </row>
    <row r="1439" spans="13:13" x14ac:dyDescent="0.25">
      <c r="M1439" s="1220"/>
    </row>
    <row r="1440" spans="13:13" x14ac:dyDescent="0.25">
      <c r="M1440" s="1220"/>
    </row>
    <row r="1441" spans="13:13" x14ac:dyDescent="0.25">
      <c r="M1441" s="1220"/>
    </row>
    <row r="1442" spans="13:13" x14ac:dyDescent="0.25">
      <c r="M1442" s="1220"/>
    </row>
    <row r="1443" spans="13:13" x14ac:dyDescent="0.25">
      <c r="M1443" s="1220"/>
    </row>
    <row r="1444" spans="13:13" x14ac:dyDescent="0.25">
      <c r="M1444" s="1220"/>
    </row>
    <row r="1445" spans="13:13" x14ac:dyDescent="0.25">
      <c r="M1445" s="1220"/>
    </row>
    <row r="1446" spans="13:13" x14ac:dyDescent="0.25">
      <c r="M1446" s="1220"/>
    </row>
    <row r="1447" spans="13:13" x14ac:dyDescent="0.25">
      <c r="M1447" s="1220"/>
    </row>
    <row r="1448" spans="13:13" x14ac:dyDescent="0.25">
      <c r="M1448" s="1220"/>
    </row>
    <row r="1449" spans="13:13" x14ac:dyDescent="0.25">
      <c r="M1449" s="1220"/>
    </row>
    <row r="1450" spans="13:13" x14ac:dyDescent="0.25">
      <c r="M1450" s="1220"/>
    </row>
    <row r="1451" spans="13:13" x14ac:dyDescent="0.25">
      <c r="M1451" s="1220"/>
    </row>
    <row r="1452" spans="13:13" x14ac:dyDescent="0.25">
      <c r="M1452" s="1220"/>
    </row>
    <row r="1453" spans="13:13" x14ac:dyDescent="0.25">
      <c r="M1453" s="1220"/>
    </row>
    <row r="1454" spans="13:13" x14ac:dyDescent="0.25">
      <c r="M1454" s="1220"/>
    </row>
    <row r="1455" spans="13:13" x14ac:dyDescent="0.25">
      <c r="M1455" s="1220"/>
    </row>
    <row r="1456" spans="13:13" x14ac:dyDescent="0.25">
      <c r="M1456" s="1220"/>
    </row>
    <row r="1457" spans="13:13" x14ac:dyDescent="0.25">
      <c r="M1457" s="1220"/>
    </row>
    <row r="1458" spans="13:13" x14ac:dyDescent="0.25">
      <c r="M1458" s="1220"/>
    </row>
    <row r="1459" spans="13:13" x14ac:dyDescent="0.25">
      <c r="M1459" s="1220"/>
    </row>
    <row r="1460" spans="13:13" x14ac:dyDescent="0.25">
      <c r="M1460" s="1220"/>
    </row>
    <row r="1461" spans="13:13" x14ac:dyDescent="0.25">
      <c r="M1461" s="1220"/>
    </row>
    <row r="1462" spans="13:13" x14ac:dyDescent="0.25">
      <c r="M1462" s="1220"/>
    </row>
    <row r="1463" spans="13:13" x14ac:dyDescent="0.25">
      <c r="M1463" s="1220"/>
    </row>
    <row r="1464" spans="13:13" x14ac:dyDescent="0.25">
      <c r="M1464" s="1220"/>
    </row>
    <row r="1465" spans="13:13" x14ac:dyDescent="0.25">
      <c r="M1465" s="1220"/>
    </row>
    <row r="1466" spans="13:13" x14ac:dyDescent="0.25">
      <c r="M1466" s="1220"/>
    </row>
    <row r="1467" spans="13:13" x14ac:dyDescent="0.25">
      <c r="M1467" s="1220"/>
    </row>
    <row r="1468" spans="13:13" x14ac:dyDescent="0.25">
      <c r="M1468" s="1220"/>
    </row>
    <row r="1469" spans="13:13" x14ac:dyDescent="0.25">
      <c r="M1469" s="1220"/>
    </row>
    <row r="1470" spans="13:13" x14ac:dyDescent="0.25">
      <c r="M1470" s="1220"/>
    </row>
    <row r="1471" spans="13:13" x14ac:dyDescent="0.25">
      <c r="M1471" s="1220"/>
    </row>
    <row r="1472" spans="13:13" x14ac:dyDescent="0.25">
      <c r="M1472" s="1220"/>
    </row>
    <row r="1473" spans="13:13" x14ac:dyDescent="0.25">
      <c r="M1473" s="1220"/>
    </row>
    <row r="1474" spans="13:13" x14ac:dyDescent="0.25">
      <c r="M1474" s="1220"/>
    </row>
    <row r="1475" spans="13:13" x14ac:dyDescent="0.25">
      <c r="M1475" s="1220"/>
    </row>
    <row r="1476" spans="13:13" x14ac:dyDescent="0.25">
      <c r="M1476" s="1220"/>
    </row>
    <row r="1477" spans="13:13" x14ac:dyDescent="0.25">
      <c r="M1477" s="1220"/>
    </row>
    <row r="1478" spans="13:13" x14ac:dyDescent="0.25">
      <c r="M1478" s="1220"/>
    </row>
    <row r="1479" spans="13:13" x14ac:dyDescent="0.25">
      <c r="M1479" s="1220"/>
    </row>
    <row r="1480" spans="13:13" x14ac:dyDescent="0.25">
      <c r="M1480" s="1220"/>
    </row>
    <row r="1481" spans="13:13" x14ac:dyDescent="0.25">
      <c r="M1481" s="1220"/>
    </row>
    <row r="1482" spans="13:13" x14ac:dyDescent="0.25">
      <c r="M1482" s="1220"/>
    </row>
    <row r="1483" spans="13:13" x14ac:dyDescent="0.25">
      <c r="M1483" s="1220"/>
    </row>
    <row r="1484" spans="13:13" x14ac:dyDescent="0.25">
      <c r="M1484" s="1220"/>
    </row>
    <row r="1485" spans="13:13" x14ac:dyDescent="0.25">
      <c r="M1485" s="1220"/>
    </row>
    <row r="1486" spans="13:13" x14ac:dyDescent="0.25">
      <c r="M1486" s="1220"/>
    </row>
    <row r="1487" spans="13:13" x14ac:dyDescent="0.25">
      <c r="M1487" s="1220"/>
    </row>
    <row r="1488" spans="13:13" x14ac:dyDescent="0.25">
      <c r="M1488" s="1220"/>
    </row>
    <row r="1489" spans="13:13" x14ac:dyDescent="0.25">
      <c r="M1489" s="1220"/>
    </row>
    <row r="1490" spans="13:13" x14ac:dyDescent="0.25">
      <c r="M1490" s="1220"/>
    </row>
    <row r="1491" spans="13:13" x14ac:dyDescent="0.25">
      <c r="M1491" s="1220"/>
    </row>
    <row r="1492" spans="13:13" x14ac:dyDescent="0.25">
      <c r="M1492" s="1220"/>
    </row>
    <row r="1493" spans="13:13" x14ac:dyDescent="0.25">
      <c r="M1493" s="1220"/>
    </row>
    <row r="1494" spans="13:13" x14ac:dyDescent="0.25">
      <c r="M1494" s="1220"/>
    </row>
    <row r="1495" spans="13:13" x14ac:dyDescent="0.25">
      <c r="M1495" s="1220"/>
    </row>
    <row r="1496" spans="13:13" x14ac:dyDescent="0.25">
      <c r="M1496" s="1220"/>
    </row>
    <row r="1497" spans="13:13" x14ac:dyDescent="0.25">
      <c r="M1497" s="1220"/>
    </row>
    <row r="1498" spans="13:13" x14ac:dyDescent="0.25">
      <c r="M1498" s="1220"/>
    </row>
    <row r="1499" spans="13:13" x14ac:dyDescent="0.25">
      <c r="M1499" s="1220"/>
    </row>
    <row r="1500" spans="13:13" x14ac:dyDescent="0.25">
      <c r="M1500" s="1220"/>
    </row>
    <row r="1501" spans="13:13" x14ac:dyDescent="0.25">
      <c r="M1501" s="1220"/>
    </row>
    <row r="1502" spans="13:13" x14ac:dyDescent="0.25">
      <c r="M1502" s="1220"/>
    </row>
    <row r="1503" spans="13:13" x14ac:dyDescent="0.25">
      <c r="M1503" s="1220"/>
    </row>
    <row r="1504" spans="13:13" x14ac:dyDescent="0.25">
      <c r="M1504" s="1220"/>
    </row>
    <row r="1505" spans="13:13" x14ac:dyDescent="0.25">
      <c r="M1505" s="1220"/>
    </row>
    <row r="1506" spans="13:13" x14ac:dyDescent="0.25">
      <c r="M1506" s="1220"/>
    </row>
    <row r="1507" spans="13:13" x14ac:dyDescent="0.25">
      <c r="M1507" s="1220"/>
    </row>
    <row r="1508" spans="13:13" x14ac:dyDescent="0.25">
      <c r="M1508" s="1220"/>
    </row>
    <row r="1509" spans="13:13" x14ac:dyDescent="0.25">
      <c r="M1509" s="1220"/>
    </row>
    <row r="1510" spans="13:13" x14ac:dyDescent="0.25">
      <c r="M1510" s="1220"/>
    </row>
    <row r="1511" spans="13:13" x14ac:dyDescent="0.25">
      <c r="M1511" s="1220"/>
    </row>
    <row r="1512" spans="13:13" x14ac:dyDescent="0.25">
      <c r="M1512" s="1220"/>
    </row>
    <row r="1513" spans="13:13" x14ac:dyDescent="0.25">
      <c r="M1513" s="1220"/>
    </row>
    <row r="1514" spans="13:13" x14ac:dyDescent="0.25">
      <c r="M1514" s="1220"/>
    </row>
    <row r="1515" spans="13:13" x14ac:dyDescent="0.25">
      <c r="M1515" s="1220"/>
    </row>
    <row r="1516" spans="13:13" x14ac:dyDescent="0.25">
      <c r="M1516" s="1220"/>
    </row>
    <row r="1517" spans="13:13" x14ac:dyDescent="0.25">
      <c r="M1517" s="1220"/>
    </row>
    <row r="1518" spans="13:13" x14ac:dyDescent="0.25">
      <c r="M1518" s="1220"/>
    </row>
    <row r="1519" spans="13:13" x14ac:dyDescent="0.25">
      <c r="M1519" s="1220"/>
    </row>
    <row r="1520" spans="13:13" x14ac:dyDescent="0.25">
      <c r="M1520" s="1220"/>
    </row>
    <row r="1521" spans="13:13" x14ac:dyDescent="0.25">
      <c r="M1521" s="1220"/>
    </row>
    <row r="1522" spans="13:13" x14ac:dyDescent="0.25">
      <c r="M1522" s="1220"/>
    </row>
    <row r="1523" spans="13:13" x14ac:dyDescent="0.25">
      <c r="M1523" s="1220"/>
    </row>
    <row r="1524" spans="13:13" x14ac:dyDescent="0.25">
      <c r="M1524" s="1220"/>
    </row>
    <row r="1525" spans="13:13" x14ac:dyDescent="0.25">
      <c r="M1525" s="1220"/>
    </row>
    <row r="1526" spans="13:13" x14ac:dyDescent="0.25">
      <c r="M1526" s="1220"/>
    </row>
    <row r="1527" spans="13:13" x14ac:dyDescent="0.25">
      <c r="M1527" s="1220"/>
    </row>
    <row r="1528" spans="13:13" x14ac:dyDescent="0.25">
      <c r="M1528" s="1220"/>
    </row>
    <row r="1529" spans="13:13" x14ac:dyDescent="0.25">
      <c r="M1529" s="1220"/>
    </row>
    <row r="1530" spans="13:13" x14ac:dyDescent="0.25">
      <c r="M1530" s="1220"/>
    </row>
    <row r="1531" spans="13:13" x14ac:dyDescent="0.25">
      <c r="M1531" s="1220"/>
    </row>
    <row r="1532" spans="13:13" x14ac:dyDescent="0.25">
      <c r="M1532" s="1220"/>
    </row>
    <row r="1533" spans="13:13" x14ac:dyDescent="0.25">
      <c r="M1533" s="1220"/>
    </row>
    <row r="1534" spans="13:13" x14ac:dyDescent="0.25">
      <c r="M1534" s="1220"/>
    </row>
    <row r="1535" spans="13:13" x14ac:dyDescent="0.25">
      <c r="M1535" s="1220"/>
    </row>
    <row r="1536" spans="13:13" x14ac:dyDescent="0.25">
      <c r="M1536" s="1220"/>
    </row>
    <row r="1537" spans="13:13" x14ac:dyDescent="0.25">
      <c r="M1537" s="1220"/>
    </row>
    <row r="1538" spans="13:13" x14ac:dyDescent="0.25">
      <c r="M1538" s="1220"/>
    </row>
    <row r="1539" spans="13:13" x14ac:dyDescent="0.25">
      <c r="M1539" s="1220"/>
    </row>
    <row r="1540" spans="13:13" x14ac:dyDescent="0.25">
      <c r="M1540" s="1220"/>
    </row>
    <row r="1541" spans="13:13" x14ac:dyDescent="0.25">
      <c r="M1541" s="1220"/>
    </row>
    <row r="1542" spans="13:13" x14ac:dyDescent="0.25">
      <c r="M1542" s="1220"/>
    </row>
    <row r="1543" spans="13:13" x14ac:dyDescent="0.25">
      <c r="M1543" s="1220"/>
    </row>
    <row r="1544" spans="13:13" x14ac:dyDescent="0.25">
      <c r="M1544" s="1220"/>
    </row>
    <row r="1545" spans="13:13" x14ac:dyDescent="0.25">
      <c r="M1545" s="1220"/>
    </row>
    <row r="1546" spans="13:13" x14ac:dyDescent="0.25">
      <c r="M1546" s="1220"/>
    </row>
    <row r="1547" spans="13:13" x14ac:dyDescent="0.25">
      <c r="M1547" s="1220"/>
    </row>
    <row r="1548" spans="13:13" x14ac:dyDescent="0.25">
      <c r="M1548" s="1220"/>
    </row>
    <row r="1549" spans="13:13" x14ac:dyDescent="0.25">
      <c r="M1549" s="1220"/>
    </row>
    <row r="1550" spans="13:13" x14ac:dyDescent="0.25">
      <c r="M1550" s="1220"/>
    </row>
    <row r="1551" spans="13:13" x14ac:dyDescent="0.25">
      <c r="M1551" s="1220"/>
    </row>
    <row r="1552" spans="13:13" x14ac:dyDescent="0.25">
      <c r="M1552" s="1220"/>
    </row>
    <row r="1553" spans="13:13" x14ac:dyDescent="0.25">
      <c r="M1553" s="1220"/>
    </row>
    <row r="1554" spans="13:13" x14ac:dyDescent="0.25">
      <c r="M1554" s="1220"/>
    </row>
    <row r="1555" spans="13:13" x14ac:dyDescent="0.25">
      <c r="M1555" s="1220"/>
    </row>
    <row r="1556" spans="13:13" x14ac:dyDescent="0.25">
      <c r="M1556" s="1220"/>
    </row>
    <row r="1557" spans="13:13" x14ac:dyDescent="0.25">
      <c r="M1557" s="1220"/>
    </row>
    <row r="1558" spans="13:13" x14ac:dyDescent="0.25">
      <c r="M1558" s="1220"/>
    </row>
    <row r="1559" spans="13:13" x14ac:dyDescent="0.25">
      <c r="M1559" s="1220"/>
    </row>
    <row r="1560" spans="13:13" x14ac:dyDescent="0.25">
      <c r="M1560" s="1220"/>
    </row>
    <row r="1561" spans="13:13" x14ac:dyDescent="0.25">
      <c r="M1561" s="1220"/>
    </row>
    <row r="1562" spans="13:13" x14ac:dyDescent="0.25">
      <c r="M1562" s="1220"/>
    </row>
    <row r="1563" spans="13:13" x14ac:dyDescent="0.25">
      <c r="M1563" s="1220"/>
    </row>
    <row r="1564" spans="13:13" x14ac:dyDescent="0.25">
      <c r="M1564" s="1220"/>
    </row>
    <row r="1565" spans="13:13" x14ac:dyDescent="0.25">
      <c r="M1565" s="1220"/>
    </row>
    <row r="1566" spans="13:13" x14ac:dyDescent="0.25">
      <c r="M1566" s="1220"/>
    </row>
    <row r="1567" spans="13:13" x14ac:dyDescent="0.25">
      <c r="M1567" s="1220"/>
    </row>
    <row r="1568" spans="13:13" x14ac:dyDescent="0.25">
      <c r="M1568" s="1220"/>
    </row>
    <row r="1569" spans="13:13" x14ac:dyDescent="0.25">
      <c r="M1569" s="1220"/>
    </row>
    <row r="1570" spans="13:13" x14ac:dyDescent="0.25">
      <c r="M1570" s="1220"/>
    </row>
    <row r="1571" spans="13:13" x14ac:dyDescent="0.25">
      <c r="M1571" s="1220"/>
    </row>
    <row r="1572" spans="13:13" x14ac:dyDescent="0.25">
      <c r="M1572" s="1220"/>
    </row>
    <row r="1573" spans="13:13" x14ac:dyDescent="0.25">
      <c r="M1573" s="1220"/>
    </row>
    <row r="1574" spans="13:13" x14ac:dyDescent="0.25">
      <c r="M1574" s="1220"/>
    </row>
    <row r="1575" spans="13:13" x14ac:dyDescent="0.25">
      <c r="M1575" s="1220"/>
    </row>
    <row r="1576" spans="13:13" x14ac:dyDescent="0.25">
      <c r="M1576" s="1220"/>
    </row>
    <row r="1577" spans="13:13" x14ac:dyDescent="0.25">
      <c r="M1577" s="1220"/>
    </row>
    <row r="1578" spans="13:13" x14ac:dyDescent="0.25">
      <c r="M1578" s="1220"/>
    </row>
    <row r="1579" spans="13:13" x14ac:dyDescent="0.25">
      <c r="M1579" s="1220"/>
    </row>
    <row r="1580" spans="13:13" x14ac:dyDescent="0.25">
      <c r="M1580" s="1220"/>
    </row>
    <row r="1581" spans="13:13" x14ac:dyDescent="0.25">
      <c r="M1581" s="1220"/>
    </row>
    <row r="1582" spans="13:13" x14ac:dyDescent="0.25">
      <c r="M1582" s="1220"/>
    </row>
    <row r="1583" spans="13:13" x14ac:dyDescent="0.25">
      <c r="M1583" s="1220"/>
    </row>
    <row r="1584" spans="13:13" x14ac:dyDescent="0.25">
      <c r="M1584" s="1220"/>
    </row>
    <row r="1585" spans="13:13" x14ac:dyDescent="0.25">
      <c r="M1585" s="1220"/>
    </row>
    <row r="1586" spans="13:13" x14ac:dyDescent="0.25">
      <c r="M1586" s="1220"/>
    </row>
    <row r="1587" spans="13:13" x14ac:dyDescent="0.25">
      <c r="M1587" s="1220"/>
    </row>
    <row r="1588" spans="13:13" x14ac:dyDescent="0.25">
      <c r="M1588" s="1220"/>
    </row>
    <row r="1589" spans="13:13" x14ac:dyDescent="0.25">
      <c r="M1589" s="1220"/>
    </row>
    <row r="1590" spans="13:13" x14ac:dyDescent="0.25">
      <c r="M1590" s="1220"/>
    </row>
    <row r="1591" spans="13:13" x14ac:dyDescent="0.25">
      <c r="M1591" s="1220"/>
    </row>
    <row r="1592" spans="13:13" x14ac:dyDescent="0.25">
      <c r="M1592" s="1220"/>
    </row>
    <row r="1593" spans="13:13" x14ac:dyDescent="0.25">
      <c r="M1593" s="1220"/>
    </row>
    <row r="1594" spans="13:13" x14ac:dyDescent="0.25">
      <c r="M1594" s="1220"/>
    </row>
    <row r="1595" spans="13:13" x14ac:dyDescent="0.25">
      <c r="M1595" s="1220"/>
    </row>
    <row r="1596" spans="13:13" x14ac:dyDescent="0.25">
      <c r="M1596" s="1220"/>
    </row>
    <row r="1597" spans="13:13" x14ac:dyDescent="0.25">
      <c r="M1597" s="1220"/>
    </row>
    <row r="1598" spans="13:13" x14ac:dyDescent="0.25">
      <c r="M1598" s="1220"/>
    </row>
    <row r="1599" spans="13:13" x14ac:dyDescent="0.25">
      <c r="M1599" s="1220"/>
    </row>
    <row r="1600" spans="13:13" x14ac:dyDescent="0.25">
      <c r="M1600" s="1220"/>
    </row>
    <row r="1601" spans="13:13" x14ac:dyDescent="0.25">
      <c r="M1601" s="1220"/>
    </row>
    <row r="1602" spans="13:13" x14ac:dyDescent="0.25">
      <c r="M1602" s="1220"/>
    </row>
    <row r="1603" spans="13:13" x14ac:dyDescent="0.25">
      <c r="M1603" s="1220"/>
    </row>
    <row r="1604" spans="13:13" x14ac:dyDescent="0.25">
      <c r="M1604" s="1220"/>
    </row>
    <row r="1605" spans="13:13" x14ac:dyDescent="0.25">
      <c r="M1605" s="1220"/>
    </row>
    <row r="1606" spans="13:13" x14ac:dyDescent="0.25">
      <c r="M1606" s="1220"/>
    </row>
    <row r="1607" spans="13:13" x14ac:dyDescent="0.25">
      <c r="M1607" s="1220"/>
    </row>
    <row r="1608" spans="13:13" x14ac:dyDescent="0.25">
      <c r="M1608" s="1220"/>
    </row>
    <row r="1609" spans="13:13" x14ac:dyDescent="0.25">
      <c r="M1609" s="1220"/>
    </row>
    <row r="1610" spans="13:13" x14ac:dyDescent="0.25">
      <c r="M1610" s="1220"/>
    </row>
    <row r="1611" spans="13:13" x14ac:dyDescent="0.25">
      <c r="M1611" s="1220"/>
    </row>
    <row r="1612" spans="13:13" x14ac:dyDescent="0.25">
      <c r="M1612" s="1220"/>
    </row>
    <row r="1613" spans="13:13" x14ac:dyDescent="0.25">
      <c r="M1613" s="1220"/>
    </row>
    <row r="1614" spans="13:13" x14ac:dyDescent="0.25">
      <c r="M1614" s="1220"/>
    </row>
    <row r="1615" spans="13:13" x14ac:dyDescent="0.25">
      <c r="M1615" s="1220"/>
    </row>
    <row r="1616" spans="13:13" x14ac:dyDescent="0.25">
      <c r="M1616" s="1220"/>
    </row>
    <row r="1617" spans="13:13" x14ac:dyDescent="0.25">
      <c r="M1617" s="1220"/>
    </row>
    <row r="1618" spans="13:13" x14ac:dyDescent="0.25">
      <c r="M1618" s="1220"/>
    </row>
    <row r="1619" spans="13:13" x14ac:dyDescent="0.25">
      <c r="M1619" s="1220"/>
    </row>
    <row r="1620" spans="13:13" x14ac:dyDescent="0.25">
      <c r="M1620" s="1220"/>
    </row>
    <row r="1621" spans="13:13" x14ac:dyDescent="0.25">
      <c r="M1621" s="1220"/>
    </row>
    <row r="1622" spans="13:13" x14ac:dyDescent="0.25">
      <c r="M1622" s="1220"/>
    </row>
    <row r="1623" spans="13:13" x14ac:dyDescent="0.25">
      <c r="M1623" s="1220"/>
    </row>
    <row r="1624" spans="13:13" x14ac:dyDescent="0.25">
      <c r="M1624" s="1220"/>
    </row>
    <row r="1625" spans="13:13" x14ac:dyDescent="0.25">
      <c r="M1625" s="1220"/>
    </row>
    <row r="1626" spans="13:13" x14ac:dyDescent="0.25">
      <c r="M1626" s="1220"/>
    </row>
    <row r="1627" spans="13:13" x14ac:dyDescent="0.25">
      <c r="M1627" s="1220"/>
    </row>
    <row r="1628" spans="13:13" x14ac:dyDescent="0.25">
      <c r="M1628" s="1220"/>
    </row>
    <row r="1629" spans="13:13" x14ac:dyDescent="0.25">
      <c r="M1629" s="1220"/>
    </row>
    <row r="1630" spans="13:13" x14ac:dyDescent="0.25">
      <c r="M1630" s="1220"/>
    </row>
    <row r="1631" spans="13:13" x14ac:dyDescent="0.25">
      <c r="M1631" s="1220"/>
    </row>
    <row r="1632" spans="13:13" x14ac:dyDescent="0.25">
      <c r="M1632" s="1220"/>
    </row>
    <row r="1633" spans="13:13" x14ac:dyDescent="0.25">
      <c r="M1633" s="1220"/>
    </row>
    <row r="1634" spans="13:13" x14ac:dyDescent="0.25">
      <c r="M1634" s="1220"/>
    </row>
    <row r="1635" spans="13:13" x14ac:dyDescent="0.25">
      <c r="M1635" s="1220"/>
    </row>
    <row r="1636" spans="13:13" x14ac:dyDescent="0.25">
      <c r="M1636" s="1220"/>
    </row>
    <row r="1637" spans="13:13" x14ac:dyDescent="0.25">
      <c r="M1637" s="1220"/>
    </row>
    <row r="1638" spans="13:13" x14ac:dyDescent="0.25">
      <c r="M1638" s="1220"/>
    </row>
    <row r="1639" spans="13:13" x14ac:dyDescent="0.25">
      <c r="M1639" s="1220"/>
    </row>
    <row r="1640" spans="13:13" x14ac:dyDescent="0.25">
      <c r="M1640" s="1220"/>
    </row>
    <row r="1641" spans="13:13" x14ac:dyDescent="0.25">
      <c r="M1641" s="1220"/>
    </row>
    <row r="1642" spans="13:13" x14ac:dyDescent="0.25">
      <c r="M1642" s="1220"/>
    </row>
    <row r="1643" spans="13:13" x14ac:dyDescent="0.25">
      <c r="M1643" s="1220"/>
    </row>
    <row r="1644" spans="13:13" x14ac:dyDescent="0.25">
      <c r="M1644" s="1220"/>
    </row>
    <row r="1645" spans="13:13" x14ac:dyDescent="0.25">
      <c r="M1645" s="1220"/>
    </row>
    <row r="1646" spans="13:13" x14ac:dyDescent="0.25">
      <c r="M1646" s="1220"/>
    </row>
    <row r="1647" spans="13:13" x14ac:dyDescent="0.25">
      <c r="M1647" s="1220"/>
    </row>
    <row r="1648" spans="13:13" x14ac:dyDescent="0.25">
      <c r="M1648" s="1220"/>
    </row>
    <row r="1649" spans="13:13" x14ac:dyDescent="0.25">
      <c r="M1649" s="1220"/>
    </row>
    <row r="1650" spans="13:13" x14ac:dyDescent="0.25">
      <c r="M1650" s="1220"/>
    </row>
    <row r="1651" spans="13:13" x14ac:dyDescent="0.25">
      <c r="M1651" s="1220"/>
    </row>
    <row r="1652" spans="13:13" x14ac:dyDescent="0.25">
      <c r="M1652" s="1220"/>
    </row>
    <row r="1653" spans="13:13" x14ac:dyDescent="0.25">
      <c r="M1653" s="1220"/>
    </row>
    <row r="1654" spans="13:13" x14ac:dyDescent="0.25">
      <c r="M1654" s="1220"/>
    </row>
    <row r="1655" spans="13:13" x14ac:dyDescent="0.25">
      <c r="M1655" s="1220"/>
    </row>
    <row r="1656" spans="13:13" x14ac:dyDescent="0.25">
      <c r="M1656" s="1220"/>
    </row>
    <row r="1657" spans="13:13" x14ac:dyDescent="0.25">
      <c r="M1657" s="1220"/>
    </row>
    <row r="1658" spans="13:13" x14ac:dyDescent="0.25">
      <c r="M1658" s="1220"/>
    </row>
    <row r="1659" spans="13:13" x14ac:dyDescent="0.25">
      <c r="M1659" s="1220"/>
    </row>
    <row r="1660" spans="13:13" x14ac:dyDescent="0.25">
      <c r="M1660" s="1220"/>
    </row>
    <row r="1661" spans="13:13" x14ac:dyDescent="0.25">
      <c r="M1661" s="1220"/>
    </row>
    <row r="1662" spans="13:13" x14ac:dyDescent="0.25">
      <c r="M1662" s="1220"/>
    </row>
    <row r="1663" spans="13:13" x14ac:dyDescent="0.25">
      <c r="M1663" s="1220"/>
    </row>
    <row r="1664" spans="13:13" x14ac:dyDescent="0.25">
      <c r="M1664" s="1220"/>
    </row>
    <row r="1665" spans="13:13" x14ac:dyDescent="0.25">
      <c r="M1665" s="1220"/>
    </row>
    <row r="1666" spans="13:13" x14ac:dyDescent="0.25">
      <c r="M1666" s="1220"/>
    </row>
    <row r="1667" spans="13:13" x14ac:dyDescent="0.25">
      <c r="M1667" s="1220"/>
    </row>
    <row r="1668" spans="13:13" x14ac:dyDescent="0.25">
      <c r="M1668" s="1220"/>
    </row>
    <row r="1669" spans="13:13" x14ac:dyDescent="0.25">
      <c r="M1669" s="1220"/>
    </row>
    <row r="1670" spans="13:13" x14ac:dyDescent="0.25">
      <c r="M1670" s="1220"/>
    </row>
    <row r="1671" spans="13:13" x14ac:dyDescent="0.25">
      <c r="M1671" s="1220"/>
    </row>
    <row r="1672" spans="13:13" x14ac:dyDescent="0.25">
      <c r="M1672" s="1220"/>
    </row>
    <row r="1673" spans="13:13" x14ac:dyDescent="0.25">
      <c r="M1673" s="1220"/>
    </row>
    <row r="1674" spans="13:13" x14ac:dyDescent="0.25">
      <c r="M1674" s="1220"/>
    </row>
    <row r="1675" spans="13:13" x14ac:dyDescent="0.25">
      <c r="M1675" s="1220"/>
    </row>
    <row r="1676" spans="13:13" x14ac:dyDescent="0.25">
      <c r="M1676" s="1220"/>
    </row>
    <row r="1677" spans="13:13" x14ac:dyDescent="0.25">
      <c r="M1677" s="1220"/>
    </row>
    <row r="1678" spans="13:13" x14ac:dyDescent="0.25">
      <c r="M1678" s="1220"/>
    </row>
    <row r="1679" spans="13:13" x14ac:dyDescent="0.25">
      <c r="M1679" s="1220"/>
    </row>
    <row r="1680" spans="13:13" x14ac:dyDescent="0.25">
      <c r="M1680" s="1220"/>
    </row>
    <row r="1681" spans="13:13" x14ac:dyDescent="0.25">
      <c r="M1681" s="1220"/>
    </row>
    <row r="1682" spans="13:13" x14ac:dyDescent="0.25">
      <c r="M1682" s="1220"/>
    </row>
    <row r="1683" spans="13:13" x14ac:dyDescent="0.25">
      <c r="M1683" s="1220"/>
    </row>
    <row r="1684" spans="13:13" x14ac:dyDescent="0.25">
      <c r="M1684" s="1220"/>
    </row>
    <row r="1685" spans="13:13" x14ac:dyDescent="0.25">
      <c r="M1685" s="1220"/>
    </row>
    <row r="1686" spans="13:13" x14ac:dyDescent="0.25">
      <c r="M1686" s="1220"/>
    </row>
    <row r="1687" spans="13:13" x14ac:dyDescent="0.25">
      <c r="M1687" s="1220"/>
    </row>
    <row r="1688" spans="13:13" x14ac:dyDescent="0.25">
      <c r="M1688" s="1220"/>
    </row>
    <row r="1689" spans="13:13" x14ac:dyDescent="0.25">
      <c r="M1689" s="1220"/>
    </row>
    <row r="1690" spans="13:13" x14ac:dyDescent="0.25">
      <c r="M1690" s="1220"/>
    </row>
    <row r="1691" spans="13:13" x14ac:dyDescent="0.25">
      <c r="M1691" s="1220"/>
    </row>
    <row r="1692" spans="13:13" x14ac:dyDescent="0.25">
      <c r="M1692" s="1220"/>
    </row>
    <row r="1693" spans="13:13" x14ac:dyDescent="0.25">
      <c r="M1693" s="1220"/>
    </row>
    <row r="1694" spans="13:13" x14ac:dyDescent="0.25">
      <c r="M1694" s="1220"/>
    </row>
    <row r="1695" spans="13:13" x14ac:dyDescent="0.25">
      <c r="M1695" s="1220"/>
    </row>
    <row r="1696" spans="13:13" x14ac:dyDescent="0.25">
      <c r="M1696" s="1220"/>
    </row>
    <row r="1697" spans="13:13" x14ac:dyDescent="0.25">
      <c r="M1697" s="1220"/>
    </row>
    <row r="1698" spans="13:13" x14ac:dyDescent="0.25">
      <c r="M1698" s="1220"/>
    </row>
    <row r="1699" spans="13:13" x14ac:dyDescent="0.25">
      <c r="M1699" s="1220"/>
    </row>
    <row r="1700" spans="13:13" x14ac:dyDescent="0.25">
      <c r="M1700" s="1220"/>
    </row>
    <row r="1701" spans="13:13" x14ac:dyDescent="0.25">
      <c r="M1701" s="1220"/>
    </row>
    <row r="1702" spans="13:13" x14ac:dyDescent="0.25">
      <c r="M1702" s="1220"/>
    </row>
    <row r="1703" spans="13:13" x14ac:dyDescent="0.25">
      <c r="M1703" s="1220"/>
    </row>
    <row r="1704" spans="13:13" x14ac:dyDescent="0.25">
      <c r="M1704" s="1220"/>
    </row>
    <row r="1705" spans="13:13" x14ac:dyDescent="0.25">
      <c r="M1705" s="1220"/>
    </row>
    <row r="1706" spans="13:13" x14ac:dyDescent="0.25">
      <c r="M1706" s="1220"/>
    </row>
    <row r="1707" spans="13:13" x14ac:dyDescent="0.25">
      <c r="M1707" s="1220"/>
    </row>
    <row r="1708" spans="13:13" x14ac:dyDescent="0.25">
      <c r="M1708" s="1220"/>
    </row>
    <row r="1709" spans="13:13" x14ac:dyDescent="0.25">
      <c r="M1709" s="1220"/>
    </row>
    <row r="1710" spans="13:13" x14ac:dyDescent="0.25">
      <c r="M1710" s="1220"/>
    </row>
    <row r="1711" spans="13:13" x14ac:dyDescent="0.25">
      <c r="M1711" s="1220"/>
    </row>
    <row r="1712" spans="13:13" x14ac:dyDescent="0.25">
      <c r="M1712" s="1220"/>
    </row>
    <row r="1713" spans="13:13" x14ac:dyDescent="0.25">
      <c r="M1713" s="1220"/>
    </row>
    <row r="1714" spans="13:13" x14ac:dyDescent="0.25">
      <c r="M1714" s="1220"/>
    </row>
    <row r="1715" spans="13:13" x14ac:dyDescent="0.25">
      <c r="M1715" s="1220"/>
    </row>
    <row r="1716" spans="13:13" x14ac:dyDescent="0.25">
      <c r="M1716" s="1220"/>
    </row>
    <row r="1717" spans="13:13" x14ac:dyDescent="0.25">
      <c r="M1717" s="1220"/>
    </row>
    <row r="1718" spans="13:13" x14ac:dyDescent="0.25">
      <c r="M1718" s="1220"/>
    </row>
    <row r="1719" spans="13:13" x14ac:dyDescent="0.25">
      <c r="M1719" s="1220"/>
    </row>
    <row r="1720" spans="13:13" x14ac:dyDescent="0.25">
      <c r="M1720" s="1220"/>
    </row>
    <row r="1721" spans="13:13" x14ac:dyDescent="0.25">
      <c r="M1721" s="1220"/>
    </row>
    <row r="1722" spans="13:13" x14ac:dyDescent="0.25">
      <c r="M1722" s="1220"/>
    </row>
    <row r="1723" spans="13:13" x14ac:dyDescent="0.25">
      <c r="M1723" s="1220"/>
    </row>
    <row r="1724" spans="13:13" x14ac:dyDescent="0.25">
      <c r="M1724" s="1220"/>
    </row>
    <row r="1725" spans="13:13" x14ac:dyDescent="0.25">
      <c r="M1725" s="1220"/>
    </row>
    <row r="1726" spans="13:13" x14ac:dyDescent="0.25">
      <c r="M1726" s="1220"/>
    </row>
    <row r="1727" spans="13:13" x14ac:dyDescent="0.25">
      <c r="M1727" s="1220"/>
    </row>
    <row r="1728" spans="13:13" x14ac:dyDescent="0.25">
      <c r="M1728" s="1220"/>
    </row>
    <row r="1729" spans="13:13" x14ac:dyDescent="0.25">
      <c r="M1729" s="1220"/>
    </row>
    <row r="1730" spans="13:13" x14ac:dyDescent="0.25">
      <c r="M1730" s="1220"/>
    </row>
    <row r="1731" spans="13:13" x14ac:dyDescent="0.25">
      <c r="M1731" s="1220"/>
    </row>
    <row r="1732" spans="13:13" x14ac:dyDescent="0.25">
      <c r="M1732" s="1220"/>
    </row>
    <row r="1733" spans="13:13" x14ac:dyDescent="0.25">
      <c r="M1733" s="1220"/>
    </row>
    <row r="1734" spans="13:13" x14ac:dyDescent="0.25">
      <c r="M1734" s="1220"/>
    </row>
    <row r="1735" spans="13:13" x14ac:dyDescent="0.25">
      <c r="M1735" s="1220"/>
    </row>
    <row r="1736" spans="13:13" x14ac:dyDescent="0.25">
      <c r="M1736" s="1220"/>
    </row>
    <row r="1737" spans="13:13" x14ac:dyDescent="0.25">
      <c r="M1737" s="1220"/>
    </row>
    <row r="1738" spans="13:13" x14ac:dyDescent="0.25">
      <c r="M1738" s="1220"/>
    </row>
    <row r="1739" spans="13:13" x14ac:dyDescent="0.25">
      <c r="M1739" s="1220"/>
    </row>
    <row r="1740" spans="13:13" x14ac:dyDescent="0.25">
      <c r="M1740" s="1220"/>
    </row>
    <row r="1741" spans="13:13" x14ac:dyDescent="0.25">
      <c r="M1741" s="1220"/>
    </row>
    <row r="1742" spans="13:13" x14ac:dyDescent="0.25">
      <c r="M1742" s="1220"/>
    </row>
    <row r="1743" spans="13:13" x14ac:dyDescent="0.25">
      <c r="M1743" s="1220"/>
    </row>
    <row r="1744" spans="13:13" x14ac:dyDescent="0.25">
      <c r="M1744" s="1220"/>
    </row>
    <row r="1745" spans="13:13" x14ac:dyDescent="0.25">
      <c r="M1745" s="1220"/>
    </row>
    <row r="1746" spans="13:13" x14ac:dyDescent="0.25">
      <c r="M1746" s="1220"/>
    </row>
    <row r="1747" spans="13:13" x14ac:dyDescent="0.25">
      <c r="M1747" s="1220"/>
    </row>
    <row r="1748" spans="13:13" x14ac:dyDescent="0.25">
      <c r="M1748" s="1220"/>
    </row>
    <row r="1749" spans="13:13" x14ac:dyDescent="0.25">
      <c r="M1749" s="1220"/>
    </row>
    <row r="1750" spans="13:13" x14ac:dyDescent="0.25">
      <c r="M1750" s="1220"/>
    </row>
    <row r="1751" spans="13:13" x14ac:dyDescent="0.25">
      <c r="M1751" s="1220"/>
    </row>
    <row r="1752" spans="13:13" x14ac:dyDescent="0.25">
      <c r="M1752" s="1220"/>
    </row>
    <row r="1753" spans="13:13" x14ac:dyDescent="0.25">
      <c r="M1753" s="1220"/>
    </row>
    <row r="1754" spans="13:13" x14ac:dyDescent="0.25">
      <c r="M1754" s="1220"/>
    </row>
    <row r="1755" spans="13:13" x14ac:dyDescent="0.25">
      <c r="M1755" s="1220"/>
    </row>
    <row r="1756" spans="13:13" x14ac:dyDescent="0.25">
      <c r="M1756" s="1220"/>
    </row>
    <row r="1757" spans="13:13" x14ac:dyDescent="0.25">
      <c r="M1757" s="1220"/>
    </row>
    <row r="1758" spans="13:13" x14ac:dyDescent="0.25">
      <c r="M1758" s="1220"/>
    </row>
    <row r="1759" spans="13:13" x14ac:dyDescent="0.25">
      <c r="M1759" s="1220"/>
    </row>
    <row r="1760" spans="13:13" x14ac:dyDescent="0.25">
      <c r="M1760" s="1220"/>
    </row>
    <row r="1761" spans="13:13" x14ac:dyDescent="0.25">
      <c r="M1761" s="1220"/>
    </row>
    <row r="1762" spans="13:13" x14ac:dyDescent="0.25">
      <c r="M1762" s="1220"/>
    </row>
    <row r="1763" spans="13:13" x14ac:dyDescent="0.25">
      <c r="M1763" s="1220"/>
    </row>
    <row r="1764" spans="13:13" x14ac:dyDescent="0.25">
      <c r="M1764" s="1220"/>
    </row>
    <row r="1765" spans="13:13" x14ac:dyDescent="0.25">
      <c r="M1765" s="1220"/>
    </row>
    <row r="1766" spans="13:13" x14ac:dyDescent="0.25">
      <c r="M1766" s="1220"/>
    </row>
    <row r="1767" spans="13:13" x14ac:dyDescent="0.25">
      <c r="M1767" s="1220"/>
    </row>
    <row r="1768" spans="13:13" x14ac:dyDescent="0.25">
      <c r="M1768" s="1220"/>
    </row>
    <row r="1769" spans="13:13" x14ac:dyDescent="0.25">
      <c r="M1769" s="1220"/>
    </row>
    <row r="1770" spans="13:13" x14ac:dyDescent="0.25">
      <c r="M1770" s="1220"/>
    </row>
    <row r="1771" spans="13:13" x14ac:dyDescent="0.25">
      <c r="M1771" s="1220"/>
    </row>
    <row r="1772" spans="13:13" x14ac:dyDescent="0.25">
      <c r="M1772" s="1220"/>
    </row>
    <row r="1773" spans="13:13" x14ac:dyDescent="0.25">
      <c r="M1773" s="1220"/>
    </row>
    <row r="1774" spans="13:13" x14ac:dyDescent="0.25">
      <c r="M1774" s="1220"/>
    </row>
    <row r="1775" spans="13:13" x14ac:dyDescent="0.25">
      <c r="M1775" s="1220"/>
    </row>
    <row r="1776" spans="13:13" x14ac:dyDescent="0.25">
      <c r="M1776" s="1220"/>
    </row>
    <row r="1777" spans="13:13" x14ac:dyDescent="0.25">
      <c r="M1777" s="1220"/>
    </row>
    <row r="1778" spans="13:13" x14ac:dyDescent="0.25">
      <c r="M1778" s="1220"/>
    </row>
    <row r="1779" spans="13:13" x14ac:dyDescent="0.25">
      <c r="M1779" s="1220"/>
    </row>
    <row r="1780" spans="13:13" x14ac:dyDescent="0.25">
      <c r="M1780" s="1220"/>
    </row>
    <row r="1781" spans="13:13" x14ac:dyDescent="0.25">
      <c r="M1781" s="1220"/>
    </row>
    <row r="1782" spans="13:13" x14ac:dyDescent="0.25">
      <c r="M1782" s="1220"/>
    </row>
    <row r="1783" spans="13:13" x14ac:dyDescent="0.25">
      <c r="M1783" s="1220"/>
    </row>
    <row r="1784" spans="13:13" x14ac:dyDescent="0.25">
      <c r="M1784" s="1220"/>
    </row>
    <row r="1785" spans="13:13" x14ac:dyDescent="0.25">
      <c r="M1785" s="1220"/>
    </row>
    <row r="1786" spans="13:13" x14ac:dyDescent="0.25">
      <c r="M1786" s="1220"/>
    </row>
    <row r="1787" spans="13:13" x14ac:dyDescent="0.25">
      <c r="M1787" s="1220"/>
    </row>
    <row r="1788" spans="13:13" x14ac:dyDescent="0.25">
      <c r="M1788" s="1220"/>
    </row>
    <row r="1789" spans="13:13" x14ac:dyDescent="0.25">
      <c r="M1789" s="1220"/>
    </row>
    <row r="1790" spans="13:13" x14ac:dyDescent="0.25">
      <c r="M1790" s="1220"/>
    </row>
    <row r="1791" spans="13:13" x14ac:dyDescent="0.25">
      <c r="M1791" s="1220"/>
    </row>
    <row r="1792" spans="13:13" x14ac:dyDescent="0.25">
      <c r="M1792" s="1220"/>
    </row>
    <row r="1793" spans="13:13" x14ac:dyDescent="0.25">
      <c r="M1793" s="1220"/>
    </row>
    <row r="1794" spans="13:13" x14ac:dyDescent="0.25">
      <c r="M1794" s="1220"/>
    </row>
    <row r="1795" spans="13:13" x14ac:dyDescent="0.25">
      <c r="M1795" s="1220"/>
    </row>
    <row r="1796" spans="13:13" x14ac:dyDescent="0.25">
      <c r="M1796" s="1220"/>
    </row>
    <row r="1797" spans="13:13" x14ac:dyDescent="0.25">
      <c r="M1797" s="1220"/>
    </row>
    <row r="1798" spans="13:13" x14ac:dyDescent="0.25">
      <c r="M1798" s="1220"/>
    </row>
    <row r="1799" spans="13:13" x14ac:dyDescent="0.25">
      <c r="M1799" s="1220"/>
    </row>
    <row r="1800" spans="13:13" x14ac:dyDescent="0.25">
      <c r="M1800" s="1220"/>
    </row>
    <row r="1801" spans="13:13" x14ac:dyDescent="0.25">
      <c r="M1801" s="1220"/>
    </row>
    <row r="1802" spans="13:13" x14ac:dyDescent="0.25">
      <c r="M1802" s="1220"/>
    </row>
    <row r="1803" spans="13:13" x14ac:dyDescent="0.25">
      <c r="M1803" s="1220"/>
    </row>
    <row r="1804" spans="13:13" x14ac:dyDescent="0.25">
      <c r="M1804" s="1220"/>
    </row>
    <row r="1805" spans="13:13" x14ac:dyDescent="0.25">
      <c r="M1805" s="1220"/>
    </row>
    <row r="1806" spans="13:13" x14ac:dyDescent="0.25">
      <c r="M1806" s="1220"/>
    </row>
    <row r="1807" spans="13:13" x14ac:dyDescent="0.25">
      <c r="M1807" s="1220"/>
    </row>
    <row r="1808" spans="13:13" x14ac:dyDescent="0.25">
      <c r="M1808" s="1220"/>
    </row>
    <row r="1809" spans="13:13" x14ac:dyDescent="0.25">
      <c r="M1809" s="1220"/>
    </row>
    <row r="1810" spans="13:13" x14ac:dyDescent="0.25">
      <c r="M1810" s="1220"/>
    </row>
    <row r="1811" spans="13:13" x14ac:dyDescent="0.25">
      <c r="M1811" s="1220"/>
    </row>
    <row r="1812" spans="13:13" x14ac:dyDescent="0.25">
      <c r="M1812" s="1220"/>
    </row>
    <row r="1813" spans="13:13" x14ac:dyDescent="0.25">
      <c r="M1813" s="1220"/>
    </row>
    <row r="1814" spans="13:13" x14ac:dyDescent="0.25">
      <c r="M1814" s="1220"/>
    </row>
    <row r="1815" spans="13:13" x14ac:dyDescent="0.25">
      <c r="M1815" s="1220"/>
    </row>
    <row r="1816" spans="13:13" x14ac:dyDescent="0.25">
      <c r="M1816" s="1220"/>
    </row>
    <row r="1817" spans="13:13" x14ac:dyDescent="0.25">
      <c r="M1817" s="1220"/>
    </row>
    <row r="1818" spans="13:13" x14ac:dyDescent="0.25">
      <c r="M1818" s="1220"/>
    </row>
    <row r="1819" spans="13:13" x14ac:dyDescent="0.25">
      <c r="M1819" s="1220"/>
    </row>
    <row r="1820" spans="13:13" x14ac:dyDescent="0.25">
      <c r="M1820" s="1220"/>
    </row>
    <row r="1821" spans="13:13" x14ac:dyDescent="0.25">
      <c r="M1821" s="1220"/>
    </row>
    <row r="1822" spans="13:13" x14ac:dyDescent="0.25">
      <c r="M1822" s="1220"/>
    </row>
    <row r="1823" spans="13:13" x14ac:dyDescent="0.25">
      <c r="M1823" s="1220"/>
    </row>
    <row r="1824" spans="13:13" x14ac:dyDescent="0.25">
      <c r="M1824" s="1220"/>
    </row>
    <row r="1825" spans="13:13" x14ac:dyDescent="0.25">
      <c r="M1825" s="1220"/>
    </row>
    <row r="1826" spans="13:13" x14ac:dyDescent="0.25">
      <c r="M1826" s="1220"/>
    </row>
    <row r="1827" spans="13:13" x14ac:dyDescent="0.25">
      <c r="M1827" s="1220"/>
    </row>
    <row r="1828" spans="13:13" x14ac:dyDescent="0.25">
      <c r="M1828" s="1220"/>
    </row>
    <row r="1829" spans="13:13" x14ac:dyDescent="0.25">
      <c r="M1829" s="1220"/>
    </row>
    <row r="1830" spans="13:13" x14ac:dyDescent="0.25">
      <c r="M1830" s="1220"/>
    </row>
    <row r="1831" spans="13:13" x14ac:dyDescent="0.25">
      <c r="M1831" s="1220"/>
    </row>
    <row r="1832" spans="13:13" x14ac:dyDescent="0.25">
      <c r="M1832" s="1220"/>
    </row>
    <row r="1833" spans="13:13" x14ac:dyDescent="0.25">
      <c r="M1833" s="1220"/>
    </row>
    <row r="1834" spans="13:13" x14ac:dyDescent="0.25">
      <c r="M1834" s="1220"/>
    </row>
    <row r="1835" spans="13:13" x14ac:dyDescent="0.25">
      <c r="M1835" s="1220"/>
    </row>
    <row r="1836" spans="13:13" x14ac:dyDescent="0.25">
      <c r="M1836" s="1220"/>
    </row>
    <row r="1837" spans="13:13" x14ac:dyDescent="0.25">
      <c r="M1837" s="1220"/>
    </row>
    <row r="1838" spans="13:13" x14ac:dyDescent="0.25">
      <c r="M1838" s="1220"/>
    </row>
    <row r="1839" spans="13:13" x14ac:dyDescent="0.25">
      <c r="M1839" s="1220"/>
    </row>
    <row r="1840" spans="13:13" x14ac:dyDescent="0.25">
      <c r="M1840" s="1220"/>
    </row>
    <row r="1841" spans="13:13" x14ac:dyDescent="0.25">
      <c r="M1841" s="1220"/>
    </row>
    <row r="1842" spans="13:13" x14ac:dyDescent="0.25">
      <c r="M1842" s="1220"/>
    </row>
    <row r="1843" spans="13:13" x14ac:dyDescent="0.25">
      <c r="M1843" s="1220"/>
    </row>
    <row r="1844" spans="13:13" x14ac:dyDescent="0.25">
      <c r="M1844" s="1220"/>
    </row>
    <row r="1845" spans="13:13" x14ac:dyDescent="0.25">
      <c r="M1845" s="1220"/>
    </row>
    <row r="1846" spans="13:13" x14ac:dyDescent="0.25">
      <c r="M1846" s="1220"/>
    </row>
    <row r="1847" spans="13:13" x14ac:dyDescent="0.25">
      <c r="M1847" s="1220"/>
    </row>
    <row r="1848" spans="13:13" x14ac:dyDescent="0.25">
      <c r="M1848" s="1220"/>
    </row>
    <row r="1849" spans="13:13" x14ac:dyDescent="0.25">
      <c r="M1849" s="1220"/>
    </row>
    <row r="1850" spans="13:13" x14ac:dyDescent="0.25">
      <c r="M1850" s="1220"/>
    </row>
    <row r="1851" spans="13:13" x14ac:dyDescent="0.25">
      <c r="M1851" s="1220"/>
    </row>
    <row r="1852" spans="13:13" x14ac:dyDescent="0.25">
      <c r="M1852" s="1220"/>
    </row>
    <row r="1853" spans="13:13" x14ac:dyDescent="0.25">
      <c r="M1853" s="1220"/>
    </row>
    <row r="1854" spans="13:13" x14ac:dyDescent="0.25">
      <c r="M1854" s="1220"/>
    </row>
    <row r="1855" spans="13:13" x14ac:dyDescent="0.25">
      <c r="M1855" s="1220"/>
    </row>
    <row r="1856" spans="13:13" x14ac:dyDescent="0.25">
      <c r="M1856" s="1220"/>
    </row>
    <row r="1857" spans="13:13" x14ac:dyDescent="0.25">
      <c r="M1857" s="1220"/>
    </row>
    <row r="1858" spans="13:13" x14ac:dyDescent="0.25">
      <c r="M1858" s="1220"/>
    </row>
    <row r="1859" spans="13:13" x14ac:dyDescent="0.25">
      <c r="M1859" s="1220"/>
    </row>
    <row r="1860" spans="13:13" x14ac:dyDescent="0.25">
      <c r="M1860" s="1220"/>
    </row>
    <row r="1861" spans="13:13" x14ac:dyDescent="0.25">
      <c r="M1861" s="1220"/>
    </row>
    <row r="1862" spans="13:13" x14ac:dyDescent="0.25">
      <c r="M1862" s="1220"/>
    </row>
    <row r="1863" spans="13:13" x14ac:dyDescent="0.25">
      <c r="M1863" s="1220"/>
    </row>
    <row r="1864" spans="13:13" x14ac:dyDescent="0.25">
      <c r="M1864" s="1220"/>
    </row>
    <row r="1865" spans="13:13" x14ac:dyDescent="0.25">
      <c r="M1865" s="1220"/>
    </row>
    <row r="1866" spans="13:13" x14ac:dyDescent="0.25">
      <c r="M1866" s="1220"/>
    </row>
    <row r="1867" spans="13:13" x14ac:dyDescent="0.25">
      <c r="M1867" s="1220"/>
    </row>
    <row r="1868" spans="13:13" x14ac:dyDescent="0.25">
      <c r="M1868" s="1220"/>
    </row>
    <row r="1869" spans="13:13" x14ac:dyDescent="0.25">
      <c r="M1869" s="1220"/>
    </row>
    <row r="1870" spans="13:13" x14ac:dyDescent="0.25">
      <c r="M1870" s="1220"/>
    </row>
    <row r="1871" spans="13:13" x14ac:dyDescent="0.25">
      <c r="M1871" s="1220"/>
    </row>
    <row r="1872" spans="13:13" x14ac:dyDescent="0.25">
      <c r="M1872" s="1220"/>
    </row>
    <row r="1873" spans="13:13" x14ac:dyDescent="0.25">
      <c r="M1873" s="1220"/>
    </row>
    <row r="1874" spans="13:13" x14ac:dyDescent="0.25">
      <c r="M1874" s="1220"/>
    </row>
    <row r="1875" spans="13:13" x14ac:dyDescent="0.25">
      <c r="M1875" s="1220"/>
    </row>
    <row r="1876" spans="13:13" x14ac:dyDescent="0.25">
      <c r="M1876" s="1220"/>
    </row>
    <row r="1877" spans="13:13" x14ac:dyDescent="0.25">
      <c r="M1877" s="1220"/>
    </row>
    <row r="1878" spans="13:13" x14ac:dyDescent="0.25">
      <c r="M1878" s="1220"/>
    </row>
    <row r="1879" spans="13:13" x14ac:dyDescent="0.25">
      <c r="M1879" s="1220"/>
    </row>
    <row r="1880" spans="13:13" x14ac:dyDescent="0.25">
      <c r="M1880" s="1220"/>
    </row>
    <row r="1881" spans="13:13" x14ac:dyDescent="0.25">
      <c r="M1881" s="1220"/>
    </row>
    <row r="1882" spans="13:13" x14ac:dyDescent="0.25">
      <c r="M1882" s="1220"/>
    </row>
    <row r="1883" spans="13:13" x14ac:dyDescent="0.25">
      <c r="M1883" s="1220"/>
    </row>
    <row r="1884" spans="13:13" x14ac:dyDescent="0.25">
      <c r="M1884" s="1220"/>
    </row>
    <row r="1885" spans="13:13" x14ac:dyDescent="0.25">
      <c r="M1885" s="1220"/>
    </row>
    <row r="1886" spans="13:13" x14ac:dyDescent="0.25">
      <c r="M1886" s="1220"/>
    </row>
    <row r="1887" spans="13:13" x14ac:dyDescent="0.25">
      <c r="M1887" s="1220"/>
    </row>
    <row r="1888" spans="13:13" x14ac:dyDescent="0.25">
      <c r="M1888" s="1220"/>
    </row>
    <row r="1889" spans="13:13" x14ac:dyDescent="0.25">
      <c r="M1889" s="1220"/>
    </row>
    <row r="1890" spans="13:13" x14ac:dyDescent="0.25">
      <c r="M1890" s="1220"/>
    </row>
    <row r="1891" spans="13:13" x14ac:dyDescent="0.25">
      <c r="M1891" s="1220"/>
    </row>
    <row r="1892" spans="13:13" x14ac:dyDescent="0.25">
      <c r="M1892" s="1220"/>
    </row>
    <row r="1893" spans="13:13" x14ac:dyDescent="0.25">
      <c r="M1893" s="1220"/>
    </row>
    <row r="1894" spans="13:13" x14ac:dyDescent="0.25">
      <c r="M1894" s="1220"/>
    </row>
    <row r="1895" spans="13:13" x14ac:dyDescent="0.25">
      <c r="M1895" s="1220"/>
    </row>
    <row r="1896" spans="13:13" x14ac:dyDescent="0.25">
      <c r="M1896" s="1220"/>
    </row>
    <row r="1897" spans="13:13" x14ac:dyDescent="0.25">
      <c r="M1897" s="1220"/>
    </row>
    <row r="1898" spans="13:13" x14ac:dyDescent="0.25">
      <c r="M1898" s="1220"/>
    </row>
    <row r="1899" spans="13:13" x14ac:dyDescent="0.25">
      <c r="M1899" s="1220"/>
    </row>
    <row r="1900" spans="13:13" x14ac:dyDescent="0.25">
      <c r="M1900" s="1220"/>
    </row>
    <row r="1901" spans="13:13" x14ac:dyDescent="0.25">
      <c r="M1901" s="1220"/>
    </row>
    <row r="1902" spans="13:13" x14ac:dyDescent="0.25">
      <c r="M1902" s="1220"/>
    </row>
    <row r="1903" spans="13:13" x14ac:dyDescent="0.25">
      <c r="M1903" s="1220"/>
    </row>
    <row r="1904" spans="13:13" x14ac:dyDescent="0.25">
      <c r="M1904" s="1220"/>
    </row>
    <row r="1905" spans="13:13" x14ac:dyDescent="0.25">
      <c r="M1905" s="1220"/>
    </row>
    <row r="1906" spans="13:13" x14ac:dyDescent="0.25">
      <c r="M1906" s="1220"/>
    </row>
    <row r="1907" spans="13:13" x14ac:dyDescent="0.25">
      <c r="M1907" s="1220"/>
    </row>
    <row r="1908" spans="13:13" x14ac:dyDescent="0.25">
      <c r="M1908" s="1220"/>
    </row>
    <row r="1909" spans="13:13" x14ac:dyDescent="0.25">
      <c r="M1909" s="1220"/>
    </row>
    <row r="1910" spans="13:13" x14ac:dyDescent="0.25">
      <c r="M1910" s="1220"/>
    </row>
    <row r="1911" spans="13:13" x14ac:dyDescent="0.25">
      <c r="M1911" s="1220"/>
    </row>
    <row r="1912" spans="13:13" x14ac:dyDescent="0.25">
      <c r="M1912" s="1220"/>
    </row>
    <row r="1913" spans="13:13" x14ac:dyDescent="0.25">
      <c r="M1913" s="1220"/>
    </row>
    <row r="1914" spans="13:13" x14ac:dyDescent="0.25">
      <c r="M1914" s="1220"/>
    </row>
    <row r="1915" spans="13:13" x14ac:dyDescent="0.25">
      <c r="M1915" s="1220"/>
    </row>
    <row r="1916" spans="13:13" x14ac:dyDescent="0.25">
      <c r="M1916" s="1220"/>
    </row>
    <row r="1917" spans="13:13" x14ac:dyDescent="0.25">
      <c r="M1917" s="1220"/>
    </row>
    <row r="1918" spans="13:13" x14ac:dyDescent="0.25">
      <c r="M1918" s="1220"/>
    </row>
    <row r="1919" spans="13:13" x14ac:dyDescent="0.25">
      <c r="M1919" s="1220"/>
    </row>
    <row r="1920" spans="13:13" x14ac:dyDescent="0.25">
      <c r="M1920" s="1220"/>
    </row>
    <row r="1921" spans="13:13" x14ac:dyDescent="0.25">
      <c r="M1921" s="1220"/>
    </row>
    <row r="1922" spans="13:13" x14ac:dyDescent="0.25">
      <c r="M1922" s="1220"/>
    </row>
    <row r="1923" spans="13:13" x14ac:dyDescent="0.25">
      <c r="M1923" s="1220"/>
    </row>
    <row r="1924" spans="13:13" x14ac:dyDescent="0.25">
      <c r="M1924" s="1220"/>
    </row>
    <row r="1925" spans="13:13" x14ac:dyDescent="0.25">
      <c r="M1925" s="1220"/>
    </row>
    <row r="1926" spans="13:13" x14ac:dyDescent="0.25">
      <c r="M1926" s="1220"/>
    </row>
    <row r="1927" spans="13:13" x14ac:dyDescent="0.25">
      <c r="M1927" s="1220"/>
    </row>
    <row r="1928" spans="13:13" x14ac:dyDescent="0.25">
      <c r="M1928" s="1220"/>
    </row>
    <row r="1929" spans="13:13" x14ac:dyDescent="0.25">
      <c r="M1929" s="1220"/>
    </row>
    <row r="1930" spans="13:13" x14ac:dyDescent="0.25">
      <c r="M1930" s="1220"/>
    </row>
    <row r="1931" spans="13:13" x14ac:dyDescent="0.25">
      <c r="M1931" s="1220"/>
    </row>
    <row r="1932" spans="13:13" x14ac:dyDescent="0.25">
      <c r="M1932" s="1220"/>
    </row>
    <row r="1933" spans="13:13" x14ac:dyDescent="0.25">
      <c r="M1933" s="1220"/>
    </row>
    <row r="1934" spans="13:13" x14ac:dyDescent="0.25">
      <c r="M1934" s="1220"/>
    </row>
    <row r="1935" spans="13:13" x14ac:dyDescent="0.25">
      <c r="M1935" s="1220"/>
    </row>
    <row r="1936" spans="13:13" x14ac:dyDescent="0.25">
      <c r="M1936" s="1220"/>
    </row>
    <row r="1937" spans="13:13" x14ac:dyDescent="0.25">
      <c r="M1937" s="1220"/>
    </row>
    <row r="1938" spans="13:13" x14ac:dyDescent="0.25">
      <c r="M1938" s="1220"/>
    </row>
    <row r="1939" spans="13:13" x14ac:dyDescent="0.25">
      <c r="M1939" s="1220"/>
    </row>
    <row r="1940" spans="13:13" x14ac:dyDescent="0.25">
      <c r="M1940" s="1220"/>
    </row>
    <row r="1941" spans="13:13" x14ac:dyDescent="0.25">
      <c r="M1941" s="1220"/>
    </row>
    <row r="1942" spans="13:13" x14ac:dyDescent="0.25">
      <c r="M1942" s="1220"/>
    </row>
    <row r="1943" spans="13:13" x14ac:dyDescent="0.25">
      <c r="M1943" s="1220"/>
    </row>
    <row r="1944" spans="13:13" x14ac:dyDescent="0.25">
      <c r="M1944" s="1220"/>
    </row>
    <row r="1945" spans="13:13" x14ac:dyDescent="0.25">
      <c r="M1945" s="1220"/>
    </row>
    <row r="1946" spans="13:13" x14ac:dyDescent="0.25">
      <c r="M1946" s="1220"/>
    </row>
    <row r="1947" spans="13:13" x14ac:dyDescent="0.25">
      <c r="M1947" s="1220"/>
    </row>
    <row r="1948" spans="13:13" x14ac:dyDescent="0.25">
      <c r="M1948" s="1220"/>
    </row>
    <row r="1949" spans="13:13" x14ac:dyDescent="0.25">
      <c r="M1949" s="1220"/>
    </row>
    <row r="1950" spans="13:13" x14ac:dyDescent="0.25">
      <c r="M1950" s="1220"/>
    </row>
    <row r="1951" spans="13:13" x14ac:dyDescent="0.25">
      <c r="M1951" s="1220"/>
    </row>
    <row r="1952" spans="13:13" x14ac:dyDescent="0.25">
      <c r="M1952" s="1220"/>
    </row>
    <row r="1953" spans="13:13" x14ac:dyDescent="0.25">
      <c r="M1953" s="1220"/>
    </row>
    <row r="1954" spans="13:13" x14ac:dyDescent="0.25">
      <c r="M1954" s="1220"/>
    </row>
    <row r="1955" spans="13:13" x14ac:dyDescent="0.25">
      <c r="M1955" s="1220"/>
    </row>
    <row r="1956" spans="13:13" x14ac:dyDescent="0.25">
      <c r="M1956" s="1220"/>
    </row>
    <row r="1957" spans="13:13" x14ac:dyDescent="0.25">
      <c r="M1957" s="1220"/>
    </row>
    <row r="1958" spans="13:13" x14ac:dyDescent="0.25">
      <c r="M1958" s="1220"/>
    </row>
    <row r="1959" spans="13:13" x14ac:dyDescent="0.25">
      <c r="M1959" s="1220"/>
    </row>
    <row r="1960" spans="13:13" x14ac:dyDescent="0.25">
      <c r="M1960" s="1220"/>
    </row>
    <row r="1961" spans="13:13" x14ac:dyDescent="0.25">
      <c r="M1961" s="1220"/>
    </row>
    <row r="1962" spans="13:13" x14ac:dyDescent="0.25">
      <c r="M1962" s="1220"/>
    </row>
    <row r="1963" spans="13:13" x14ac:dyDescent="0.25">
      <c r="M1963" s="1220"/>
    </row>
    <row r="1964" spans="13:13" x14ac:dyDescent="0.25">
      <c r="M1964" s="1220"/>
    </row>
    <row r="1965" spans="13:13" x14ac:dyDescent="0.25">
      <c r="M1965" s="1220"/>
    </row>
    <row r="1966" spans="13:13" x14ac:dyDescent="0.25">
      <c r="M1966" s="1220"/>
    </row>
    <row r="1967" spans="13:13" x14ac:dyDescent="0.25">
      <c r="M1967" s="1220"/>
    </row>
    <row r="1968" spans="13:13" x14ac:dyDescent="0.25">
      <c r="M1968" s="1220"/>
    </row>
    <row r="1969" spans="13:13" x14ac:dyDescent="0.25">
      <c r="M1969" s="1220"/>
    </row>
    <row r="1970" spans="13:13" x14ac:dyDescent="0.25">
      <c r="M1970" s="1220"/>
    </row>
    <row r="1971" spans="13:13" x14ac:dyDescent="0.25">
      <c r="M1971" s="1220"/>
    </row>
    <row r="1972" spans="13:13" x14ac:dyDescent="0.25">
      <c r="M1972" s="1220"/>
    </row>
    <row r="1973" spans="13:13" x14ac:dyDescent="0.25">
      <c r="M1973" s="1220"/>
    </row>
    <row r="1974" spans="13:13" x14ac:dyDescent="0.25">
      <c r="M1974" s="1220"/>
    </row>
    <row r="1975" spans="13:13" x14ac:dyDescent="0.25">
      <c r="M1975" s="1220"/>
    </row>
    <row r="1976" spans="13:13" x14ac:dyDescent="0.25">
      <c r="M1976" s="1220"/>
    </row>
    <row r="1977" spans="13:13" x14ac:dyDescent="0.25">
      <c r="M1977" s="1220"/>
    </row>
    <row r="1978" spans="13:13" x14ac:dyDescent="0.25">
      <c r="M1978" s="1220"/>
    </row>
    <row r="1979" spans="13:13" x14ac:dyDescent="0.25">
      <c r="M1979" s="1220"/>
    </row>
    <row r="1980" spans="13:13" x14ac:dyDescent="0.25">
      <c r="M1980" s="1220"/>
    </row>
    <row r="1981" spans="13:13" x14ac:dyDescent="0.25">
      <c r="M1981" s="1220"/>
    </row>
    <row r="1982" spans="13:13" x14ac:dyDescent="0.25">
      <c r="M1982" s="1220"/>
    </row>
    <row r="1983" spans="13:13" x14ac:dyDescent="0.25">
      <c r="M1983" s="1220"/>
    </row>
    <row r="1984" spans="13:13" x14ac:dyDescent="0.25">
      <c r="M1984" s="1220"/>
    </row>
    <row r="1985" spans="13:13" x14ac:dyDescent="0.25">
      <c r="M1985" s="1220"/>
    </row>
    <row r="1986" spans="13:13" x14ac:dyDescent="0.25">
      <c r="M1986" s="1220"/>
    </row>
    <row r="1987" spans="13:13" x14ac:dyDescent="0.25">
      <c r="M1987" s="1220"/>
    </row>
    <row r="1988" spans="13:13" x14ac:dyDescent="0.25">
      <c r="M1988" s="1220"/>
    </row>
    <row r="1989" spans="13:13" x14ac:dyDescent="0.25">
      <c r="M1989" s="1220"/>
    </row>
    <row r="1990" spans="13:13" x14ac:dyDescent="0.25">
      <c r="M1990" s="1220"/>
    </row>
    <row r="1991" spans="13:13" x14ac:dyDescent="0.25">
      <c r="M1991" s="1220"/>
    </row>
    <row r="1992" spans="13:13" x14ac:dyDescent="0.25">
      <c r="M1992" s="1220"/>
    </row>
    <row r="1993" spans="13:13" x14ac:dyDescent="0.25">
      <c r="M1993" s="1220"/>
    </row>
    <row r="1994" spans="13:13" x14ac:dyDescent="0.25">
      <c r="M1994" s="1220"/>
    </row>
    <row r="1995" spans="13:13" x14ac:dyDescent="0.25">
      <c r="M1995" s="1220"/>
    </row>
    <row r="1996" spans="13:13" x14ac:dyDescent="0.25">
      <c r="M1996" s="1220"/>
    </row>
    <row r="1997" spans="13:13" x14ac:dyDescent="0.25">
      <c r="M1997" s="1220"/>
    </row>
    <row r="1998" spans="13:13" x14ac:dyDescent="0.25">
      <c r="M1998" s="1220"/>
    </row>
    <row r="1999" spans="13:13" x14ac:dyDescent="0.25">
      <c r="M1999" s="1220"/>
    </row>
    <row r="2000" spans="13:13" x14ac:dyDescent="0.25">
      <c r="M2000" s="1220"/>
    </row>
    <row r="2001" spans="13:13" x14ac:dyDescent="0.25">
      <c r="M2001" s="1220"/>
    </row>
    <row r="2002" spans="13:13" x14ac:dyDescent="0.25">
      <c r="M2002" s="1220"/>
    </row>
    <row r="2003" spans="13:13" x14ac:dyDescent="0.25">
      <c r="M2003" s="1220"/>
    </row>
    <row r="2004" spans="13:13" x14ac:dyDescent="0.25">
      <c r="M2004" s="1220"/>
    </row>
    <row r="2005" spans="13:13" x14ac:dyDescent="0.25">
      <c r="M2005" s="1220"/>
    </row>
    <row r="2006" spans="13:13" x14ac:dyDescent="0.25">
      <c r="M2006" s="1220"/>
    </row>
    <row r="2007" spans="13:13" x14ac:dyDescent="0.25">
      <c r="M2007" s="1220"/>
    </row>
    <row r="2008" spans="13:13" x14ac:dyDescent="0.25">
      <c r="M2008" s="1220"/>
    </row>
    <row r="2009" spans="13:13" x14ac:dyDescent="0.25">
      <c r="M2009" s="1220"/>
    </row>
    <row r="2010" spans="13:13" x14ac:dyDescent="0.25">
      <c r="M2010" s="1220"/>
    </row>
    <row r="2011" spans="13:13" x14ac:dyDescent="0.25">
      <c r="M2011" s="1220"/>
    </row>
    <row r="2012" spans="13:13" x14ac:dyDescent="0.25">
      <c r="M2012" s="1220"/>
    </row>
    <row r="2013" spans="13:13" x14ac:dyDescent="0.25">
      <c r="M2013" s="1220"/>
    </row>
    <row r="2014" spans="13:13" x14ac:dyDescent="0.25">
      <c r="M2014" s="1220"/>
    </row>
    <row r="2015" spans="13:13" x14ac:dyDescent="0.25">
      <c r="M2015" s="1220"/>
    </row>
    <row r="2016" spans="13:13" x14ac:dyDescent="0.25">
      <c r="M2016" s="1220"/>
    </row>
    <row r="2017" spans="13:13" x14ac:dyDescent="0.25">
      <c r="M2017" s="1220"/>
    </row>
    <row r="2018" spans="13:13" x14ac:dyDescent="0.25">
      <c r="M2018" s="1220"/>
    </row>
    <row r="2019" spans="13:13" x14ac:dyDescent="0.25">
      <c r="M2019" s="1220"/>
    </row>
    <row r="2020" spans="13:13" x14ac:dyDescent="0.25">
      <c r="M2020" s="1220"/>
    </row>
    <row r="2021" spans="13:13" x14ac:dyDescent="0.25">
      <c r="M2021" s="1220"/>
    </row>
    <row r="2022" spans="13:13" x14ac:dyDescent="0.25">
      <c r="M2022" s="1220"/>
    </row>
    <row r="2023" spans="13:13" x14ac:dyDescent="0.25">
      <c r="M2023" s="1220"/>
    </row>
    <row r="2024" spans="13:13" x14ac:dyDescent="0.25">
      <c r="M2024" s="1220"/>
    </row>
    <row r="2025" spans="13:13" x14ac:dyDescent="0.25">
      <c r="M2025" s="1220"/>
    </row>
    <row r="2026" spans="13:13" x14ac:dyDescent="0.25">
      <c r="M2026" s="1220"/>
    </row>
    <row r="2027" spans="13:13" x14ac:dyDescent="0.25">
      <c r="M2027" s="1220"/>
    </row>
    <row r="2028" spans="13:13" x14ac:dyDescent="0.25">
      <c r="M2028" s="1220"/>
    </row>
    <row r="2029" spans="13:13" x14ac:dyDescent="0.25">
      <c r="M2029" s="1220"/>
    </row>
    <row r="2030" spans="13:13" x14ac:dyDescent="0.25">
      <c r="M2030" s="1220"/>
    </row>
    <row r="2031" spans="13:13" x14ac:dyDescent="0.25">
      <c r="M2031" s="1220"/>
    </row>
    <row r="2032" spans="13:13" x14ac:dyDescent="0.25">
      <c r="M2032" s="1220"/>
    </row>
    <row r="2033" spans="13:13" x14ac:dyDescent="0.25">
      <c r="M2033" s="1220"/>
    </row>
    <row r="2034" spans="13:13" x14ac:dyDescent="0.25">
      <c r="M2034" s="1220"/>
    </row>
    <row r="2035" spans="13:13" x14ac:dyDescent="0.25">
      <c r="M2035" s="1220"/>
    </row>
    <row r="2036" spans="13:13" x14ac:dyDescent="0.25">
      <c r="M2036" s="1220"/>
    </row>
    <row r="2037" spans="13:13" x14ac:dyDescent="0.25">
      <c r="M2037" s="1220"/>
    </row>
    <row r="2038" spans="13:13" x14ac:dyDescent="0.25">
      <c r="M2038" s="1220"/>
    </row>
    <row r="2039" spans="13:13" x14ac:dyDescent="0.25">
      <c r="M2039" s="1220"/>
    </row>
    <row r="2040" spans="13:13" x14ac:dyDescent="0.25">
      <c r="M2040" s="1220"/>
    </row>
    <row r="2041" spans="13:13" x14ac:dyDescent="0.25">
      <c r="M2041" s="1220"/>
    </row>
    <row r="2042" spans="13:13" x14ac:dyDescent="0.25">
      <c r="M2042" s="1220"/>
    </row>
    <row r="2043" spans="13:13" x14ac:dyDescent="0.25">
      <c r="M2043" s="1220"/>
    </row>
    <row r="2044" spans="13:13" x14ac:dyDescent="0.25">
      <c r="M2044" s="1220"/>
    </row>
    <row r="2045" spans="13:13" x14ac:dyDescent="0.25">
      <c r="M2045" s="1220"/>
    </row>
    <row r="2046" spans="13:13" x14ac:dyDescent="0.25">
      <c r="M2046" s="1220"/>
    </row>
    <row r="2047" spans="13:13" x14ac:dyDescent="0.25">
      <c r="M2047" s="1220"/>
    </row>
    <row r="2048" spans="13:13" x14ac:dyDescent="0.25">
      <c r="M2048" s="1220"/>
    </row>
    <row r="2049" spans="13:13" x14ac:dyDescent="0.25">
      <c r="M2049" s="1220"/>
    </row>
    <row r="2050" spans="13:13" x14ac:dyDescent="0.25">
      <c r="M2050" s="1220"/>
    </row>
    <row r="2051" spans="13:13" x14ac:dyDescent="0.25">
      <c r="M2051" s="1220"/>
    </row>
    <row r="2052" spans="13:13" x14ac:dyDescent="0.25">
      <c r="M2052" s="1220"/>
    </row>
    <row r="2053" spans="13:13" x14ac:dyDescent="0.25">
      <c r="M2053" s="1220"/>
    </row>
    <row r="2054" spans="13:13" x14ac:dyDescent="0.25">
      <c r="M2054" s="1220"/>
    </row>
    <row r="2055" spans="13:13" x14ac:dyDescent="0.25">
      <c r="M2055" s="1220"/>
    </row>
    <row r="2056" spans="13:13" x14ac:dyDescent="0.25">
      <c r="M2056" s="1220"/>
    </row>
    <row r="2057" spans="13:13" x14ac:dyDescent="0.25">
      <c r="M2057" s="1220"/>
    </row>
    <row r="2058" spans="13:13" x14ac:dyDescent="0.25">
      <c r="M2058" s="1220"/>
    </row>
    <row r="2059" spans="13:13" x14ac:dyDescent="0.25">
      <c r="M2059" s="1220"/>
    </row>
    <row r="2060" spans="13:13" x14ac:dyDescent="0.25">
      <c r="M2060" s="1220"/>
    </row>
    <row r="2061" spans="13:13" x14ac:dyDescent="0.25">
      <c r="M2061" s="1220"/>
    </row>
    <row r="2062" spans="13:13" x14ac:dyDescent="0.25">
      <c r="M2062" s="1220"/>
    </row>
    <row r="2063" spans="13:13" x14ac:dyDescent="0.25">
      <c r="M2063" s="1220"/>
    </row>
    <row r="2064" spans="13:13" x14ac:dyDescent="0.25">
      <c r="M2064" s="1220"/>
    </row>
    <row r="2065" spans="13:13" x14ac:dyDescent="0.25">
      <c r="M2065" s="1220"/>
    </row>
    <row r="2066" spans="13:13" x14ac:dyDescent="0.25">
      <c r="M2066" s="1220"/>
    </row>
    <row r="2067" spans="13:13" x14ac:dyDescent="0.25">
      <c r="M2067" s="1220"/>
    </row>
    <row r="2068" spans="13:13" x14ac:dyDescent="0.25">
      <c r="M2068" s="1220"/>
    </row>
    <row r="2069" spans="13:13" x14ac:dyDescent="0.25">
      <c r="M2069" s="1220"/>
    </row>
    <row r="2070" spans="13:13" x14ac:dyDescent="0.25">
      <c r="M2070" s="1220"/>
    </row>
    <row r="2071" spans="13:13" x14ac:dyDescent="0.25">
      <c r="M2071" s="1220"/>
    </row>
    <row r="2072" spans="13:13" x14ac:dyDescent="0.25">
      <c r="M2072" s="1220"/>
    </row>
    <row r="2073" spans="13:13" x14ac:dyDescent="0.25">
      <c r="M2073" s="1220"/>
    </row>
    <row r="2074" spans="13:13" x14ac:dyDescent="0.25">
      <c r="M2074" s="1220"/>
    </row>
    <row r="2075" spans="13:13" x14ac:dyDescent="0.25">
      <c r="M2075" s="1220"/>
    </row>
  </sheetData>
  <pageMargins left="0.7" right="0.7" top="0.75" bottom="0.75" header="0.3" footer="0.3"/>
  <pageSetup orientation="portrait"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5"/>
  </sheetPr>
  <dimension ref="A1:E36"/>
  <sheetViews>
    <sheetView zoomScaleNormal="100" workbookViewId="0">
      <selection sqref="A1:E1"/>
    </sheetView>
  </sheetViews>
  <sheetFormatPr defaultColWidth="8.6640625" defaultRowHeight="13.5" customHeight="1" x14ac:dyDescent="0.3"/>
  <cols>
    <col min="1" max="1" width="35.33203125" style="109" customWidth="1"/>
    <col min="2" max="2" width="40.6640625" style="109" customWidth="1"/>
    <col min="3" max="3" width="25.33203125" style="109" customWidth="1"/>
    <col min="4" max="4" width="41" style="109" customWidth="1"/>
    <col min="5" max="5" width="26.109375" style="109" customWidth="1"/>
    <col min="6" max="16384" width="8.6640625" style="109"/>
  </cols>
  <sheetData>
    <row r="1" spans="1:5" ht="45.9" customHeight="1" x14ac:dyDescent="0.3">
      <c r="A1" s="1003" t="s">
        <v>450</v>
      </c>
      <c r="B1" s="1004"/>
      <c r="C1" s="1004"/>
      <c r="D1" s="1004"/>
      <c r="E1" s="1004"/>
    </row>
    <row r="2" spans="1:5" ht="3" customHeight="1" x14ac:dyDescent="0.3">
      <c r="A2" s="422"/>
      <c r="B2" s="423"/>
      <c r="C2" s="423"/>
      <c r="D2" s="423"/>
      <c r="E2" s="423"/>
    </row>
    <row r="3" spans="1:5" ht="48" customHeight="1" x14ac:dyDescent="0.3">
      <c r="A3" s="1003" t="s">
        <v>451</v>
      </c>
      <c r="B3" s="1004"/>
      <c r="C3" s="1004"/>
      <c r="D3" s="1004"/>
      <c r="E3" s="1004"/>
    </row>
    <row r="4" spans="1:5" s="425" customFormat="1" ht="9.9" customHeight="1" thickBot="1" x14ac:dyDescent="0.35">
      <c r="A4" s="424"/>
      <c r="B4" s="424"/>
      <c r="C4" s="424"/>
      <c r="D4" s="424"/>
      <c r="E4" s="424"/>
    </row>
    <row r="5" spans="1:5" ht="33" customHeight="1" x14ac:dyDescent="0.3">
      <c r="A5" s="426" t="s">
        <v>125</v>
      </c>
      <c r="B5" s="631">
        <f>IF(ISBLANK(IGRF!$B$7), "", IGRF!$B$7)</f>
        <v>42105</v>
      </c>
      <c r="C5" s="427" t="s">
        <v>372</v>
      </c>
      <c r="D5" s="1005" t="str">
        <f>IF(IGRF!B10="","",IGRF!$B$10&amp;"/"&amp;IGRF!$B$11&amp;IF(IGRF!B12="",""," ("&amp;IGRF!$B$12&amp;")")&amp;" vs. "&amp;IGRF!$H$10&amp;"/"&amp;IGRF!$H$11&amp;IF(IGRF!H12="",""," ("&amp;IGRF!$H$12&amp;")"))</f>
        <v>Tri-City Roller Derby/Plan B vs. Hammer City Roller Girls/Harlots</v>
      </c>
      <c r="E5" s="1006"/>
    </row>
    <row r="6" spans="1:5" ht="33" customHeight="1" thickBot="1" x14ac:dyDescent="0.35">
      <c r="A6" s="428" t="s">
        <v>373</v>
      </c>
      <c r="B6" s="429" t="s">
        <v>449</v>
      </c>
      <c r="C6" s="430" t="s">
        <v>374</v>
      </c>
      <c r="D6" s="1007"/>
      <c r="E6" s="1008"/>
    </row>
    <row r="7" spans="1:5" ht="9.9" customHeight="1" thickBot="1" x14ac:dyDescent="0.35">
      <c r="A7" s="1009"/>
      <c r="B7" s="1010"/>
      <c r="C7" s="1010"/>
      <c r="D7" s="1010"/>
      <c r="E7" s="1010"/>
    </row>
    <row r="8" spans="1:5" ht="30" customHeight="1" x14ac:dyDescent="0.3">
      <c r="A8" s="426" t="s">
        <v>375</v>
      </c>
      <c r="B8" s="448"/>
      <c r="C8" s="431" t="s">
        <v>260</v>
      </c>
      <c r="D8" s="999"/>
      <c r="E8" s="1000"/>
    </row>
    <row r="9" spans="1:5" ht="30" customHeight="1" x14ac:dyDescent="0.3">
      <c r="A9" s="432" t="s">
        <v>376</v>
      </c>
      <c r="B9" s="449"/>
      <c r="C9" s="433" t="s">
        <v>395</v>
      </c>
      <c r="D9" s="1001"/>
      <c r="E9" s="1002"/>
    </row>
    <row r="10" spans="1:5" ht="93.9" customHeight="1" thickBot="1" x14ac:dyDescent="0.35">
      <c r="A10" s="996" t="s">
        <v>236</v>
      </c>
      <c r="B10" s="997"/>
      <c r="C10" s="997"/>
      <c r="D10" s="997"/>
      <c r="E10" s="998"/>
    </row>
    <row r="11" spans="1:5" s="425" customFormat="1" ht="9.9" customHeight="1" thickBot="1" x14ac:dyDescent="0.35">
      <c r="A11" s="435"/>
      <c r="B11" s="435"/>
      <c r="C11" s="435"/>
      <c r="D11" s="435"/>
      <c r="E11" s="435"/>
    </row>
    <row r="12" spans="1:5" ht="30" customHeight="1" x14ac:dyDescent="0.3">
      <c r="A12" s="426" t="s">
        <v>377</v>
      </c>
      <c r="B12" s="448"/>
      <c r="C12" s="431" t="s">
        <v>260</v>
      </c>
      <c r="D12" s="448"/>
      <c r="E12" s="436" t="s">
        <v>235</v>
      </c>
    </row>
    <row r="13" spans="1:5" ht="30" customHeight="1" x14ac:dyDescent="0.3">
      <c r="A13" s="432" t="s">
        <v>376</v>
      </c>
      <c r="B13" s="449"/>
      <c r="C13" s="433" t="s">
        <v>394</v>
      </c>
      <c r="D13" s="449"/>
      <c r="E13" s="437" t="s">
        <v>449</v>
      </c>
    </row>
    <row r="14" spans="1:5" ht="93.9" customHeight="1" thickBot="1" x14ac:dyDescent="0.35">
      <c r="A14" s="996" t="s">
        <v>236</v>
      </c>
      <c r="B14" s="997"/>
      <c r="C14" s="997"/>
      <c r="D14" s="997"/>
      <c r="E14" s="998"/>
    </row>
    <row r="15" spans="1:5" s="425" customFormat="1" ht="9.9" customHeight="1" thickBot="1" x14ac:dyDescent="0.35">
      <c r="A15" s="435"/>
      <c r="B15" s="435"/>
      <c r="C15" s="435"/>
      <c r="D15" s="435"/>
      <c r="E15" s="435"/>
    </row>
    <row r="16" spans="1:5" ht="30" customHeight="1" x14ac:dyDescent="0.3">
      <c r="A16" s="438" t="s">
        <v>378</v>
      </c>
      <c r="B16" s="445"/>
      <c r="C16" s="431" t="s">
        <v>260</v>
      </c>
      <c r="D16" s="999"/>
      <c r="E16" s="1000"/>
    </row>
    <row r="17" spans="1:5" ht="30" customHeight="1" x14ac:dyDescent="0.3">
      <c r="A17" s="440" t="s">
        <v>376</v>
      </c>
      <c r="B17" s="447"/>
      <c r="C17" s="441" t="s">
        <v>396</v>
      </c>
      <c r="D17" s="1001"/>
      <c r="E17" s="1002"/>
    </row>
    <row r="18" spans="1:5" ht="93.9" customHeight="1" thickBot="1" x14ac:dyDescent="0.35">
      <c r="A18" s="996" t="s">
        <v>236</v>
      </c>
      <c r="B18" s="997"/>
      <c r="C18" s="997"/>
      <c r="D18" s="997"/>
      <c r="E18" s="998"/>
    </row>
    <row r="19" spans="1:5" s="425" customFormat="1" ht="9.9" customHeight="1" thickBot="1" x14ac:dyDescent="0.35">
      <c r="A19" s="435"/>
      <c r="B19" s="435"/>
      <c r="C19" s="435"/>
      <c r="D19" s="435"/>
      <c r="E19" s="435"/>
    </row>
    <row r="20" spans="1:5" ht="30" customHeight="1" x14ac:dyDescent="0.3">
      <c r="A20" s="438" t="s">
        <v>382</v>
      </c>
      <c r="B20" s="445"/>
      <c r="C20" s="431" t="s">
        <v>260</v>
      </c>
      <c r="D20" s="446"/>
      <c r="E20" s="442" t="s">
        <v>235</v>
      </c>
    </row>
    <row r="21" spans="1:5" ht="30" customHeight="1" x14ac:dyDescent="0.3">
      <c r="A21" s="440" t="s">
        <v>376</v>
      </c>
      <c r="B21" s="444" t="str">
        <f>IF(ISBLANK(IGRF!$B$10), "", IGRF!$B$10)</f>
        <v>Tri-City Roller Derby</v>
      </c>
      <c r="C21" s="441" t="s">
        <v>397</v>
      </c>
      <c r="D21" s="447"/>
      <c r="E21" s="434" t="s">
        <v>449</v>
      </c>
    </row>
    <row r="22" spans="1:5" ht="93.9" customHeight="1" thickBot="1" x14ac:dyDescent="0.35">
      <c r="A22" s="996" t="s">
        <v>236</v>
      </c>
      <c r="B22" s="997"/>
      <c r="C22" s="997"/>
      <c r="D22" s="997"/>
      <c r="E22" s="998"/>
    </row>
    <row r="23" spans="1:5" s="425" customFormat="1" ht="9.9" customHeight="1" thickBot="1" x14ac:dyDescent="0.35">
      <c r="A23" s="435"/>
      <c r="B23" s="435"/>
      <c r="C23" s="435"/>
      <c r="D23" s="435"/>
      <c r="E23" s="435"/>
    </row>
    <row r="24" spans="1:5" ht="30" customHeight="1" x14ac:dyDescent="0.3">
      <c r="A24" s="438" t="s">
        <v>383</v>
      </c>
      <c r="B24" s="439"/>
      <c r="C24" s="431" t="s">
        <v>260</v>
      </c>
      <c r="D24" s="446"/>
      <c r="E24" s="442" t="s">
        <v>235</v>
      </c>
    </row>
    <row r="25" spans="1:5" ht="30" customHeight="1" x14ac:dyDescent="0.3">
      <c r="A25" s="440" t="s">
        <v>376</v>
      </c>
      <c r="B25" s="444" t="str">
        <f>IF(ISBLANK(IGRF!$H$10), "", IGRF!$H$10)</f>
        <v>Hammer City Roller Girls</v>
      </c>
      <c r="C25" s="441" t="s">
        <v>397</v>
      </c>
      <c r="D25" s="447"/>
      <c r="E25" s="434" t="s">
        <v>449</v>
      </c>
    </row>
    <row r="26" spans="1:5" ht="95.1" customHeight="1" thickBot="1" x14ac:dyDescent="0.35">
      <c r="A26" s="996" t="s">
        <v>236</v>
      </c>
      <c r="B26" s="997"/>
      <c r="C26" s="997"/>
      <c r="D26" s="997"/>
      <c r="E26" s="998"/>
    </row>
    <row r="27" spans="1:5" s="425" customFormat="1" ht="9.9" customHeight="1" x14ac:dyDescent="0.3">
      <c r="A27" s="435"/>
      <c r="B27" s="435"/>
      <c r="C27" s="435"/>
      <c r="D27" s="435"/>
      <c r="E27" s="435"/>
    </row>
    <row r="28" spans="1:5" s="425" customFormat="1" ht="15.9" customHeight="1" x14ac:dyDescent="0.3">
      <c r="A28" s="443" t="s">
        <v>379</v>
      </c>
      <c r="B28" s="435"/>
      <c r="C28" s="435"/>
      <c r="D28" s="435"/>
      <c r="E28" s="435"/>
    </row>
    <row r="29" spans="1:5" s="425" customFormat="1" ht="9.9" customHeight="1" thickBot="1" x14ac:dyDescent="0.35">
      <c r="A29" s="443"/>
      <c r="B29" s="435"/>
      <c r="C29" s="435"/>
      <c r="D29" s="435"/>
      <c r="E29" s="435"/>
    </row>
    <row r="30" spans="1:5" ht="30" customHeight="1" x14ac:dyDescent="0.3">
      <c r="A30" s="438" t="s">
        <v>380</v>
      </c>
      <c r="B30" s="450"/>
      <c r="C30" s="431" t="s">
        <v>260</v>
      </c>
      <c r="D30" s="446"/>
      <c r="E30" s="442" t="s">
        <v>235</v>
      </c>
    </row>
    <row r="31" spans="1:5" ht="30" customHeight="1" x14ac:dyDescent="0.3">
      <c r="A31" s="440" t="s">
        <v>376</v>
      </c>
      <c r="B31" s="447"/>
      <c r="C31" s="441" t="s">
        <v>398</v>
      </c>
      <c r="D31" s="447"/>
      <c r="E31" s="434" t="s">
        <v>449</v>
      </c>
    </row>
    <row r="32" spans="1:5" ht="93.9" customHeight="1" thickBot="1" x14ac:dyDescent="0.35">
      <c r="A32" s="996" t="s">
        <v>236</v>
      </c>
      <c r="B32" s="997"/>
      <c r="C32" s="997"/>
      <c r="D32" s="997"/>
      <c r="E32" s="998"/>
    </row>
    <row r="33" spans="1:5" ht="9.9" customHeight="1" thickBot="1" x14ac:dyDescent="0.35"/>
    <row r="34" spans="1:5" ht="30" customHeight="1" x14ac:dyDescent="0.3">
      <c r="A34" s="438" t="s">
        <v>381</v>
      </c>
      <c r="B34" s="450"/>
      <c r="C34" s="431" t="s">
        <v>260</v>
      </c>
      <c r="D34" s="446"/>
      <c r="E34" s="442" t="s">
        <v>235</v>
      </c>
    </row>
    <row r="35" spans="1:5" ht="30" customHeight="1" x14ac:dyDescent="0.3">
      <c r="A35" s="440" t="s">
        <v>376</v>
      </c>
      <c r="B35" s="447"/>
      <c r="C35" s="441" t="s">
        <v>399</v>
      </c>
      <c r="D35" s="447"/>
      <c r="E35" s="434" t="s">
        <v>449</v>
      </c>
    </row>
    <row r="36" spans="1:5" ht="95.1" customHeight="1" thickBot="1" x14ac:dyDescent="0.35">
      <c r="A36" s="996" t="s">
        <v>236</v>
      </c>
      <c r="B36" s="997"/>
      <c r="C36" s="997"/>
      <c r="D36" s="997"/>
      <c r="E36" s="998"/>
    </row>
  </sheetData>
  <mergeCells count="16">
    <mergeCell ref="A1:E1"/>
    <mergeCell ref="A3:E3"/>
    <mergeCell ref="A18:E18"/>
    <mergeCell ref="A22:E22"/>
    <mergeCell ref="D5:E5"/>
    <mergeCell ref="D6:E6"/>
    <mergeCell ref="A7:E7"/>
    <mergeCell ref="A10:E10"/>
    <mergeCell ref="A14:E14"/>
    <mergeCell ref="D8:E8"/>
    <mergeCell ref="D9:E9"/>
    <mergeCell ref="A26:E26"/>
    <mergeCell ref="A32:E32"/>
    <mergeCell ref="A36:E36"/>
    <mergeCell ref="D16:E16"/>
    <mergeCell ref="D17:E17"/>
  </mergeCells>
  <phoneticPr fontId="8" type="noConversion"/>
  <printOptions horizontalCentered="1"/>
  <pageMargins left="1" right="1" top="0.79" bottom="0.5" header="0.42" footer="0.51"/>
  <pageSetup scale="46" firstPageNumber="0" fitToWidth="0" orientation="portrait" r:id="rId1"/>
  <headerFooter alignWithMargins="0">
    <oddHeader>&amp;L&amp;"Calibri,Regular"&amp;18&amp;K000000&amp;G&amp;24WFTDA &amp;A&amp;R&amp;"Calibri,Regular"&amp;K000000_x000D_‘&amp;A’ revision 150103_x000D_StatsBook © 2008–2015 WFTDA</oddHeader>
  </headerFooter>
  <legacyDrawingHF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tabColor theme="0" tint="-0.14999847407452621"/>
  </sheetPr>
  <dimension ref="A1:BN48"/>
  <sheetViews>
    <sheetView workbookViewId="0">
      <selection sqref="A1:AI1"/>
    </sheetView>
  </sheetViews>
  <sheetFormatPr defaultColWidth="9.109375" defaultRowHeight="20.25" customHeight="1" x14ac:dyDescent="0.3"/>
  <cols>
    <col min="1" max="1" width="7.44140625" style="125" customWidth="1"/>
    <col min="2" max="2" width="22.33203125" style="3" customWidth="1"/>
    <col min="3" max="6" width="4.6640625" style="3" customWidth="1"/>
    <col min="7" max="7" width="6.44140625" style="3" customWidth="1"/>
    <col min="8" max="8" width="4.6640625" style="3" customWidth="1"/>
    <col min="9" max="9" width="6.44140625" style="3" customWidth="1"/>
    <col min="10" max="13" width="4.6640625" style="3" customWidth="1"/>
    <col min="14" max="14" width="6.44140625" style="3" customWidth="1"/>
    <col min="15" max="15" width="4.88671875" style="3" customWidth="1"/>
    <col min="16" max="16" width="6.88671875" style="3" bestFit="1" customWidth="1"/>
    <col min="17" max="20" width="4.6640625" style="3" customWidth="1"/>
    <col min="21" max="21" width="6.44140625" style="3" customWidth="1"/>
    <col min="22" max="22" width="4.6640625" style="126" customWidth="1"/>
    <col min="23" max="23" width="6.44140625" style="3" customWidth="1"/>
    <col min="24" max="24" width="4.6640625" style="126" customWidth="1"/>
    <col min="25" max="25" width="6.44140625" style="3" customWidth="1"/>
    <col min="26" max="26" width="6" style="3" customWidth="1"/>
    <col min="27" max="29" width="6" style="127" customWidth="1"/>
    <col min="30" max="32" width="6" style="128" customWidth="1"/>
    <col min="33" max="33" width="6.44140625" style="128" customWidth="1"/>
    <col min="34" max="34" width="4.6640625" style="3" customWidth="1"/>
    <col min="35" max="35" width="6.44140625" style="3" customWidth="1"/>
    <col min="36" max="36" width="7.44140625" style="129" customWidth="1"/>
    <col min="37" max="37" width="22" style="3" customWidth="1"/>
    <col min="38" max="42" width="3.33203125" style="3" customWidth="1"/>
    <col min="43" max="43" width="4.33203125" style="3" customWidth="1"/>
    <col min="44" max="48" width="3.109375" style="3" customWidth="1"/>
    <col min="49" max="49" width="4.33203125" style="3" customWidth="1"/>
    <col min="50" max="51" width="4.6640625" style="3" customWidth="1"/>
    <col min="52" max="52" width="5.33203125" style="127" customWidth="1"/>
    <col min="53" max="53" width="6.44140625" style="130" customWidth="1"/>
    <col min="54" max="54" width="5.33203125" style="127" customWidth="1"/>
    <col min="55" max="55" width="6.44140625" style="130" customWidth="1"/>
    <col min="56" max="56" width="5.33203125" style="127" customWidth="1"/>
    <col min="57" max="57" width="6.44140625" style="130" customWidth="1"/>
    <col min="58" max="62" width="3.109375" style="3" customWidth="1"/>
    <col min="63" max="63" width="4.6640625" style="3" customWidth="1"/>
    <col min="64" max="66" width="6.44140625" style="130" customWidth="1"/>
    <col min="67" max="71" width="3.33203125" style="3" customWidth="1"/>
    <col min="72" max="72" width="4.44140625" style="3" customWidth="1"/>
    <col min="73" max="16384" width="9.109375" style="3"/>
  </cols>
  <sheetData>
    <row r="1" spans="1:35" ht="15" customHeight="1" x14ac:dyDescent="0.3">
      <c r="A1" s="1021" t="s">
        <v>80</v>
      </c>
      <c r="B1" s="1021"/>
      <c r="C1" s="1021"/>
      <c r="D1" s="1021"/>
      <c r="E1" s="1021"/>
      <c r="F1" s="1021"/>
      <c r="G1" s="1021"/>
      <c r="H1" s="1021"/>
      <c r="I1" s="1021"/>
      <c r="J1" s="1021"/>
      <c r="K1" s="1021"/>
      <c r="L1" s="1021"/>
      <c r="M1" s="1021"/>
      <c r="N1" s="1021"/>
      <c r="O1" s="1021"/>
      <c r="P1" s="1021"/>
      <c r="Q1" s="1021"/>
      <c r="R1" s="1021"/>
      <c r="S1" s="1021"/>
      <c r="T1" s="1021"/>
      <c r="U1" s="1021"/>
      <c r="V1" s="1021"/>
      <c r="W1" s="1021"/>
      <c r="X1" s="1021"/>
      <c r="Y1" s="1021"/>
      <c r="Z1" s="1021"/>
      <c r="AA1" s="1021"/>
      <c r="AB1" s="1021"/>
      <c r="AC1" s="1021"/>
      <c r="AD1" s="1021"/>
      <c r="AE1" s="1021"/>
      <c r="AF1" s="1021"/>
      <c r="AG1" s="1021"/>
      <c r="AH1" s="1021"/>
      <c r="AI1" s="1021"/>
    </row>
    <row r="2" spans="1:35" ht="15" customHeight="1" x14ac:dyDescent="0.3">
      <c r="A2" s="1022" t="str">
        <f>IF(IGRF!B10="","PLEASE FILL IN THE IGRF TAB!",IGRF!$B$10&amp;"/"&amp;IGRF!$B$11&amp;" vs. "&amp;IGRF!$H$10&amp;"/"&amp;IGRF!$H$11&amp;IF(IGRF!$K$3="",""," Game "&amp;IGRF!$K$3))</f>
        <v>Tri-City Roller Derby/Plan B vs. Hammer City Roller Girls/Harlots Game 2</v>
      </c>
      <c r="B2" s="1022"/>
      <c r="C2" s="1022"/>
      <c r="D2" s="1022"/>
      <c r="E2" s="1022"/>
      <c r="F2" s="1022"/>
      <c r="G2" s="1022"/>
      <c r="H2" s="1022"/>
      <c r="I2" s="1022"/>
      <c r="J2" s="1022"/>
      <c r="K2" s="1022"/>
      <c r="L2" s="1022"/>
      <c r="M2" s="1022"/>
      <c r="N2" s="1022"/>
      <c r="O2" s="1022"/>
      <c r="P2" s="1022"/>
      <c r="Q2" s="1022"/>
      <c r="R2" s="1022"/>
      <c r="S2" s="1022"/>
      <c r="T2" s="1022"/>
      <c r="U2" s="1022"/>
      <c r="V2" s="1022"/>
      <c r="W2" s="1022"/>
      <c r="X2" s="1022"/>
      <c r="Y2" s="1022"/>
      <c r="Z2" s="1022"/>
      <c r="AA2" s="1022"/>
      <c r="AB2" s="1022"/>
      <c r="AC2" s="1022"/>
      <c r="AD2" s="1022"/>
      <c r="AE2" s="1022"/>
      <c r="AF2" s="1022"/>
      <c r="AG2" s="1022"/>
      <c r="AH2" s="1022"/>
      <c r="AI2" s="1022"/>
    </row>
    <row r="3" spans="1:35" ht="15" customHeight="1" thickBot="1" x14ac:dyDescent="0.35">
      <c r="A3" s="1023">
        <f>IF(IGRF!$B$7="","ENTER DATE ON IGRF TAB!",IGRF!$B$7)</f>
        <v>42105</v>
      </c>
      <c r="B3" s="1023"/>
      <c r="C3" s="1023"/>
      <c r="D3" s="1023"/>
      <c r="E3" s="1023"/>
      <c r="F3" s="1023"/>
      <c r="G3" s="1023"/>
      <c r="H3" s="1023"/>
      <c r="I3" s="1023"/>
      <c r="J3" s="1023"/>
      <c r="K3" s="1023"/>
      <c r="L3" s="1023"/>
      <c r="M3" s="1023"/>
      <c r="N3" s="1023"/>
      <c r="O3" s="1023"/>
      <c r="P3" s="1023"/>
      <c r="Q3" s="1023"/>
      <c r="R3" s="1023"/>
      <c r="S3" s="1023"/>
      <c r="T3" s="1023"/>
      <c r="U3" s="1023"/>
      <c r="V3" s="1023"/>
      <c r="W3" s="1023"/>
      <c r="X3" s="1023"/>
      <c r="Y3" s="1023"/>
      <c r="Z3" s="1023"/>
      <c r="AA3" s="1023"/>
      <c r="AB3" s="1023"/>
      <c r="AC3" s="1023"/>
      <c r="AD3" s="1023"/>
      <c r="AE3" s="1023"/>
      <c r="AF3" s="1023"/>
      <c r="AG3" s="1023"/>
      <c r="AH3" s="1023"/>
      <c r="AI3" s="1023"/>
    </row>
    <row r="4" spans="1:35" ht="15" customHeight="1" thickBot="1" x14ac:dyDescent="0.35">
      <c r="A4" s="1024" t="s">
        <v>81</v>
      </c>
      <c r="B4" s="1024"/>
      <c r="C4" s="1024" t="s">
        <v>82</v>
      </c>
      <c r="D4" s="1024"/>
      <c r="E4" s="1024"/>
      <c r="F4" s="1024"/>
      <c r="G4" s="110"/>
      <c r="H4" s="111"/>
      <c r="I4" s="112"/>
      <c r="J4" s="1025" t="s">
        <v>84</v>
      </c>
      <c r="K4" s="1025"/>
      <c r="L4" s="1025"/>
      <c r="M4" s="1025"/>
      <c r="N4" s="1025"/>
      <c r="O4" s="1025"/>
      <c r="P4" s="112"/>
      <c r="Q4" s="1025" t="s">
        <v>85</v>
      </c>
      <c r="R4" s="1025"/>
      <c r="S4" s="1025"/>
      <c r="T4" s="1025"/>
      <c r="U4" s="1025"/>
      <c r="V4" s="1025"/>
      <c r="W4" s="1025"/>
      <c r="X4" s="1025"/>
      <c r="Y4" s="1025"/>
      <c r="Z4" s="1025"/>
      <c r="AA4" s="1025" t="s">
        <v>86</v>
      </c>
      <c r="AB4" s="1025"/>
      <c r="AC4" s="1025"/>
      <c r="AD4" s="1025"/>
      <c r="AE4" s="1025"/>
      <c r="AF4" s="1025"/>
      <c r="AG4" s="1025"/>
      <c r="AH4" s="1025" t="s">
        <v>87</v>
      </c>
      <c r="AI4" s="1025"/>
    </row>
    <row r="5" spans="1:35" s="27" customFormat="1" ht="63.75" customHeight="1" thickBot="1" x14ac:dyDescent="0.35">
      <c r="A5" s="176" t="s">
        <v>134</v>
      </c>
      <c r="B5" s="177" t="str">
        <f>Score!$A$1</f>
        <v>Tri-City Roller Derby / Plan B</v>
      </c>
      <c r="C5" s="178" t="s">
        <v>88</v>
      </c>
      <c r="D5" s="179" t="s">
        <v>89</v>
      </c>
      <c r="E5" s="179" t="s">
        <v>90</v>
      </c>
      <c r="F5" s="113" t="s">
        <v>91</v>
      </c>
      <c r="G5" s="114" t="s">
        <v>92</v>
      </c>
      <c r="H5" s="115" t="s">
        <v>83</v>
      </c>
      <c r="I5" s="116" t="s">
        <v>93</v>
      </c>
      <c r="J5" s="180" t="s">
        <v>193</v>
      </c>
      <c r="K5" s="181" t="s">
        <v>194</v>
      </c>
      <c r="L5" s="181" t="s">
        <v>94</v>
      </c>
      <c r="M5" s="181" t="s">
        <v>95</v>
      </c>
      <c r="N5" s="181" t="s">
        <v>96</v>
      </c>
      <c r="O5" s="181" t="s">
        <v>97</v>
      </c>
      <c r="P5" s="182" t="s">
        <v>98</v>
      </c>
      <c r="Q5" s="178" t="s">
        <v>99</v>
      </c>
      <c r="R5" s="181" t="s">
        <v>100</v>
      </c>
      <c r="S5" s="115" t="s">
        <v>101</v>
      </c>
      <c r="T5" s="178" t="s">
        <v>102</v>
      </c>
      <c r="U5" s="183" t="s">
        <v>103</v>
      </c>
      <c r="V5" s="184" t="s">
        <v>104</v>
      </c>
      <c r="W5" s="185" t="s">
        <v>105</v>
      </c>
      <c r="X5" s="186" t="s">
        <v>106</v>
      </c>
      <c r="Y5" s="185" t="s">
        <v>107</v>
      </c>
      <c r="Z5" s="117" t="s">
        <v>108</v>
      </c>
      <c r="AA5" s="187" t="s">
        <v>244</v>
      </c>
      <c r="AB5" s="187" t="s">
        <v>109</v>
      </c>
      <c r="AC5" s="118" t="s">
        <v>110</v>
      </c>
      <c r="AD5" s="188" t="s">
        <v>111</v>
      </c>
      <c r="AE5" s="188" t="s">
        <v>112</v>
      </c>
      <c r="AF5" s="188" t="s">
        <v>113</v>
      </c>
      <c r="AG5" s="119" t="s">
        <v>114</v>
      </c>
      <c r="AH5" s="1017" t="s">
        <v>445</v>
      </c>
      <c r="AI5" s="1018"/>
    </row>
    <row r="6" spans="1:35" s="79" customFormat="1" ht="20.100000000000001" customHeight="1" x14ac:dyDescent="0.3">
      <c r="A6" s="174" t="str">
        <f>IF(ISBLANK(IGRF!$B14),"",IGRF!$B14)</f>
        <v>0</v>
      </c>
      <c r="B6" s="120" t="str">
        <f>IF(ISBLANK(IGRF!$C14),"",IGRF!$C14)</f>
        <v>Andi Slamberg</v>
      </c>
      <c r="C6" s="121">
        <f>IF(A6="","",SUM(LU!O9,LU!O108))</f>
        <v>0</v>
      </c>
      <c r="D6" s="121">
        <f>IF(A6="","",SUM(LU!D9,LU!D108))</f>
        <v>19</v>
      </c>
      <c r="E6" s="121">
        <f>IF(A6="","",SUM(LU!J9,LU!J108))</f>
        <v>2</v>
      </c>
      <c r="F6" s="577">
        <f>IF(A6="","",(SUM(C6:E6)-(SUMPRODUCT(--(Lineups!C$4:C$41=A6),--(Lineups!A$4:A$41="SP"))+SUMPRODUCT(--(Lineups!G$4:G$41=A6),--(Lineups!A$4:A$41="SP"))+SUMPRODUCT(--(Lineups!C$46:C$83=A6),--(Lineups!A$46:A$83="SP"))+SUMPRODUCT(--(Lineups!G$46:G$83=A6),--(Lineups!A$46:A$83="SP")))))</f>
        <v>21</v>
      </c>
      <c r="G6" s="578">
        <f>IF(OR(A6="",F6=0,LU!D$3+LU!D$102=0),"",F6/(LU!D$3+LU!D$102))</f>
        <v>0.56756756756756754</v>
      </c>
      <c r="H6" s="579" t="str">
        <f>IF(OR(C6=0,A6=""),"",SK!D174)</f>
        <v/>
      </c>
      <c r="I6" s="580" t="str">
        <f ca="1">IF(OR(A6="",SK!E174="",SK!E174=0),"",H6/SK!E174)</f>
        <v/>
      </c>
      <c r="J6" s="587" t="str">
        <f>IF(OR(A6="",C6=0),"",SK!G174)</f>
        <v/>
      </c>
      <c r="K6" s="588" t="str">
        <f>IF(OR(A6="",C6=0),"",SK!H174)</f>
        <v/>
      </c>
      <c r="L6" s="589" t="str">
        <f>IF(OR(A6="",C6=0),"",SK!J174)</f>
        <v/>
      </c>
      <c r="M6" s="589" t="str">
        <f>IF(OR(A6="",C6=0),"",SK!L174)</f>
        <v/>
      </c>
      <c r="N6" s="590" t="str">
        <f t="shared" ref="N6:N25" si="0">IF(OR(A6="",C6=0),"",K6/C6)</f>
        <v/>
      </c>
      <c r="O6" s="591" t="str">
        <f>IF(OR(A6="",C6=0),"",SK!I174)</f>
        <v/>
      </c>
      <c r="P6" s="592" t="str">
        <f t="shared" ref="P6:P25" si="1">IF(OR(A6="",C6=0,K6=0),"",O6/K6)</f>
        <v/>
      </c>
      <c r="Q6" s="593">
        <f ca="1">IF(OR(A6="",F6=0),"",SUM(LU!Q55,LU!Q154))</f>
        <v>122</v>
      </c>
      <c r="R6" s="594">
        <f ca="1">IF(OR(A6="",F6=0),"",SUM(LU!Q78,LU!Q177))</f>
        <v>33</v>
      </c>
      <c r="S6" s="579">
        <f ca="1">IF(OR(A6="",F6=0),"",SUM(LU!Q32,LU!Q131))</f>
        <v>89</v>
      </c>
      <c r="T6" s="594" t="str">
        <f>IF(OR(A6="",C6=0),"",SUM(LU!O32,LU!O131))</f>
        <v/>
      </c>
      <c r="U6" s="595" t="str">
        <f t="shared" ref="U6:U25" si="2">IF(OR(A6="",C6=0),"",T6/C6)</f>
        <v/>
      </c>
      <c r="V6" s="596">
        <f ca="1">IF(OR(A6="",D6=0),"",SUM(LU!D32,LU!D131))</f>
        <v>83</v>
      </c>
      <c r="W6" s="595">
        <f t="shared" ref="W6:W25" ca="1" si="3">IF(OR(A6="",D6=0),"",V6/D6)</f>
        <v>4.3684210526315788</v>
      </c>
      <c r="X6" s="596">
        <f ca="1">IF(OR(A6="",E6=0),"",SUM(LU!J32,LU!J131))</f>
        <v>6</v>
      </c>
      <c r="Y6" s="595">
        <f t="shared" ref="Y6:Y25" ca="1" si="4">IF(OR(A6="",E6=0),"",X6/E6)</f>
        <v>3</v>
      </c>
      <c r="Z6" s="592">
        <f ca="1">IF(OR(A6="",F6=0),"",S6/F6)</f>
        <v>4.2380952380952381</v>
      </c>
      <c r="AA6" s="597">
        <f ca="1">IF(OR(A6="",F6=0,Q$26="-",LU!$D$5=0),"",Q6-Q$26)</f>
        <v>28.071428571428569</v>
      </c>
      <c r="AB6" s="598">
        <f ca="1">IF(OR(A6="",F6=0,R$26="-",LU!$D$5=0),"",R6-R$26)</f>
        <v>14.785714285714285</v>
      </c>
      <c r="AC6" s="599">
        <f t="shared" ref="AC6:AC25" ca="1" si="5">IF(OR(A6="",F6=0,AA6=""),"",AA6-AB6)</f>
        <v>13.285714285714285</v>
      </c>
      <c r="AD6" s="600" t="str">
        <f t="shared" ref="AD6:AD25" si="6">IF(OR($A6="",C6=0),"",U6-U$26)</f>
        <v/>
      </c>
      <c r="AE6" s="600">
        <f t="shared" ref="AE6:AE25" ca="1" si="7">IF(OR($A6="",D6=0),"",W6-W$26)</f>
        <v>0.38286893704850344</v>
      </c>
      <c r="AF6" s="601">
        <f t="shared" ref="AF6:AF25" ca="1" si="8">IF(OR($A6="",E6=0),"",Y6-Y$26)</f>
        <v>-2.6907572751322748</v>
      </c>
      <c r="AG6" s="602">
        <f ca="1">IF(OR($A6="",Z6="",Z$26="-",LU!$D$5=0),"",Z6-Z$26)</f>
        <v>-1.3353096780977136</v>
      </c>
      <c r="AH6" s="1019">
        <f>IF(OR(A6="",F6=0),"",SUM(PT!U3,PT!U4))</f>
        <v>2</v>
      </c>
      <c r="AI6" s="1020"/>
    </row>
    <row r="7" spans="1:35" s="79" customFormat="1" ht="20.100000000000001" customHeight="1" x14ac:dyDescent="0.3">
      <c r="A7" s="175" t="str">
        <f>IF(ISBLANK(IGRF!$B15),"",IGRF!$B15)</f>
        <v>1321</v>
      </c>
      <c r="B7" s="122" t="str">
        <f>IF(ISBLANK(IGRF!$C15),"",IGRF!$C15)</f>
        <v>Kristy Skelton</v>
      </c>
      <c r="C7" s="123">
        <f>IF(A7="","",SUM(LU!O10,LU!O109))</f>
        <v>3</v>
      </c>
      <c r="D7" s="123">
        <f>IF(A7="","",SUM(LU!D10,LU!D109))</f>
        <v>0</v>
      </c>
      <c r="E7" s="124">
        <f>IF(A7="","",SUM(LU!J10,LU!J109))</f>
        <v>1</v>
      </c>
      <c r="F7" s="581">
        <f>IF(A7="","",(SUM(C7:E7)-(SUMPRODUCT(--(Lineups!C$4:C$41=A7),--(Lineups!A$4:A$41="SP"))+SUMPRODUCT(--(Lineups!G$4:G$41=A7),--(Lineups!A$4:A$41="SP"))+SUMPRODUCT(--(Lineups!C$46:C$83=A7),--(Lineups!A$46:A$83="SP"))+SUMPRODUCT(--(Lineups!G$46:G$83=A7),--(Lineups!A$46:A$83="SP")))))</f>
        <v>4</v>
      </c>
      <c r="G7" s="582">
        <f>IF(OR(A7="",F7=0,LU!D$3+LU!D$102=0),"",F7/(LU!D$3+LU!D$102))</f>
        <v>0.10810810810810811</v>
      </c>
      <c r="H7" s="583">
        <f ca="1">IF(OR(C7=0,A7=""),"",SK!D177)</f>
        <v>8</v>
      </c>
      <c r="I7" s="584">
        <f ca="1">IF(OR(A7="",SK!E177="",SK!E177=0),"",H7/SK!E177)</f>
        <v>2.6666666666666665</v>
      </c>
      <c r="J7" s="603">
        <f ca="1">IF(OR(A7="",C7=0),"",SK!G177)</f>
        <v>0</v>
      </c>
      <c r="K7" s="604">
        <f ca="1">IF(OR(A7="",C7=0),"",SK!H177)</f>
        <v>2</v>
      </c>
      <c r="L7" s="605">
        <f ca="1">IF(OR(A7="",C7=0),"",SK!J177)</f>
        <v>2</v>
      </c>
      <c r="M7" s="605">
        <f ca="1">IF(OR(A7="",C7=0),"",SK!L177)</f>
        <v>0</v>
      </c>
      <c r="N7" s="606">
        <f t="shared" ca="1" si="0"/>
        <v>0.66666666666666663</v>
      </c>
      <c r="O7" s="607">
        <f ca="1">IF(OR(A7="",C7=0),"",SK!I177)</f>
        <v>5</v>
      </c>
      <c r="P7" s="608">
        <f t="shared" ca="1" si="1"/>
        <v>2.5</v>
      </c>
      <c r="Q7" s="609">
        <f ca="1">IF(OR(A7="",F7=0),"",SUM(LU!Q56,LU!Q155))</f>
        <v>8</v>
      </c>
      <c r="R7" s="610">
        <f ca="1">IF(OR(A7="",F7=0),"",SUM(LU!Q79,LU!Q178))</f>
        <v>0</v>
      </c>
      <c r="S7" s="583">
        <f ca="1">IF(OR(A7="",F7=0),"",SUM(LU!Q33,LU!Q132))</f>
        <v>8</v>
      </c>
      <c r="T7" s="610">
        <f ca="1">IF(OR(A7="",C7=0),"",SUM(LU!O33,LU!O132))</f>
        <v>8</v>
      </c>
      <c r="U7" s="611">
        <f t="shared" ca="1" si="2"/>
        <v>2.6666666666666665</v>
      </c>
      <c r="V7" s="612" t="str">
        <f>IF(OR(A7="",D7=0),"",SUM(LU!D33,LU!D132))</f>
        <v/>
      </c>
      <c r="W7" s="611" t="str">
        <f t="shared" si="3"/>
        <v/>
      </c>
      <c r="X7" s="612">
        <f ca="1">IF(OR(A7="",E7=0),"",SUM(LU!J33,LU!J132))</f>
        <v>0</v>
      </c>
      <c r="Y7" s="611">
        <f t="shared" ca="1" si="4"/>
        <v>0</v>
      </c>
      <c r="Z7" s="608">
        <f t="shared" ref="Z7:Z25" ca="1" si="9">IF(OR(A7="",F7="",F7=0),"",S7/F7)</f>
        <v>2</v>
      </c>
      <c r="AA7" s="613">
        <f ca="1">IF(OR(A7="",F7=0,Q$26="-",LU!$D$5=0),"",Q7-Q$26)</f>
        <v>-85.928571428571431</v>
      </c>
      <c r="AB7" s="614">
        <f ca="1">IF(OR(A7="",F7=0,R$26="-",LU!$D$5=0),"",R7-R$26)</f>
        <v>-18.214285714285715</v>
      </c>
      <c r="AC7" s="615">
        <f t="shared" ca="1" si="5"/>
        <v>-67.714285714285722</v>
      </c>
      <c r="AD7" s="616">
        <f t="shared" ca="1" si="6"/>
        <v>-3.4619408369408373</v>
      </c>
      <c r="AE7" s="616" t="str">
        <f t="shared" si="7"/>
        <v/>
      </c>
      <c r="AF7" s="617">
        <f t="shared" ca="1" si="8"/>
        <v>-5.6907572751322748</v>
      </c>
      <c r="AG7" s="618">
        <f ca="1">IF(OR($A7="",Z7="",Z$26="-",LU!$D$5=0),"",Z7-Z$26)</f>
        <v>-3.5734049161929518</v>
      </c>
      <c r="AH7" s="1013">
        <f>IF(OR(A7="",F7=0),"",SUM(PT!U5,PT!U6))</f>
        <v>0</v>
      </c>
      <c r="AI7" s="1014"/>
    </row>
    <row r="8" spans="1:35" s="79" customFormat="1" ht="20.100000000000001" customHeight="1" x14ac:dyDescent="0.3">
      <c r="A8" s="175" t="str">
        <f>IF(ISBLANK(IGRF!$B16),"",IGRF!$B16)</f>
        <v>17</v>
      </c>
      <c r="B8" s="122" t="str">
        <f>IF(ISBLANK(IGRF!$C16),"",IGRF!$C16)</f>
        <v>Justine Sane</v>
      </c>
      <c r="C8" s="123">
        <f>IF(A8="","",SUM(LU!O11,LU!O110))</f>
        <v>0</v>
      </c>
      <c r="D8" s="123">
        <f>IF(A8="","",SUM(LU!D11,LU!D110))</f>
        <v>0</v>
      </c>
      <c r="E8" s="124">
        <f>IF(A8="","",SUM(LU!J11,LU!J110))</f>
        <v>9</v>
      </c>
      <c r="F8" s="581">
        <f>IF(A8="","",(SUM(C8:E8)-(SUMPRODUCT(--(Lineups!C$4:C$41=A8),--(Lineups!A$4:A$41="SP"))+SUMPRODUCT(--(Lineups!G$4:G$41=A8),--(Lineups!A$4:A$41="SP"))+SUMPRODUCT(--(Lineups!C$46:C$83=A8),--(Lineups!A$46:A$83="SP"))+SUMPRODUCT(--(Lineups!G$46:G$83=A8),--(Lineups!A$46:A$83="SP")))))</f>
        <v>9</v>
      </c>
      <c r="G8" s="582">
        <f>IF(OR(A8="",F8=0,LU!D$3+LU!D$102=0),"",F8/(LU!D$3+LU!D$102))</f>
        <v>0.24324324324324326</v>
      </c>
      <c r="H8" s="583" t="str">
        <f>IF(OR(C8=0,A8=""),"",SK!D180)</f>
        <v/>
      </c>
      <c r="I8" s="584" t="str">
        <f ca="1">IF(OR(A8="",SK!E180="",SK!E180=0),"",H8/SK!E180)</f>
        <v/>
      </c>
      <c r="J8" s="603" t="str">
        <f>IF(OR(A8="",C8=0),"",SK!G180)</f>
        <v/>
      </c>
      <c r="K8" s="604" t="str">
        <f>IF(OR(A8="",C8=0),"",SK!H180)</f>
        <v/>
      </c>
      <c r="L8" s="605" t="str">
        <f>IF(OR(A8="",C8=0),"",SK!J180)</f>
        <v/>
      </c>
      <c r="M8" s="605" t="str">
        <f>IF(OR(A8="",C8=0),"",SK!L180)</f>
        <v/>
      </c>
      <c r="N8" s="606" t="str">
        <f t="shared" si="0"/>
        <v/>
      </c>
      <c r="O8" s="607" t="str">
        <f>IF(OR(A8="",C8=0),"",SK!I180)</f>
        <v/>
      </c>
      <c r="P8" s="608" t="str">
        <f t="shared" si="1"/>
        <v/>
      </c>
      <c r="Q8" s="609">
        <f ca="1">IF(OR(A8="",F8=0),"",SUM(LU!Q57,LU!Q156))</f>
        <v>81</v>
      </c>
      <c r="R8" s="610">
        <f ca="1">IF(OR(A8="",F8=0),"",SUM(LU!Q80,LU!Q179))</f>
        <v>14</v>
      </c>
      <c r="S8" s="583">
        <f ca="1">IF(OR(A8="",F8=0),"",SUM(LU!Q34,LU!Q133))</f>
        <v>67</v>
      </c>
      <c r="T8" s="610" t="str">
        <f>IF(OR(A8="",C8=0),"",SUM(LU!O34,LU!O133))</f>
        <v/>
      </c>
      <c r="U8" s="611" t="str">
        <f t="shared" si="2"/>
        <v/>
      </c>
      <c r="V8" s="612" t="str">
        <f>IF(OR(A8="",D8=0),"",SUM(LU!D34,LU!D133))</f>
        <v/>
      </c>
      <c r="W8" s="611" t="str">
        <f t="shared" si="3"/>
        <v/>
      </c>
      <c r="X8" s="612">
        <f ca="1">IF(OR(A8="",E8=0),"",SUM(LU!J34,LU!J133))</f>
        <v>67</v>
      </c>
      <c r="Y8" s="611">
        <f t="shared" ca="1" si="4"/>
        <v>7.4444444444444446</v>
      </c>
      <c r="Z8" s="608">
        <f t="shared" ca="1" si="9"/>
        <v>7.4444444444444446</v>
      </c>
      <c r="AA8" s="613">
        <f ca="1">IF(OR(A8="",F8=0,Q$26="-",LU!$D$5=0),"",Q8-Q$26)</f>
        <v>-12.928571428571431</v>
      </c>
      <c r="AB8" s="614">
        <f ca="1">IF(OR(A8="",F8=0,R$26="-",LU!$D$5=0),"",R8-R$26)</f>
        <v>-4.2142857142857153</v>
      </c>
      <c r="AC8" s="615">
        <f t="shared" ca="1" si="5"/>
        <v>-8.7142857142857153</v>
      </c>
      <c r="AD8" s="616" t="str">
        <f t="shared" si="6"/>
        <v/>
      </c>
      <c r="AE8" s="616" t="str">
        <f t="shared" si="7"/>
        <v/>
      </c>
      <c r="AF8" s="617">
        <f t="shared" ca="1" si="8"/>
        <v>1.7536871693121698</v>
      </c>
      <c r="AG8" s="618">
        <f ca="1">IF(OR($A8="",Z8="",Z$26="-",LU!$D$5=0),"",Z8-Z$26)</f>
        <v>1.8710395282514929</v>
      </c>
      <c r="AH8" s="1013">
        <f>IF(OR(A8="",F8=0),"",SUM(PT!U7,PT!U8))</f>
        <v>2</v>
      </c>
      <c r="AI8" s="1014"/>
    </row>
    <row r="9" spans="1:35" s="79" customFormat="1" ht="20.100000000000001" customHeight="1" x14ac:dyDescent="0.3">
      <c r="A9" s="175" t="str">
        <f>IF(ISBLANK(IGRF!$B17),"",IGRF!$B17)</f>
        <v>19</v>
      </c>
      <c r="B9" s="122" t="str">
        <f>IF(ISBLANK(IGRF!$C17),"",IGRF!$C17)</f>
        <v>Lippy Wrongstockings</v>
      </c>
      <c r="C9" s="123">
        <f>IF(A9="","",SUM(LU!O12,LU!O111))</f>
        <v>9</v>
      </c>
      <c r="D9" s="123">
        <f>IF(A9="","",SUM(LU!D12,LU!D111))</f>
        <v>0</v>
      </c>
      <c r="E9" s="124">
        <f>IF(A9="","",SUM(LU!J12,LU!J111))</f>
        <v>1</v>
      </c>
      <c r="F9" s="581">
        <f>IF(A9="","",(SUM(C9:E9)-(SUMPRODUCT(--(Lineups!C$4:C$41=A9),--(Lineups!A$4:A$41="SP"))+SUMPRODUCT(--(Lineups!G$4:G$41=A9),--(Lineups!A$4:A$41="SP"))+SUMPRODUCT(--(Lineups!C$46:C$83=A9),--(Lineups!A$46:A$83="SP"))+SUMPRODUCT(--(Lineups!G$46:G$83=A9),--(Lineups!A$46:A$83="SP")))))</f>
        <v>10</v>
      </c>
      <c r="G9" s="582">
        <f>IF(OR(A9="",F9=0,LU!D$3+LU!D$102=0),"",F9/(LU!D$3+LU!D$102))</f>
        <v>0.27027027027027029</v>
      </c>
      <c r="H9" s="583">
        <f ca="1">IF(OR(C9=0,A9=""),"",SK!D183)</f>
        <v>76</v>
      </c>
      <c r="I9" s="584">
        <f ca="1">IF(OR(A9="",SK!E183="",SK!E183=0),"",H9/SK!E183)</f>
        <v>8.4444444444444446</v>
      </c>
      <c r="J9" s="603">
        <f ca="1">IF(OR(A9="",C9=0),"",SK!G183)</f>
        <v>2</v>
      </c>
      <c r="K9" s="604">
        <f ca="1">IF(OR(A9="",C9=0),"",SK!H183)</f>
        <v>7</v>
      </c>
      <c r="L9" s="605">
        <f ca="1">IF(OR(A9="",C9=0),"",SK!J183)</f>
        <v>5</v>
      </c>
      <c r="M9" s="605">
        <f ca="1">IF(OR(A9="",C9=0),"",SK!L183)</f>
        <v>0</v>
      </c>
      <c r="N9" s="606">
        <f t="shared" ca="1" si="0"/>
        <v>0.77777777777777779</v>
      </c>
      <c r="O9" s="607">
        <f ca="1">IF(OR(A9="",C9=0),"",SK!I183)</f>
        <v>64</v>
      </c>
      <c r="P9" s="608">
        <f t="shared" ca="1" si="1"/>
        <v>9.1428571428571423</v>
      </c>
      <c r="Q9" s="609">
        <f ca="1">IF(OR(A9="",F9=0),"",SUM(LU!Q58,LU!Q157))</f>
        <v>96</v>
      </c>
      <c r="R9" s="610">
        <f ca="1">IF(OR(A9="",F9=0),"",SUM(LU!Q81,LU!Q180))</f>
        <v>2</v>
      </c>
      <c r="S9" s="583">
        <f ca="1">IF(OR(A9="",F9=0),"",SUM(LU!Q35,LU!Q134))</f>
        <v>94</v>
      </c>
      <c r="T9" s="610">
        <f ca="1">IF(OR(A9="",C9=0),"",SUM(LU!O35,LU!O134))</f>
        <v>74</v>
      </c>
      <c r="U9" s="611">
        <f t="shared" ca="1" si="2"/>
        <v>8.2222222222222214</v>
      </c>
      <c r="V9" s="612" t="str">
        <f>IF(OR(A9="",D9=0),"",SUM(LU!D35,LU!D134))</f>
        <v/>
      </c>
      <c r="W9" s="611" t="str">
        <f t="shared" si="3"/>
        <v/>
      </c>
      <c r="X9" s="612">
        <f ca="1">IF(OR(A9="",E9=0),"",SUM(LU!J35,LU!J134))</f>
        <v>20</v>
      </c>
      <c r="Y9" s="611">
        <f t="shared" ca="1" si="4"/>
        <v>20</v>
      </c>
      <c r="Z9" s="608">
        <f t="shared" ca="1" si="9"/>
        <v>9.4</v>
      </c>
      <c r="AA9" s="613">
        <f ca="1">IF(OR(A9="",F9=0,Q$26="-",LU!$D$5=0),"",Q9-Q$26)</f>
        <v>2.0714285714285694</v>
      </c>
      <c r="AB9" s="614">
        <f ca="1">IF(OR(A9="",F9=0,R$26="-",LU!$D$5=0),"",R9-R$26)</f>
        <v>-16.214285714285715</v>
      </c>
      <c r="AC9" s="615">
        <f t="shared" ca="1" si="5"/>
        <v>18.285714285714285</v>
      </c>
      <c r="AD9" s="616">
        <f t="shared" ca="1" si="6"/>
        <v>2.0936147186147176</v>
      </c>
      <c r="AE9" s="616" t="str">
        <f t="shared" si="7"/>
        <v/>
      </c>
      <c r="AF9" s="617">
        <f t="shared" ca="1" si="8"/>
        <v>14.309242724867726</v>
      </c>
      <c r="AG9" s="618">
        <f ca="1">IF(OR($A9="",Z9="",Z$26="-",LU!$D$5=0),"",Z9-Z$26)</f>
        <v>3.8265950838070486</v>
      </c>
      <c r="AH9" s="1013">
        <f>IF(OR(A9="",F9=0),"",SUM(PT!U9,PT!U10))</f>
        <v>1</v>
      </c>
      <c r="AI9" s="1014"/>
    </row>
    <row r="10" spans="1:35" s="79" customFormat="1" ht="20.100000000000001" customHeight="1" x14ac:dyDescent="0.3">
      <c r="A10" s="175" t="str">
        <f>IF(ISBLANK(IGRF!$B18),"",IGRF!$B18)</f>
        <v>20</v>
      </c>
      <c r="B10" s="122" t="str">
        <f>IF(ISBLANK(IGRF!$C18),"",IGRF!$C18)</f>
        <v>Zooks</v>
      </c>
      <c r="C10" s="123">
        <f>IF(A10="","",SUM(LU!O13,LU!O112))</f>
        <v>4</v>
      </c>
      <c r="D10" s="123">
        <f>IF(A10="","",SUM(LU!D13,LU!D112))</f>
        <v>0</v>
      </c>
      <c r="E10" s="124">
        <f>IF(A10="","",SUM(LU!J13,LU!J112))</f>
        <v>12</v>
      </c>
      <c r="F10" s="581">
        <f>IF(A10="","",(SUM(C10:E10)-(SUMPRODUCT(--(Lineups!C$4:C$41=A10),--(Lineups!A$4:A$41="SP"))+SUMPRODUCT(--(Lineups!G$4:G$41=A10),--(Lineups!A$4:A$41="SP"))+SUMPRODUCT(--(Lineups!C$46:C$83=A10),--(Lineups!A$46:A$83="SP"))+SUMPRODUCT(--(Lineups!G$46:G$83=A10),--(Lineups!A$46:A$83="SP")))))</f>
        <v>16</v>
      </c>
      <c r="G10" s="582">
        <f>IF(OR(A10="",F10=0,LU!D$3+LU!D$102=0),"",F10/(LU!D$3+LU!D$102))</f>
        <v>0.43243243243243246</v>
      </c>
      <c r="H10" s="583">
        <f ca="1">IF(OR(C10=0,A10=""),"",SK!D186)</f>
        <v>34</v>
      </c>
      <c r="I10" s="584">
        <f ca="1">IF(OR(A10="",SK!E186="",SK!E186=0),"",H10/SK!E186)</f>
        <v>8.5</v>
      </c>
      <c r="J10" s="603">
        <f ca="1">IF(OR(A10="",C10=0),"",SK!G186)</f>
        <v>0</v>
      </c>
      <c r="K10" s="604">
        <f ca="1">IF(OR(A10="",C10=0),"",SK!H186)</f>
        <v>2</v>
      </c>
      <c r="L10" s="605">
        <f ca="1">IF(OR(A10="",C10=0),"",SK!J186)</f>
        <v>2</v>
      </c>
      <c r="M10" s="605">
        <f ca="1">IF(OR(A10="",C10=0),"",SK!L186)</f>
        <v>0</v>
      </c>
      <c r="N10" s="606">
        <f t="shared" ca="1" si="0"/>
        <v>0.5</v>
      </c>
      <c r="O10" s="607">
        <f ca="1">IF(OR(A10="",C10=0),"",SK!I186)</f>
        <v>34</v>
      </c>
      <c r="P10" s="608">
        <f t="shared" ca="1" si="1"/>
        <v>17</v>
      </c>
      <c r="Q10" s="609">
        <f ca="1">IF(OR(A10="",F10=0),"",SUM(LU!Q59,LU!Q158))</f>
        <v>118</v>
      </c>
      <c r="R10" s="610">
        <f ca="1">IF(OR(A10="",F10=0),"",SUM(LU!Q82,LU!Q181))</f>
        <v>23</v>
      </c>
      <c r="S10" s="583">
        <f ca="1">IF(OR(A10="",F10=0),"",SUM(LU!Q36,LU!Q135))</f>
        <v>95</v>
      </c>
      <c r="T10" s="610">
        <f ca="1">IF(OR(A10="",C10=0),"",SUM(LU!O36,LU!O135))</f>
        <v>34</v>
      </c>
      <c r="U10" s="611">
        <f t="shared" ca="1" si="2"/>
        <v>8.5</v>
      </c>
      <c r="V10" s="612" t="str">
        <f>IF(OR(A10="",D10=0),"",SUM(LU!D36,LU!D135))</f>
        <v/>
      </c>
      <c r="W10" s="611" t="str">
        <f t="shared" si="3"/>
        <v/>
      </c>
      <c r="X10" s="612">
        <f ca="1">IF(OR(A10="",E10=0),"",SUM(LU!J36,LU!J135))</f>
        <v>61</v>
      </c>
      <c r="Y10" s="611">
        <f t="shared" ca="1" si="4"/>
        <v>5.083333333333333</v>
      </c>
      <c r="Z10" s="608">
        <f t="shared" ca="1" si="9"/>
        <v>5.9375</v>
      </c>
      <c r="AA10" s="613">
        <f ca="1">IF(OR(A10="",F10=0,Q$26="-",LU!$D$5=0),"",Q10-Q$26)</f>
        <v>24.071428571428569</v>
      </c>
      <c r="AB10" s="614">
        <f ca="1">IF(OR(A10="",F10=0,R$26="-",LU!$D$5=0),"",R10-R$26)</f>
        <v>4.7857142857142847</v>
      </c>
      <c r="AC10" s="615">
        <f t="shared" ca="1" si="5"/>
        <v>19.285714285714285</v>
      </c>
      <c r="AD10" s="616">
        <f t="shared" ca="1" si="6"/>
        <v>2.3713924963924962</v>
      </c>
      <c r="AE10" s="616" t="str">
        <f t="shared" si="7"/>
        <v/>
      </c>
      <c r="AF10" s="617">
        <f t="shared" ca="1" si="8"/>
        <v>-0.60742394179894177</v>
      </c>
      <c r="AG10" s="618">
        <f ca="1">IF(OR($A10="",Z10="",Z$26="-",LU!$D$5=0),"",Z10-Z$26)</f>
        <v>0.36409508380704825</v>
      </c>
      <c r="AH10" s="1013">
        <f>IF(OR(A10="",F10=0),"",SUM(PT!U11,PT!U12))</f>
        <v>2</v>
      </c>
      <c r="AI10" s="1014"/>
    </row>
    <row r="11" spans="1:35" s="79" customFormat="1" ht="20.100000000000001" customHeight="1" x14ac:dyDescent="0.3">
      <c r="A11" s="175" t="str">
        <f>IF(ISBLANK(IGRF!$B19),"",IGRF!$B19)</f>
        <v>303</v>
      </c>
      <c r="B11" s="122" t="str">
        <f>IF(ISBLANK(IGRF!$C19),"",IGRF!$C19)</f>
        <v>Violent NoRegard</v>
      </c>
      <c r="C11" s="123">
        <f>IF(A11="","",SUM(LU!O14,LU!O113))</f>
        <v>0</v>
      </c>
      <c r="D11" s="123">
        <f>IF(A11="","",SUM(LU!D14,LU!D113))</f>
        <v>0</v>
      </c>
      <c r="E11" s="124">
        <f>IF(A11="","",SUM(LU!J14,LU!J113))</f>
        <v>15</v>
      </c>
      <c r="F11" s="581">
        <f>IF(A11="","",(SUM(C11:E11)-(SUMPRODUCT(--(Lineups!C$4:C$41=A11),--(Lineups!A$4:A$41="SP"))+SUMPRODUCT(--(Lineups!G$4:G$41=A11),--(Lineups!A$4:A$41="SP"))+SUMPRODUCT(--(Lineups!C$46:C$83=A11),--(Lineups!A$46:A$83="SP"))+SUMPRODUCT(--(Lineups!G$46:G$83=A11),--(Lineups!A$46:A$83="SP")))))</f>
        <v>15</v>
      </c>
      <c r="G11" s="582">
        <f>IF(OR(A11="",F11=0,LU!D$3+LU!D$102=0),"",F11/(LU!D$3+LU!D$102))</f>
        <v>0.40540540540540543</v>
      </c>
      <c r="H11" s="583" t="str">
        <f>IF(OR(C11=0,A11=""),"",SK!D189)</f>
        <v/>
      </c>
      <c r="I11" s="584" t="str">
        <f ca="1">IF(OR(A11="",SK!E189="",SK!E189=0),"",H11/SK!E189)</f>
        <v/>
      </c>
      <c r="J11" s="603" t="str">
        <f>IF(OR(A11="",C11=0),"",SK!G189)</f>
        <v/>
      </c>
      <c r="K11" s="604" t="str">
        <f>IF(OR(A11="",C11=0),"",SK!H189)</f>
        <v/>
      </c>
      <c r="L11" s="605" t="str">
        <f>IF(OR(A11="",C11=0),"",SK!J189)</f>
        <v/>
      </c>
      <c r="M11" s="605" t="str">
        <f>IF(OR(A11="",C11=0),"",SK!L189)</f>
        <v/>
      </c>
      <c r="N11" s="606" t="str">
        <f t="shared" si="0"/>
        <v/>
      </c>
      <c r="O11" s="607" t="str">
        <f>IF(OR(A11="",C11=0),"",SK!I189)</f>
        <v/>
      </c>
      <c r="P11" s="608" t="str">
        <f t="shared" si="1"/>
        <v/>
      </c>
      <c r="Q11" s="609">
        <f ca="1">IF(OR(A11="",F11=0),"",SUM(LU!Q60,LU!Q159))</f>
        <v>105</v>
      </c>
      <c r="R11" s="610">
        <f ca="1">IF(OR(A11="",F11=0),"",SUM(LU!Q83,LU!Q182))</f>
        <v>14</v>
      </c>
      <c r="S11" s="583">
        <f ca="1">IF(OR(A11="",F11=0),"",SUM(LU!Q37,LU!Q136))</f>
        <v>91</v>
      </c>
      <c r="T11" s="610" t="str">
        <f>IF(OR(A11="",C11=0),"",SUM(LU!O37,LU!O136))</f>
        <v/>
      </c>
      <c r="U11" s="611" t="str">
        <f t="shared" si="2"/>
        <v/>
      </c>
      <c r="V11" s="612" t="str">
        <f>IF(OR(A11="",D11=0),"",SUM(LU!D37,LU!D136))</f>
        <v/>
      </c>
      <c r="W11" s="611" t="str">
        <f t="shared" si="3"/>
        <v/>
      </c>
      <c r="X11" s="612">
        <f ca="1">IF(OR(A11="",E11=0),"",SUM(LU!J37,LU!J136))</f>
        <v>91</v>
      </c>
      <c r="Y11" s="611">
        <f t="shared" ca="1" si="4"/>
        <v>6.0666666666666664</v>
      </c>
      <c r="Z11" s="608">
        <f t="shared" ca="1" si="9"/>
        <v>6.0666666666666664</v>
      </c>
      <c r="AA11" s="613">
        <f ca="1">IF(OR(A11="",F11=0,Q$26="-",LU!$D$5=0),"",Q11-Q$26)</f>
        <v>11.071428571428569</v>
      </c>
      <c r="AB11" s="614">
        <f ca="1">IF(OR(A11="",F11=0,R$26="-",LU!$D$5=0),"",R11-R$26)</f>
        <v>-4.2142857142857153</v>
      </c>
      <c r="AC11" s="615">
        <f t="shared" ca="1" si="5"/>
        <v>15.285714285714285</v>
      </c>
      <c r="AD11" s="616" t="str">
        <f t="shared" si="6"/>
        <v/>
      </c>
      <c r="AE11" s="616" t="str">
        <f t="shared" si="7"/>
        <v/>
      </c>
      <c r="AF11" s="617">
        <f t="shared" ca="1" si="8"/>
        <v>0.37590939153439162</v>
      </c>
      <c r="AG11" s="618">
        <f ca="1">IF(OR($A11="",Z11="",Z$26="-",LU!$D$5=0),"",Z11-Z$26)</f>
        <v>0.49326175047371468</v>
      </c>
      <c r="AH11" s="1013">
        <f>IF(OR(A11="",F11=0),"",SUM(PT!U13,PT!U14))</f>
        <v>3</v>
      </c>
      <c r="AI11" s="1014"/>
    </row>
    <row r="12" spans="1:35" s="79" customFormat="1" ht="19.5" customHeight="1" x14ac:dyDescent="0.3">
      <c r="A12" s="175" t="str">
        <f>IF(ISBLANK(IGRF!$B20),"",IGRF!$B20)</f>
        <v>33</v>
      </c>
      <c r="B12" s="122" t="str">
        <f>IF(ISBLANK(IGRF!$C20),"",IGRF!$C20)</f>
        <v>Suzy Slam</v>
      </c>
      <c r="C12" s="123">
        <f>IF(A12="","",SUM(LU!O15,LU!O114))</f>
        <v>1</v>
      </c>
      <c r="D12" s="123">
        <f>IF(A12="","",SUM(LU!D15,LU!D114))</f>
        <v>0</v>
      </c>
      <c r="E12" s="124">
        <f>IF(A12="","",SUM(LU!J15,LU!J114))</f>
        <v>11</v>
      </c>
      <c r="F12" s="581">
        <f>IF(A12="","",(SUM(C12:E12)-(SUMPRODUCT(--(Lineups!C$4:C$41=A12),--(Lineups!A$4:A$41="SP"))+SUMPRODUCT(--(Lineups!G$4:G$41=A12),--(Lineups!A$4:A$41="SP"))+SUMPRODUCT(--(Lineups!C$46:C$83=A12),--(Lineups!A$46:A$83="SP"))+SUMPRODUCT(--(Lineups!G$46:G$83=A12),--(Lineups!A$46:A$83="SP")))))</f>
        <v>12</v>
      </c>
      <c r="G12" s="582">
        <f>IF(OR(A12="",F12=0,LU!D$3+LU!D$102=0),"",F12/(LU!D$3+LU!D$102))</f>
        <v>0.32432432432432434</v>
      </c>
      <c r="H12" s="583">
        <f ca="1">IF(OR(C12=0,A12=""),"",SK!D192)</f>
        <v>20</v>
      </c>
      <c r="I12" s="584">
        <f ca="1">IF(OR(A12="",SK!E192="",SK!E192=0),"",H12/SK!E192)</f>
        <v>20</v>
      </c>
      <c r="J12" s="603">
        <f ca="1">IF(OR(A12="",C12=0),"",SK!G192)</f>
        <v>0</v>
      </c>
      <c r="K12" s="604">
        <f ca="1">IF(OR(A12="",C12=0),"",SK!H192)</f>
        <v>1</v>
      </c>
      <c r="L12" s="605">
        <f ca="1">IF(OR(A12="",C12=0),"",SK!J192)</f>
        <v>0</v>
      </c>
      <c r="M12" s="605">
        <f ca="1">IF(OR(A12="",C12=0),"",SK!L192)</f>
        <v>0</v>
      </c>
      <c r="N12" s="606">
        <f t="shared" ca="1" si="0"/>
        <v>1</v>
      </c>
      <c r="O12" s="607">
        <f ca="1">IF(OR(A12="",C12=0),"",SK!I192)</f>
        <v>20</v>
      </c>
      <c r="P12" s="608">
        <f t="shared" ca="1" si="1"/>
        <v>20</v>
      </c>
      <c r="Q12" s="609">
        <f ca="1">IF(OR(A12="",F12=0),"",SUM(LU!Q61,LU!Q160))</f>
        <v>118</v>
      </c>
      <c r="R12" s="610">
        <f ca="1">IF(OR(A12="",F12=0),"",SUM(LU!Q84,LU!Q183))</f>
        <v>8</v>
      </c>
      <c r="S12" s="583">
        <f ca="1">IF(OR(A12="",F12=0),"",SUM(LU!Q38,LU!Q137))</f>
        <v>110</v>
      </c>
      <c r="T12" s="610">
        <f ca="1">IF(OR(A12="",C12=0),"",SUM(LU!O38,LU!O137))</f>
        <v>20</v>
      </c>
      <c r="U12" s="611">
        <f t="shared" ca="1" si="2"/>
        <v>20</v>
      </c>
      <c r="V12" s="612" t="str">
        <f>IF(OR(A12="",D12=0),"",SUM(LU!D38,LU!D137))</f>
        <v/>
      </c>
      <c r="W12" s="611" t="str">
        <f t="shared" si="3"/>
        <v/>
      </c>
      <c r="X12" s="612">
        <f ca="1">IF(OR(A12="",E12=0),"",SUM(LU!J38,LU!J137))</f>
        <v>90</v>
      </c>
      <c r="Y12" s="611">
        <f t="shared" ca="1" si="4"/>
        <v>8.1818181818181817</v>
      </c>
      <c r="Z12" s="608">
        <f t="shared" ca="1" si="9"/>
        <v>9.1666666666666661</v>
      </c>
      <c r="AA12" s="613">
        <f ca="1">IF(OR(A12="",F12=0,Q$26="-",LU!$D$5=0),"",Q12-Q$26)</f>
        <v>24.071428571428569</v>
      </c>
      <c r="AB12" s="614">
        <f ca="1">IF(OR(A12="",F12=0,R$26="-",LU!$D$5=0),"",R12-R$26)</f>
        <v>-10.214285714285715</v>
      </c>
      <c r="AC12" s="615">
        <f t="shared" ca="1" si="5"/>
        <v>34.285714285714285</v>
      </c>
      <c r="AD12" s="616">
        <f t="shared" ca="1" si="6"/>
        <v>13.871392496392495</v>
      </c>
      <c r="AE12" s="616" t="str">
        <f t="shared" si="7"/>
        <v/>
      </c>
      <c r="AF12" s="617">
        <f t="shared" ca="1" si="8"/>
        <v>2.4910609066859069</v>
      </c>
      <c r="AG12" s="618">
        <f ca="1">IF(OR($A12="",Z12="",Z$26="-",LU!$D$5=0),"",Z12-Z$26)</f>
        <v>3.5932617504737143</v>
      </c>
      <c r="AH12" s="1013">
        <f>IF(OR(A12="",F12=0),"",SUM(PT!U15,PT!U16))</f>
        <v>1</v>
      </c>
      <c r="AI12" s="1014"/>
    </row>
    <row r="13" spans="1:35" s="79" customFormat="1" ht="20.100000000000001" customHeight="1" x14ac:dyDescent="0.3">
      <c r="A13" s="175" t="str">
        <f>IF(ISBLANK(IGRF!$B21),"",IGRF!$B21)</f>
        <v>4</v>
      </c>
      <c r="B13" s="122" t="str">
        <f>IF(ISBLANK(IGRF!$C21),"",IGRF!$C21)</f>
        <v>Psykosonic</v>
      </c>
      <c r="C13" s="123">
        <f>IF(A13="","",SUM(LU!O16,LU!O115))</f>
        <v>11</v>
      </c>
      <c r="D13" s="123">
        <f>IF(A13="","",SUM(LU!D16,LU!D115))</f>
        <v>0</v>
      </c>
      <c r="E13" s="124">
        <f>IF(A13="","",SUM(LU!J16,LU!J115))</f>
        <v>0</v>
      </c>
      <c r="F13" s="581">
        <f>IF(A13="","",(SUM(C13:E13)-(SUMPRODUCT(--(Lineups!C$4:C$41=A13),--(Lineups!A$4:A$41="SP"))+SUMPRODUCT(--(Lineups!G$4:G$41=A13),--(Lineups!A$4:A$41="SP"))+SUMPRODUCT(--(Lineups!C$46:C$83=A13),--(Lineups!A$46:A$83="SP"))+SUMPRODUCT(--(Lineups!G$46:G$83=A13),--(Lineups!A$46:A$83="SP")))))</f>
        <v>11</v>
      </c>
      <c r="G13" s="582">
        <f>IF(OR(A13="",F13=0,LU!D$3+LU!D$102=0),"",F13/(LU!D$3+LU!D$102))</f>
        <v>0.29729729729729731</v>
      </c>
      <c r="H13" s="583">
        <f ca="1">IF(OR(C13=0,A13=""),"",SK!D195)</f>
        <v>85</v>
      </c>
      <c r="I13" s="584">
        <f ca="1">IF(OR(A13="",SK!E195="",SK!E195=0),"",H13/SK!E195)</f>
        <v>7.7272727272727275</v>
      </c>
      <c r="J13" s="603">
        <f ca="1">IF(OR(A13="",C13=0),"",SK!G195)</f>
        <v>2</v>
      </c>
      <c r="K13" s="604">
        <f ca="1">IF(OR(A13="",C13=0),"",SK!H195)</f>
        <v>8</v>
      </c>
      <c r="L13" s="605">
        <f ca="1">IF(OR(A13="",C13=0),"",SK!J195)</f>
        <v>7</v>
      </c>
      <c r="M13" s="605">
        <f ca="1">IF(OR(A13="",C13=0),"",SK!L195)</f>
        <v>0</v>
      </c>
      <c r="N13" s="606">
        <f t="shared" ca="1" si="0"/>
        <v>0.72727272727272729</v>
      </c>
      <c r="O13" s="607">
        <f ca="1">IF(OR(A13="",C13=0),"",SK!I195)</f>
        <v>69</v>
      </c>
      <c r="P13" s="608">
        <f t="shared" ca="1" si="1"/>
        <v>8.625</v>
      </c>
      <c r="Q13" s="609">
        <f ca="1">IF(OR(A13="",F13=0),"",SUM(LU!Q62,LU!Q161))</f>
        <v>85</v>
      </c>
      <c r="R13" s="610">
        <f ca="1">IF(OR(A13="",F13=0),"",SUM(LU!Q85,LU!Q184))</f>
        <v>12</v>
      </c>
      <c r="S13" s="583">
        <f ca="1">IF(OR(A13="",F13=0),"",SUM(LU!Q39,LU!Q138))</f>
        <v>73</v>
      </c>
      <c r="T13" s="610">
        <f ca="1">IF(OR(A13="",C13=0),"",SUM(LU!O39,LU!O138))</f>
        <v>73</v>
      </c>
      <c r="U13" s="611">
        <f t="shared" ca="1" si="2"/>
        <v>6.6363636363636367</v>
      </c>
      <c r="V13" s="612" t="str">
        <f>IF(OR(A13="",D13=0),"",SUM(LU!D39,LU!D138))</f>
        <v/>
      </c>
      <c r="W13" s="611" t="str">
        <f t="shared" si="3"/>
        <v/>
      </c>
      <c r="X13" s="612" t="str">
        <f>IF(OR(A13="",E13=0),"",SUM(LU!J39,LU!J138))</f>
        <v/>
      </c>
      <c r="Y13" s="611" t="str">
        <f t="shared" si="4"/>
        <v/>
      </c>
      <c r="Z13" s="608">
        <f t="shared" ca="1" si="9"/>
        <v>6.6363636363636367</v>
      </c>
      <c r="AA13" s="613">
        <f ca="1">IF(OR(A13="",F13=0,Q$26="-",LU!$D$5=0),"",Q13-Q$26)</f>
        <v>-8.9285714285714306</v>
      </c>
      <c r="AB13" s="614">
        <f ca="1">IF(OR(A13="",F13=0,R$26="-",LU!$D$5=0),"",R13-R$26)</f>
        <v>-6.2142857142857153</v>
      </c>
      <c r="AC13" s="615">
        <f t="shared" ca="1" si="5"/>
        <v>-2.7142857142857153</v>
      </c>
      <c r="AD13" s="616">
        <f t="shared" ca="1" si="6"/>
        <v>0.50775613275613285</v>
      </c>
      <c r="AE13" s="616" t="str">
        <f t="shared" si="7"/>
        <v/>
      </c>
      <c r="AF13" s="617" t="str">
        <f t="shared" si="8"/>
        <v/>
      </c>
      <c r="AG13" s="618">
        <f ca="1">IF(OR($A13="",Z13="",Z$26="-",LU!$D$5=0),"",Z13-Z$26)</f>
        <v>1.0629587201706849</v>
      </c>
      <c r="AH13" s="1013">
        <f>IF(OR(A13="",F13=0),"",SUM(PT!U17,PT!U18))</f>
        <v>3</v>
      </c>
      <c r="AI13" s="1014"/>
    </row>
    <row r="14" spans="1:35" s="79" customFormat="1" ht="19.5" customHeight="1" x14ac:dyDescent="0.3">
      <c r="A14" s="175" t="str">
        <f>IF(ISBLANK(IGRF!$B22),"",IGRF!$B22)</f>
        <v>42</v>
      </c>
      <c r="B14" s="122" t="str">
        <f>IF(ISBLANK(IGRF!$C22),"",IGRF!$C22)</f>
        <v>Meg N' Plead</v>
      </c>
      <c r="C14" s="123">
        <f>IF(A14="","",SUM(LU!O17,LU!O116))</f>
        <v>0</v>
      </c>
      <c r="D14" s="123">
        <f>IF(A14="","",SUM(LU!D17,LU!D116))</f>
        <v>0</v>
      </c>
      <c r="E14" s="124">
        <f>IF(A14="","",SUM(LU!J17,LU!J116))</f>
        <v>11</v>
      </c>
      <c r="F14" s="581">
        <f>IF(A14="","",(SUM(C14:E14)-(SUMPRODUCT(--(Lineups!C$4:C$41=A14),--(Lineups!A$4:A$41="SP"))+SUMPRODUCT(--(Lineups!G$4:G$41=A14),--(Lineups!A$4:A$41="SP"))+SUMPRODUCT(--(Lineups!C$46:C$83=A14),--(Lineups!A$46:A$83="SP"))+SUMPRODUCT(--(Lineups!G$46:G$83=A14),--(Lineups!A$46:A$83="SP")))))</f>
        <v>11</v>
      </c>
      <c r="G14" s="582">
        <f>IF(OR(A14="",F14=0,LU!D$3+LU!D$102=0),"",F14/(LU!D$3+LU!D$102))</f>
        <v>0.29729729729729731</v>
      </c>
      <c r="H14" s="583" t="str">
        <f>IF(OR(C14=0,A14=""),"",SK!D198)</f>
        <v/>
      </c>
      <c r="I14" s="584" t="str">
        <f ca="1">IF(OR(A14="",SK!E198="",SK!E198=0),"",H14/SK!E198)</f>
        <v/>
      </c>
      <c r="J14" s="603" t="str">
        <f>IF(OR(A14="",C14=0),"",SK!G198)</f>
        <v/>
      </c>
      <c r="K14" s="604" t="str">
        <f>IF(OR(A14="",C14=0),"",SK!H198)</f>
        <v/>
      </c>
      <c r="L14" s="605" t="str">
        <f>IF(OR(A14="",C14=0),"",SK!J198)</f>
        <v/>
      </c>
      <c r="M14" s="605" t="str">
        <f>IF(OR(A14="",C14=0),"",SK!L198)</f>
        <v/>
      </c>
      <c r="N14" s="606" t="str">
        <f t="shared" si="0"/>
        <v/>
      </c>
      <c r="O14" s="607" t="str">
        <f>IF(OR(A14="",C14=0),"",SK!I198)</f>
        <v/>
      </c>
      <c r="P14" s="608" t="str">
        <f t="shared" si="1"/>
        <v/>
      </c>
      <c r="Q14" s="609">
        <f ca="1">IF(OR(A14="",F14=0),"",SUM(LU!Q63,LU!Q162))</f>
        <v>93</v>
      </c>
      <c r="R14" s="610">
        <f ca="1">IF(OR(A14="",F14=0),"",SUM(LU!Q86,LU!Q185))</f>
        <v>18</v>
      </c>
      <c r="S14" s="583">
        <f ca="1">IF(OR(A14="",F14=0),"",SUM(LU!Q40,LU!Q139))</f>
        <v>75</v>
      </c>
      <c r="T14" s="610" t="str">
        <f>IF(OR(A14="",C14=0),"",SUM(LU!O40,LU!O139))</f>
        <v/>
      </c>
      <c r="U14" s="611" t="str">
        <f t="shared" si="2"/>
        <v/>
      </c>
      <c r="V14" s="612" t="str">
        <f>IF(OR(A14="",D14=0),"",SUM(LU!D40,LU!D139))</f>
        <v/>
      </c>
      <c r="W14" s="611" t="str">
        <f t="shared" si="3"/>
        <v/>
      </c>
      <c r="X14" s="612">
        <f ca="1">IF(OR(A14="",E14=0),"",SUM(LU!J40,LU!J139))</f>
        <v>75</v>
      </c>
      <c r="Y14" s="611">
        <f t="shared" ca="1" si="4"/>
        <v>6.8181818181818183</v>
      </c>
      <c r="Z14" s="608">
        <f t="shared" ca="1" si="9"/>
        <v>6.8181818181818183</v>
      </c>
      <c r="AA14" s="613">
        <f ca="1">IF(OR(A14="",F14=0,Q$26="-",LU!$D$5=0),"",Q14-Q$26)</f>
        <v>-0.9285714285714306</v>
      </c>
      <c r="AB14" s="614">
        <f ca="1">IF(OR(A14="",F14=0,R$26="-",LU!$D$5=0),"",R14-R$26)</f>
        <v>-0.2142857142857153</v>
      </c>
      <c r="AC14" s="615">
        <f t="shared" ca="1" si="5"/>
        <v>-0.7142857142857153</v>
      </c>
      <c r="AD14" s="616" t="str">
        <f t="shared" si="6"/>
        <v/>
      </c>
      <c r="AE14" s="616" t="str">
        <f t="shared" si="7"/>
        <v/>
      </c>
      <c r="AF14" s="617">
        <f t="shared" ca="1" si="8"/>
        <v>1.1274245430495435</v>
      </c>
      <c r="AG14" s="618">
        <f ca="1">IF(OR($A14="",Z14="",Z$26="-",LU!$D$5=0),"",Z14-Z$26)</f>
        <v>1.2447769019888666</v>
      </c>
      <c r="AH14" s="1013">
        <f>IF(OR(A14="",F14=0),"",SUM(PT!U19,PT!U20))</f>
        <v>2</v>
      </c>
      <c r="AI14" s="1014"/>
    </row>
    <row r="15" spans="1:35" s="79" customFormat="1" ht="20.100000000000001" customHeight="1" x14ac:dyDescent="0.3">
      <c r="A15" s="175" t="str">
        <f>IF(ISBLANK(IGRF!$B23),"",IGRF!$B23)</f>
        <v>44</v>
      </c>
      <c r="B15" s="122" t="str">
        <f>IF(ISBLANK(IGRF!$C23),"",IGRF!$C23)</f>
        <v>Brunt Force Bunny</v>
      </c>
      <c r="C15" s="123">
        <f>IF(A15="","",SUM(LU!O18,LU!O117))</f>
        <v>0</v>
      </c>
      <c r="D15" s="123">
        <f>IF(A15="","",SUM(LU!D18,LU!D117))</f>
        <v>0</v>
      </c>
      <c r="E15" s="124">
        <f>IF(A15="","",SUM(LU!J18,LU!J117))</f>
        <v>10</v>
      </c>
      <c r="F15" s="581">
        <f>IF(A15="","",(SUM(C15:E15)-(SUMPRODUCT(--(Lineups!C$4:C$41=A15),--(Lineups!A$4:A$41="SP"))+SUMPRODUCT(--(Lineups!G$4:G$41=A15),--(Lineups!A$4:A$41="SP"))+SUMPRODUCT(--(Lineups!C$46:C$83=A15),--(Lineups!A$46:A$83="SP"))+SUMPRODUCT(--(Lineups!G$46:G$83=A15),--(Lineups!A$46:A$83="SP")))))</f>
        <v>10</v>
      </c>
      <c r="G15" s="582">
        <f>IF(OR(A15="",F15=0,LU!D$3+LU!D$102=0),"",F15/(LU!D$3+LU!D$102))</f>
        <v>0.27027027027027029</v>
      </c>
      <c r="H15" s="583" t="str">
        <f>IF(OR(C15=0,A15=""),"",SK!D201)</f>
        <v/>
      </c>
      <c r="I15" s="584" t="str">
        <f ca="1">IF(OR(A15="",SK!E201="",SK!E201=0),"",H15/SK!E201)</f>
        <v/>
      </c>
      <c r="J15" s="603" t="str">
        <f>IF(OR(A15="",C15=0),"",SK!G201)</f>
        <v/>
      </c>
      <c r="K15" s="604" t="str">
        <f>IF(OR(A15="",C15=0),"",SK!H201)</f>
        <v/>
      </c>
      <c r="L15" s="605" t="str">
        <f>IF(OR(A15="",C15=0),"",SK!J201)</f>
        <v/>
      </c>
      <c r="M15" s="605" t="str">
        <f>IF(OR(A15="",C15=0),"",SK!L201)</f>
        <v/>
      </c>
      <c r="N15" s="606" t="str">
        <f t="shared" si="0"/>
        <v/>
      </c>
      <c r="O15" s="607" t="str">
        <f>IF(OR(A15="",C15=0),"",SK!I201)</f>
        <v/>
      </c>
      <c r="P15" s="608" t="str">
        <f t="shared" si="1"/>
        <v/>
      </c>
      <c r="Q15" s="609">
        <f ca="1">IF(OR(A15="",F15=0),"",SUM(LU!Q64,LU!Q163))</f>
        <v>29</v>
      </c>
      <c r="R15" s="610">
        <f ca="1">IF(OR(A15="",F15=0),"",SUM(LU!Q87,LU!Q186))</f>
        <v>15</v>
      </c>
      <c r="S15" s="583">
        <f ca="1">IF(OR(A15="",F15=0),"",SUM(LU!Q41,LU!Q140))</f>
        <v>14</v>
      </c>
      <c r="T15" s="610" t="str">
        <f>IF(OR(A15="",C15=0),"",SUM(LU!O41,LU!O140))</f>
        <v/>
      </c>
      <c r="U15" s="611" t="str">
        <f t="shared" si="2"/>
        <v/>
      </c>
      <c r="V15" s="612" t="str">
        <f>IF(OR(A15="",D15=0),"",SUM(LU!D41,LU!D140))</f>
        <v/>
      </c>
      <c r="W15" s="611" t="str">
        <f t="shared" si="3"/>
        <v/>
      </c>
      <c r="X15" s="612">
        <f ca="1">IF(OR(A15="",E15=0),"",SUM(LU!J41,LU!J140))</f>
        <v>14</v>
      </c>
      <c r="Y15" s="611">
        <f t="shared" ca="1" si="4"/>
        <v>1.4</v>
      </c>
      <c r="Z15" s="608">
        <f t="shared" ca="1" si="9"/>
        <v>1.4</v>
      </c>
      <c r="AA15" s="613">
        <f ca="1">IF(OR(A15="",F15=0,Q$26="-",LU!$D$5=0),"",Q15-Q$26)</f>
        <v>-64.928571428571431</v>
      </c>
      <c r="AB15" s="614">
        <f ca="1">IF(OR(A15="",F15=0,R$26="-",LU!$D$5=0),"",R15-R$26)</f>
        <v>-3.2142857142857153</v>
      </c>
      <c r="AC15" s="615">
        <f t="shared" ca="1" si="5"/>
        <v>-61.714285714285715</v>
      </c>
      <c r="AD15" s="616" t="str">
        <f t="shared" si="6"/>
        <v/>
      </c>
      <c r="AE15" s="616" t="str">
        <f t="shared" si="7"/>
        <v/>
      </c>
      <c r="AF15" s="617">
        <f t="shared" ca="1" si="8"/>
        <v>-4.2907572751322753</v>
      </c>
      <c r="AG15" s="618">
        <f ca="1">IF(OR($A15="",Z15="",Z$26="-",LU!$D$5=0),"",Z15-Z$26)</f>
        <v>-4.1734049161929523</v>
      </c>
      <c r="AH15" s="1013">
        <f>IF(OR(A15="",F15=0),"",SUM(PT!U21,PT!U22))</f>
        <v>0</v>
      </c>
      <c r="AI15" s="1014"/>
    </row>
    <row r="16" spans="1:35" s="79" customFormat="1" ht="20.100000000000001" customHeight="1" x14ac:dyDescent="0.3">
      <c r="A16" s="175" t="str">
        <f>IF(ISBLANK(IGRF!$B24),"",IGRF!$B24)</f>
        <v>480</v>
      </c>
      <c r="B16" s="122" t="str">
        <f>IF(ISBLANK(IGRF!$C24),"",IGRF!$C24)</f>
        <v>Slaughterhouse Streeter</v>
      </c>
      <c r="C16" s="123">
        <f>IF(A16="","",SUM(LU!O19,LU!O118))</f>
        <v>1</v>
      </c>
      <c r="D16" s="123">
        <f>IF(A16="","",SUM(LU!D19,LU!D118))</f>
        <v>0</v>
      </c>
      <c r="E16" s="124">
        <f>IF(A16="","",SUM(LU!J19,LU!J118))</f>
        <v>16</v>
      </c>
      <c r="F16" s="581">
        <f>IF(A16="","",(SUM(C16:E16)-(SUMPRODUCT(--(Lineups!C$4:C$41=A16),--(Lineups!A$4:A$41="SP"))+SUMPRODUCT(--(Lineups!G$4:G$41=A16),--(Lineups!A$4:A$41="SP"))+SUMPRODUCT(--(Lineups!C$46:C$83=A16),--(Lineups!A$46:A$83="SP"))+SUMPRODUCT(--(Lineups!G$46:G$83=A16),--(Lineups!A$46:A$83="SP")))))</f>
        <v>17</v>
      </c>
      <c r="G16" s="582">
        <f>IF(OR(A16="",F16=0,LU!D$3+LU!D$102=0),"",F16/(LU!D$3+LU!D$102))</f>
        <v>0.45945945945945948</v>
      </c>
      <c r="H16" s="583">
        <f ca="1">IF(OR(C16=0,A16=""),"",SK!D204)</f>
        <v>0</v>
      </c>
      <c r="I16" s="584">
        <f ca="1">IF(OR(A16="",SK!E204="",SK!E204=0),"",H16/SK!E204)</f>
        <v>0</v>
      </c>
      <c r="J16" s="603">
        <f ca="1">IF(OR(A16="",C16=0),"",SK!G204)</f>
        <v>0</v>
      </c>
      <c r="K16" s="604">
        <f ca="1">IF(OR(A16="",C16=0),"",SK!H204)</f>
        <v>0</v>
      </c>
      <c r="L16" s="605">
        <f ca="1">IF(OR(A16="",C16=0),"",SK!J204)</f>
        <v>0</v>
      </c>
      <c r="M16" s="605">
        <f ca="1">IF(OR(A16="",C16=0),"",SK!L204)</f>
        <v>0</v>
      </c>
      <c r="N16" s="606">
        <f t="shared" ca="1" si="0"/>
        <v>0</v>
      </c>
      <c r="O16" s="607">
        <f ca="1">IF(OR(A16="",C16=0),"",SK!I204)</f>
        <v>0</v>
      </c>
      <c r="P16" s="608" t="str">
        <f t="shared" ca="1" si="1"/>
        <v/>
      </c>
      <c r="Q16" s="609">
        <f ca="1">IF(OR(A16="",F16=0),"",SUM(LU!Q65,LU!Q164))</f>
        <v>153</v>
      </c>
      <c r="R16" s="610">
        <f ca="1">IF(OR(A16="",F16=0),"",SUM(LU!Q88,LU!Q187))</f>
        <v>22</v>
      </c>
      <c r="S16" s="583">
        <f ca="1">IF(OR(A16="",F16=0),"",SUM(LU!Q42,LU!Q141))</f>
        <v>131</v>
      </c>
      <c r="T16" s="610">
        <f ca="1">IF(OR(A16="",C16=0),"",SUM(LU!O42,LU!O141))</f>
        <v>-4</v>
      </c>
      <c r="U16" s="611">
        <f t="shared" ca="1" si="2"/>
        <v>-4</v>
      </c>
      <c r="V16" s="612" t="str">
        <f>IF(OR(A16="",D16=0),"",SUM(LU!D42,LU!D141))</f>
        <v/>
      </c>
      <c r="W16" s="611" t="str">
        <f t="shared" si="3"/>
        <v/>
      </c>
      <c r="X16" s="612">
        <f ca="1">IF(OR(A16="",E16=0),"",SUM(LU!J42,LU!J141))</f>
        <v>135</v>
      </c>
      <c r="Y16" s="611">
        <f t="shared" ca="1" si="4"/>
        <v>8.4375</v>
      </c>
      <c r="Z16" s="608">
        <f t="shared" ca="1" si="9"/>
        <v>7.7058823529411766</v>
      </c>
      <c r="AA16" s="613">
        <f ca="1">IF(OR(A16="",F16=0,Q$26="-",LU!$D$5=0),"",Q16-Q$26)</f>
        <v>59.071428571428569</v>
      </c>
      <c r="AB16" s="614">
        <f ca="1">IF(OR(A16="",F16=0,R$26="-",LU!$D$5=0),"",R16-R$26)</f>
        <v>3.7857142857142847</v>
      </c>
      <c r="AC16" s="615">
        <f t="shared" ca="1" si="5"/>
        <v>55.285714285714285</v>
      </c>
      <c r="AD16" s="616">
        <f t="shared" ca="1" si="6"/>
        <v>-10.128607503607505</v>
      </c>
      <c r="AE16" s="616" t="str">
        <f t="shared" si="7"/>
        <v/>
      </c>
      <c r="AF16" s="617">
        <f t="shared" ca="1" si="8"/>
        <v>2.7467427248677252</v>
      </c>
      <c r="AG16" s="618">
        <f ca="1">IF(OR($A16="",Z16="",Z$26="-",LU!$D$5=0),"",Z16-Z$26)</f>
        <v>2.1324774367482249</v>
      </c>
      <c r="AH16" s="1013">
        <f>IF(OR(A16="",F16=0),"",SUM(PT!U23,PT!U24))</f>
        <v>3</v>
      </c>
      <c r="AI16" s="1014"/>
    </row>
    <row r="17" spans="1:35" s="79" customFormat="1" ht="19.5" customHeight="1" x14ac:dyDescent="0.3">
      <c r="A17" s="175" t="str">
        <f>IF(ISBLANK(IGRF!$B25),"",IGRF!$B25)</f>
        <v>64</v>
      </c>
      <c r="B17" s="122" t="str">
        <f>IF(ISBLANK(IGRF!$C25),"",IGRF!$C25)</f>
        <v>Cannonball Doll</v>
      </c>
      <c r="C17" s="123">
        <f>IF(A17="","",SUM(LU!O20,LU!O119))</f>
        <v>0</v>
      </c>
      <c r="D17" s="123">
        <f>IF(A17="","",SUM(LU!D20,LU!D119))</f>
        <v>0</v>
      </c>
      <c r="E17" s="124">
        <f>IF(A17="","",SUM(LU!J20,LU!J119))</f>
        <v>21</v>
      </c>
      <c r="F17" s="581">
        <f>IF(A17="","",(SUM(C17:E17)-(SUMPRODUCT(--(Lineups!C$4:C$41=A17),--(Lineups!A$4:A$41="SP"))+SUMPRODUCT(--(Lineups!G$4:G$41=A17),--(Lineups!A$4:A$41="SP"))+SUMPRODUCT(--(Lineups!C$46:C$83=A17),--(Lineups!A$46:A$83="SP"))+SUMPRODUCT(--(Lineups!G$46:G$83=A17),--(Lineups!A$46:A$83="SP")))))</f>
        <v>21</v>
      </c>
      <c r="G17" s="582">
        <f>IF(OR(A17="",F17=0,LU!D$3+LU!D$102=0),"",F17/(LU!D$3+LU!D$102))</f>
        <v>0.56756756756756754</v>
      </c>
      <c r="H17" s="583" t="str">
        <f>IF(OR(C17=0,A17=""),"",SK!D207)</f>
        <v/>
      </c>
      <c r="I17" s="584" t="str">
        <f ca="1">IF(OR(A17="",SK!E207="",SK!E207=0),"",H17/SK!E207)</f>
        <v/>
      </c>
      <c r="J17" s="603" t="str">
        <f>IF(OR(A17="",C17=0),"",SK!G207)</f>
        <v/>
      </c>
      <c r="K17" s="604" t="str">
        <f>IF(OR(A17="",C17=0),"",SK!H207)</f>
        <v/>
      </c>
      <c r="L17" s="605" t="str">
        <f>IF(OR(A17="",C17=0),"",SK!J207)</f>
        <v/>
      </c>
      <c r="M17" s="605" t="str">
        <f>IF(OR(A17="",C17=0),"",SK!L207)</f>
        <v/>
      </c>
      <c r="N17" s="606" t="str">
        <f t="shared" si="0"/>
        <v/>
      </c>
      <c r="O17" s="607" t="str">
        <f>IF(OR(A17="",C17=0),"",SK!I207)</f>
        <v/>
      </c>
      <c r="P17" s="608" t="str">
        <f t="shared" si="1"/>
        <v/>
      </c>
      <c r="Q17" s="609">
        <f ca="1">IF(OR(A17="",F17=0),"",SUM(LU!Q66,LU!Q165))</f>
        <v>114</v>
      </c>
      <c r="R17" s="610">
        <f ca="1">IF(OR(A17="",F17=0),"",SUM(LU!Q89,LU!Q188))</f>
        <v>33</v>
      </c>
      <c r="S17" s="583">
        <f ca="1">IF(OR(A17="",F17=0),"",SUM(LU!Q43,LU!Q142))</f>
        <v>81</v>
      </c>
      <c r="T17" s="610" t="str">
        <f>IF(OR(A17="",C17=0),"",SUM(LU!O43,LU!O142))</f>
        <v/>
      </c>
      <c r="U17" s="611" t="str">
        <f t="shared" si="2"/>
        <v/>
      </c>
      <c r="V17" s="612" t="str">
        <f>IF(OR(A17="",D17=0),"",SUM(LU!D43,LU!D142))</f>
        <v/>
      </c>
      <c r="W17" s="611" t="str">
        <f t="shared" si="3"/>
        <v/>
      </c>
      <c r="X17" s="612">
        <f ca="1">IF(OR(A17="",E17=0),"",SUM(LU!J43,LU!J142))</f>
        <v>81</v>
      </c>
      <c r="Y17" s="611">
        <f t="shared" ca="1" si="4"/>
        <v>3.8571428571428572</v>
      </c>
      <c r="Z17" s="608">
        <f t="shared" ca="1" si="9"/>
        <v>3.8571428571428572</v>
      </c>
      <c r="AA17" s="613">
        <f ca="1">IF(OR(A17="",F17=0,Q$26="-",LU!$D$5=0),"",Q17-Q$26)</f>
        <v>20.071428571428569</v>
      </c>
      <c r="AB17" s="614">
        <f ca="1">IF(OR(A17="",F17=0,R$26="-",LU!$D$5=0),"",R17-R$26)</f>
        <v>14.785714285714285</v>
      </c>
      <c r="AC17" s="615">
        <f t="shared" ca="1" si="5"/>
        <v>5.2857142857142847</v>
      </c>
      <c r="AD17" s="616" t="str">
        <f t="shared" si="6"/>
        <v/>
      </c>
      <c r="AE17" s="616" t="str">
        <f t="shared" si="7"/>
        <v/>
      </c>
      <c r="AF17" s="617">
        <f t="shared" ca="1" si="8"/>
        <v>-1.8336144179894176</v>
      </c>
      <c r="AG17" s="618">
        <f ca="1">IF(OR($A17="",Z17="",Z$26="-",LU!$D$5=0),"",Z17-Z$26)</f>
        <v>-1.7162620590500945</v>
      </c>
      <c r="AH17" s="1013">
        <f>IF(OR(A17="",F17=0),"",SUM(PT!U25,PT!U26))</f>
        <v>5</v>
      </c>
      <c r="AI17" s="1014"/>
    </row>
    <row r="18" spans="1:35" s="79" customFormat="1" ht="20.100000000000001" customHeight="1" x14ac:dyDescent="0.3">
      <c r="A18" s="175" t="str">
        <f>IF(ISBLANK(IGRF!$B26),"",IGRF!$B26)</f>
        <v>84</v>
      </c>
      <c r="B18" s="122" t="str">
        <f>IF(ISBLANK(IGRF!$C26),"",IGRF!$C26)</f>
        <v>MEGAnTRON</v>
      </c>
      <c r="C18" s="123">
        <f>IF(A18="","",SUM(LU!O21,LU!O120))</f>
        <v>8</v>
      </c>
      <c r="D18" s="123">
        <f>IF(A18="","",SUM(LU!D21,LU!D120))</f>
        <v>1</v>
      </c>
      <c r="E18" s="124">
        <f>IF(A18="","",SUM(LU!J21,LU!J120))</f>
        <v>0</v>
      </c>
      <c r="F18" s="581">
        <f>IF(A18="","",(SUM(C18:E18)-(SUMPRODUCT(--(Lineups!C$4:C$41=A18),--(Lineups!A$4:A$41="SP"))+SUMPRODUCT(--(Lineups!G$4:G$41=A18),--(Lineups!A$4:A$41="SP"))+SUMPRODUCT(--(Lineups!C$46:C$83=A18),--(Lineups!A$46:A$83="SP"))+SUMPRODUCT(--(Lineups!G$46:G$83=A18),--(Lineups!A$46:A$83="SP")))))</f>
        <v>9</v>
      </c>
      <c r="G18" s="582">
        <f>IF(OR(A18="",F18=0,LU!D$3+LU!D$102=0),"",F18/(LU!D$3+LU!D$102))</f>
        <v>0.24324324324324326</v>
      </c>
      <c r="H18" s="583">
        <f ca="1">IF(OR(C18=0,A18=""),"",SK!D210)</f>
        <v>40</v>
      </c>
      <c r="I18" s="584">
        <f ca="1">IF(OR(A18="",SK!E210="",SK!E210=0),"",H18/SK!E210)</f>
        <v>5</v>
      </c>
      <c r="J18" s="603">
        <f ca="1">IF(OR(A18="",C18=0),"",SK!G210)</f>
        <v>2</v>
      </c>
      <c r="K18" s="604">
        <f ca="1">IF(OR(A18="",C18=0),"",SK!H210)</f>
        <v>5</v>
      </c>
      <c r="L18" s="605">
        <f ca="1">IF(OR(A18="",C18=0),"",SK!J210)</f>
        <v>2</v>
      </c>
      <c r="M18" s="605">
        <f ca="1">IF(OR(A18="",C18=0),"",SK!L210)</f>
        <v>0</v>
      </c>
      <c r="N18" s="606">
        <f t="shared" ca="1" si="0"/>
        <v>0.625</v>
      </c>
      <c r="O18" s="607">
        <f ca="1">IF(OR(A18="",C18=0),"",SK!I210)</f>
        <v>25</v>
      </c>
      <c r="P18" s="608">
        <f t="shared" ca="1" si="1"/>
        <v>5</v>
      </c>
      <c r="Q18" s="609">
        <f ca="1">IF(OR(A18="",F18=0),"",SUM(LU!Q67,LU!Q166))</f>
        <v>40</v>
      </c>
      <c r="R18" s="610">
        <f ca="1">IF(OR(A18="",F18=0),"",SUM(LU!Q90,LU!Q189))</f>
        <v>33</v>
      </c>
      <c r="S18" s="583">
        <f ca="1">IF(OR(A18="",F18=0),"",SUM(LU!Q44,LU!Q143))</f>
        <v>7</v>
      </c>
      <c r="T18" s="610">
        <f ca="1">IF(OR(A18="",C18=0),"",SUM(LU!O44,LU!O143))</f>
        <v>7</v>
      </c>
      <c r="U18" s="611">
        <f t="shared" ca="1" si="2"/>
        <v>0.875</v>
      </c>
      <c r="V18" s="612">
        <f ca="1">IF(OR(A18="",D18=0),"",SUM(LU!D44,LU!D143))</f>
        <v>0</v>
      </c>
      <c r="W18" s="611">
        <f t="shared" ca="1" si="3"/>
        <v>0</v>
      </c>
      <c r="X18" s="612" t="str">
        <f>IF(OR(A18="",E18=0),"",SUM(LU!J44,LU!J143))</f>
        <v/>
      </c>
      <c r="Y18" s="611" t="str">
        <f t="shared" si="4"/>
        <v/>
      </c>
      <c r="Z18" s="608">
        <f t="shared" ca="1" si="9"/>
        <v>0.77777777777777779</v>
      </c>
      <c r="AA18" s="613">
        <f ca="1">IF(OR(A18="",F18=0,Q$26="-",LU!$D$5=0),"",Q18-Q$26)</f>
        <v>-53.928571428571431</v>
      </c>
      <c r="AB18" s="614">
        <f ca="1">IF(OR(A18="",F18=0,R$26="-",LU!$D$5=0),"",R18-R$26)</f>
        <v>14.785714285714285</v>
      </c>
      <c r="AC18" s="615">
        <f t="shared" ca="1" si="5"/>
        <v>-68.714285714285722</v>
      </c>
      <c r="AD18" s="616">
        <f t="shared" ca="1" si="6"/>
        <v>-5.2536075036075038</v>
      </c>
      <c r="AE18" s="616">
        <f t="shared" ca="1" si="7"/>
        <v>-3.9855521155830753</v>
      </c>
      <c r="AF18" s="617" t="str">
        <f t="shared" si="8"/>
        <v/>
      </c>
      <c r="AG18" s="618">
        <f ca="1">IF(OR($A18="",Z18="",Z$26="-",LU!$D$5=0),"",Z18-Z$26)</f>
        <v>-4.7956271384151741</v>
      </c>
      <c r="AH18" s="1013">
        <f>IF(OR(A18="",F18=0),"",SUM(PT!U27,PT!U28))</f>
        <v>2</v>
      </c>
      <c r="AI18" s="1014"/>
    </row>
    <row r="19" spans="1:35" s="79" customFormat="1" ht="20.100000000000001" customHeight="1" x14ac:dyDescent="0.3">
      <c r="A19" s="175" t="str">
        <f>IF(ISBLANK(IGRF!$B27),"",IGRF!$B27)</f>
        <v>N01</v>
      </c>
      <c r="B19" s="122" t="str">
        <f>IF(ISBLANK(IGRF!$C27),"",IGRF!$C27)</f>
        <v>Commander Will Wrecker</v>
      </c>
      <c r="C19" s="123">
        <f>IF(A19="","",SUM(LU!O22,LU!O121))</f>
        <v>0</v>
      </c>
      <c r="D19" s="123">
        <f>IF(A19="","",SUM(LU!D22,LU!D121))</f>
        <v>17</v>
      </c>
      <c r="E19" s="124">
        <f>IF(A19="","",SUM(LU!J22,LU!J121))</f>
        <v>2</v>
      </c>
      <c r="F19" s="581">
        <f>IF(A19="","",(SUM(C19:E19)-(SUMPRODUCT(--(Lineups!C$4:C$41=A19),--(Lineups!A$4:A$41="SP"))+SUMPRODUCT(--(Lineups!G$4:G$41=A19),--(Lineups!A$4:A$41="SP"))+SUMPRODUCT(--(Lineups!C$46:C$83=A19),--(Lineups!A$46:A$83="SP"))+SUMPRODUCT(--(Lineups!G$46:G$83=A19),--(Lineups!A$46:A$83="SP")))))</f>
        <v>19</v>
      </c>
      <c r="G19" s="582">
        <f>IF(OR(A19="",F19=0,LU!D$3+LU!D$102=0),"",F19/(LU!D$3+LU!D$102))</f>
        <v>0.51351351351351349</v>
      </c>
      <c r="H19" s="583" t="str">
        <f>IF(OR(C19=0,A19=""),"",SK!D213)</f>
        <v/>
      </c>
      <c r="I19" s="584" t="str">
        <f ca="1">IF(OR(A19="",SK!E213="",SK!E213=0),"",H19/SK!E213)</f>
        <v/>
      </c>
      <c r="J19" s="603" t="str">
        <f>IF(OR(A19="",C19=0),"",SK!G213)</f>
        <v/>
      </c>
      <c r="K19" s="604" t="str">
        <f>IF(OR(A19="",C19=0),"",SK!H213)</f>
        <v/>
      </c>
      <c r="L19" s="605" t="str">
        <f>IF(OR(A19="",C19=0),"",SK!J213)</f>
        <v/>
      </c>
      <c r="M19" s="605" t="str">
        <f>IF(OR(A19="",C19=0),"",SK!L213)</f>
        <v/>
      </c>
      <c r="N19" s="606" t="str">
        <f t="shared" si="0"/>
        <v/>
      </c>
      <c r="O19" s="607" t="str">
        <f>IF(OR(A19="",C19=0),"",SK!I213)</f>
        <v/>
      </c>
      <c r="P19" s="608" t="str">
        <f t="shared" si="1"/>
        <v/>
      </c>
      <c r="Q19" s="609">
        <f ca="1">IF(OR(A19="",F19=0),"",SUM(LU!Q68,LU!Q167))</f>
        <v>153</v>
      </c>
      <c r="R19" s="610">
        <f ca="1">IF(OR(A19="",F19=0),"",SUM(LU!Q91,LU!Q190))</f>
        <v>28</v>
      </c>
      <c r="S19" s="583">
        <f ca="1">IF(OR(A19="",F19=0),"",SUM(LU!Q45,LU!Q144))</f>
        <v>125</v>
      </c>
      <c r="T19" s="610" t="str">
        <f>IF(OR(A19="",C19=0),"",SUM(LU!O45,LU!O144))</f>
        <v/>
      </c>
      <c r="U19" s="611" t="str">
        <f t="shared" si="2"/>
        <v/>
      </c>
      <c r="V19" s="612">
        <f ca="1">IF(OR(A19="",D19=0),"",SUM(LU!D45,LU!D144))</f>
        <v>129</v>
      </c>
      <c r="W19" s="611">
        <f t="shared" ca="1" si="3"/>
        <v>7.5882352941176467</v>
      </c>
      <c r="X19" s="612">
        <f ca="1">IF(OR(A19="",E19=0),"",SUM(LU!J45,LU!J144))</f>
        <v>-4</v>
      </c>
      <c r="Y19" s="611">
        <f t="shared" ca="1" si="4"/>
        <v>-2</v>
      </c>
      <c r="Z19" s="608">
        <f t="shared" ca="1" si="9"/>
        <v>6.5789473684210522</v>
      </c>
      <c r="AA19" s="613">
        <f ca="1">IF(OR(A19="",F19=0,Q$26="-",LU!$D$5=0),"",Q19-Q$26)</f>
        <v>59.071428571428569</v>
      </c>
      <c r="AB19" s="614">
        <f ca="1">IF(OR(A19="",F19=0,R$26="-",LU!$D$5=0),"",R19-R$26)</f>
        <v>9.7857142857142847</v>
      </c>
      <c r="AC19" s="615">
        <f t="shared" ca="1" si="5"/>
        <v>49.285714285714285</v>
      </c>
      <c r="AD19" s="616" t="str">
        <f t="shared" si="6"/>
        <v/>
      </c>
      <c r="AE19" s="616">
        <f t="shared" ca="1" si="7"/>
        <v>3.6026831785345714</v>
      </c>
      <c r="AF19" s="617">
        <f t="shared" ca="1" si="8"/>
        <v>-7.6907572751322748</v>
      </c>
      <c r="AG19" s="618">
        <f ca="1">IF(OR($A19="",Z19="",Z$26="-",LU!$D$5=0),"",Z19-Z$26)</f>
        <v>1.0055424522281005</v>
      </c>
      <c r="AH19" s="1013">
        <f>IF(OR(A19="",F19=0),"",SUM(PT!U29,PT!U30))</f>
        <v>4</v>
      </c>
      <c r="AI19" s="1014"/>
    </row>
    <row r="20" spans="1:35" s="79" customFormat="1" ht="20.100000000000001" customHeight="1" x14ac:dyDescent="0.3">
      <c r="A20" s="175" t="str">
        <f>IF(ISBLANK(IGRF!$B28),"",IGRF!$B28)</f>
        <v/>
      </c>
      <c r="B20" s="122" t="str">
        <f>IF(ISBLANK(IGRF!$C28),"",IGRF!$C28)</f>
        <v/>
      </c>
      <c r="C20" s="123" t="str">
        <f>IF(A20="","",SUM(LU!O23,LU!O122))</f>
        <v/>
      </c>
      <c r="D20" s="123" t="str">
        <f>IF(A20="","",SUM(LU!D23,LU!D122))</f>
        <v/>
      </c>
      <c r="E20" s="124" t="str">
        <f>IF(A20="","",SUM(LU!J23,LU!J122))</f>
        <v/>
      </c>
      <c r="F20" s="581" t="str">
        <f>IF(A20="","",(SUM(C20:E20)-(SUMPRODUCT(--(Lineups!C$4:C$41=A20),--(Lineups!A$4:A$41="SP"))+SUMPRODUCT(--(Lineups!G$4:G$41=A20),--(Lineups!A$4:A$41="SP"))+SUMPRODUCT(--(Lineups!C$46:C$83=A20),--(Lineups!A$46:A$83="SP"))+SUMPRODUCT(--(Lineups!G$46:G$83=A20),--(Lineups!A$46:A$83="SP")))))</f>
        <v/>
      </c>
      <c r="G20" s="582" t="str">
        <f>IF(OR(A20="",F20=0,LU!D$3+LU!D$102=0),"",F20/(LU!D$3+LU!D$102))</f>
        <v/>
      </c>
      <c r="H20" s="583" t="str">
        <f>IF(OR(C20=0,A20=""),"",SK!D216)</f>
        <v/>
      </c>
      <c r="I20" s="584" t="str">
        <f>IF(OR(A20="",SK!E216="",SK!E216=0),"",H20/SK!E216)</f>
        <v/>
      </c>
      <c r="J20" s="603" t="str">
        <f>IF(OR(A20="",C20=0),"",SK!G216)</f>
        <v/>
      </c>
      <c r="K20" s="604" t="str">
        <f>IF(OR(A20="",C20=0),"",SK!H216)</f>
        <v/>
      </c>
      <c r="L20" s="605" t="str">
        <f>IF(OR(A20="",C20=0),"",SK!J216)</f>
        <v/>
      </c>
      <c r="M20" s="605" t="str">
        <f>IF(OR(A20="",C20=0),"",SK!L216)</f>
        <v/>
      </c>
      <c r="N20" s="606" t="str">
        <f t="shared" si="0"/>
        <v/>
      </c>
      <c r="O20" s="607" t="str">
        <f>IF(OR(A20="",C20=0),"",SK!I216)</f>
        <v/>
      </c>
      <c r="P20" s="608" t="str">
        <f t="shared" si="1"/>
        <v/>
      </c>
      <c r="Q20" s="609" t="str">
        <f>IF(OR(A20="",F20=0),"",SUM(LU!Q69,LU!Q168))</f>
        <v/>
      </c>
      <c r="R20" s="610" t="str">
        <f>IF(OR(A20="",F20=0),"",SUM(LU!Q92,LU!Q191))</f>
        <v/>
      </c>
      <c r="S20" s="583" t="str">
        <f>IF(OR(A20="",F20=0),"",SUM(LU!Q46,LU!Q145))</f>
        <v/>
      </c>
      <c r="T20" s="610" t="str">
        <f>IF(OR(A20="",C20=0),"",SUM(LU!O46,LU!O145))</f>
        <v/>
      </c>
      <c r="U20" s="611" t="str">
        <f t="shared" si="2"/>
        <v/>
      </c>
      <c r="V20" s="612" t="str">
        <f>IF(OR(A20="",D20=0),"",SUM(LU!D46,LU!D145))</f>
        <v/>
      </c>
      <c r="W20" s="611" t="str">
        <f t="shared" si="3"/>
        <v/>
      </c>
      <c r="X20" s="612" t="str">
        <f>IF(OR(A20="",E20=0),"",SUM(LU!J46,LU!J145))</f>
        <v/>
      </c>
      <c r="Y20" s="611" t="str">
        <f t="shared" si="4"/>
        <v/>
      </c>
      <c r="Z20" s="608" t="str">
        <f t="shared" si="9"/>
        <v/>
      </c>
      <c r="AA20" s="613" t="str">
        <f ca="1">IF(OR(A20="",F20=0,Q$26="-",LU!$D$5=0),"",Q20-Q$26)</f>
        <v/>
      </c>
      <c r="AB20" s="614" t="str">
        <f ca="1">IF(OR(A20="",F20=0,R$26="-",LU!$D$5=0),"",R20-R$26)</f>
        <v/>
      </c>
      <c r="AC20" s="615" t="str">
        <f t="shared" ca="1" si="5"/>
        <v/>
      </c>
      <c r="AD20" s="616" t="str">
        <f t="shared" si="6"/>
        <v/>
      </c>
      <c r="AE20" s="616" t="str">
        <f t="shared" si="7"/>
        <v/>
      </c>
      <c r="AF20" s="617" t="str">
        <f t="shared" si="8"/>
        <v/>
      </c>
      <c r="AG20" s="618" t="str">
        <f ca="1">IF(OR($A20="",Z20="",Z$26="-",LU!$D$5=0),"",Z20-Z$26)</f>
        <v/>
      </c>
      <c r="AH20" s="1013" t="str">
        <f>IF(OR(A20="",F20=0),"",SUM(PT!U31,PT!U32))</f>
        <v/>
      </c>
      <c r="AI20" s="1014"/>
    </row>
    <row r="21" spans="1:35" s="79" customFormat="1" ht="19.5" customHeight="1" x14ac:dyDescent="0.3">
      <c r="A21" s="175" t="str">
        <f>IF(ISBLANK(IGRF!$B29),"",IGRF!$B29)</f>
        <v/>
      </c>
      <c r="B21" s="122" t="str">
        <f>IF(ISBLANK(IGRF!$C29),"",IGRF!$C29)</f>
        <v/>
      </c>
      <c r="C21" s="123" t="str">
        <f>IF(A21="","",SUM(LU!O24,LU!O123))</f>
        <v/>
      </c>
      <c r="D21" s="123" t="str">
        <f>IF(A21="","",SUM(LU!D24,LU!D123))</f>
        <v/>
      </c>
      <c r="E21" s="124" t="str">
        <f>IF(A21="","",SUM(LU!J24,LU!J123))</f>
        <v/>
      </c>
      <c r="F21" s="581" t="str">
        <f>IF(A21="","",(SUM(C21:E21)-(SUMPRODUCT(--(Lineups!C$4:C$41=A21),--(Lineups!A$4:A$41="SP"))+SUMPRODUCT(--(Lineups!G$4:G$41=A21),--(Lineups!A$4:A$41="SP"))+SUMPRODUCT(--(Lineups!C$46:C$83=A21),--(Lineups!A$46:A$83="SP"))+SUMPRODUCT(--(Lineups!G$46:G$83=A21),--(Lineups!A$46:A$83="SP")))))</f>
        <v/>
      </c>
      <c r="G21" s="582" t="str">
        <f>IF(OR(A21="",F21=0,LU!D$3+LU!D$102=0),"",F21/(LU!D$3+LU!D$102))</f>
        <v/>
      </c>
      <c r="H21" s="583" t="str">
        <f>IF(OR(C21=0,A21=""),"",SK!D219)</f>
        <v/>
      </c>
      <c r="I21" s="584" t="str">
        <f>IF(OR(A21="",SK!E219="",SK!E219=0),"",H21/SK!E219)</f>
        <v/>
      </c>
      <c r="J21" s="603" t="str">
        <f>IF(OR(A21="",C21=0),"",SK!G219)</f>
        <v/>
      </c>
      <c r="K21" s="604" t="str">
        <f>IF(OR(A21="",C21=0),"",SK!H219)</f>
        <v/>
      </c>
      <c r="L21" s="605" t="str">
        <f>IF(OR(A21="",C21=0),"",SK!J219)</f>
        <v/>
      </c>
      <c r="M21" s="605" t="str">
        <f>IF(OR(A21="",C21=0),"",SK!L219)</f>
        <v/>
      </c>
      <c r="N21" s="606" t="str">
        <f t="shared" si="0"/>
        <v/>
      </c>
      <c r="O21" s="607" t="str">
        <f>IF(OR(A21="",C21=0),"",SK!I219)</f>
        <v/>
      </c>
      <c r="P21" s="608" t="str">
        <f t="shared" si="1"/>
        <v/>
      </c>
      <c r="Q21" s="609" t="str">
        <f>IF(OR(A21="",F21=0),"",SUM(LU!Q70,LU!Q169))</f>
        <v/>
      </c>
      <c r="R21" s="610" t="str">
        <f>IF(OR(A21="",F21=0),"",SUM(LU!Q93,LU!Q192))</f>
        <v/>
      </c>
      <c r="S21" s="583" t="str">
        <f>IF(OR(A21="",F21=0),"",SUM(LU!Q47,LU!Q146))</f>
        <v/>
      </c>
      <c r="T21" s="610" t="str">
        <f>IF(OR(A21="",C21=0),"",SUM(LU!O47,LU!O146))</f>
        <v/>
      </c>
      <c r="U21" s="611" t="str">
        <f t="shared" si="2"/>
        <v/>
      </c>
      <c r="V21" s="612" t="str">
        <f>IF(OR(A21="",D21=0),"",SUM(LU!D47,LU!D146))</f>
        <v/>
      </c>
      <c r="W21" s="611" t="str">
        <f t="shared" si="3"/>
        <v/>
      </c>
      <c r="X21" s="612" t="str">
        <f>IF(OR(A21="",E21=0),"",SUM(LU!J47,LU!J146))</f>
        <v/>
      </c>
      <c r="Y21" s="611" t="str">
        <f t="shared" si="4"/>
        <v/>
      </c>
      <c r="Z21" s="608" t="str">
        <f t="shared" si="9"/>
        <v/>
      </c>
      <c r="AA21" s="613" t="str">
        <f ca="1">IF(OR(A21="",F21=0,Q$26="-",LU!$D$5=0),"",Q21-Q$26)</f>
        <v/>
      </c>
      <c r="AB21" s="614" t="str">
        <f ca="1">IF(OR(A21="",F21=0,R$26="-",LU!$D$5=0),"",R21-R$26)</f>
        <v/>
      </c>
      <c r="AC21" s="615" t="str">
        <f t="shared" ca="1" si="5"/>
        <v/>
      </c>
      <c r="AD21" s="616" t="str">
        <f t="shared" si="6"/>
        <v/>
      </c>
      <c r="AE21" s="616" t="str">
        <f t="shared" si="7"/>
        <v/>
      </c>
      <c r="AF21" s="617" t="str">
        <f t="shared" si="8"/>
        <v/>
      </c>
      <c r="AG21" s="618" t="str">
        <f ca="1">IF(OR($A21="",Z21="",Z$26="-",LU!$D$5=0),"",Z21-Z$26)</f>
        <v/>
      </c>
      <c r="AH21" s="1013" t="str">
        <f>IF(OR(A21="",F21=0),"",SUM(PT!U33,PT!U34))</f>
        <v/>
      </c>
      <c r="AI21" s="1014"/>
    </row>
    <row r="22" spans="1:35" s="79" customFormat="1" ht="19.5" customHeight="1" x14ac:dyDescent="0.3">
      <c r="A22" s="175" t="str">
        <f>IF(ISBLANK(IGRF!$B30),"",IGRF!$B30)</f>
        <v/>
      </c>
      <c r="B22" s="122" t="str">
        <f>IF(ISBLANK(IGRF!$C30),"",IGRF!$C30)</f>
        <v/>
      </c>
      <c r="C22" s="123" t="str">
        <f>IF(A22="","",SUM(LU!O25,LU!O124))</f>
        <v/>
      </c>
      <c r="D22" s="123" t="str">
        <f>IF(A22="","",SUM(LU!D25,LU!D124))</f>
        <v/>
      </c>
      <c r="E22" s="124" t="str">
        <f>IF(A22="","",SUM(LU!J25,LU!J124))</f>
        <v/>
      </c>
      <c r="F22" s="581" t="str">
        <f>IF(A22="","",(SUM(C22:E22)-(SUMPRODUCT(--(Lineups!C$4:C$41=A22),--(Lineups!A$4:A$41="SP"))+SUMPRODUCT(--(Lineups!G$4:G$41=A22),--(Lineups!A$4:A$41="SP"))+SUMPRODUCT(--(Lineups!C$46:C$83=A22),--(Lineups!A$46:A$83="SP"))+SUMPRODUCT(--(Lineups!G$46:G$83=A22),--(Lineups!A$46:A$83="SP")))))</f>
        <v/>
      </c>
      <c r="G22" s="582" t="str">
        <f>IF(OR(A22="",F22=0,LU!D$3+LU!D$102=0),"",F22/(LU!D$3+LU!D$102))</f>
        <v/>
      </c>
      <c r="H22" s="583" t="str">
        <f>IF(OR(C22=0,A22=""),"",SK!D222)</f>
        <v/>
      </c>
      <c r="I22" s="584" t="str">
        <f>IF(OR(A22="",SK!E222="",SK!E222=0),"",H22/SK!E222)</f>
        <v/>
      </c>
      <c r="J22" s="603" t="str">
        <f>IF(OR(A22="",C22=0),"",SK!G222)</f>
        <v/>
      </c>
      <c r="K22" s="604" t="str">
        <f>IF(OR(A22="",C22=0),"",SK!H222)</f>
        <v/>
      </c>
      <c r="L22" s="605" t="str">
        <f>IF(OR(A22="",C22=0),"",SK!J222)</f>
        <v/>
      </c>
      <c r="M22" s="605" t="str">
        <f>IF(OR(A22="",C22=0),"",SK!L222)</f>
        <v/>
      </c>
      <c r="N22" s="606" t="str">
        <f t="shared" si="0"/>
        <v/>
      </c>
      <c r="O22" s="607" t="str">
        <f>IF(OR(A22="",C22=0),"",SK!I222)</f>
        <v/>
      </c>
      <c r="P22" s="608" t="str">
        <f t="shared" si="1"/>
        <v/>
      </c>
      <c r="Q22" s="609" t="str">
        <f>IF(OR(A22="",F22=0),"",SUM(LU!Q71,LU!Q170))</f>
        <v/>
      </c>
      <c r="R22" s="610" t="str">
        <f>IF(OR(A22="",F22=0),"",SUM(LU!Q94,LU!Q193))</f>
        <v/>
      </c>
      <c r="S22" s="583" t="str">
        <f>IF(OR(A22="",F22=0),"",SUM(LU!Q48,LU!Q147))</f>
        <v/>
      </c>
      <c r="T22" s="610" t="str">
        <f>IF(OR(A22="",C22=0),"",SUM(LU!O48,LU!O147))</f>
        <v/>
      </c>
      <c r="U22" s="611" t="str">
        <f t="shared" si="2"/>
        <v/>
      </c>
      <c r="V22" s="612" t="str">
        <f>IF(OR(A22="",D22=0),"",SUM(LU!D48,LU!D147))</f>
        <v/>
      </c>
      <c r="W22" s="611" t="str">
        <f t="shared" si="3"/>
        <v/>
      </c>
      <c r="X22" s="612" t="str">
        <f>IF(OR(A22="",E22=0),"",SUM(LU!J48,LU!J147))</f>
        <v/>
      </c>
      <c r="Y22" s="611" t="str">
        <f t="shared" si="4"/>
        <v/>
      </c>
      <c r="Z22" s="608" t="str">
        <f t="shared" si="9"/>
        <v/>
      </c>
      <c r="AA22" s="613" t="str">
        <f ca="1">IF(OR(A22="",F22=0,Q$26="-",LU!$D$5=0),"",Q22-Q$26)</f>
        <v/>
      </c>
      <c r="AB22" s="614" t="str">
        <f ca="1">IF(OR(A22="",F22=0,R$26="-",LU!$D$5=0),"",R22-R$26)</f>
        <v/>
      </c>
      <c r="AC22" s="615" t="str">
        <f t="shared" ca="1" si="5"/>
        <v/>
      </c>
      <c r="AD22" s="616" t="str">
        <f t="shared" si="6"/>
        <v/>
      </c>
      <c r="AE22" s="616" t="str">
        <f t="shared" si="7"/>
        <v/>
      </c>
      <c r="AF22" s="617" t="str">
        <f t="shared" si="8"/>
        <v/>
      </c>
      <c r="AG22" s="618" t="str">
        <f ca="1">IF(OR($A22="",Z22="",Z$26="-",LU!$D$5=0),"",Z22-Z$26)</f>
        <v/>
      </c>
      <c r="AH22" s="1013" t="str">
        <f>IF(OR(A22="",F22=0),"",SUM(PT!U35,PT!U36))</f>
        <v/>
      </c>
      <c r="AI22" s="1014"/>
    </row>
    <row r="23" spans="1:35" s="79" customFormat="1" ht="19.5" customHeight="1" x14ac:dyDescent="0.3">
      <c r="A23" s="175" t="str">
        <f>IF(ISBLANK(IGRF!$B31),"",IGRF!$B31)</f>
        <v/>
      </c>
      <c r="B23" s="122" t="str">
        <f>IF(ISBLANK(IGRF!$C31),"",IGRF!$C31)</f>
        <v/>
      </c>
      <c r="C23" s="123" t="str">
        <f>IF(A23="","",SUM(LU!O26,LU!O125))</f>
        <v/>
      </c>
      <c r="D23" s="123" t="str">
        <f>IF(A23="","",SUM(LU!D26,LU!D125))</f>
        <v/>
      </c>
      <c r="E23" s="124" t="str">
        <f>IF(A23="","",SUM(LU!J26,LU!J125))</f>
        <v/>
      </c>
      <c r="F23" s="581" t="str">
        <f>IF(A23="","",(SUM(C23:E23)-(SUMPRODUCT(--(Lineups!C$4:C$41=A23),--(Lineups!A$4:A$41="SP"))+SUMPRODUCT(--(Lineups!G$4:G$41=A23),--(Lineups!A$4:A$41="SP"))+SUMPRODUCT(--(Lineups!C$46:C$83=A23),--(Lineups!A$46:A$83="SP"))+SUMPRODUCT(--(Lineups!G$46:G$83=A23),--(Lineups!A$46:A$83="SP")))))</f>
        <v/>
      </c>
      <c r="G23" s="582" t="str">
        <f>IF(OR(A23="",F23=0,LU!D$3+LU!D$102=0),"",F23/(LU!D$3+LU!D$102))</f>
        <v/>
      </c>
      <c r="H23" s="583" t="str">
        <f>IF(OR(C23=0,A23=""),"",SK!D225)</f>
        <v/>
      </c>
      <c r="I23" s="584" t="str">
        <f>IF(OR(A23="",SK!E225="",SK!E225=0),"",H23/SK!E225)</f>
        <v/>
      </c>
      <c r="J23" s="603" t="str">
        <f>IF(OR(A23="",C23=0),"",SK!G225)</f>
        <v/>
      </c>
      <c r="K23" s="604" t="str">
        <f>IF(OR(A23="",C23=0),"",SK!H225)</f>
        <v/>
      </c>
      <c r="L23" s="605" t="str">
        <f>IF(OR(A23="",C23=0),"",SK!J225)</f>
        <v/>
      </c>
      <c r="M23" s="605" t="str">
        <f>IF(OR(A23="",C23=0),"",SK!L225)</f>
        <v/>
      </c>
      <c r="N23" s="606" t="str">
        <f t="shared" si="0"/>
        <v/>
      </c>
      <c r="O23" s="607" t="str">
        <f>IF(OR(A23="",C23=0),"",SK!I225)</f>
        <v/>
      </c>
      <c r="P23" s="608" t="str">
        <f t="shared" si="1"/>
        <v/>
      </c>
      <c r="Q23" s="609" t="str">
        <f>IF(OR(A23="",F23=0),"",SUM(LU!Q72,LU!Q171))</f>
        <v/>
      </c>
      <c r="R23" s="610" t="str">
        <f>IF(OR(A23="",F23=0),"",SUM(LU!Q95,LU!Q194))</f>
        <v/>
      </c>
      <c r="S23" s="583" t="str">
        <f>IF(OR(A23="",F23=0),"",SUM(LU!Q49,LU!Q148))</f>
        <v/>
      </c>
      <c r="T23" s="610" t="str">
        <f>IF(OR(A23="",C23=0),"",SUM(LU!O49,LU!O148))</f>
        <v/>
      </c>
      <c r="U23" s="611" t="str">
        <f t="shared" si="2"/>
        <v/>
      </c>
      <c r="V23" s="612" t="str">
        <f>IF(OR(A23="",D23=0),"",SUM(LU!D49,LU!D148))</f>
        <v/>
      </c>
      <c r="W23" s="611" t="str">
        <f t="shared" si="3"/>
        <v/>
      </c>
      <c r="X23" s="612" t="str">
        <f>IF(OR(A23="",E23=0),"",SUM(LU!J49,LU!J148))</f>
        <v/>
      </c>
      <c r="Y23" s="611" t="str">
        <f t="shared" si="4"/>
        <v/>
      </c>
      <c r="Z23" s="608" t="str">
        <f t="shared" si="9"/>
        <v/>
      </c>
      <c r="AA23" s="613" t="str">
        <f ca="1">IF(OR(A23="",F23=0,Q$26="-",LU!$D$5=0),"",Q23-Q$26)</f>
        <v/>
      </c>
      <c r="AB23" s="614" t="str">
        <f ca="1">IF(OR(A23="",F23=0,R$26="-",LU!$D$5=0),"",R23-R$26)</f>
        <v/>
      </c>
      <c r="AC23" s="615" t="str">
        <f t="shared" ca="1" si="5"/>
        <v/>
      </c>
      <c r="AD23" s="616" t="str">
        <f t="shared" si="6"/>
        <v/>
      </c>
      <c r="AE23" s="616" t="str">
        <f t="shared" si="7"/>
        <v/>
      </c>
      <c r="AF23" s="617" t="str">
        <f t="shared" si="8"/>
        <v/>
      </c>
      <c r="AG23" s="618" t="str">
        <f ca="1">IF(OR($A23="",Z23="",Z$26="-",LU!$D$5=0),"",Z23-Z$26)</f>
        <v/>
      </c>
      <c r="AH23" s="1013" t="str">
        <f>IF(OR(A23="",F23=0),"",SUM(PT!U37,PT!U38))</f>
        <v/>
      </c>
      <c r="AI23" s="1014"/>
    </row>
    <row r="24" spans="1:35" s="79" customFormat="1" ht="20.100000000000001" customHeight="1" x14ac:dyDescent="0.3">
      <c r="A24" s="175" t="str">
        <f>IF(ISBLANK(IGRF!$B32),"",IGRF!$B32)</f>
        <v/>
      </c>
      <c r="B24" s="122" t="str">
        <f>IF(ISBLANK(IGRF!$C32),"",IGRF!$C32)</f>
        <v/>
      </c>
      <c r="C24" s="123" t="str">
        <f>IF(A24="","",SUM(LU!O27,LU!O126))</f>
        <v/>
      </c>
      <c r="D24" s="123" t="str">
        <f>IF(A24="","",SUM(LU!D27,LU!D126))</f>
        <v/>
      </c>
      <c r="E24" s="124" t="str">
        <f>IF(A24="","",SUM(LU!J27,LU!J126))</f>
        <v/>
      </c>
      <c r="F24" s="581" t="str">
        <f>IF(A24="","",(SUM(C24:E24)-(SUMPRODUCT(--(Lineups!C$4:C$41=A24),--(Lineups!A$4:A$41="SP"))+SUMPRODUCT(--(Lineups!G$4:G$41=A24),--(Lineups!A$4:A$41="SP"))+SUMPRODUCT(--(Lineups!C$46:C$83=A24),--(Lineups!A$46:A$83="SP"))+SUMPRODUCT(--(Lineups!G$46:G$83=A24),--(Lineups!A$46:A$83="SP")))))</f>
        <v/>
      </c>
      <c r="G24" s="582" t="str">
        <f>IF(OR(A24="",F24=0,LU!D$3+LU!D$102=0),"",F24/(LU!D$3+LU!D$102))</f>
        <v/>
      </c>
      <c r="H24" s="583" t="str">
        <f>IF(OR(C24=0,A24=""),"",SK!D228)</f>
        <v/>
      </c>
      <c r="I24" s="584" t="str">
        <f>IF(OR(A24="",SK!E228="",SK!E228=0),"",H24/SK!E228)</f>
        <v/>
      </c>
      <c r="J24" s="603" t="str">
        <f>IF(OR(A24="",C24=0),"",SK!G228)</f>
        <v/>
      </c>
      <c r="K24" s="604" t="str">
        <f>IF(OR(A24="",C24=0),"",SK!H228)</f>
        <v/>
      </c>
      <c r="L24" s="605" t="str">
        <f>IF(OR(A24="",C24=0),"",SK!J228)</f>
        <v/>
      </c>
      <c r="M24" s="605" t="str">
        <f>IF(OR(A24="",C24=0),"",SK!L228)</f>
        <v/>
      </c>
      <c r="N24" s="606" t="str">
        <f t="shared" si="0"/>
        <v/>
      </c>
      <c r="O24" s="607" t="str">
        <f>IF(OR(A24="",C24=0),"",SK!I228)</f>
        <v/>
      </c>
      <c r="P24" s="608" t="str">
        <f t="shared" si="1"/>
        <v/>
      </c>
      <c r="Q24" s="609" t="str">
        <f>IF(OR(A24="",F24=0),"",SUM(LU!Q73,LU!Q172))</f>
        <v/>
      </c>
      <c r="R24" s="610" t="str">
        <f>IF(OR(A24="",F24=0),"",SUM(LU!Q96,LU!Q195))</f>
        <v/>
      </c>
      <c r="S24" s="583" t="str">
        <f>IF(OR(A24="",F24=0),"",SUM(LU!Q50,LU!Q149))</f>
        <v/>
      </c>
      <c r="T24" s="610" t="str">
        <f>IF(OR(A24="",C24=0),"",SUM(LU!O50,LU!O149))</f>
        <v/>
      </c>
      <c r="U24" s="611" t="str">
        <f t="shared" si="2"/>
        <v/>
      </c>
      <c r="V24" s="612" t="str">
        <f>IF(OR(A24="",D24=0),"",SUM(LU!D50,LU!D149))</f>
        <v/>
      </c>
      <c r="W24" s="611" t="str">
        <f t="shared" si="3"/>
        <v/>
      </c>
      <c r="X24" s="612" t="str">
        <f>IF(OR(A24="",E24=0),"",SUM(LU!J50,LU!J149))</f>
        <v/>
      </c>
      <c r="Y24" s="611" t="str">
        <f t="shared" si="4"/>
        <v/>
      </c>
      <c r="Z24" s="608" t="str">
        <f t="shared" si="9"/>
        <v/>
      </c>
      <c r="AA24" s="613" t="str">
        <f ca="1">IF(OR(A24="",F24=0,Q$26="-",LU!$D$5=0),"",Q24-Q$26)</f>
        <v/>
      </c>
      <c r="AB24" s="614" t="str">
        <f ca="1">IF(OR(A24="",F24=0,R$26="-",LU!$D$5=0),"",R24-R$26)</f>
        <v/>
      </c>
      <c r="AC24" s="615" t="str">
        <f t="shared" ca="1" si="5"/>
        <v/>
      </c>
      <c r="AD24" s="616" t="str">
        <f t="shared" si="6"/>
        <v/>
      </c>
      <c r="AE24" s="616" t="str">
        <f t="shared" si="7"/>
        <v/>
      </c>
      <c r="AF24" s="617" t="str">
        <f t="shared" si="8"/>
        <v/>
      </c>
      <c r="AG24" s="618" t="str">
        <f ca="1">IF(OR($A24="",Z24="",Z$26="-",LU!$D$5=0),"",Z24-Z$26)</f>
        <v/>
      </c>
      <c r="AH24" s="1013" t="str">
        <f>IF(OR(A24="",F24=0),"",SUM(PT!U39,PT!U40))</f>
        <v/>
      </c>
      <c r="AI24" s="1014"/>
    </row>
    <row r="25" spans="1:35" s="79" customFormat="1" ht="19.5" customHeight="1" thickBot="1" x14ac:dyDescent="0.35">
      <c r="A25" s="175" t="str">
        <f>IF(ISBLANK(IGRF!$B33),"",IGRF!$B33)</f>
        <v/>
      </c>
      <c r="B25" s="122" t="str">
        <f>IF(ISBLANK(IGRF!$C33),"",IGRF!$C33)</f>
        <v/>
      </c>
      <c r="C25" s="123" t="str">
        <f>IF(A25="","",SUM(LU!O28,LU!O127))</f>
        <v/>
      </c>
      <c r="D25" s="123" t="str">
        <f>IF(A25="","",SUM(LU!D28,LU!D127))</f>
        <v/>
      </c>
      <c r="E25" s="123" t="str">
        <f>IF(A25="","",SUM(LU!J28,LU!J127))</f>
        <v/>
      </c>
      <c r="F25" s="585" t="str">
        <f>IF(A25="","",(SUM(C25:E25)-(SUMPRODUCT(--(Lineups!C$4:C$41=A25),--(Lineups!A$4:A$41="SP"))+SUMPRODUCT(--(Lineups!G$4:G$41=A25),--(Lineups!A$4:A$41="SP"))+SUMPRODUCT(--(Lineups!C$46:C$83=A25),--(Lineups!A$46:A$83="SP"))+SUMPRODUCT(--(Lineups!G$46:G$83=A25),--(Lineups!A$46:A$83="SP")))))</f>
        <v/>
      </c>
      <c r="G25" s="586" t="str">
        <f>IF(OR(A25="",F25=0,LU!D$3+LU!D$102=0),"",F25/(LU!D$3+LU!D$102))</f>
        <v/>
      </c>
      <c r="H25" s="583" t="str">
        <f>IF(OR(C25=0,A25=""),"",SK!D231)</f>
        <v/>
      </c>
      <c r="I25" s="584" t="str">
        <f>IF(OR(A25="",SK!E231="",SK!E231=0),"",H25/SK!E231)</f>
        <v/>
      </c>
      <c r="J25" s="603" t="str">
        <f>IF(OR(A25="",C25=0),"",SK!G231)</f>
        <v/>
      </c>
      <c r="K25" s="604" t="str">
        <f>IF(OR(A25="",C25=0),"",SK!H231)</f>
        <v/>
      </c>
      <c r="L25" s="605" t="str">
        <f>IF(OR(A25="",C25=0),"",SK!J231)</f>
        <v/>
      </c>
      <c r="M25" s="605" t="str">
        <f>IF(OR(A25="",C25=0),"",SK!L231)</f>
        <v/>
      </c>
      <c r="N25" s="606" t="str">
        <f t="shared" si="0"/>
        <v/>
      </c>
      <c r="O25" s="619" t="str">
        <f>IF(OR(A25="",C25=0),"",SK!I231)</f>
        <v/>
      </c>
      <c r="P25" s="620" t="str">
        <f t="shared" si="1"/>
        <v/>
      </c>
      <c r="Q25" s="609" t="str">
        <f>IF(OR(A25="",F25=0),"",SUM(LU!Q74,LU!Q173))</f>
        <v/>
      </c>
      <c r="R25" s="610" t="str">
        <f>IF(OR(A25="",F25=0),"",SUM(LU!Q97,LU!Q196))</f>
        <v/>
      </c>
      <c r="S25" s="583" t="str">
        <f>IF(OR(A25="",F25=0),"",SUM(LU!Q51,LU!Q150))</f>
        <v/>
      </c>
      <c r="T25" s="610" t="str">
        <f>IF(OR(A25="",C25=0),"",SUM(LU!O51,LU!O150))</f>
        <v/>
      </c>
      <c r="U25" s="611" t="str">
        <f t="shared" si="2"/>
        <v/>
      </c>
      <c r="V25" s="612" t="str">
        <f>IF(OR(A25="",D25=0),"",SUM(LU!D51,LU!D150))</f>
        <v/>
      </c>
      <c r="W25" s="611" t="str">
        <f t="shared" si="3"/>
        <v/>
      </c>
      <c r="X25" s="612" t="str">
        <f>IF(OR(A25="",E25=0),"",SUM(LU!J51,LU!J150))</f>
        <v/>
      </c>
      <c r="Y25" s="611" t="str">
        <f t="shared" si="4"/>
        <v/>
      </c>
      <c r="Z25" s="621" t="str">
        <f t="shared" si="9"/>
        <v/>
      </c>
      <c r="AA25" s="613" t="str">
        <f ca="1">IF(OR(A25="",F25=0,Q$26="-",LU!$D$5=0),"",Q25-Q$26)</f>
        <v/>
      </c>
      <c r="AB25" s="614" t="str">
        <f ca="1">IF(OR(A25="",F25=0,R$26="-",LU!$D$5=0),"",R25-R$26)</f>
        <v/>
      </c>
      <c r="AC25" s="615" t="str">
        <f t="shared" ca="1" si="5"/>
        <v/>
      </c>
      <c r="AD25" s="616" t="str">
        <f t="shared" si="6"/>
        <v/>
      </c>
      <c r="AE25" s="616" t="str">
        <f t="shared" si="7"/>
        <v/>
      </c>
      <c r="AF25" s="617" t="str">
        <f t="shared" si="8"/>
        <v/>
      </c>
      <c r="AG25" s="618" t="str">
        <f ca="1">IF(OR($A25="",Z25="",Z$26="-",LU!$D$5=0),"",Z25-Z$26)</f>
        <v/>
      </c>
      <c r="AH25" s="1015" t="str">
        <f>IF(OR(A25="",F25=0),"",SUM(PT!U41,PT!U42))</f>
        <v/>
      </c>
      <c r="AI25" s="1016"/>
    </row>
    <row r="26" spans="1:35" s="6" customFormat="1" ht="21.75" customHeight="1" thickBot="1" x14ac:dyDescent="0.3">
      <c r="A26" s="1026" t="s">
        <v>115</v>
      </c>
      <c r="B26" s="1026"/>
      <c r="C26" s="189">
        <f>SUM(C6:C25)</f>
        <v>37</v>
      </c>
      <c r="D26" s="189">
        <f>SUM(D6:D25)</f>
        <v>37</v>
      </c>
      <c r="E26" s="189">
        <f>SUM(E6:E25)</f>
        <v>111</v>
      </c>
      <c r="F26" s="189">
        <f>SUM(F6:F25)</f>
        <v>185</v>
      </c>
      <c r="G26" s="190">
        <f>IF(COUNT(G6:G25)=0,"-",AVERAGE(G6:G25))</f>
        <v>0.3571428571428571</v>
      </c>
      <c r="H26" s="189">
        <f ca="1">SUM(H6:H25)</f>
        <v>263</v>
      </c>
      <c r="I26" s="191">
        <f ca="1">IF(LU!D3+LU!D102=0,"-",H26/(LU!D3+LU!D102))</f>
        <v>7.1081081081081079</v>
      </c>
      <c r="J26" s="192">
        <f ca="1">SUM(J6:J25)</f>
        <v>6</v>
      </c>
      <c r="K26" s="189">
        <f ca="1">SUM(K6:K25)</f>
        <v>25</v>
      </c>
      <c r="L26" s="189">
        <f ca="1">SUM(L6:L25)</f>
        <v>18</v>
      </c>
      <c r="M26" s="189">
        <f ca="1">SUM(M6:M25)</f>
        <v>0</v>
      </c>
      <c r="N26" s="193">
        <f ca="1">IF(C26=0,"-",K26/C26)</f>
        <v>0.67567567567567566</v>
      </c>
      <c r="O26" s="189">
        <f ca="1">SUM(O6:O25)</f>
        <v>217</v>
      </c>
      <c r="P26" s="194">
        <f t="shared" ref="P26:Z26" ca="1" si="10">IF(COUNT(P6:P25)=0,"-",AVERAGE(P6:P25))</f>
        <v>10.37797619047619</v>
      </c>
      <c r="Q26" s="195">
        <f t="shared" ca="1" si="10"/>
        <v>93.928571428571431</v>
      </c>
      <c r="R26" s="196">
        <f t="shared" ca="1" si="10"/>
        <v>18.214285714285715</v>
      </c>
      <c r="S26" s="197">
        <f t="shared" ca="1" si="10"/>
        <v>75.714285714285708</v>
      </c>
      <c r="T26" s="197">
        <f t="shared" ca="1" si="10"/>
        <v>30.285714285714285</v>
      </c>
      <c r="U26" s="197">
        <f t="shared" ca="1" si="10"/>
        <v>6.1286075036075038</v>
      </c>
      <c r="V26" s="197">
        <f t="shared" ca="1" si="10"/>
        <v>70.666666666666671</v>
      </c>
      <c r="W26" s="197">
        <f t="shared" ca="1" si="10"/>
        <v>3.9855521155830753</v>
      </c>
      <c r="X26" s="197">
        <f t="shared" ca="1" si="10"/>
        <v>53</v>
      </c>
      <c r="Y26" s="197">
        <f t="shared" ca="1" si="10"/>
        <v>5.6907572751322748</v>
      </c>
      <c r="Z26" s="197">
        <f t="shared" ca="1" si="10"/>
        <v>5.5734049161929518</v>
      </c>
      <c r="AA26" s="198" t="s">
        <v>116</v>
      </c>
      <c r="AB26" s="199" t="s">
        <v>116</v>
      </c>
      <c r="AC26" s="199" t="s">
        <v>116</v>
      </c>
      <c r="AD26" s="198" t="s">
        <v>116</v>
      </c>
      <c r="AE26" s="199" t="s">
        <v>116</v>
      </c>
      <c r="AF26" s="199" t="s">
        <v>116</v>
      </c>
      <c r="AG26" s="200" t="s">
        <v>116</v>
      </c>
      <c r="AH26" s="1011">
        <f>SUM(AH6:AI25)</f>
        <v>30</v>
      </c>
      <c r="AI26" s="1012"/>
    </row>
    <row r="27" spans="1:35" ht="63.75" customHeight="1" thickBot="1" x14ac:dyDescent="0.35">
      <c r="A27" s="176" t="s">
        <v>134</v>
      </c>
      <c r="B27" s="177" t="str">
        <f>Score!$T$1</f>
        <v>Hammer City Roller Girls / Harlots</v>
      </c>
      <c r="C27" s="178" t="s">
        <v>88</v>
      </c>
      <c r="D27" s="179" t="s">
        <v>89</v>
      </c>
      <c r="E27" s="179" t="s">
        <v>90</v>
      </c>
      <c r="F27" s="113" t="s">
        <v>91</v>
      </c>
      <c r="G27" s="114" t="s">
        <v>92</v>
      </c>
      <c r="H27" s="115" t="s">
        <v>83</v>
      </c>
      <c r="I27" s="116" t="s">
        <v>93</v>
      </c>
      <c r="J27" s="180" t="s">
        <v>193</v>
      </c>
      <c r="K27" s="181" t="s">
        <v>194</v>
      </c>
      <c r="L27" s="181" t="s">
        <v>94</v>
      </c>
      <c r="M27" s="181" t="s">
        <v>95</v>
      </c>
      <c r="N27" s="181" t="s">
        <v>96</v>
      </c>
      <c r="O27" s="181" t="s">
        <v>97</v>
      </c>
      <c r="P27" s="182" t="s">
        <v>98</v>
      </c>
      <c r="Q27" s="178" t="s">
        <v>99</v>
      </c>
      <c r="R27" s="181" t="s">
        <v>100</v>
      </c>
      <c r="S27" s="115" t="s">
        <v>101</v>
      </c>
      <c r="T27" s="178" t="s">
        <v>102</v>
      </c>
      <c r="U27" s="183" t="s">
        <v>103</v>
      </c>
      <c r="V27" s="184" t="s">
        <v>104</v>
      </c>
      <c r="W27" s="185" t="s">
        <v>105</v>
      </c>
      <c r="X27" s="186" t="s">
        <v>106</v>
      </c>
      <c r="Y27" s="185" t="s">
        <v>107</v>
      </c>
      <c r="Z27" s="117" t="s">
        <v>108</v>
      </c>
      <c r="AA27" s="187" t="s">
        <v>244</v>
      </c>
      <c r="AB27" s="187" t="s">
        <v>109</v>
      </c>
      <c r="AC27" s="118" t="s">
        <v>110</v>
      </c>
      <c r="AD27" s="188" t="s">
        <v>111</v>
      </c>
      <c r="AE27" s="188" t="s">
        <v>112</v>
      </c>
      <c r="AF27" s="188" t="s">
        <v>113</v>
      </c>
      <c r="AG27" s="119" t="s">
        <v>114</v>
      </c>
      <c r="AH27" s="1017" t="s">
        <v>445</v>
      </c>
      <c r="AI27" s="1018"/>
    </row>
    <row r="28" spans="1:35" s="79" customFormat="1" ht="20.100000000000001" customHeight="1" x14ac:dyDescent="0.3">
      <c r="A28" s="174" t="str">
        <f>IF(ISBLANK(IGRF!$H14),"",IGRF!$H14)</f>
        <v>11</v>
      </c>
      <c r="B28" s="120" t="str">
        <f>IF(ISBLANK(IGRF!$I14),"",IGRF!$I14)</f>
        <v>Typhoid Maggie</v>
      </c>
      <c r="C28" s="121">
        <f>IF(A28="","",SUM(LU!AH9,LU!AH108))</f>
        <v>0</v>
      </c>
      <c r="D28" s="121">
        <f>IF(A28="","",SUM(LU!W9,LU!W108))</f>
        <v>0</v>
      </c>
      <c r="E28" s="121">
        <f>IF(A28="","",SUM(LU!AC9,LU!AC108))</f>
        <v>19</v>
      </c>
      <c r="F28" s="585">
        <f>IF(A28="","",(SUM(C28:E28)-(SUMPRODUCT(--(Lineups!AC$4:AC$41=A28),--(Lineups!AA$4:AA$41="SP"))+SUMPRODUCT(--(Lineups!AG$4:AG$41=A28),--(Lineups!AA$4:AA$41="SP"))+SUMPRODUCT(--(Lineups!AC$46:AC$83=A28),--(Lineups!AA$46:AA$83="SP"))+SUMPRODUCT(--(Lineups!AG$46:AG$83=A28),--(Lineups!AA$46:AA$83="SP")))))</f>
        <v>19</v>
      </c>
      <c r="G28" s="578">
        <f>IF(OR(A28="",F28=0,LU!D$3+LU!D$102=0),"",F28/(LU!D$3+LU!D$102))</f>
        <v>0.51351351351351349</v>
      </c>
      <c r="H28" s="579" t="str">
        <f>IF(OR(C28=0,A28=""),"",SK!T174)</f>
        <v/>
      </c>
      <c r="I28" s="580" t="str">
        <f ca="1">IF(OR(A28="",SK!U174="",SK!U174=0),"",H28/SK!U174)</f>
        <v/>
      </c>
      <c r="J28" s="587" t="str">
        <f>IF(OR(C28=0,A28=""),"",SK!W174)</f>
        <v/>
      </c>
      <c r="K28" s="588" t="str">
        <f>IF(OR(C28=0,A28=""),"",SK!X174)</f>
        <v/>
      </c>
      <c r="L28" s="589" t="str">
        <f>IF(OR(C28=0,A28=""),"",SK!Z174)</f>
        <v/>
      </c>
      <c r="M28" s="589" t="str">
        <f>IF(OR(C28=0,A28=""),"",SK!AB174)</f>
        <v/>
      </c>
      <c r="N28" s="590" t="str">
        <f t="shared" ref="N28:N47" si="11">IF(OR(A28="",C28=0),"",K28/C28)</f>
        <v/>
      </c>
      <c r="O28" s="591" t="str">
        <f>IF(OR(A28="",C28=0),"",SK!Y174)</f>
        <v/>
      </c>
      <c r="P28" s="592" t="str">
        <f t="shared" ref="P28:P47" si="12">IF(OR(A28="",C28=0,K28=0),"",O28/K28)</f>
        <v/>
      </c>
      <c r="Q28" s="593">
        <f ca="1">IF(OR(A28="",F28=0),"",SUM(LU!AJ55,LU!AJ154))</f>
        <v>26</v>
      </c>
      <c r="R28" s="594">
        <f ca="1">IF(OR(A28="",F28=0),"",SUM(LU!AJ78,LU!AJ177))</f>
        <v>125</v>
      </c>
      <c r="S28" s="579">
        <f ca="1">IF(OR(A28="",F28=0),"",SUM(LU!AJ32,LU!AJ131))</f>
        <v>-99</v>
      </c>
      <c r="T28" s="594" t="str">
        <f>IF(OR(A28="",C28=0),"",SUM(LU!AH32,LU!AH131))</f>
        <v/>
      </c>
      <c r="U28" s="595" t="str">
        <f t="shared" ref="U28:U47" si="13">IF(OR(A28="",C28=0),"",T28/C28)</f>
        <v/>
      </c>
      <c r="V28" s="596" t="str">
        <f>IF(OR(A28="",D28=0),"",SUM(LU!W32,LU!W131))</f>
        <v/>
      </c>
      <c r="W28" s="595" t="str">
        <f t="shared" ref="W28:W47" si="14">IF(OR(A28="",D28=0),"",V28/D28)</f>
        <v/>
      </c>
      <c r="X28" s="596">
        <f ca="1">IF(OR(A28="",E28=0),"",SUM(LU!AC32,LU!AC131))</f>
        <v>-99</v>
      </c>
      <c r="Y28" s="595">
        <f t="shared" ref="Y28:Y47" ca="1" si="15">IF(OR(A28="",E28=0),"",X28/E28)</f>
        <v>-5.2105263157894735</v>
      </c>
      <c r="Z28" s="592">
        <f t="shared" ref="Z28:Z47" ca="1" si="16">IF(OR(A28="",F28="",F28=0),"",S28/F28)</f>
        <v>-5.2105263157894735</v>
      </c>
      <c r="AA28" s="597">
        <f ca="1">IF(OR(A28="",F28=0,Q$48="-",LU!$W$5=0),"",Q28-Q$48)</f>
        <v>6.4615384615384599</v>
      </c>
      <c r="AB28" s="598">
        <f ca="1">IF(OR(A28="",F28=0,R$48="-",LU!$W$5=0),"",R28-R$48)</f>
        <v>36.461538461538467</v>
      </c>
      <c r="AC28" s="599">
        <f t="shared" ref="AC28:AC47" ca="1" si="17">IF(OR(A28="",F28=0,AA28=""),"",AA28-AB28)</f>
        <v>-30.000000000000007</v>
      </c>
      <c r="AD28" s="600" t="str">
        <f t="shared" ref="AD28:AD47" si="18">IF(OR($A28="",C28=0),"",U28-U$48)</f>
        <v/>
      </c>
      <c r="AE28" s="600" t="str">
        <f t="shared" ref="AE28:AE47" si="19">IF(OR($A28="",D28=0),"",W28-W$48)</f>
        <v/>
      </c>
      <c r="AF28" s="601">
        <f t="shared" ref="AF28:AF47" ca="1" si="20">IF(OR($A28="",E28=0),"",Y28-Y$48)</f>
        <v>-0.81710906053011279</v>
      </c>
      <c r="AG28" s="602">
        <f ca="1">IF(OR($A28="",Z28="",Z$48="-",LU!$W$5=0),"",Z28-Z$48)</f>
        <v>0.26020258980785282</v>
      </c>
      <c r="AH28" s="1019">
        <f>IF(OR(A28="",F28=0),"",SUM(PT!U56,PT!U57))</f>
        <v>1</v>
      </c>
      <c r="AI28" s="1020"/>
    </row>
    <row r="29" spans="1:35" s="79" customFormat="1" ht="20.100000000000001" customHeight="1" x14ac:dyDescent="0.3">
      <c r="A29" s="175" t="str">
        <f>IF(ISBLANK(IGRF!$H15),"",IGRF!$H15)</f>
        <v>11G6</v>
      </c>
      <c r="B29" s="122" t="str">
        <f>IF(ISBLANK(IGRF!$I15),"",IGRF!$I15)</f>
        <v>Fista Krusher</v>
      </c>
      <c r="C29" s="123">
        <f>IF(A29="","",SUM(LU!AH10,LU!AH109))</f>
        <v>8</v>
      </c>
      <c r="D29" s="123">
        <f>IF(A29="","",SUM(LU!W10,LU!W109))</f>
        <v>1</v>
      </c>
      <c r="E29" s="124">
        <f>IF(A29="","",SUM(LU!AC10,LU!AC109))</f>
        <v>0</v>
      </c>
      <c r="F29" s="581">
        <f>IF(A29="","",(SUM(C29:E29)-(SUMPRODUCT(--(Lineups!AC$4:AC$41=A29),--(Lineups!AA$4:AA$41="SP"))+SUMPRODUCT(--(Lineups!AG$4:AG$41=A29),--(Lineups!AA$4:AA$41="SP"))+SUMPRODUCT(--(Lineups!AC$46:AC$83=A29),--(Lineups!AA$46:AA$83="SP"))+SUMPRODUCT(--(Lineups!AG$46:AG$83=A29),--(Lineups!AA$46:AA$83="SP")))))</f>
        <v>9</v>
      </c>
      <c r="G29" s="582">
        <f>IF(OR(A29="",F29=0,LU!D$3+LU!D$102=0),"",F29/(LU!D$3+LU!D$102))</f>
        <v>0.24324324324324326</v>
      </c>
      <c r="H29" s="583">
        <f ca="1">IF(OR(C29=0,A29=""),"",SK!T177)</f>
        <v>11</v>
      </c>
      <c r="I29" s="584">
        <f ca="1">IF(OR(A29="",SK!U177="",SK!U177=0),"",H29/SK!U177)</f>
        <v>1.375</v>
      </c>
      <c r="J29" s="603">
        <f ca="1">IF(OR(C29=0,A29=""),"",SK!W177)</f>
        <v>0</v>
      </c>
      <c r="K29" s="604">
        <f ca="1">IF(OR(C29=0,A29=""),"",SK!X177)</f>
        <v>3</v>
      </c>
      <c r="L29" s="605">
        <f ca="1">IF(OR(C29=0,A29=""),"",SK!Z177)</f>
        <v>3</v>
      </c>
      <c r="M29" s="605">
        <f ca="1">IF(OR(C29=0,A29=""),"",SK!AB177)</f>
        <v>0</v>
      </c>
      <c r="N29" s="606">
        <f t="shared" ca="1" si="11"/>
        <v>0.375</v>
      </c>
      <c r="O29" s="607">
        <f ca="1">IF(OR(A29="",C29=0),"",SK!Y177)</f>
        <v>7</v>
      </c>
      <c r="P29" s="608">
        <f t="shared" ca="1" si="12"/>
        <v>2.3333333333333335</v>
      </c>
      <c r="Q29" s="609">
        <f ca="1">IF(OR(A29="",F29=0),"",SUM(LU!AJ56,LU!AJ155))</f>
        <v>11</v>
      </c>
      <c r="R29" s="610">
        <f ca="1">IF(OR(A29="",F29=0),"",SUM(LU!AJ79,LU!AJ178))</f>
        <v>60</v>
      </c>
      <c r="S29" s="583">
        <f ca="1">IF(OR(A29="",F29=0),"",SUM(LU!AJ33,LU!AJ132))</f>
        <v>-49</v>
      </c>
      <c r="T29" s="610">
        <f ca="1">IF(OR(A29="",C29=0),"",SUM(LU!AH33,LU!AH132))</f>
        <v>-37</v>
      </c>
      <c r="U29" s="611">
        <f t="shared" ca="1" si="13"/>
        <v>-4.625</v>
      </c>
      <c r="V29" s="612">
        <f ca="1">IF(OR(A29="",D29=0),"",SUM(LU!W33,LU!W132))</f>
        <v>-12</v>
      </c>
      <c r="W29" s="611">
        <f t="shared" ca="1" si="14"/>
        <v>-12</v>
      </c>
      <c r="X29" s="612" t="str">
        <f>IF(OR(A29="",E29=0),"",SUM(LU!AC33,LU!AC132))</f>
        <v/>
      </c>
      <c r="Y29" s="611" t="str">
        <f t="shared" si="15"/>
        <v/>
      </c>
      <c r="Z29" s="608">
        <f t="shared" ca="1" si="16"/>
        <v>-5.4444444444444446</v>
      </c>
      <c r="AA29" s="613">
        <f ca="1">IF(OR(A29="",F29=0,Q$48="-",LU!$W$5=0),"",Q29-Q$48)</f>
        <v>-8.5384615384615401</v>
      </c>
      <c r="AB29" s="614">
        <f ca="1">IF(OR(A29="",F29=0,R$48="-",LU!$W$5=0),"",R29-R$48)</f>
        <v>-28.538461538461533</v>
      </c>
      <c r="AC29" s="615">
        <f t="shared" ca="1" si="17"/>
        <v>19.999999999999993</v>
      </c>
      <c r="AD29" s="616">
        <f t="shared" ca="1" si="18"/>
        <v>-1.4357638888888888</v>
      </c>
      <c r="AE29" s="616">
        <f t="shared" ca="1" si="19"/>
        <v>-7.2227891156462585</v>
      </c>
      <c r="AF29" s="617" t="str">
        <f t="shared" si="20"/>
        <v/>
      </c>
      <c r="AG29" s="618">
        <f ca="1">IF(OR($A29="",Z29="",Z$48="-",LU!$W$5=0),"",Z29-Z$48)</f>
        <v>2.6284461152881633E-2</v>
      </c>
      <c r="AH29" s="1013">
        <f>IF(OR(A29="",F29=0),"",SUM(PT!U58,PT!U59))</f>
        <v>2</v>
      </c>
      <c r="AI29" s="1014"/>
    </row>
    <row r="30" spans="1:35" s="79" customFormat="1" ht="20.100000000000001" customHeight="1" x14ac:dyDescent="0.3">
      <c r="A30" s="175" t="str">
        <f>IF(ISBLANK(IGRF!$H16),"",IGRF!$H16)</f>
        <v>152</v>
      </c>
      <c r="B30" s="122" t="str">
        <f>IF(ISBLANK(IGRF!$I16),"",IGRF!$I16)</f>
        <v>Hitty Pryde</v>
      </c>
      <c r="C30" s="123">
        <f>IF(A30="","",SUM(LU!AH11,LU!AH110))</f>
        <v>0</v>
      </c>
      <c r="D30" s="123">
        <f>IF(A30="","",SUM(LU!W11,LU!W110))</f>
        <v>0</v>
      </c>
      <c r="E30" s="124">
        <f>IF(A30="","",SUM(LU!AC11,LU!AC110))</f>
        <v>9</v>
      </c>
      <c r="F30" s="581">
        <f>IF(A30="","",(SUM(C30:E30)-(SUMPRODUCT(--(Lineups!AC$4:AC$41=A30),--(Lineups!AA$4:AA$41="SP"))+SUMPRODUCT(--(Lineups!AG$4:AG$41=A30),--(Lineups!AA$4:AA$41="SP"))+SUMPRODUCT(--(Lineups!AC$46:AC$83=A30),--(Lineups!AA$46:AA$83="SP"))+SUMPRODUCT(--(Lineups!AG$46:AG$83=A30),--(Lineups!AA$46:AA$83="SP")))))</f>
        <v>9</v>
      </c>
      <c r="G30" s="582">
        <f>IF(OR(A30="",F30=0,LU!D$3+LU!D$102=0),"",F30/(LU!D$3+LU!D$102))</f>
        <v>0.24324324324324326</v>
      </c>
      <c r="H30" s="583" t="str">
        <f>IF(OR(C30=0,A30=""),"",SK!T180)</f>
        <v/>
      </c>
      <c r="I30" s="584" t="str">
        <f ca="1">IF(OR(A30="",SK!U180="",SK!U180=0),"",H30/SK!U180)</f>
        <v/>
      </c>
      <c r="J30" s="603" t="str">
        <f>IF(OR(C30=0,A30=""),"",SK!W180)</f>
        <v/>
      </c>
      <c r="K30" s="604" t="str">
        <f>IF(OR(C30=0,A30=""),"",SK!X180)</f>
        <v/>
      </c>
      <c r="L30" s="605" t="str">
        <f>IF(OR(C30=0,A30=""),"",SK!Z180)</f>
        <v/>
      </c>
      <c r="M30" s="605" t="str">
        <f>IF(OR(C30=0,A30=""),"",SK!AB180)</f>
        <v/>
      </c>
      <c r="N30" s="606" t="str">
        <f t="shared" si="11"/>
        <v/>
      </c>
      <c r="O30" s="607" t="str">
        <f>IF(OR(A30="",C30=0),"",SK!Y180)</f>
        <v/>
      </c>
      <c r="P30" s="608" t="str">
        <f t="shared" si="12"/>
        <v/>
      </c>
      <c r="Q30" s="609">
        <f ca="1">IF(OR(A30="",F30=0),"",SUM(LU!AJ57,LU!AJ156))</f>
        <v>19</v>
      </c>
      <c r="R30" s="610">
        <f ca="1">IF(OR(A30="",F30=0),"",SUM(LU!AJ80,LU!AJ179))</f>
        <v>74</v>
      </c>
      <c r="S30" s="583">
        <f ca="1">IF(OR(A30="",F30=0),"",SUM(LU!AJ34,LU!AJ133))</f>
        <v>-55</v>
      </c>
      <c r="T30" s="610" t="str">
        <f>IF(OR(A30="",C30=0),"",SUM(LU!AH34,LU!AH133))</f>
        <v/>
      </c>
      <c r="U30" s="611" t="str">
        <f t="shared" si="13"/>
        <v/>
      </c>
      <c r="V30" s="612" t="str">
        <f>IF(OR(A30="",D30=0),"",SUM(LU!W34,LU!W133))</f>
        <v/>
      </c>
      <c r="W30" s="611" t="str">
        <f t="shared" si="14"/>
        <v/>
      </c>
      <c r="X30" s="612">
        <f ca="1">IF(OR(A30="",E30=0),"",SUM(LU!AC34,LU!AC133))</f>
        <v>-55</v>
      </c>
      <c r="Y30" s="611">
        <f t="shared" ca="1" si="15"/>
        <v>-6.1111111111111107</v>
      </c>
      <c r="Z30" s="608">
        <f t="shared" ca="1" si="16"/>
        <v>-6.1111111111111107</v>
      </c>
      <c r="AA30" s="613">
        <f ca="1">IF(OR(A30="",F30=0,Q$48="-",LU!$W$5=0),"",Q30-Q$48)</f>
        <v>-0.5384615384615401</v>
      </c>
      <c r="AB30" s="614">
        <f ca="1">IF(OR(A30="",F30=0,R$48="-",LU!$W$5=0),"",R30-R$48)</f>
        <v>-14.538461538461533</v>
      </c>
      <c r="AC30" s="615">
        <f t="shared" ca="1" si="17"/>
        <v>13.999999999999993</v>
      </c>
      <c r="AD30" s="616" t="str">
        <f t="shared" si="18"/>
        <v/>
      </c>
      <c r="AE30" s="616" t="str">
        <f t="shared" si="19"/>
        <v/>
      </c>
      <c r="AF30" s="617">
        <f t="shared" ca="1" si="20"/>
        <v>-1.7176938558517501</v>
      </c>
      <c r="AG30" s="618">
        <f ca="1">IF(OR($A30="",Z30="",Z$48="-",LU!$W$5=0),"",Z30-Z$48)</f>
        <v>-0.64038220551378444</v>
      </c>
      <c r="AH30" s="1013">
        <f>IF(OR(A30="",F30=0),"",SUM(PT!U60,PT!U61))</f>
        <v>1</v>
      </c>
      <c r="AI30" s="1014"/>
    </row>
    <row r="31" spans="1:35" s="79" customFormat="1" ht="20.100000000000001" customHeight="1" x14ac:dyDescent="0.3">
      <c r="A31" s="175" t="str">
        <f>IF(ISBLANK(IGRF!$H17),"",IGRF!$H17)</f>
        <v xml:space="preserve">237 </v>
      </c>
      <c r="B31" s="122" t="str">
        <f>IF(ISBLANK(IGRF!$I17),"",IGRF!$I17)</f>
        <v>GuilloTina</v>
      </c>
      <c r="C31" s="123">
        <f>IF(A31="","",SUM(LU!AH12,LU!AH111))</f>
        <v>0</v>
      </c>
      <c r="D31" s="123">
        <f>IF(A31="","",SUM(LU!W12,LU!W111))</f>
        <v>0</v>
      </c>
      <c r="E31" s="124">
        <f>IF(A31="","",SUM(LU!AC12,LU!AC111))</f>
        <v>0</v>
      </c>
      <c r="F31" s="581">
        <f>IF(A31="","",(SUM(C31:E31)-(SUMPRODUCT(--(Lineups!AC$4:AC$41=A31),--(Lineups!AA$4:AA$41="SP"))+SUMPRODUCT(--(Lineups!AG$4:AG$41=A31),--(Lineups!AA$4:AA$41="SP"))+SUMPRODUCT(--(Lineups!AC$46:AC$83=A31),--(Lineups!AA$46:AA$83="SP"))+SUMPRODUCT(--(Lineups!AG$46:AG$83=A31),--(Lineups!AA$46:AA$83="SP")))))</f>
        <v>0</v>
      </c>
      <c r="G31" s="582" t="str">
        <f>IF(OR(A31="",F31=0,LU!D$3+LU!D$102=0),"",F31/(LU!D$3+LU!D$102))</f>
        <v/>
      </c>
      <c r="H31" s="583" t="str">
        <f>IF(OR(C31=0,A31=""),"",SK!T183)</f>
        <v/>
      </c>
      <c r="I31" s="584" t="str">
        <f ca="1">IF(OR(A31="",SK!U183="",SK!U183=0),"",H31/SK!U183)</f>
        <v/>
      </c>
      <c r="J31" s="603" t="str">
        <f>IF(OR(C31=0,A31=""),"",SK!W183)</f>
        <v/>
      </c>
      <c r="K31" s="604" t="str">
        <f>IF(OR(C31=0,A31=""),"",SK!X183)</f>
        <v/>
      </c>
      <c r="L31" s="605" t="str">
        <f>IF(OR(C31=0,A31=""),"",SK!Z183)</f>
        <v/>
      </c>
      <c r="M31" s="605" t="str">
        <f>IF(OR(C31=0,A31=""),"",SK!AB183)</f>
        <v/>
      </c>
      <c r="N31" s="606" t="str">
        <f t="shared" si="11"/>
        <v/>
      </c>
      <c r="O31" s="607" t="str">
        <f>IF(OR(A31="",C31=0),"",SK!Y183)</f>
        <v/>
      </c>
      <c r="P31" s="608" t="str">
        <f t="shared" si="12"/>
        <v/>
      </c>
      <c r="Q31" s="609" t="str">
        <f>IF(OR(A31="",F31=0),"",SUM(LU!AJ58,LU!AJ157))</f>
        <v/>
      </c>
      <c r="R31" s="610" t="str">
        <f>IF(OR(A31="",F31=0),"",SUM(LU!AJ81,LU!AJ180))</f>
        <v/>
      </c>
      <c r="S31" s="583" t="str">
        <f>IF(OR(A31="",F31=0),"",SUM(LU!AJ35,LU!AJ134))</f>
        <v/>
      </c>
      <c r="T31" s="610" t="str">
        <f>IF(OR(A31="",C31=0),"",SUM(LU!AH35,LU!AH134))</f>
        <v/>
      </c>
      <c r="U31" s="611" t="str">
        <f t="shared" si="13"/>
        <v/>
      </c>
      <c r="V31" s="612" t="str">
        <f>IF(OR(A31="",D31=0),"",SUM(LU!W35,LU!W134))</f>
        <v/>
      </c>
      <c r="W31" s="611" t="str">
        <f t="shared" si="14"/>
        <v/>
      </c>
      <c r="X31" s="612" t="str">
        <f>IF(OR(A31="",E31=0),"",SUM(LU!AC35,LU!AC134))</f>
        <v/>
      </c>
      <c r="Y31" s="611" t="str">
        <f t="shared" si="15"/>
        <v/>
      </c>
      <c r="Z31" s="608" t="str">
        <f t="shared" si="16"/>
        <v/>
      </c>
      <c r="AA31" s="613" t="str">
        <f ca="1">IF(OR(A31="",F31=0,Q$48="-",LU!$W$5=0),"",Q31-Q$48)</f>
        <v/>
      </c>
      <c r="AB31" s="614" t="str">
        <f ca="1">IF(OR(A31="",F31=0,R$48="-",LU!$W$5=0),"",R31-R$48)</f>
        <v/>
      </c>
      <c r="AC31" s="615" t="str">
        <f t="shared" ca="1" si="17"/>
        <v/>
      </c>
      <c r="AD31" s="616" t="str">
        <f t="shared" si="18"/>
        <v/>
      </c>
      <c r="AE31" s="616" t="str">
        <f t="shared" si="19"/>
        <v/>
      </c>
      <c r="AF31" s="617" t="str">
        <f t="shared" si="20"/>
        <v/>
      </c>
      <c r="AG31" s="618" t="str">
        <f ca="1">IF(OR($A31="",Z31="",Z$48="-",LU!$W$5=0),"",Z31-Z$48)</f>
        <v/>
      </c>
      <c r="AH31" s="1013" t="str">
        <f>IF(OR(A31="",F31=0),"",SUM(PT!U62,PT!U63))</f>
        <v/>
      </c>
      <c r="AI31" s="1014"/>
    </row>
    <row r="32" spans="1:35" s="79" customFormat="1" ht="20.100000000000001" customHeight="1" x14ac:dyDescent="0.3">
      <c r="A32" s="175" t="str">
        <f>IF(ISBLANK(IGRF!$H18),"",IGRF!$H18)</f>
        <v>26</v>
      </c>
      <c r="B32" s="122" t="str">
        <f>IF(ISBLANK(IGRF!$I18),"",IGRF!$I18)</f>
        <v>Bam Bam Bigelow</v>
      </c>
      <c r="C32" s="123">
        <f>IF(A32="","",SUM(LU!AH13,LU!AH112))</f>
        <v>4</v>
      </c>
      <c r="D32" s="123">
        <f>IF(A32="","",SUM(LU!W13,LU!W112))</f>
        <v>12</v>
      </c>
      <c r="E32" s="124">
        <f>IF(A32="","",SUM(LU!AC13,LU!AC112))</f>
        <v>6</v>
      </c>
      <c r="F32" s="581">
        <f>IF(A32="","",(SUM(C32:E32)-(SUMPRODUCT(--(Lineups!AC$4:AC$41=A32),--(Lineups!AA$4:AA$41="SP"))+SUMPRODUCT(--(Lineups!AG$4:AG$41=A32),--(Lineups!AA$4:AA$41="SP"))+SUMPRODUCT(--(Lineups!AC$46:AC$83=A32),--(Lineups!AA$46:AA$83="SP"))+SUMPRODUCT(--(Lineups!AG$46:AG$83=A32),--(Lineups!AA$46:AA$83="SP")))))</f>
        <v>19</v>
      </c>
      <c r="G32" s="582">
        <f>IF(OR(A32="",F32=0,LU!D$3+LU!D$102=0),"",F32/(LU!D$3+LU!D$102))</f>
        <v>0.51351351351351349</v>
      </c>
      <c r="H32" s="583">
        <f ca="1">IF(OR(C32=0,A32=""),"",SK!T186)</f>
        <v>0</v>
      </c>
      <c r="I32" s="584">
        <f ca="1">IF(OR(A32="",SK!U186="",SK!U186=0),"",H32/SK!U186)</f>
        <v>0</v>
      </c>
      <c r="J32" s="603">
        <f ca="1">IF(OR(C32=0,A32=""),"",SK!W186)</f>
        <v>0</v>
      </c>
      <c r="K32" s="604">
        <f ca="1">IF(OR(C32=0,A32=""),"",SK!X186)</f>
        <v>0</v>
      </c>
      <c r="L32" s="605">
        <f ca="1">IF(OR(C32=0,A32=""),"",SK!Z186)</f>
        <v>0</v>
      </c>
      <c r="M32" s="605">
        <f ca="1">IF(OR(C32=0,A32=""),"",SK!AB186)</f>
        <v>1</v>
      </c>
      <c r="N32" s="606">
        <f t="shared" ca="1" si="11"/>
        <v>0</v>
      </c>
      <c r="O32" s="607">
        <f ca="1">IF(OR(A32="",C32=0),"",SK!Y186)</f>
        <v>0</v>
      </c>
      <c r="P32" s="608" t="str">
        <f t="shared" ca="1" si="12"/>
        <v/>
      </c>
      <c r="Q32" s="609">
        <f ca="1">IF(OR(A32="",F32=0),"",SUM(LU!AJ59,LU!AJ158))</f>
        <v>26</v>
      </c>
      <c r="R32" s="610">
        <f ca="1">IF(OR(A32="",F32=0),"",SUM(LU!AJ82,LU!AJ181))</f>
        <v>129</v>
      </c>
      <c r="S32" s="583">
        <f ca="1">IF(OR(A32="",F32=0),"",SUM(LU!AJ36,LU!AJ135))</f>
        <v>-103</v>
      </c>
      <c r="T32" s="610">
        <f ca="1">IF(OR(A32="",C32=0),"",SUM(LU!AH36,LU!AH135))</f>
        <v>-4</v>
      </c>
      <c r="U32" s="611">
        <f t="shared" ca="1" si="13"/>
        <v>-1</v>
      </c>
      <c r="V32" s="612">
        <f ca="1">IF(OR(A32="",D32=0),"",SUM(LU!W36,LU!W135))</f>
        <v>-85</v>
      </c>
      <c r="W32" s="611">
        <f t="shared" ca="1" si="14"/>
        <v>-7.083333333333333</v>
      </c>
      <c r="X32" s="612">
        <f ca="1">IF(OR(A32="",E32=0),"",SUM(LU!AC36,LU!AC135))</f>
        <v>-14</v>
      </c>
      <c r="Y32" s="611">
        <f t="shared" ca="1" si="15"/>
        <v>-2.3333333333333335</v>
      </c>
      <c r="Z32" s="608">
        <f t="shared" ca="1" si="16"/>
        <v>-5.4210526315789478</v>
      </c>
      <c r="AA32" s="613">
        <f ca="1">IF(OR(A32="",F32=0,Q$48="-",LU!$W$5=0),"",Q32-Q$48)</f>
        <v>6.4615384615384599</v>
      </c>
      <c r="AB32" s="614">
        <f ca="1">IF(OR(A32="",F32=0,R$48="-",LU!$W$5=0),"",R32-R$48)</f>
        <v>40.461538461538467</v>
      </c>
      <c r="AC32" s="615">
        <f t="shared" ca="1" si="17"/>
        <v>-34.000000000000007</v>
      </c>
      <c r="AD32" s="616">
        <f t="shared" ca="1" si="18"/>
        <v>2.1892361111111112</v>
      </c>
      <c r="AE32" s="616">
        <f t="shared" ca="1" si="19"/>
        <v>-2.3061224489795915</v>
      </c>
      <c r="AF32" s="617">
        <f t="shared" ca="1" si="20"/>
        <v>2.0600839219260272</v>
      </c>
      <c r="AG32" s="618">
        <f ca="1">IF(OR($A32="",Z32="",Z$48="-",LU!$W$5=0),"",Z32-Z$48)</f>
        <v>4.9676274018378486E-2</v>
      </c>
      <c r="AH32" s="1013">
        <f>IF(OR(A32="",F32=0),"",SUM(PT!U64,PT!U65))</f>
        <v>1</v>
      </c>
      <c r="AI32" s="1014"/>
    </row>
    <row r="33" spans="1:35" s="79" customFormat="1" ht="20.100000000000001" customHeight="1" x14ac:dyDescent="0.3">
      <c r="A33" s="175" t="str">
        <f>IF(ISBLANK(IGRF!$H19),"",IGRF!$H19)</f>
        <v>2611</v>
      </c>
      <c r="B33" s="122" t="str">
        <f>IF(ISBLANK(IGRF!$I19),"",IGRF!$I19)</f>
        <v>Va Va BOOM</v>
      </c>
      <c r="C33" s="123">
        <f>IF(A33="","",SUM(LU!AH14,LU!AH113))</f>
        <v>0</v>
      </c>
      <c r="D33" s="123">
        <f>IF(A33="","",SUM(LU!W14,LU!W113))</f>
        <v>0</v>
      </c>
      <c r="E33" s="124">
        <f>IF(A33="","",SUM(LU!AC14,LU!AC113))</f>
        <v>21</v>
      </c>
      <c r="F33" s="581">
        <f>IF(A33="","",(SUM(C33:E33)-(SUMPRODUCT(--(Lineups!AC$4:AC$41=A33),--(Lineups!AA$4:AA$41="SP"))+SUMPRODUCT(--(Lineups!AG$4:AG$41=A33),--(Lineups!AA$4:AA$41="SP"))+SUMPRODUCT(--(Lineups!AC$46:AC$83=A33),--(Lineups!AA$46:AA$83="SP"))+SUMPRODUCT(--(Lineups!AG$46:AG$83=A33),--(Lineups!AA$46:AA$83="SP")))))</f>
        <v>21</v>
      </c>
      <c r="G33" s="582">
        <f>IF(OR(A33="",F33=0,LU!D$3+LU!D$102=0),"",F33/(LU!D$3+LU!D$102))</f>
        <v>0.56756756756756754</v>
      </c>
      <c r="H33" s="583" t="str">
        <f>IF(OR(C33=0,A33=""),"",SK!T189)</f>
        <v/>
      </c>
      <c r="I33" s="584" t="str">
        <f ca="1">IF(OR(A33="",SK!U189="",SK!U189=0),"",H33/SK!U189)</f>
        <v/>
      </c>
      <c r="J33" s="603" t="str">
        <f>IF(OR(C33=0,A33=""),"",SK!W189)</f>
        <v/>
      </c>
      <c r="K33" s="604" t="str">
        <f>IF(OR(C33=0,A33=""),"",SK!X189)</f>
        <v/>
      </c>
      <c r="L33" s="605" t="str">
        <f>IF(OR(C33=0,A33=""),"",SK!Z189)</f>
        <v/>
      </c>
      <c r="M33" s="605" t="str">
        <f>IF(OR(C33=0,A33=""),"",SK!AB189)</f>
        <v/>
      </c>
      <c r="N33" s="606" t="str">
        <f t="shared" si="11"/>
        <v/>
      </c>
      <c r="O33" s="607" t="str">
        <f>IF(OR(A33="",C33=0),"",SK!Y189)</f>
        <v/>
      </c>
      <c r="P33" s="608" t="str">
        <f t="shared" si="12"/>
        <v/>
      </c>
      <c r="Q33" s="609">
        <f ca="1">IF(OR(A33="",F33=0),"",SUM(LU!AJ60,LU!AJ159))</f>
        <v>35</v>
      </c>
      <c r="R33" s="610">
        <f ca="1">IF(OR(A33="",F33=0),"",SUM(LU!AJ83,LU!AJ182))</f>
        <v>162</v>
      </c>
      <c r="S33" s="583">
        <f ca="1">IF(OR(A33="",F33=0),"",SUM(LU!AJ37,LU!AJ136))</f>
        <v>-127</v>
      </c>
      <c r="T33" s="610" t="str">
        <f>IF(OR(A33="",C33=0),"",SUM(LU!AH37,LU!AH136))</f>
        <v/>
      </c>
      <c r="U33" s="611" t="str">
        <f t="shared" si="13"/>
        <v/>
      </c>
      <c r="V33" s="612" t="str">
        <f>IF(OR(A33="",D33=0),"",SUM(LU!W37,LU!W136))</f>
        <v/>
      </c>
      <c r="W33" s="611" t="str">
        <f t="shared" si="14"/>
        <v/>
      </c>
      <c r="X33" s="612">
        <f ca="1">IF(OR(A33="",E33=0),"",SUM(LU!AC37,LU!AC136))</f>
        <v>-127</v>
      </c>
      <c r="Y33" s="611">
        <f t="shared" ca="1" si="15"/>
        <v>-6.0476190476190474</v>
      </c>
      <c r="Z33" s="608">
        <f t="shared" ca="1" si="16"/>
        <v>-6.0476190476190474</v>
      </c>
      <c r="AA33" s="613">
        <f ca="1">IF(OR(A33="",F33=0,Q$48="-",LU!$W$5=0),"",Q33-Q$48)</f>
        <v>15.46153846153846</v>
      </c>
      <c r="AB33" s="614">
        <f ca="1">IF(OR(A33="",F33=0,R$48="-",LU!$W$5=0),"",R33-R$48)</f>
        <v>73.461538461538467</v>
      </c>
      <c r="AC33" s="615">
        <f t="shared" ca="1" si="17"/>
        <v>-58.000000000000007</v>
      </c>
      <c r="AD33" s="616" t="str">
        <f t="shared" si="18"/>
        <v/>
      </c>
      <c r="AE33" s="616" t="str">
        <f t="shared" si="19"/>
        <v/>
      </c>
      <c r="AF33" s="617">
        <f t="shared" ca="1" si="20"/>
        <v>-1.6542017923596868</v>
      </c>
      <c r="AG33" s="618">
        <f ca="1">IF(OR($A33="",Z33="",Z$48="-",LU!$W$5=0),"",Z33-Z$48)</f>
        <v>-0.57689014202172118</v>
      </c>
      <c r="AH33" s="1013">
        <f>IF(OR(A33="",F33=0),"",SUM(PT!U66,PT!U67))</f>
        <v>3</v>
      </c>
      <c r="AI33" s="1014"/>
    </row>
    <row r="34" spans="1:35" s="79" customFormat="1" ht="20.100000000000001" customHeight="1" x14ac:dyDescent="0.3">
      <c r="A34" s="175" t="str">
        <f>IF(ISBLANK(IGRF!$H20),"",IGRF!$H20)</f>
        <v>45</v>
      </c>
      <c r="B34" s="122" t="str">
        <f>IF(ISBLANK(IGRF!$I20),"",IGRF!$I20)</f>
        <v>Miss Carriage</v>
      </c>
      <c r="C34" s="123">
        <f>IF(A34="","",SUM(LU!AH15,LU!AH114))</f>
        <v>2</v>
      </c>
      <c r="D34" s="123">
        <f>IF(A34="","",SUM(LU!W15,LU!W114))</f>
        <v>14</v>
      </c>
      <c r="E34" s="124">
        <f>IF(A34="","",SUM(LU!AC15,LU!AC114))</f>
        <v>2</v>
      </c>
      <c r="F34" s="581">
        <f>IF(A34="","",(SUM(C34:E34)-(SUMPRODUCT(--(Lineups!AC$4:AC$41=A34),--(Lineups!AA$4:AA$41="SP"))+SUMPRODUCT(--(Lineups!AG$4:AG$41=A34),--(Lineups!AA$4:AA$41="SP"))+SUMPRODUCT(--(Lineups!AC$46:AC$83=A34),--(Lineups!AA$46:AA$83="SP"))+SUMPRODUCT(--(Lineups!AG$46:AG$83=A34),--(Lineups!AA$46:AA$83="SP")))))</f>
        <v>16</v>
      </c>
      <c r="G34" s="582">
        <f>IF(OR(A34="",F34=0,LU!D$3+LU!D$102=0),"",F34/(LU!D$3+LU!D$102))</f>
        <v>0.43243243243243246</v>
      </c>
      <c r="H34" s="583">
        <f ca="1">IF(OR(C34=0,A34=""),"",SK!T192)</f>
        <v>0</v>
      </c>
      <c r="I34" s="584">
        <f ca="1">IF(OR(A34="",SK!U192="",SK!U192=0),"",H34/SK!U192)</f>
        <v>0</v>
      </c>
      <c r="J34" s="603">
        <f ca="1">IF(OR(C34=0,A34=""),"",SK!W192)</f>
        <v>0</v>
      </c>
      <c r="K34" s="604">
        <f ca="1">IF(OR(C34=0,A34=""),"",SK!X192)</f>
        <v>0</v>
      </c>
      <c r="L34" s="605">
        <f ca="1">IF(OR(C34=0,A34=""),"",SK!Z192)</f>
        <v>0</v>
      </c>
      <c r="M34" s="605">
        <f ca="1">IF(OR(C34=0,A34=""),"",SK!AB192)</f>
        <v>1</v>
      </c>
      <c r="N34" s="606">
        <f t="shared" ca="1" si="11"/>
        <v>0</v>
      </c>
      <c r="O34" s="607">
        <f ca="1">IF(OR(A34="",C34=0),"",SK!Y192)</f>
        <v>0</v>
      </c>
      <c r="P34" s="608" t="str">
        <f t="shared" ca="1" si="12"/>
        <v/>
      </c>
      <c r="Q34" s="609">
        <f ca="1">IF(OR(A34="",F34=0),"",SUM(LU!AJ61,LU!AJ160))</f>
        <v>25</v>
      </c>
      <c r="R34" s="610">
        <f ca="1">IF(OR(A34="",F34=0),"",SUM(LU!AJ84,LU!AJ183))</f>
        <v>104</v>
      </c>
      <c r="S34" s="583">
        <f ca="1">IF(OR(A34="",F34=0),"",SUM(LU!AJ38,LU!AJ137))</f>
        <v>-79</v>
      </c>
      <c r="T34" s="610">
        <f ca="1">IF(OR(A34="",C34=0),"",SUM(LU!AH38,LU!AH137))</f>
        <v>-4</v>
      </c>
      <c r="U34" s="611">
        <f t="shared" ca="1" si="13"/>
        <v>-2</v>
      </c>
      <c r="V34" s="612">
        <f ca="1">IF(OR(A34="",D34=0),"",SUM(LU!W38,LU!W137))</f>
        <v>-62</v>
      </c>
      <c r="W34" s="611">
        <f t="shared" ca="1" si="14"/>
        <v>-4.4285714285714288</v>
      </c>
      <c r="X34" s="612">
        <f ca="1">IF(OR(A34="",E34=0),"",SUM(LU!AC38,LU!AC137))</f>
        <v>-13</v>
      </c>
      <c r="Y34" s="611">
        <f t="shared" ca="1" si="15"/>
        <v>-6.5</v>
      </c>
      <c r="Z34" s="608">
        <f t="shared" ca="1" si="16"/>
        <v>-4.9375</v>
      </c>
      <c r="AA34" s="613">
        <f ca="1">IF(OR(A34="",F34=0,Q$48="-",LU!$W$5=0),"",Q34-Q$48)</f>
        <v>5.4615384615384599</v>
      </c>
      <c r="AB34" s="614">
        <f ca="1">IF(OR(A34="",F34=0,R$48="-",LU!$W$5=0),"",R34-R$48)</f>
        <v>15.461538461538467</v>
      </c>
      <c r="AC34" s="615">
        <f t="shared" ca="1" si="17"/>
        <v>-10.000000000000007</v>
      </c>
      <c r="AD34" s="616">
        <f t="shared" ca="1" si="18"/>
        <v>1.1892361111111112</v>
      </c>
      <c r="AE34" s="616">
        <f t="shared" ca="1" si="19"/>
        <v>0.3486394557823127</v>
      </c>
      <c r="AF34" s="617">
        <f t="shared" ca="1" si="20"/>
        <v>-2.1065827447406393</v>
      </c>
      <c r="AG34" s="618">
        <f ca="1">IF(OR($A34="",Z34="",Z$48="-",LU!$W$5=0),"",Z34-Z$48)</f>
        <v>0.53322890559732627</v>
      </c>
      <c r="AH34" s="1013">
        <f>IF(OR(A34="",F34=0),"",SUM(PT!U68,PT!U69))</f>
        <v>1</v>
      </c>
      <c r="AI34" s="1014"/>
    </row>
    <row r="35" spans="1:35" s="79" customFormat="1" ht="20.100000000000001" customHeight="1" x14ac:dyDescent="0.3">
      <c r="A35" s="175" t="str">
        <f>IF(ISBLANK(IGRF!$H21),"",IGRF!$H21)</f>
        <v>451</v>
      </c>
      <c r="B35" s="122" t="str">
        <f>IF(ISBLANK(IGRF!$I21),"",IGRF!$I21)</f>
        <v>fErinheit</v>
      </c>
      <c r="C35" s="123">
        <f>IF(A35="","",SUM(LU!AH16,LU!AH115))</f>
        <v>7</v>
      </c>
      <c r="D35" s="123">
        <f>IF(A35="","",SUM(LU!W16,LU!W115))</f>
        <v>1</v>
      </c>
      <c r="E35" s="124">
        <f>IF(A35="","",SUM(LU!AC16,LU!AC115))</f>
        <v>1</v>
      </c>
      <c r="F35" s="581">
        <f>IF(A35="","",(SUM(C35:E35)-(SUMPRODUCT(--(Lineups!AC$4:AC$41=A35),--(Lineups!AA$4:AA$41="SP"))+SUMPRODUCT(--(Lineups!AG$4:AG$41=A35),--(Lineups!AA$4:AA$41="SP"))+SUMPRODUCT(--(Lineups!AC$46:AC$83=A35),--(Lineups!AA$46:AA$83="SP"))+SUMPRODUCT(--(Lineups!AG$46:AG$83=A35),--(Lineups!AA$46:AA$83="SP")))))</f>
        <v>8</v>
      </c>
      <c r="G35" s="582">
        <f>IF(OR(A35="",F35=0,LU!D$3+LU!D$102=0),"",F35/(LU!D$3+LU!D$102))</f>
        <v>0.21621621621621623</v>
      </c>
      <c r="H35" s="583">
        <f ca="1">IF(OR(C35=0,A35=""),"",SK!T195)</f>
        <v>20</v>
      </c>
      <c r="I35" s="584">
        <f ca="1">IF(OR(A35="",SK!U195="",SK!U195=0),"",H35/SK!U195)</f>
        <v>2.8571428571428572</v>
      </c>
      <c r="J35" s="603">
        <f ca="1">IF(OR(C35=0,A35=""),"",SK!W195)</f>
        <v>0</v>
      </c>
      <c r="K35" s="604">
        <f ca="1">IF(OR(C35=0,A35=""),"",SK!X195)</f>
        <v>2</v>
      </c>
      <c r="L35" s="605">
        <f ca="1">IF(OR(C35=0,A35=""),"",SK!Z195)</f>
        <v>2</v>
      </c>
      <c r="M35" s="605">
        <f ca="1">IF(OR(C35=0,A35=""),"",SK!AB195)</f>
        <v>0</v>
      </c>
      <c r="N35" s="606">
        <f t="shared" ca="1" si="11"/>
        <v>0.2857142857142857</v>
      </c>
      <c r="O35" s="607">
        <f ca="1">IF(OR(A35="",C35=0),"",SK!Y195)</f>
        <v>2</v>
      </c>
      <c r="P35" s="608">
        <f t="shared" ca="1" si="12"/>
        <v>1</v>
      </c>
      <c r="Q35" s="609">
        <f ca="1">IF(OR(A35="",F35=0),"",SUM(LU!AJ62,LU!AJ161))</f>
        <v>24</v>
      </c>
      <c r="R35" s="610">
        <f ca="1">IF(OR(A35="",F35=0),"",SUM(LU!AJ85,LU!AJ184))</f>
        <v>48</v>
      </c>
      <c r="S35" s="583">
        <f ca="1">IF(OR(A35="",F35=0),"",SUM(LU!AJ39,LU!AJ138))</f>
        <v>-24</v>
      </c>
      <c r="T35" s="610">
        <f ca="1">IF(OR(A35="",C35=0),"",SUM(LU!AH39,LU!AH138))</f>
        <v>-28</v>
      </c>
      <c r="U35" s="611">
        <f t="shared" ca="1" si="13"/>
        <v>-4</v>
      </c>
      <c r="V35" s="612">
        <f ca="1">IF(OR(A35="",D35=0),"",SUM(LU!W39,LU!W138))</f>
        <v>0</v>
      </c>
      <c r="W35" s="611">
        <f t="shared" ca="1" si="14"/>
        <v>0</v>
      </c>
      <c r="X35" s="612">
        <f ca="1">IF(OR(A35="",E35=0),"",SUM(LU!AC39,LU!AC138))</f>
        <v>4</v>
      </c>
      <c r="Y35" s="611">
        <f t="shared" ca="1" si="15"/>
        <v>4</v>
      </c>
      <c r="Z35" s="608">
        <f t="shared" ca="1" si="16"/>
        <v>-3</v>
      </c>
      <c r="AA35" s="613">
        <f ca="1">IF(OR(A35="",F35=0,Q$48="-",LU!$W$5=0),"",Q35-Q$48)</f>
        <v>4.4615384615384599</v>
      </c>
      <c r="AB35" s="614">
        <f ca="1">IF(OR(A35="",F35=0,R$48="-",LU!$W$5=0),"",R35-R$48)</f>
        <v>-40.538461538461533</v>
      </c>
      <c r="AC35" s="615">
        <f t="shared" ca="1" si="17"/>
        <v>44.999999999999993</v>
      </c>
      <c r="AD35" s="616">
        <f t="shared" ca="1" si="18"/>
        <v>-0.81076388888888884</v>
      </c>
      <c r="AE35" s="616">
        <f t="shared" ca="1" si="19"/>
        <v>4.7772108843537415</v>
      </c>
      <c r="AF35" s="617">
        <f t="shared" ca="1" si="20"/>
        <v>8.3934172552593616</v>
      </c>
      <c r="AG35" s="618">
        <f ca="1">IF(OR($A35="",Z35="",Z$48="-",LU!$W$5=0),"",Z35-Z$48)</f>
        <v>2.4707289055973263</v>
      </c>
      <c r="AH35" s="1013">
        <f>IF(OR(A35="",F35=0),"",SUM(PT!U70,PT!U71))</f>
        <v>1</v>
      </c>
      <c r="AI35" s="1014"/>
    </row>
    <row r="36" spans="1:35" s="79" customFormat="1" ht="20.100000000000001" customHeight="1" x14ac:dyDescent="0.3">
      <c r="A36" s="175" t="str">
        <f>IF(ISBLANK(IGRF!$H22),"",IGRF!$H22)</f>
        <v>511</v>
      </c>
      <c r="B36" s="122" t="str">
        <f>IF(ISBLANK(IGRF!$I22),"",IGRF!$I22)</f>
        <v>Bean Stalker</v>
      </c>
      <c r="C36" s="123">
        <f>IF(A36="","",SUM(LU!AH17,LU!AH116))</f>
        <v>2</v>
      </c>
      <c r="D36" s="123">
        <f>IF(A36="","",SUM(LU!W17,LU!W116))</f>
        <v>4</v>
      </c>
      <c r="E36" s="124">
        <f>IF(A36="","",SUM(LU!AC17,LU!AC116))</f>
        <v>4</v>
      </c>
      <c r="F36" s="581">
        <f>IF(A36="","",(SUM(C36:E36)-(SUMPRODUCT(--(Lineups!AC$4:AC$41=A36),--(Lineups!AA$4:AA$41="SP"))+SUMPRODUCT(--(Lineups!AG$4:AG$41=A36),--(Lineups!AA$4:AA$41="SP"))+SUMPRODUCT(--(Lineups!AC$46:AC$83=A36),--(Lineups!AA$46:AA$83="SP"))+SUMPRODUCT(--(Lineups!AG$46:AG$83=A36),--(Lineups!AA$46:AA$83="SP")))))</f>
        <v>9</v>
      </c>
      <c r="G36" s="582">
        <f>IF(OR(A36="",F36=0,LU!D$3+LU!D$102=0),"",F36/(LU!D$3+LU!D$102))</f>
        <v>0.24324324324324326</v>
      </c>
      <c r="H36" s="583">
        <f ca="1">IF(OR(C36=0,A36=""),"",SK!T198)</f>
        <v>0</v>
      </c>
      <c r="I36" s="584">
        <f ca="1">IF(OR(A36="",SK!U198="",SK!U198=0),"",H36/SK!U198)</f>
        <v>0</v>
      </c>
      <c r="J36" s="603">
        <f ca="1">IF(OR(C36=0,A36=""),"",SK!W198)</f>
        <v>1</v>
      </c>
      <c r="K36" s="604">
        <f ca="1">IF(OR(C36=0,A36=""),"",SK!X198)</f>
        <v>0</v>
      </c>
      <c r="L36" s="605">
        <f ca="1">IF(OR(C36=0,A36=""),"",SK!Z198)</f>
        <v>0</v>
      </c>
      <c r="M36" s="605">
        <f ca="1">IF(OR(C36=0,A36=""),"",SK!AB198)</f>
        <v>1</v>
      </c>
      <c r="N36" s="606">
        <f t="shared" ca="1" si="11"/>
        <v>0</v>
      </c>
      <c r="O36" s="607">
        <f ca="1">IF(OR(A36="",C36=0),"",SK!Y198)</f>
        <v>0</v>
      </c>
      <c r="P36" s="608" t="str">
        <f t="shared" ca="1" si="12"/>
        <v/>
      </c>
      <c r="Q36" s="609">
        <f ca="1">IF(OR(A36="",F36=0),"",SUM(LU!AJ63,LU!AJ162))</f>
        <v>4</v>
      </c>
      <c r="R36" s="610">
        <f ca="1">IF(OR(A36="",F36=0),"",SUM(LU!AJ86,LU!AJ185))</f>
        <v>56</v>
      </c>
      <c r="S36" s="583">
        <f ca="1">IF(OR(A36="",F36=0),"",SUM(LU!AJ40,LU!AJ139))</f>
        <v>-52</v>
      </c>
      <c r="T36" s="610">
        <f ca="1">IF(OR(A36="",C36=0),"",SUM(LU!AH40,LU!AH139))</f>
        <v>-12</v>
      </c>
      <c r="U36" s="611">
        <f t="shared" ca="1" si="13"/>
        <v>-6</v>
      </c>
      <c r="V36" s="612">
        <f ca="1">IF(OR(A36="",D36=0),"",SUM(LU!W40,LU!W139))</f>
        <v>-22</v>
      </c>
      <c r="W36" s="611">
        <f t="shared" ca="1" si="14"/>
        <v>-5.5</v>
      </c>
      <c r="X36" s="612">
        <f ca="1">IF(OR(A36="",E36=0),"",SUM(LU!AC40,LU!AC139))</f>
        <v>-18</v>
      </c>
      <c r="Y36" s="611">
        <f t="shared" ca="1" si="15"/>
        <v>-4.5</v>
      </c>
      <c r="Z36" s="608">
        <f t="shared" ca="1" si="16"/>
        <v>-5.7777777777777777</v>
      </c>
      <c r="AA36" s="613">
        <f ca="1">IF(OR(A36="",F36=0,Q$48="-",LU!$W$5=0),"",Q36-Q$48)</f>
        <v>-15.53846153846154</v>
      </c>
      <c r="AB36" s="614">
        <f ca="1">IF(OR(A36="",F36=0,R$48="-",LU!$W$5=0),"",R36-R$48)</f>
        <v>-32.538461538461533</v>
      </c>
      <c r="AC36" s="615">
        <f t="shared" ca="1" si="17"/>
        <v>16.999999999999993</v>
      </c>
      <c r="AD36" s="616">
        <f t="shared" ca="1" si="18"/>
        <v>-2.8107638888888888</v>
      </c>
      <c r="AE36" s="616">
        <f t="shared" ca="1" si="19"/>
        <v>-0.72278911564625847</v>
      </c>
      <c r="AF36" s="617">
        <f t="shared" ca="1" si="20"/>
        <v>-0.10658274474063933</v>
      </c>
      <c r="AG36" s="618">
        <f ca="1">IF(OR($A36="",Z36="",Z$48="-",LU!$W$5=0),"",Z36-Z$48)</f>
        <v>-0.3070488721804514</v>
      </c>
      <c r="AH36" s="1013">
        <f>IF(OR(A36="",F36=0),"",SUM(PT!U72,PT!U73))</f>
        <v>2</v>
      </c>
      <c r="AI36" s="1014"/>
    </row>
    <row r="37" spans="1:35" s="79" customFormat="1" ht="20.100000000000001" customHeight="1" x14ac:dyDescent="0.3">
      <c r="A37" s="175" t="str">
        <f>IF(ISBLANK(IGRF!$H23),"",IGRF!$H23)</f>
        <v>519</v>
      </c>
      <c r="B37" s="122" t="str">
        <f>IF(ISBLANK(IGRF!$I23),"",IGRF!$I23)</f>
        <v>Smashin' Good Time</v>
      </c>
      <c r="C37" s="123">
        <f>IF(A37="","",SUM(LU!AH18,LU!AH117))</f>
        <v>4</v>
      </c>
      <c r="D37" s="123">
        <f>IF(A37="","",SUM(LU!W18,LU!W117))</f>
        <v>7</v>
      </c>
      <c r="E37" s="124">
        <f>IF(A37="","",SUM(LU!AC18,LU!AC117))</f>
        <v>11</v>
      </c>
      <c r="F37" s="581">
        <f>IF(A37="","",(SUM(C37:E37)-(SUMPRODUCT(--(Lineups!AC$4:AC$41=A37),--(Lineups!AA$4:AA$41="SP"))+SUMPRODUCT(--(Lineups!AG$4:AG$41=A37),--(Lineups!AA$4:AA$41="SP"))+SUMPRODUCT(--(Lineups!AC$46:AC$83=A37),--(Lineups!AA$46:AA$83="SP"))+SUMPRODUCT(--(Lineups!AG$46:AG$83=A37),--(Lineups!AA$46:AA$83="SP")))))</f>
        <v>18</v>
      </c>
      <c r="G37" s="582">
        <f>IF(OR(A37="",F37=0,LU!D$3+LU!D$102=0),"",F37/(LU!D$3+LU!D$102))</f>
        <v>0.48648648648648651</v>
      </c>
      <c r="H37" s="583">
        <f ca="1">IF(OR(C37=0,A37=""),"",SK!T201)</f>
        <v>24</v>
      </c>
      <c r="I37" s="584">
        <f ca="1">IF(OR(A37="",SK!U201="",SK!U201=0),"",H37/SK!U201)</f>
        <v>6</v>
      </c>
      <c r="J37" s="603">
        <f ca="1">IF(OR(C37=0,A37=""),"",SK!W201)</f>
        <v>0</v>
      </c>
      <c r="K37" s="604">
        <f ca="1">IF(OR(C37=0,A37=""),"",SK!X201)</f>
        <v>0</v>
      </c>
      <c r="L37" s="605">
        <f ca="1">IF(OR(C37=0,A37=""),"",SK!Z201)</f>
        <v>0</v>
      </c>
      <c r="M37" s="605">
        <f ca="1">IF(OR(C37=0,A37=""),"",SK!AB201)</f>
        <v>0</v>
      </c>
      <c r="N37" s="606">
        <f t="shared" ca="1" si="11"/>
        <v>0</v>
      </c>
      <c r="O37" s="607">
        <f ca="1">IF(OR(A37="",C37=0),"",SK!Y201)</f>
        <v>0</v>
      </c>
      <c r="P37" s="608" t="str">
        <f t="shared" ca="1" si="12"/>
        <v/>
      </c>
      <c r="Q37" s="609">
        <f ca="1">IF(OR(A37="",F37=0),"",SUM(LU!AJ64,LU!AJ163))</f>
        <v>46</v>
      </c>
      <c r="R37" s="610">
        <f ca="1">IF(OR(A37="",F37=0),"",SUM(LU!AJ87,LU!AJ186))</f>
        <v>108</v>
      </c>
      <c r="S37" s="583">
        <f ca="1">IF(OR(A37="",F37=0),"",SUM(LU!AJ41,LU!AJ140))</f>
        <v>-62</v>
      </c>
      <c r="T37" s="610">
        <f ca="1">IF(OR(A37="",C37=0),"",SUM(LU!AH41,LU!AH140))</f>
        <v>24</v>
      </c>
      <c r="U37" s="611">
        <f t="shared" ca="1" si="13"/>
        <v>6</v>
      </c>
      <c r="V37" s="612">
        <f ca="1">IF(OR(A37="",D37=0),"",SUM(LU!W41,LU!W140))</f>
        <v>-31</v>
      </c>
      <c r="W37" s="611">
        <f t="shared" ca="1" si="14"/>
        <v>-4.4285714285714288</v>
      </c>
      <c r="X37" s="612">
        <f ca="1">IF(OR(A37="",E37=0),"",SUM(LU!AC41,LU!AC140))</f>
        <v>-55</v>
      </c>
      <c r="Y37" s="611">
        <f t="shared" ca="1" si="15"/>
        <v>-5</v>
      </c>
      <c r="Z37" s="608">
        <f t="shared" ca="1" si="16"/>
        <v>-3.4444444444444446</v>
      </c>
      <c r="AA37" s="613">
        <f ca="1">IF(OR(A37="",F37=0,Q$48="-",LU!$W$5=0),"",Q37-Q$48)</f>
        <v>26.46153846153846</v>
      </c>
      <c r="AB37" s="614">
        <f ca="1">IF(OR(A37="",F37=0,R$48="-",LU!$W$5=0),"",R37-R$48)</f>
        <v>19.461538461538467</v>
      </c>
      <c r="AC37" s="615">
        <f t="shared" ca="1" si="17"/>
        <v>6.9999999999999929</v>
      </c>
      <c r="AD37" s="616">
        <f t="shared" ca="1" si="18"/>
        <v>9.1892361111111107</v>
      </c>
      <c r="AE37" s="616">
        <f t="shared" ca="1" si="19"/>
        <v>0.3486394557823127</v>
      </c>
      <c r="AF37" s="617">
        <f t="shared" ca="1" si="20"/>
        <v>-0.60658274474063933</v>
      </c>
      <c r="AG37" s="618">
        <f ca="1">IF(OR($A37="",Z37="",Z$48="-",LU!$W$5=0),"",Z37-Z$48)</f>
        <v>2.0262844611528816</v>
      </c>
      <c r="AH37" s="1013">
        <f>IF(OR(A37="",F37=0),"",SUM(PT!U74,PT!U75))</f>
        <v>4</v>
      </c>
      <c r="AI37" s="1014"/>
    </row>
    <row r="38" spans="1:35" s="79" customFormat="1" ht="19.5" customHeight="1" x14ac:dyDescent="0.3">
      <c r="A38" s="175" t="str">
        <f>IF(ISBLANK(IGRF!$H24),"",IGRF!$H24)</f>
        <v>58</v>
      </c>
      <c r="B38" s="122" t="str">
        <f>IF(ISBLANK(IGRF!$I24),"",IGRF!$I24)</f>
        <v>Natty B</v>
      </c>
      <c r="C38" s="123">
        <f>IF(A38="","",SUM(LU!AH19,LU!AH118))</f>
        <v>9</v>
      </c>
      <c r="D38" s="123">
        <f>IF(A38="","",SUM(LU!W19,LU!W118))</f>
        <v>1</v>
      </c>
      <c r="E38" s="124">
        <f>IF(A38="","",SUM(LU!AC19,LU!AC118))</f>
        <v>1</v>
      </c>
      <c r="F38" s="581">
        <f>IF(A38="","",(SUM(C38:E38)-(SUMPRODUCT(--(Lineups!AC$4:AC$41=A38),--(Lineups!AA$4:AA$41="SP"))+SUMPRODUCT(--(Lineups!AG$4:AG$41=A38),--(Lineups!AA$4:AA$41="SP"))+SUMPRODUCT(--(Lineups!AC$46:AC$83=A38),--(Lineups!AA$46:AA$83="SP"))+SUMPRODUCT(--(Lineups!AG$46:AG$83=A38),--(Lineups!AA$46:AA$83="SP")))))</f>
        <v>10</v>
      </c>
      <c r="G38" s="582">
        <f>IF(OR(A38="",F38=0,LU!D$3+LU!D$102=0),"",F38/(LU!D$3+LU!D$102))</f>
        <v>0.27027027027027029</v>
      </c>
      <c r="H38" s="583">
        <f ca="1">IF(OR(C38=0,A38=""),"",SK!T204)</f>
        <v>0</v>
      </c>
      <c r="I38" s="584">
        <f ca="1">IF(OR(A38="",SK!U204="",SK!U204=0),"",H38/SK!U204)</f>
        <v>0</v>
      </c>
      <c r="J38" s="603">
        <f ca="1">IF(OR(C38=0,A38=""),"",SK!W204)</f>
        <v>0</v>
      </c>
      <c r="K38" s="604">
        <f ca="1">IF(OR(C38=0,A38=""),"",SK!X204)</f>
        <v>1</v>
      </c>
      <c r="L38" s="605">
        <f ca="1">IF(OR(C38=0,A38=""),"",SK!Z204)</f>
        <v>1</v>
      </c>
      <c r="M38" s="605">
        <f ca="1">IF(OR(C38=0,A38=""),"",SK!AB204)</f>
        <v>6</v>
      </c>
      <c r="N38" s="606">
        <f t="shared" ca="1" si="11"/>
        <v>0.1111111111111111</v>
      </c>
      <c r="O38" s="607">
        <f ca="1">IF(OR(A38="",C38=0),"",SK!Y204)</f>
        <v>0</v>
      </c>
      <c r="P38" s="608">
        <f t="shared" ca="1" si="12"/>
        <v>0</v>
      </c>
      <c r="Q38" s="609">
        <f ca="1">IF(OR(A38="",F38=0),"",SUM(LU!AJ65,LU!AJ164))</f>
        <v>0</v>
      </c>
      <c r="R38" s="610">
        <f ca="1">IF(OR(A38="",F38=0),"",SUM(LU!AJ88,LU!AJ187))</f>
        <v>111</v>
      </c>
      <c r="S38" s="583">
        <f ca="1">IF(OR(A38="",F38=0),"",SUM(LU!AJ42,LU!AJ141))</f>
        <v>-111</v>
      </c>
      <c r="T38" s="610">
        <f ca="1">IF(OR(A38="",C38=0),"",SUM(LU!AH42,LU!AH141))</f>
        <v>-107</v>
      </c>
      <c r="U38" s="611">
        <f t="shared" ca="1" si="13"/>
        <v>-11.888888888888889</v>
      </c>
      <c r="V38" s="612">
        <f ca="1">IF(OR(A38="",D38=0),"",SUM(LU!W42,LU!W141))</f>
        <v>0</v>
      </c>
      <c r="W38" s="611">
        <f t="shared" ca="1" si="14"/>
        <v>0</v>
      </c>
      <c r="X38" s="612">
        <f ca="1">IF(OR(A38="",E38=0),"",SUM(LU!AC42,LU!AC141))</f>
        <v>-4</v>
      </c>
      <c r="Y38" s="611">
        <f t="shared" ca="1" si="15"/>
        <v>-4</v>
      </c>
      <c r="Z38" s="608">
        <f t="shared" ca="1" si="16"/>
        <v>-11.1</v>
      </c>
      <c r="AA38" s="613">
        <f ca="1">IF(OR(A38="",F38=0,Q$48="-",LU!$W$5=0),"",Q38-Q$48)</f>
        <v>-19.53846153846154</v>
      </c>
      <c r="AB38" s="614">
        <f ca="1">IF(OR(A38="",F38=0,R$48="-",LU!$W$5=0),"",R38-R$48)</f>
        <v>22.461538461538467</v>
      </c>
      <c r="AC38" s="615">
        <f t="shared" ca="1" si="17"/>
        <v>-42.000000000000007</v>
      </c>
      <c r="AD38" s="616">
        <f t="shared" ca="1" si="18"/>
        <v>-8.6996527777777786</v>
      </c>
      <c r="AE38" s="616">
        <f t="shared" ca="1" si="19"/>
        <v>4.7772108843537415</v>
      </c>
      <c r="AF38" s="617">
        <f t="shared" ca="1" si="20"/>
        <v>0.39341725525936067</v>
      </c>
      <c r="AG38" s="618">
        <f ca="1">IF(OR($A38="",Z38="",Z$48="-",LU!$W$5=0),"",Z38-Z$48)</f>
        <v>-5.6292710944026734</v>
      </c>
      <c r="AH38" s="1013">
        <f>IF(OR(A38="",F38=0),"",SUM(PT!U76,PT!U77))</f>
        <v>2</v>
      </c>
      <c r="AI38" s="1014"/>
    </row>
    <row r="39" spans="1:35" s="79" customFormat="1" ht="20.100000000000001" customHeight="1" x14ac:dyDescent="0.3">
      <c r="A39" s="175" t="str">
        <f>IF(ISBLANK(IGRF!$H25),"",IGRF!$H25)</f>
        <v>932</v>
      </c>
      <c r="B39" s="122" t="str">
        <f>IF(ISBLANK(IGRF!$I25),"",IGRF!$I25)</f>
        <v>Heaven Lee Bash</v>
      </c>
      <c r="C39" s="123">
        <f>IF(A39="","",SUM(LU!AH20,LU!AH119))</f>
        <v>0</v>
      </c>
      <c r="D39" s="123">
        <f>IF(A39="","",SUM(LU!W20,LU!W119))</f>
        <v>0</v>
      </c>
      <c r="E39" s="124">
        <f>IF(A39="","",SUM(LU!AC20,LU!AC119))</f>
        <v>10</v>
      </c>
      <c r="F39" s="581">
        <f>IF(A39="","",(SUM(C39:E39)-(SUMPRODUCT(--(Lineups!AC$4:AC$41=A39),--(Lineups!AA$4:AA$41="SP"))+SUMPRODUCT(--(Lineups!AG$4:AG$41=A39),--(Lineups!AA$4:AA$41="SP"))+SUMPRODUCT(--(Lineups!AC$46:AC$83=A39),--(Lineups!AA$46:AA$83="SP"))+SUMPRODUCT(--(Lineups!AG$46:AG$83=A39),--(Lineups!AA$46:AA$83="SP")))))</f>
        <v>10</v>
      </c>
      <c r="G39" s="582">
        <f>IF(OR(A39="",F39=0,LU!D$3+LU!D$102=0),"",F39/(LU!D$3+LU!D$102))</f>
        <v>0.27027027027027029</v>
      </c>
      <c r="H39" s="583" t="str">
        <f>IF(OR(C39=0,A39=""),"",SK!T207)</f>
        <v/>
      </c>
      <c r="I39" s="584" t="str">
        <f ca="1">IF(OR(A39="",SK!U207="",SK!U207=0),"",H39/SK!U207)</f>
        <v/>
      </c>
      <c r="J39" s="603" t="str">
        <f>IF(OR(C39=0,A39=""),"",SK!W207)</f>
        <v/>
      </c>
      <c r="K39" s="604" t="str">
        <f>IF(OR(C39=0,A39=""),"",SK!X207)</f>
        <v/>
      </c>
      <c r="L39" s="605" t="str">
        <f>IF(OR(C39=0,A39=""),"",SK!Z207)</f>
        <v/>
      </c>
      <c r="M39" s="605" t="str">
        <f>IF(OR(C39=0,A39=""),"",SK!AB207)</f>
        <v/>
      </c>
      <c r="N39" s="606" t="str">
        <f t="shared" si="11"/>
        <v/>
      </c>
      <c r="O39" s="607" t="str">
        <f>IF(OR(A39="",C39=0),"",SK!Y207)</f>
        <v/>
      </c>
      <c r="P39" s="608" t="str">
        <f t="shared" si="12"/>
        <v/>
      </c>
      <c r="Q39" s="609">
        <f ca="1">IF(OR(A39="",F39=0),"",SUM(LU!AJ66,LU!AJ165))</f>
        <v>12</v>
      </c>
      <c r="R39" s="610">
        <f ca="1">IF(OR(A39="",F39=0),"",SUM(LU!AJ89,LU!AJ188))</f>
        <v>87</v>
      </c>
      <c r="S39" s="583">
        <f ca="1">IF(OR(A39="",F39=0),"",SUM(LU!AJ43,LU!AJ142))</f>
        <v>-75</v>
      </c>
      <c r="T39" s="610" t="str">
        <f>IF(OR(A39="",C39=0),"",SUM(LU!AH43,LU!AH142))</f>
        <v/>
      </c>
      <c r="U39" s="611" t="str">
        <f t="shared" si="13"/>
        <v/>
      </c>
      <c r="V39" s="612" t="str">
        <f>IF(OR(A39="",D39=0),"",SUM(LU!W43,LU!W142))</f>
        <v/>
      </c>
      <c r="W39" s="611" t="str">
        <f t="shared" si="14"/>
        <v/>
      </c>
      <c r="X39" s="612">
        <f ca="1">IF(OR(A39="",E39=0),"",SUM(LU!AC43,LU!AC142))</f>
        <v>-75</v>
      </c>
      <c r="Y39" s="611">
        <f t="shared" ca="1" si="15"/>
        <v>-7.5</v>
      </c>
      <c r="Z39" s="608">
        <f t="shared" ca="1" si="16"/>
        <v>-7.5</v>
      </c>
      <c r="AA39" s="613">
        <f ca="1">IF(OR(A39="",F39=0,Q$48="-",LU!$W$5=0),"",Q39-Q$48)</f>
        <v>-7.5384615384615401</v>
      </c>
      <c r="AB39" s="614">
        <f ca="1">IF(OR(A39="",F39=0,R$48="-",LU!$W$5=0),"",R39-R$48)</f>
        <v>-1.538461538461533</v>
      </c>
      <c r="AC39" s="615">
        <f t="shared" ca="1" si="17"/>
        <v>-6.0000000000000071</v>
      </c>
      <c r="AD39" s="616" t="str">
        <f t="shared" si="18"/>
        <v/>
      </c>
      <c r="AE39" s="616" t="str">
        <f t="shared" si="19"/>
        <v/>
      </c>
      <c r="AF39" s="617">
        <f t="shared" ca="1" si="20"/>
        <v>-3.1065827447406393</v>
      </c>
      <c r="AG39" s="618">
        <f ca="1">IF(OR($A39="",Z39="",Z$48="-",LU!$W$5=0),"",Z39-Z$48)</f>
        <v>-2.0292710944026737</v>
      </c>
      <c r="AH39" s="1013">
        <f>IF(OR(A39="",F39=0),"",SUM(PT!U78,PT!U79))</f>
        <v>0</v>
      </c>
      <c r="AI39" s="1014"/>
    </row>
    <row r="40" spans="1:35" s="79" customFormat="1" ht="20.100000000000001" customHeight="1" x14ac:dyDescent="0.3">
      <c r="A40" s="175" t="str">
        <f>IF(ISBLANK(IGRF!$H26),"",IGRF!$H26)</f>
        <v>H20</v>
      </c>
      <c r="B40" s="122" t="str">
        <f>IF(ISBLANK(IGRF!$I26),"",IGRF!$I26)</f>
        <v>Lethal Mermaid</v>
      </c>
      <c r="C40" s="123">
        <f>IF(A40="","",SUM(LU!AH21,LU!AH120))</f>
        <v>0</v>
      </c>
      <c r="D40" s="123">
        <f>IF(A40="","",SUM(LU!W21,LU!W120))</f>
        <v>0</v>
      </c>
      <c r="E40" s="124">
        <f>IF(A40="","",SUM(LU!AC21,LU!AC120))</f>
        <v>8</v>
      </c>
      <c r="F40" s="581">
        <f>IF(A40="","",(SUM(C40:E40)-(SUMPRODUCT(--(Lineups!AC$4:AC$41=A40),--(Lineups!AA$4:AA$41="SP"))+SUMPRODUCT(--(Lineups!AG$4:AG$41=A40),--(Lineups!AA$4:AA$41="SP"))+SUMPRODUCT(--(Lineups!AC$46:AC$83=A40),--(Lineups!AA$46:AA$83="SP"))+SUMPRODUCT(--(Lineups!AG$46:AG$83=A40),--(Lineups!AA$46:AA$83="SP")))))</f>
        <v>8</v>
      </c>
      <c r="G40" s="582">
        <f>IF(OR(A40="",F40=0,LU!D$3+LU!D$102=0),"",F40/(LU!D$3+LU!D$102))</f>
        <v>0.21621621621621623</v>
      </c>
      <c r="H40" s="583" t="str">
        <f>IF(OR(C40=0,A40=""),"",SK!T210)</f>
        <v/>
      </c>
      <c r="I40" s="584" t="str">
        <f ca="1">IF(OR(A40="",SK!U210="",SK!U210=0),"",H40/SK!U210)</f>
        <v/>
      </c>
      <c r="J40" s="603" t="str">
        <f>IF(OR(C40=0,A40=""),"",SK!W210)</f>
        <v/>
      </c>
      <c r="K40" s="604" t="str">
        <f>IF(OR(C40=0,A40=""),"",SK!X210)</f>
        <v/>
      </c>
      <c r="L40" s="605" t="str">
        <f>IF(OR(C40=0,A40=""),"",SK!Z210)</f>
        <v/>
      </c>
      <c r="M40" s="605" t="str">
        <f>IF(OR(C40=0,A40=""),"",SK!AB210)</f>
        <v/>
      </c>
      <c r="N40" s="606" t="str">
        <f t="shared" si="11"/>
        <v/>
      </c>
      <c r="O40" s="607" t="str">
        <f>IF(OR(A40="",C40=0),"",SK!Y210)</f>
        <v/>
      </c>
      <c r="P40" s="608" t="str">
        <f t="shared" si="12"/>
        <v/>
      </c>
      <c r="Q40" s="609">
        <f ca="1">IF(OR(A40="",F40=0),"",SUM(LU!AJ67,LU!AJ166))</f>
        <v>6</v>
      </c>
      <c r="R40" s="610">
        <f ca="1">IF(OR(A40="",F40=0),"",SUM(LU!AJ90,LU!AJ189))</f>
        <v>47</v>
      </c>
      <c r="S40" s="583">
        <f ca="1">IF(OR(A40="",F40=0),"",SUM(LU!AJ44,LU!AJ143))</f>
        <v>-41</v>
      </c>
      <c r="T40" s="610" t="str">
        <f>IF(OR(A40="",C40=0),"",SUM(LU!AH44,LU!AH143))</f>
        <v/>
      </c>
      <c r="U40" s="611" t="str">
        <f t="shared" si="13"/>
        <v/>
      </c>
      <c r="V40" s="612" t="str">
        <f>IF(OR(A40="",D40=0),"",SUM(LU!W44,LU!W143))</f>
        <v/>
      </c>
      <c r="W40" s="611" t="str">
        <f t="shared" si="14"/>
        <v/>
      </c>
      <c r="X40" s="612">
        <f ca="1">IF(OR(A40="",E40=0),"",SUM(LU!AC44,LU!AC143))</f>
        <v>-41</v>
      </c>
      <c r="Y40" s="611">
        <f t="shared" ca="1" si="15"/>
        <v>-5.125</v>
      </c>
      <c r="Z40" s="608">
        <f t="shared" ca="1" si="16"/>
        <v>-5.125</v>
      </c>
      <c r="AA40" s="613">
        <f ca="1">IF(OR(A40="",F40=0,Q$48="-",LU!$W$5=0),"",Q40-Q$48)</f>
        <v>-13.53846153846154</v>
      </c>
      <c r="AB40" s="614">
        <f ca="1">IF(OR(A40="",F40=0,R$48="-",LU!$W$5=0),"",R40-R$48)</f>
        <v>-41.538461538461533</v>
      </c>
      <c r="AC40" s="615">
        <f t="shared" ca="1" si="17"/>
        <v>27.999999999999993</v>
      </c>
      <c r="AD40" s="616" t="str">
        <f t="shared" si="18"/>
        <v/>
      </c>
      <c r="AE40" s="616" t="str">
        <f t="shared" si="19"/>
        <v/>
      </c>
      <c r="AF40" s="617">
        <f t="shared" ca="1" si="20"/>
        <v>-0.73158274474063933</v>
      </c>
      <c r="AG40" s="618">
        <f ca="1">IF(OR($A40="",Z40="",Z$48="-",LU!$W$5=0),"",Z40-Z$48)</f>
        <v>0.34572890559732627</v>
      </c>
      <c r="AH40" s="1013">
        <f>IF(OR(A40="",F40=0),"",SUM(PT!U80,PT!U81))</f>
        <v>1</v>
      </c>
      <c r="AI40" s="1014"/>
    </row>
    <row r="41" spans="1:35" s="79" customFormat="1" ht="20.100000000000001" customHeight="1" x14ac:dyDescent="0.3">
      <c r="A41" s="175" t="str">
        <f>IF(ISBLANK(IGRF!$H27),"",IGRF!$H27)</f>
        <v>K9</v>
      </c>
      <c r="B41" s="122" t="str">
        <f>IF(ISBLANK(IGRF!$I27),"",IGRF!$I27)</f>
        <v>Scooby Doom</v>
      </c>
      <c r="C41" s="123">
        <f>IF(A41="","",SUM(LU!AH22,LU!AH121))</f>
        <v>10</v>
      </c>
      <c r="D41" s="123">
        <f>IF(A41="","",SUM(LU!W22,LU!W121))</f>
        <v>0</v>
      </c>
      <c r="E41" s="124">
        <f>IF(A41="","",SUM(LU!AC22,LU!AC121))</f>
        <v>0</v>
      </c>
      <c r="F41" s="581">
        <f>IF(A41="","",(SUM(C41:E41)-(SUMPRODUCT(--(Lineups!AC$4:AC$41=A41),--(Lineups!AA$4:AA$41="SP"))+SUMPRODUCT(--(Lineups!AG$4:AG$41=A41),--(Lineups!AA$4:AA$41="SP"))+SUMPRODUCT(--(Lineups!AC$46:AC$83=A41),--(Lineups!AA$46:AA$83="SP"))+SUMPRODUCT(--(Lineups!AG$46:AG$83=A41),--(Lineups!AA$46:AA$83="SP")))))</f>
        <v>10</v>
      </c>
      <c r="G41" s="582">
        <f>IF(OR(A41="",F41=0,LU!D$3+LU!D$102=0),"",F41/(LU!D$3+LU!D$102))</f>
        <v>0.27027027027027029</v>
      </c>
      <c r="H41" s="583">
        <f ca="1">IF(OR(C41=0,A41=""),"",SK!T213)</f>
        <v>20</v>
      </c>
      <c r="I41" s="584">
        <f ca="1">IF(OR(A41="",SK!U213="",SK!U213=0),"",H41/SK!U213)</f>
        <v>2</v>
      </c>
      <c r="J41" s="603">
        <f ca="1">IF(OR(C41=0,A41=""),"",SK!W213)</f>
        <v>0</v>
      </c>
      <c r="K41" s="604">
        <f ca="1">IF(OR(C41=0,A41=""),"",SK!X213)</f>
        <v>5</v>
      </c>
      <c r="L41" s="605">
        <f ca="1">IF(OR(C41=0,A41=""),"",SK!Z213)</f>
        <v>5</v>
      </c>
      <c r="M41" s="605">
        <f ca="1">IF(OR(C41=0,A41=""),"",SK!AB213)</f>
        <v>2</v>
      </c>
      <c r="N41" s="606">
        <f t="shared" ca="1" si="11"/>
        <v>0.5</v>
      </c>
      <c r="O41" s="607">
        <f ca="1">IF(OR(A41="",C41=0),"",SK!Y213)</f>
        <v>9</v>
      </c>
      <c r="P41" s="608">
        <f t="shared" ca="1" si="12"/>
        <v>1.8</v>
      </c>
      <c r="Q41" s="609">
        <f ca="1">IF(OR(A41="",F41=0),"",SUM(LU!AJ68,LU!AJ167))</f>
        <v>20</v>
      </c>
      <c r="R41" s="610">
        <f ca="1">IF(OR(A41="",F41=0),"",SUM(LU!AJ91,LU!AJ190))</f>
        <v>40</v>
      </c>
      <c r="S41" s="583">
        <f ca="1">IF(OR(A41="",F41=0),"",SUM(LU!AJ45,LU!AJ144))</f>
        <v>-20</v>
      </c>
      <c r="T41" s="610">
        <f ca="1">IF(OR(A41="",C41=0),"",SUM(LU!AH45,LU!AH144))</f>
        <v>-20</v>
      </c>
      <c r="U41" s="611">
        <f t="shared" ca="1" si="13"/>
        <v>-2</v>
      </c>
      <c r="V41" s="612" t="str">
        <f>IF(OR(A41="",D41=0),"",SUM(LU!W45,LU!W144))</f>
        <v/>
      </c>
      <c r="W41" s="611" t="str">
        <f t="shared" si="14"/>
        <v/>
      </c>
      <c r="X41" s="612" t="str">
        <f>IF(OR(A41="",E41=0),"",SUM(LU!AC45,LU!AC144))</f>
        <v/>
      </c>
      <c r="Y41" s="611" t="str">
        <f t="shared" si="15"/>
        <v/>
      </c>
      <c r="Z41" s="608">
        <f t="shared" ca="1" si="16"/>
        <v>-2</v>
      </c>
      <c r="AA41" s="613">
        <f ca="1">IF(OR(A41="",F41=0,Q$48="-",LU!$W$5=0),"",Q41-Q$48)</f>
        <v>0.4615384615384599</v>
      </c>
      <c r="AB41" s="614">
        <f ca="1">IF(OR(A41="",F41=0,R$48="-",LU!$W$5=0),"",R41-R$48)</f>
        <v>-48.538461538461533</v>
      </c>
      <c r="AC41" s="615">
        <f t="shared" ca="1" si="17"/>
        <v>48.999999999999993</v>
      </c>
      <c r="AD41" s="616">
        <f t="shared" ca="1" si="18"/>
        <v>1.1892361111111112</v>
      </c>
      <c r="AE41" s="616" t="str">
        <f t="shared" si="19"/>
        <v/>
      </c>
      <c r="AF41" s="617" t="str">
        <f t="shared" si="20"/>
        <v/>
      </c>
      <c r="AG41" s="618">
        <f ca="1">IF(OR($A41="",Z41="",Z$48="-",LU!$W$5=0),"",Z41-Z$48)</f>
        <v>3.4707289055973263</v>
      </c>
      <c r="AH41" s="1013">
        <f>IF(OR(A41="",F41=0),"",SUM(PT!U82,PT!U83))</f>
        <v>2</v>
      </c>
      <c r="AI41" s="1014"/>
    </row>
    <row r="42" spans="1:35" s="79" customFormat="1" ht="19.5" customHeight="1" x14ac:dyDescent="0.3">
      <c r="A42" s="175" t="str">
        <f>IF(ISBLANK(IGRF!$H28),"",IGRF!$H28)</f>
        <v/>
      </c>
      <c r="B42" s="122" t="str">
        <f>IF(ISBLANK(IGRF!$I28),"",IGRF!$I28)</f>
        <v/>
      </c>
      <c r="C42" s="123" t="str">
        <f>IF(A42="","",SUM(LU!AH23,LU!AH122))</f>
        <v/>
      </c>
      <c r="D42" s="123" t="str">
        <f>IF(A42="","",SUM(LU!W23,LU!W122))</f>
        <v/>
      </c>
      <c r="E42" s="124" t="str">
        <f>IF(A42="","",SUM(LU!AC23,LU!AC122))</f>
        <v/>
      </c>
      <c r="F42" s="581" t="str">
        <f>IF(A42="","",(SUM(C42:E42)-(SUMPRODUCT(--(Lineups!AC$4:AC$41=A42),--(Lineups!AA$4:AA$41="SP"))+SUMPRODUCT(--(Lineups!AG$4:AG$41=A42),--(Lineups!AA$4:AA$41="SP"))+SUMPRODUCT(--(Lineups!AC$46:AC$83=A42),--(Lineups!AA$46:AA$83="SP"))+SUMPRODUCT(--(Lineups!AG$46:AG$83=A42),--(Lineups!AA$46:AA$83="SP")))))</f>
        <v/>
      </c>
      <c r="G42" s="582" t="str">
        <f>IF(OR(A42="",F42=0,LU!D$3+LU!D$102=0),"",F42/(LU!D$3+LU!D$102))</f>
        <v/>
      </c>
      <c r="H42" s="583" t="str">
        <f>IF(OR(C42=0,A42=""),"",SK!T216)</f>
        <v/>
      </c>
      <c r="I42" s="584" t="str">
        <f>IF(OR(A42="",SK!U216="",SK!U216=0),"",H42/SK!U216)</f>
        <v/>
      </c>
      <c r="J42" s="603" t="str">
        <f>IF(OR(C42=0,A42=""),"",SK!W216)</f>
        <v/>
      </c>
      <c r="K42" s="604" t="str">
        <f>IF(OR(C42=0,A42=""),"",SK!X216)</f>
        <v/>
      </c>
      <c r="L42" s="605" t="str">
        <f>IF(OR(C42=0,A42=""),"",SK!Z216)</f>
        <v/>
      </c>
      <c r="M42" s="605" t="str">
        <f>IF(OR(C42=0,A42=""),"",SK!AB216)</f>
        <v/>
      </c>
      <c r="N42" s="606" t="str">
        <f t="shared" si="11"/>
        <v/>
      </c>
      <c r="O42" s="607" t="str">
        <f>IF(OR(A42="",C42=0),"",SK!Y216)</f>
        <v/>
      </c>
      <c r="P42" s="608" t="str">
        <f t="shared" si="12"/>
        <v/>
      </c>
      <c r="Q42" s="609" t="str">
        <f>IF(OR(A42="",F42=0),"",SUM(LU!AJ69,LU!AJ168))</f>
        <v/>
      </c>
      <c r="R42" s="610" t="str">
        <f>IF(OR(A42="",F42=0),"",SUM(LU!AJ92,LU!AJ191))</f>
        <v/>
      </c>
      <c r="S42" s="583" t="str">
        <f>IF(OR(A42="",F42=0),"",SUM(LU!AJ46,LU!AJ145))</f>
        <v/>
      </c>
      <c r="T42" s="610" t="str">
        <f>IF(OR(A42="",C42=0),"",SUM(LU!AH46,LU!AH145))</f>
        <v/>
      </c>
      <c r="U42" s="611" t="str">
        <f t="shared" si="13"/>
        <v/>
      </c>
      <c r="V42" s="612" t="str">
        <f>IF(OR(A42="",D42=0),"",SUM(LU!W46,LU!W145))</f>
        <v/>
      </c>
      <c r="W42" s="611" t="str">
        <f t="shared" si="14"/>
        <v/>
      </c>
      <c r="X42" s="612" t="str">
        <f>IF(OR(A42="",E42=0),"",SUM(LU!AC46,LU!AC145))</f>
        <v/>
      </c>
      <c r="Y42" s="611" t="str">
        <f t="shared" si="15"/>
        <v/>
      </c>
      <c r="Z42" s="608" t="str">
        <f t="shared" si="16"/>
        <v/>
      </c>
      <c r="AA42" s="613" t="str">
        <f ca="1">IF(OR(A42="",F42=0,Q$48="-",LU!$W$5=0),"",Q42-Q$48)</f>
        <v/>
      </c>
      <c r="AB42" s="614" t="str">
        <f ca="1">IF(OR(A42="",F42=0,R$48="-",LU!$W$5=0),"",R42-R$48)</f>
        <v/>
      </c>
      <c r="AC42" s="615" t="str">
        <f t="shared" ca="1" si="17"/>
        <v/>
      </c>
      <c r="AD42" s="616" t="str">
        <f t="shared" si="18"/>
        <v/>
      </c>
      <c r="AE42" s="616" t="str">
        <f t="shared" si="19"/>
        <v/>
      </c>
      <c r="AF42" s="617" t="str">
        <f t="shared" si="20"/>
        <v/>
      </c>
      <c r="AG42" s="618" t="str">
        <f ca="1">IF(OR($A42="",Z42="",Z$48="-",LU!$W$5=0),"",Z42-Z$48)</f>
        <v/>
      </c>
      <c r="AH42" s="1013" t="str">
        <f>IF(OR(A42="",F42=0),"",SUM(PT!U84,PT!U85))</f>
        <v/>
      </c>
      <c r="AI42" s="1014"/>
    </row>
    <row r="43" spans="1:35" s="79" customFormat="1" ht="20.100000000000001" customHeight="1" x14ac:dyDescent="0.3">
      <c r="A43" s="175" t="str">
        <f>IF(ISBLANK(IGRF!$H29),"",IGRF!$H29)</f>
        <v/>
      </c>
      <c r="B43" s="122" t="str">
        <f>IF(ISBLANK(IGRF!$I29),"",IGRF!$I29)</f>
        <v/>
      </c>
      <c r="C43" s="123" t="str">
        <f>IF(A43="","",SUM(LU!AH24,LU!AH123))</f>
        <v/>
      </c>
      <c r="D43" s="123" t="str">
        <f>IF(A43="","",SUM(LU!W24,LU!W123))</f>
        <v/>
      </c>
      <c r="E43" s="124" t="str">
        <f>IF(A43="","",SUM(LU!AC24,LU!AC123))</f>
        <v/>
      </c>
      <c r="F43" s="581" t="str">
        <f>IF(A43="","",(SUM(C43:E43)-(SUMPRODUCT(--(Lineups!AC$4:AC$41=A43),--(Lineups!AA$4:AA$41="SP"))+SUMPRODUCT(--(Lineups!AG$4:AG$41=A43),--(Lineups!AA$4:AA$41="SP"))+SUMPRODUCT(--(Lineups!AC$46:AC$83=A43),--(Lineups!AA$46:AA$83="SP"))+SUMPRODUCT(--(Lineups!AG$46:AG$83=A43),--(Lineups!AA$46:AA$83="SP")))))</f>
        <v/>
      </c>
      <c r="G43" s="582" t="str">
        <f>IF(OR(A43="",F43=0,LU!D$3+LU!D$102=0),"",F43/(LU!D$3+LU!D$102))</f>
        <v/>
      </c>
      <c r="H43" s="583" t="str">
        <f>IF(OR(C43=0,A43=""),"",SK!T219)</f>
        <v/>
      </c>
      <c r="I43" s="584" t="str">
        <f>IF(OR(A43="",SK!U219="",SK!U219=0),"",H43/SK!U219)</f>
        <v/>
      </c>
      <c r="J43" s="603" t="str">
        <f>IF(OR(C43=0,A43=""),"",SK!W219)</f>
        <v/>
      </c>
      <c r="K43" s="604" t="str">
        <f>IF(OR(C43=0,A43=""),"",SK!X219)</f>
        <v/>
      </c>
      <c r="L43" s="605" t="str">
        <f>IF(OR(C43=0,A43=""),"",SK!Z219)</f>
        <v/>
      </c>
      <c r="M43" s="605" t="str">
        <f>IF(OR(C43=0,A43=""),"",SK!AB219)</f>
        <v/>
      </c>
      <c r="N43" s="606" t="str">
        <f t="shared" si="11"/>
        <v/>
      </c>
      <c r="O43" s="607" t="str">
        <f>IF(OR(A43="",C43=0),"",SK!Y219)</f>
        <v/>
      </c>
      <c r="P43" s="608" t="str">
        <f t="shared" si="12"/>
        <v/>
      </c>
      <c r="Q43" s="609" t="str">
        <f>IF(OR(A43="",F43=0),"",SUM(LU!AJ70,LU!AJ169))</f>
        <v/>
      </c>
      <c r="R43" s="610" t="str">
        <f>IF(OR(A43="",F43=0),"",SUM(LU!AJ93,LU!AJ192))</f>
        <v/>
      </c>
      <c r="S43" s="583" t="str">
        <f>IF(OR(A43="",F43=0),"",SUM(LU!AJ47,LU!AJ146))</f>
        <v/>
      </c>
      <c r="T43" s="610" t="str">
        <f>IF(OR(A43="",C43=0),"",SUM(LU!AH47,LU!AH146))</f>
        <v/>
      </c>
      <c r="U43" s="611" t="str">
        <f t="shared" si="13"/>
        <v/>
      </c>
      <c r="V43" s="612" t="str">
        <f>IF(OR(A43="",D43=0),"",SUM(LU!W47,LU!W146))</f>
        <v/>
      </c>
      <c r="W43" s="611" t="str">
        <f t="shared" si="14"/>
        <v/>
      </c>
      <c r="X43" s="612" t="str">
        <f>IF(OR(A43="",E43=0),"",SUM(LU!AC47,LU!AC146))</f>
        <v/>
      </c>
      <c r="Y43" s="611" t="str">
        <f t="shared" si="15"/>
        <v/>
      </c>
      <c r="Z43" s="608" t="str">
        <f t="shared" si="16"/>
        <v/>
      </c>
      <c r="AA43" s="613" t="str">
        <f ca="1">IF(OR(A43="",F43=0,Q$48="-",LU!$W$5=0),"",Q43-Q$48)</f>
        <v/>
      </c>
      <c r="AB43" s="614" t="str">
        <f ca="1">IF(OR(A43="",F43=0,R$48="-",LU!$W$5=0),"",R43-R$48)</f>
        <v/>
      </c>
      <c r="AC43" s="615" t="str">
        <f t="shared" ca="1" si="17"/>
        <v/>
      </c>
      <c r="AD43" s="616" t="str">
        <f t="shared" si="18"/>
        <v/>
      </c>
      <c r="AE43" s="616" t="str">
        <f t="shared" si="19"/>
        <v/>
      </c>
      <c r="AF43" s="617" t="str">
        <f t="shared" si="20"/>
        <v/>
      </c>
      <c r="AG43" s="618" t="str">
        <f ca="1">IF(OR($A43="",Z43="",Z$48="-",LU!$W$5=0),"",Z43-Z$48)</f>
        <v/>
      </c>
      <c r="AH43" s="1013" t="str">
        <f>IF(OR(A43="",F43=0),"",SUM(PT!U86,PT!U87))</f>
        <v/>
      </c>
      <c r="AI43" s="1014"/>
    </row>
    <row r="44" spans="1:35" s="79" customFormat="1" ht="20.100000000000001" customHeight="1" x14ac:dyDescent="0.3">
      <c r="A44" s="175" t="str">
        <f>IF(ISBLANK(IGRF!$H30),"",IGRF!$H30)</f>
        <v/>
      </c>
      <c r="B44" s="122" t="str">
        <f>IF(ISBLANK(IGRF!$I30),"",IGRF!$I30)</f>
        <v/>
      </c>
      <c r="C44" s="123" t="str">
        <f>IF(A44="","",SUM(LU!AH25,LU!AH124))</f>
        <v/>
      </c>
      <c r="D44" s="123" t="str">
        <f>IF(A44="","",SUM(LU!W25,LU!W124))</f>
        <v/>
      </c>
      <c r="E44" s="124" t="str">
        <f>IF(A44="","",SUM(LU!AC25,LU!AC124))</f>
        <v/>
      </c>
      <c r="F44" s="581" t="str">
        <f>IF(A44="","",(SUM(C44:E44)-(SUMPRODUCT(--(Lineups!AC$4:AC$41=A44),--(Lineups!AA$4:AA$41="SP"))+SUMPRODUCT(--(Lineups!AG$4:AG$41=A44),--(Lineups!AA$4:AA$41="SP"))+SUMPRODUCT(--(Lineups!AC$46:AC$83=A44),--(Lineups!AA$46:AA$83="SP"))+SUMPRODUCT(--(Lineups!AG$46:AG$83=A44),--(Lineups!AA$46:AA$83="SP")))))</f>
        <v/>
      </c>
      <c r="G44" s="582" t="str">
        <f>IF(OR(A44="",F44=0,LU!D$3+LU!D$102=0),"",F44/(LU!D$3+LU!D$102))</f>
        <v/>
      </c>
      <c r="H44" s="583" t="str">
        <f>IF(OR(C44=0,A44=""),"",SK!T222)</f>
        <v/>
      </c>
      <c r="I44" s="584" t="str">
        <f>IF(OR(A44="",SK!U222="",SK!U222=0),"",H44/SK!U222)</f>
        <v/>
      </c>
      <c r="J44" s="603" t="str">
        <f>IF(OR(C44=0,A44=""),"",SK!W222)</f>
        <v/>
      </c>
      <c r="K44" s="604" t="str">
        <f>IF(OR(C44=0,A44=""),"",SK!X222)</f>
        <v/>
      </c>
      <c r="L44" s="605" t="str">
        <f>IF(OR(C44=0,A44=""),"",SK!Z222)</f>
        <v/>
      </c>
      <c r="M44" s="605" t="str">
        <f>IF(OR(C44=0,A44=""),"",SK!AB222)</f>
        <v/>
      </c>
      <c r="N44" s="606" t="str">
        <f t="shared" si="11"/>
        <v/>
      </c>
      <c r="O44" s="607" t="str">
        <f>IF(OR(A44="",C44=0),"",SK!Y222)</f>
        <v/>
      </c>
      <c r="P44" s="608" t="str">
        <f t="shared" si="12"/>
        <v/>
      </c>
      <c r="Q44" s="609" t="str">
        <f>IF(OR(A44="",F44=0),"",SUM(LU!AJ71,LU!AJ170))</f>
        <v/>
      </c>
      <c r="R44" s="610" t="str">
        <f>IF(OR(A44="",F44=0),"",SUM(LU!AJ94,LU!AJ193))</f>
        <v/>
      </c>
      <c r="S44" s="583" t="str">
        <f>IF(OR(A44="",F44=0),"",SUM(LU!AJ48,LU!AJ147))</f>
        <v/>
      </c>
      <c r="T44" s="610" t="str">
        <f>IF(OR(A44="",C44=0),"",SUM(LU!AH48,LU!AH147))</f>
        <v/>
      </c>
      <c r="U44" s="611" t="str">
        <f t="shared" si="13"/>
        <v/>
      </c>
      <c r="V44" s="612" t="str">
        <f>IF(OR(A44="",D44=0),"",SUM(LU!W48,LU!W147))</f>
        <v/>
      </c>
      <c r="W44" s="611" t="str">
        <f t="shared" si="14"/>
        <v/>
      </c>
      <c r="X44" s="612" t="str">
        <f>IF(OR(A44="",E44=0),"",SUM(LU!AC48,LU!AC147))</f>
        <v/>
      </c>
      <c r="Y44" s="611" t="str">
        <f t="shared" si="15"/>
        <v/>
      </c>
      <c r="Z44" s="608" t="str">
        <f t="shared" si="16"/>
        <v/>
      </c>
      <c r="AA44" s="613" t="str">
        <f ca="1">IF(OR(A44="",F44=0,Q$48="-",LU!$W$5=0),"",Q44-Q$48)</f>
        <v/>
      </c>
      <c r="AB44" s="614" t="str">
        <f ca="1">IF(OR(A44="",F44=0,R$48="-",LU!$W$5=0),"",R44-R$48)</f>
        <v/>
      </c>
      <c r="AC44" s="615" t="str">
        <f t="shared" ca="1" si="17"/>
        <v/>
      </c>
      <c r="AD44" s="616" t="str">
        <f t="shared" si="18"/>
        <v/>
      </c>
      <c r="AE44" s="616" t="str">
        <f t="shared" si="19"/>
        <v/>
      </c>
      <c r="AF44" s="617" t="str">
        <f t="shared" si="20"/>
        <v/>
      </c>
      <c r="AG44" s="618" t="str">
        <f ca="1">IF(OR($A44="",Z44="",Z$48="-",LU!$W$5=0),"",Z44-Z$48)</f>
        <v/>
      </c>
      <c r="AH44" s="1013" t="str">
        <f>IF(OR(A44="",F44=0),"",SUM(PT!U88,PT!U89))</f>
        <v/>
      </c>
      <c r="AI44" s="1014"/>
    </row>
    <row r="45" spans="1:35" s="79" customFormat="1" ht="20.100000000000001" customHeight="1" x14ac:dyDescent="0.3">
      <c r="A45" s="175" t="str">
        <f>IF(ISBLANK(IGRF!$H31),"",IGRF!$H31)</f>
        <v/>
      </c>
      <c r="B45" s="122" t="str">
        <f>IF(ISBLANK(IGRF!$I31),"",IGRF!$I31)</f>
        <v/>
      </c>
      <c r="C45" s="123" t="str">
        <f>IF(A45="","",SUM(LU!AH26,LU!AH125))</f>
        <v/>
      </c>
      <c r="D45" s="123" t="str">
        <f>IF(A45="","",SUM(LU!W26,LU!W125))</f>
        <v/>
      </c>
      <c r="E45" s="124" t="str">
        <f>IF(A45="","",SUM(LU!AC26,LU!AC125))</f>
        <v/>
      </c>
      <c r="F45" s="581" t="str">
        <f>IF(A45="","",(SUM(C45:E45)-(SUMPRODUCT(--(Lineups!AC$4:AC$41=A45),--(Lineups!AA$4:AA$41="SP"))+SUMPRODUCT(--(Lineups!AG$4:AG$41=A45),--(Lineups!AA$4:AA$41="SP"))+SUMPRODUCT(--(Lineups!AC$46:AC$83=A45),--(Lineups!AA$46:AA$83="SP"))+SUMPRODUCT(--(Lineups!AG$46:AG$83=A45),--(Lineups!AA$46:AA$83="SP")))))</f>
        <v/>
      </c>
      <c r="G45" s="582" t="str">
        <f>IF(OR(A45="",F45=0,LU!D$3+LU!D$102=0),"",F45/(LU!D$3+LU!D$102))</f>
        <v/>
      </c>
      <c r="H45" s="583" t="str">
        <f>IF(OR(C45=0,A45=""),"",SK!T225)</f>
        <v/>
      </c>
      <c r="I45" s="584" t="str">
        <f>IF(OR(A45="",SK!U225="",SK!U225=0),"",H45/SK!U225)</f>
        <v/>
      </c>
      <c r="J45" s="603" t="str">
        <f>IF(OR(C45=0,A45=""),"",SK!W225)</f>
        <v/>
      </c>
      <c r="K45" s="604" t="str">
        <f>IF(OR(C45=0,A45=""),"",SK!X225)</f>
        <v/>
      </c>
      <c r="L45" s="605" t="str">
        <f>IF(OR(C45=0,A45=""),"",SK!Z225)</f>
        <v/>
      </c>
      <c r="M45" s="605" t="str">
        <f>IF(OR(C45=0,A45=""),"",SK!AB225)</f>
        <v/>
      </c>
      <c r="N45" s="606" t="str">
        <f t="shared" si="11"/>
        <v/>
      </c>
      <c r="O45" s="607" t="str">
        <f>IF(OR(A45="",C45=0),"",SK!Y225)</f>
        <v/>
      </c>
      <c r="P45" s="608" t="str">
        <f t="shared" si="12"/>
        <v/>
      </c>
      <c r="Q45" s="609" t="str">
        <f>IF(OR(A45="",F45=0),"",SUM(LU!AJ72,LU!AJ171))</f>
        <v/>
      </c>
      <c r="R45" s="610" t="str">
        <f>IF(OR(A45="",F45=0),"",SUM(LU!AJ95,LU!AJ194))</f>
        <v/>
      </c>
      <c r="S45" s="583" t="str">
        <f>IF(OR(A45="",F45=0),"",SUM(LU!AJ49,LU!AJ148))</f>
        <v/>
      </c>
      <c r="T45" s="610" t="str">
        <f>IF(OR(A45="",C45=0),"",SUM(LU!AH49,LU!AH148))</f>
        <v/>
      </c>
      <c r="U45" s="611" t="str">
        <f t="shared" si="13"/>
        <v/>
      </c>
      <c r="V45" s="612" t="str">
        <f>IF(OR(A45="",D45=0),"",SUM(LU!W49,LU!W148))</f>
        <v/>
      </c>
      <c r="W45" s="611" t="str">
        <f t="shared" si="14"/>
        <v/>
      </c>
      <c r="X45" s="612" t="str">
        <f>IF(OR(A45="",E45=0),"",SUM(LU!AC49,LU!AC148))</f>
        <v/>
      </c>
      <c r="Y45" s="611" t="str">
        <f t="shared" si="15"/>
        <v/>
      </c>
      <c r="Z45" s="608" t="str">
        <f t="shared" si="16"/>
        <v/>
      </c>
      <c r="AA45" s="613" t="str">
        <f ca="1">IF(OR(A45="",F45=0,Q$48="-",LU!$W$5=0),"",Q45-Q$48)</f>
        <v/>
      </c>
      <c r="AB45" s="614" t="str">
        <f ca="1">IF(OR(A45="",F45=0,R$48="-",LU!$W$5=0),"",R45-R$48)</f>
        <v/>
      </c>
      <c r="AC45" s="615" t="str">
        <f t="shared" ca="1" si="17"/>
        <v/>
      </c>
      <c r="AD45" s="616" t="str">
        <f t="shared" si="18"/>
        <v/>
      </c>
      <c r="AE45" s="616" t="str">
        <f t="shared" si="19"/>
        <v/>
      </c>
      <c r="AF45" s="617" t="str">
        <f t="shared" si="20"/>
        <v/>
      </c>
      <c r="AG45" s="618" t="str">
        <f ca="1">IF(OR($A45="",Z45="",Z$48="-",LU!$W$5=0),"",Z45-Z$48)</f>
        <v/>
      </c>
      <c r="AH45" s="1013" t="str">
        <f>IF(OR(A45="",F45=0),"",SUM(PT!U90,PT!U91))</f>
        <v/>
      </c>
      <c r="AI45" s="1014"/>
    </row>
    <row r="46" spans="1:35" s="79" customFormat="1" ht="20.100000000000001" customHeight="1" x14ac:dyDescent="0.3">
      <c r="A46" s="175" t="str">
        <f>IF(ISBLANK(IGRF!$H32),"",IGRF!$H32)</f>
        <v/>
      </c>
      <c r="B46" s="122" t="str">
        <f>IF(ISBLANK(IGRF!$I32),"",IGRF!$I32)</f>
        <v/>
      </c>
      <c r="C46" s="123" t="str">
        <f>IF(A46="","",SUM(LU!AH27,LU!AH126))</f>
        <v/>
      </c>
      <c r="D46" s="123" t="str">
        <f>IF(A46="","",SUM(LU!W27,LU!W126))</f>
        <v/>
      </c>
      <c r="E46" s="124" t="str">
        <f>IF(A46="","",SUM(LU!AC27,LU!AC126))</f>
        <v/>
      </c>
      <c r="F46" s="581" t="str">
        <f>IF(A46="","",(SUM(C46:E46)-(SUMPRODUCT(--(Lineups!AC$4:AC$41=A46),--(Lineups!AA$4:AA$41="SP"))+SUMPRODUCT(--(Lineups!AG$4:AG$41=A46),--(Lineups!AA$4:AA$41="SP"))+SUMPRODUCT(--(Lineups!AC$46:AC$83=A46),--(Lineups!AA$46:AA$83="SP"))+SUMPRODUCT(--(Lineups!AG$46:AG$83=A46),--(Lineups!AA$46:AA$83="SP")))))</f>
        <v/>
      </c>
      <c r="G46" s="582" t="str">
        <f>IF(OR(A46="",F46=0,LU!D$3+LU!D$102=0),"",F46/(LU!D$3+LU!D$102))</f>
        <v/>
      </c>
      <c r="H46" s="583" t="str">
        <f>IF(OR(C46=0,A46=""),"",SK!T228)</f>
        <v/>
      </c>
      <c r="I46" s="584" t="str">
        <f>IF(OR(A46="",SK!U228="",SK!U228=0),"",H46/SK!U228)</f>
        <v/>
      </c>
      <c r="J46" s="603" t="str">
        <f>IF(OR(C46=0,A46=""),"",SK!W228)</f>
        <v/>
      </c>
      <c r="K46" s="604" t="str">
        <f>IF(OR(C46=0,A46=""),"",SK!X228)</f>
        <v/>
      </c>
      <c r="L46" s="605" t="str">
        <f>IF(OR(C46=0,A46=""),"",SK!Z228)</f>
        <v/>
      </c>
      <c r="M46" s="605" t="str">
        <f>IF(OR(C46=0,A46=""),"",SK!AB228)</f>
        <v/>
      </c>
      <c r="N46" s="606" t="str">
        <f t="shared" si="11"/>
        <v/>
      </c>
      <c r="O46" s="607" t="str">
        <f>IF(OR(A46="",C46=0),"",SK!Y228)</f>
        <v/>
      </c>
      <c r="P46" s="608" t="str">
        <f t="shared" si="12"/>
        <v/>
      </c>
      <c r="Q46" s="609" t="str">
        <f>IF(OR(A46="",F46=0),"",SUM(LU!AJ73,LU!AJ172))</f>
        <v/>
      </c>
      <c r="R46" s="610" t="str">
        <f>IF(OR(A46="",F46=0),"",SUM(LU!AJ96,LU!AJ195))</f>
        <v/>
      </c>
      <c r="S46" s="583" t="str">
        <f>IF(OR(A46="",F46=0),"",SUM(LU!AJ50,LU!AJ149))</f>
        <v/>
      </c>
      <c r="T46" s="610" t="str">
        <f>IF(OR(A46="",C46=0),"",SUM(LU!AH50,LU!AH149))</f>
        <v/>
      </c>
      <c r="U46" s="611" t="str">
        <f t="shared" si="13"/>
        <v/>
      </c>
      <c r="V46" s="612" t="str">
        <f>IF(OR(A46="",D46=0),"",SUM(LU!W50,LU!W149))</f>
        <v/>
      </c>
      <c r="W46" s="611" t="str">
        <f t="shared" si="14"/>
        <v/>
      </c>
      <c r="X46" s="612" t="str">
        <f>IF(OR(A46="",E46=0),"",SUM(LU!AC50,LU!AC149))</f>
        <v/>
      </c>
      <c r="Y46" s="611" t="str">
        <f t="shared" si="15"/>
        <v/>
      </c>
      <c r="Z46" s="608" t="str">
        <f t="shared" si="16"/>
        <v/>
      </c>
      <c r="AA46" s="613" t="str">
        <f ca="1">IF(OR(A46="",F46=0,Q$48="-",LU!$W$5=0),"",Q46-Q$48)</f>
        <v/>
      </c>
      <c r="AB46" s="614" t="str">
        <f ca="1">IF(OR(A46="",F46=0,R$48="-",LU!$W$5=0),"",R46-R$48)</f>
        <v/>
      </c>
      <c r="AC46" s="615" t="str">
        <f t="shared" ca="1" si="17"/>
        <v/>
      </c>
      <c r="AD46" s="616" t="str">
        <f t="shared" si="18"/>
        <v/>
      </c>
      <c r="AE46" s="616" t="str">
        <f t="shared" si="19"/>
        <v/>
      </c>
      <c r="AF46" s="617" t="str">
        <f t="shared" si="20"/>
        <v/>
      </c>
      <c r="AG46" s="618" t="str">
        <f ca="1">IF(OR($A46="",Z46="",Z$48="-",LU!$W$5=0),"",Z46-Z$48)</f>
        <v/>
      </c>
      <c r="AH46" s="1013" t="str">
        <f>IF(OR(A46="",F46=0),"",SUM(PT!U92,PT!U93))</f>
        <v/>
      </c>
      <c r="AI46" s="1014"/>
    </row>
    <row r="47" spans="1:35" s="79" customFormat="1" ht="19.5" customHeight="1" thickBot="1" x14ac:dyDescent="0.35">
      <c r="A47" s="175" t="str">
        <f>IF(ISBLANK(IGRF!$H33),"",IGRF!$H33)</f>
        <v/>
      </c>
      <c r="B47" s="122" t="str">
        <f>IF(ISBLANK(IGRF!$I33),"",IGRF!$I33)</f>
        <v/>
      </c>
      <c r="C47" s="123" t="str">
        <f>IF(A47="","",SUM(LU!AH28,LU!AH127))</f>
        <v/>
      </c>
      <c r="D47" s="123" t="str">
        <f>IF(A47="","",SUM(LU!W28,LU!W127))</f>
        <v/>
      </c>
      <c r="E47" s="123" t="str">
        <f>IF(A47="","",SUM(LU!AC28,LU!AC127))</f>
        <v/>
      </c>
      <c r="F47" s="585" t="str">
        <f>IF(A47="","",(SUM(C47:E47)-(SUMPRODUCT(--(Lineups!AC$4:AC$41=A47),--(Lineups!AA$4:AA$41="SP"))+SUMPRODUCT(--(Lineups!AG$4:AG$41=A47),--(Lineups!AA$4:AA$41="SP"))+SUMPRODUCT(--(Lineups!AC$46:AC$83=A47),--(Lineups!AA$46:AA$83="SP"))+SUMPRODUCT(--(Lineups!AG$46:AG$83=A47),--(Lineups!AA$46:AA$83="SP")))))</f>
        <v/>
      </c>
      <c r="G47" s="586" t="str">
        <f>IF(OR(A47="",F47=0,LU!D$3+LU!D$102=0),"",F47/(LU!D$3+LU!D$102))</f>
        <v/>
      </c>
      <c r="H47" s="583" t="str">
        <f>IF(OR(C47=0,A47=""),"",SK!T231)</f>
        <v/>
      </c>
      <c r="I47" s="584" t="str">
        <f>IF(OR(A47="",SK!U231="",SK!U231=0),"",H47/SK!U231)</f>
        <v/>
      </c>
      <c r="J47" s="603" t="str">
        <f>IF(OR(C47=0,A47=""),"",SK!W231)</f>
        <v/>
      </c>
      <c r="K47" s="604" t="str">
        <f>IF(OR(C47=0,A47=""),"",SK!X231)</f>
        <v/>
      </c>
      <c r="L47" s="605" t="str">
        <f>IF(OR(C47=0,A47=""),"",SK!Z231)</f>
        <v/>
      </c>
      <c r="M47" s="605" t="str">
        <f>IF(OR(C47=0,A47=""),"",SK!AB231)</f>
        <v/>
      </c>
      <c r="N47" s="606" t="str">
        <f t="shared" si="11"/>
        <v/>
      </c>
      <c r="O47" s="619" t="str">
        <f>IF(OR(A47="",C47=0),"",SK!Y231)</f>
        <v/>
      </c>
      <c r="P47" s="620" t="str">
        <f t="shared" si="12"/>
        <v/>
      </c>
      <c r="Q47" s="609" t="str">
        <f>IF(OR(A47="",F47=0),"",SUM(LU!AJ74,LU!AJ173))</f>
        <v/>
      </c>
      <c r="R47" s="610" t="str">
        <f>IF(OR(A47="",F47=0),"",SUM(LU!AJ97,LU!AJ196))</f>
        <v/>
      </c>
      <c r="S47" s="583" t="str">
        <f>IF(OR(A47="",F47=0),"",SUM(LU!AJ51,LU!AJ150))</f>
        <v/>
      </c>
      <c r="T47" s="610" t="str">
        <f>IF(OR(A47="",C47=0),"",SUM(LU!AH51,LU!AH150))</f>
        <v/>
      </c>
      <c r="U47" s="611" t="str">
        <f t="shared" si="13"/>
        <v/>
      </c>
      <c r="V47" s="612" t="str">
        <f>IF(OR(A47="",D47=0),"",SUM(LU!W51,LU!W150))</f>
        <v/>
      </c>
      <c r="W47" s="611" t="str">
        <f t="shared" si="14"/>
        <v/>
      </c>
      <c r="X47" s="612" t="str">
        <f>IF(OR(A47="",E47=0),"",SUM(LU!AC51,LU!AC150))</f>
        <v/>
      </c>
      <c r="Y47" s="611" t="str">
        <f t="shared" si="15"/>
        <v/>
      </c>
      <c r="Z47" s="621" t="str">
        <f t="shared" si="16"/>
        <v/>
      </c>
      <c r="AA47" s="613" t="str">
        <f ca="1">IF(OR(A47="",F47=0,Q$48="-",LU!$W$5=0),"",Q47-Q$48)</f>
        <v/>
      </c>
      <c r="AB47" s="614" t="str">
        <f ca="1">IF(OR(A47="",F47=0,R$48="-",LU!$W$5=0),"",R47-R$48)</f>
        <v/>
      </c>
      <c r="AC47" s="615" t="str">
        <f t="shared" ca="1" si="17"/>
        <v/>
      </c>
      <c r="AD47" s="616" t="str">
        <f t="shared" si="18"/>
        <v/>
      </c>
      <c r="AE47" s="616" t="str">
        <f t="shared" si="19"/>
        <v/>
      </c>
      <c r="AF47" s="617" t="str">
        <f t="shared" si="20"/>
        <v/>
      </c>
      <c r="AG47" s="618" t="str">
        <f ca="1">IF(OR($A47="",Z47="",Z$48="-",LU!$W$5=0),"",Z47-Z$48)</f>
        <v/>
      </c>
      <c r="AH47" s="1015" t="str">
        <f>IF(OR(A47="",F47=0),"",SUM(PT!U94,PT!U95))</f>
        <v/>
      </c>
      <c r="AI47" s="1016"/>
    </row>
    <row r="48" spans="1:35" s="6" customFormat="1" ht="20.25" customHeight="1" thickBot="1" x14ac:dyDescent="0.3">
      <c r="A48" s="1026" t="s">
        <v>115</v>
      </c>
      <c r="B48" s="1026"/>
      <c r="C48" s="189">
        <f>SUM(C28:C47)</f>
        <v>46</v>
      </c>
      <c r="D48" s="189">
        <f>SUM(D28:D47)</f>
        <v>40</v>
      </c>
      <c r="E48" s="189">
        <f>SUM(E28:E47)</f>
        <v>92</v>
      </c>
      <c r="F48" s="189">
        <f>SUM(F28:F47)</f>
        <v>166</v>
      </c>
      <c r="G48" s="190">
        <f>IF(COUNT(G28:G47)=0,"-",AVERAGE(G28:G47))</f>
        <v>0.34511434511434508</v>
      </c>
      <c r="H48" s="189">
        <f ca="1">SUM(H28:H47)</f>
        <v>75</v>
      </c>
      <c r="I48" s="191">
        <f ca="1">IF(LU!W3+LU!W102=0,"-",H48/(LU!W3+LU!W102))</f>
        <v>2.0270270270270272</v>
      </c>
      <c r="J48" s="192">
        <f ca="1">SUM(J28:J47)</f>
        <v>1</v>
      </c>
      <c r="K48" s="189">
        <f ca="1">SUM(K28:K47)</f>
        <v>11</v>
      </c>
      <c r="L48" s="189">
        <f ca="1">SUM(L28:L47)</f>
        <v>11</v>
      </c>
      <c r="M48" s="189">
        <f ca="1">SUM(M28:M47)</f>
        <v>11</v>
      </c>
      <c r="N48" s="193">
        <f ca="1">IF(C48=0,"-",K48/C48)</f>
        <v>0.2391304347826087</v>
      </c>
      <c r="O48" s="189">
        <f ca="1">SUM(O28:O47)</f>
        <v>18</v>
      </c>
      <c r="P48" s="194">
        <f t="shared" ref="P48:Z48" ca="1" si="21">IF(COUNT(P28:P47)=0,"-",AVERAGE(P28:P47))</f>
        <v>1.2833333333333334</v>
      </c>
      <c r="Q48" s="195">
        <f t="shared" ca="1" si="21"/>
        <v>19.53846153846154</v>
      </c>
      <c r="R48" s="196">
        <f t="shared" ca="1" si="21"/>
        <v>88.538461538461533</v>
      </c>
      <c r="S48" s="197">
        <f t="shared" ca="1" si="21"/>
        <v>-69</v>
      </c>
      <c r="T48" s="197">
        <f t="shared" ca="1" si="21"/>
        <v>-23.5</v>
      </c>
      <c r="U48" s="197">
        <f t="shared" ca="1" si="21"/>
        <v>-3.1892361111111112</v>
      </c>
      <c r="V48" s="197">
        <f t="shared" ca="1" si="21"/>
        <v>-30.285714285714285</v>
      </c>
      <c r="W48" s="197">
        <f t="shared" ca="1" si="21"/>
        <v>-4.7772108843537415</v>
      </c>
      <c r="X48" s="197">
        <f t="shared" ca="1" si="21"/>
        <v>-45.18181818181818</v>
      </c>
      <c r="Y48" s="197">
        <f t="shared" ca="1" si="21"/>
        <v>-4.3934172552593607</v>
      </c>
      <c r="Z48" s="197">
        <f t="shared" ca="1" si="21"/>
        <v>-5.4707289055973263</v>
      </c>
      <c r="AA48" s="198" t="s">
        <v>116</v>
      </c>
      <c r="AB48" s="199" t="s">
        <v>116</v>
      </c>
      <c r="AC48" s="199" t="s">
        <v>116</v>
      </c>
      <c r="AD48" s="198" t="s">
        <v>116</v>
      </c>
      <c r="AE48" s="199" t="s">
        <v>116</v>
      </c>
      <c r="AF48" s="199" t="s">
        <v>116</v>
      </c>
      <c r="AG48" s="200" t="s">
        <v>116</v>
      </c>
      <c r="AH48" s="1011">
        <f>SUM(AH28:AI47)</f>
        <v>21</v>
      </c>
      <c r="AI48" s="1012"/>
    </row>
  </sheetData>
  <mergeCells count="55">
    <mergeCell ref="A26:B26"/>
    <mergeCell ref="A48:B48"/>
    <mergeCell ref="AH4:AI4"/>
    <mergeCell ref="AH5:AI5"/>
    <mergeCell ref="AH6:AI6"/>
    <mergeCell ref="AH7:AI7"/>
    <mergeCell ref="AH8:AI8"/>
    <mergeCell ref="AH9:AI9"/>
    <mergeCell ref="AH10:AI10"/>
    <mergeCell ref="AH11:AI11"/>
    <mergeCell ref="AH12:AI12"/>
    <mergeCell ref="AH13:AI13"/>
    <mergeCell ref="AH14:AI14"/>
    <mergeCell ref="AH15:AI15"/>
    <mergeCell ref="AH16:AI16"/>
    <mergeCell ref="AH17:AI17"/>
    <mergeCell ref="A1:AI1"/>
    <mergeCell ref="A2:AI2"/>
    <mergeCell ref="A3:AI3"/>
    <mergeCell ref="A4:B4"/>
    <mergeCell ref="C4:F4"/>
    <mergeCell ref="J4:O4"/>
    <mergeCell ref="Q4:Z4"/>
    <mergeCell ref="AA4:AG4"/>
    <mergeCell ref="AH18:AI18"/>
    <mergeCell ref="AH19:AI19"/>
    <mergeCell ref="AH20:AI20"/>
    <mergeCell ref="AH21:AI21"/>
    <mergeCell ref="AH26:AI26"/>
    <mergeCell ref="AH27:AI27"/>
    <mergeCell ref="AH28:AI28"/>
    <mergeCell ref="AH36:AI36"/>
    <mergeCell ref="AH37:AI37"/>
    <mergeCell ref="AH38:AI38"/>
    <mergeCell ref="AH29:AI29"/>
    <mergeCell ref="AH30:AI30"/>
    <mergeCell ref="AH31:AI31"/>
    <mergeCell ref="AH32:AI32"/>
    <mergeCell ref="AH33:AI33"/>
    <mergeCell ref="AH48:AI48"/>
    <mergeCell ref="AH22:AI22"/>
    <mergeCell ref="AH23:AI23"/>
    <mergeCell ref="AH24:AI24"/>
    <mergeCell ref="AH25:AI25"/>
    <mergeCell ref="AH44:AI44"/>
    <mergeCell ref="AH45:AI45"/>
    <mergeCell ref="AH46:AI46"/>
    <mergeCell ref="AH47:AI47"/>
    <mergeCell ref="AH39:AI39"/>
    <mergeCell ref="AH40:AI40"/>
    <mergeCell ref="AH41:AI41"/>
    <mergeCell ref="AH42:AI42"/>
    <mergeCell ref="AH43:AI43"/>
    <mergeCell ref="AH34:AI34"/>
    <mergeCell ref="AH35:AI35"/>
  </mergeCells>
  <phoneticPr fontId="8" type="noConversion"/>
  <printOptions horizontalCentered="1" verticalCentered="1"/>
  <pageMargins left="0.25" right="0.25" top="0.25" bottom="0.25" header="0.51180555555555551" footer="0.39"/>
  <pageSetup scale="56" firstPageNumber="0" orientation="landscape" horizontalDpi="300" verticalDpi="300" r:id="rId1"/>
  <headerFooter alignWithMargins="0"/>
  <colBreaks count="1" manualBreakCount="1">
    <brk id="35" max="1048575" man="1"/>
  </colBreaks>
  <legacyDrawing r:id="rId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tabColor theme="0" tint="-0.14999847407452621"/>
  </sheetPr>
  <dimension ref="A1:AC58"/>
  <sheetViews>
    <sheetView workbookViewId="0">
      <selection sqref="A1:C1"/>
    </sheetView>
  </sheetViews>
  <sheetFormatPr defaultColWidth="9.109375" defaultRowHeight="13.8" x14ac:dyDescent="0.3"/>
  <cols>
    <col min="1" max="1" width="5.6640625" style="503" customWidth="1"/>
    <col min="2" max="2" width="20.6640625" style="503" customWidth="1"/>
    <col min="3" max="3" width="4.6640625" style="503" customWidth="1"/>
    <col min="4" max="11" width="3.6640625" style="503" customWidth="1"/>
    <col min="12" max="12" width="4.109375" style="503" customWidth="1"/>
    <col min="13" max="19" width="3.6640625" style="503" customWidth="1"/>
    <col min="20" max="20" width="5.6640625" style="503" customWidth="1"/>
    <col min="21" max="21" width="5.44140625" style="503" customWidth="1"/>
    <col min="22" max="22" width="9.33203125" style="503" customWidth="1"/>
    <col min="23" max="23" width="5.109375" style="503" customWidth="1"/>
    <col min="24" max="24" width="6.6640625" style="503" customWidth="1"/>
    <col min="25" max="28" width="4.44140625" style="503" customWidth="1"/>
    <col min="29" max="16384" width="9.109375" style="109"/>
  </cols>
  <sheetData>
    <row r="1" spans="1:29" ht="20.25" customHeight="1" thickBot="1" x14ac:dyDescent="0.35">
      <c r="A1" s="1061">
        <f>IF(IGRF!$B$7="","",IGRF!$B$7)</f>
        <v>42105</v>
      </c>
      <c r="B1" s="1061"/>
      <c r="C1" s="1061"/>
      <c r="D1" s="1062" t="s">
        <v>117</v>
      </c>
      <c r="E1" s="1062"/>
      <c r="F1" s="1062"/>
      <c r="G1" s="1062"/>
      <c r="H1" s="1062"/>
      <c r="I1" s="1062"/>
      <c r="J1" s="1062"/>
      <c r="K1" s="1062"/>
      <c r="L1" s="1062"/>
      <c r="M1" s="1062"/>
      <c r="N1" s="1062"/>
      <c r="O1" s="1062"/>
      <c r="P1" s="1062"/>
      <c r="Q1" s="1062"/>
      <c r="R1" s="1062"/>
      <c r="S1" s="1062"/>
      <c r="T1" s="1062"/>
      <c r="U1" s="1062"/>
      <c r="V1" s="1062"/>
      <c r="W1" s="1063"/>
      <c r="X1" s="1063"/>
    </row>
    <row r="2" spans="1:29" ht="60" customHeight="1" thickBot="1" x14ac:dyDescent="0.35">
      <c r="A2" s="1064" t="str">
        <f>Score!A1</f>
        <v>Tri-City Roller Derby / Plan B</v>
      </c>
      <c r="B2" s="1064"/>
      <c r="C2" s="1064"/>
      <c r="D2" s="1065" t="s">
        <v>443</v>
      </c>
      <c r="E2" s="1066"/>
      <c r="F2" s="1066"/>
      <c r="G2" s="1066"/>
      <c r="H2" s="1066"/>
      <c r="I2" s="1066"/>
      <c r="J2" s="1066"/>
      <c r="K2" s="1066"/>
      <c r="L2" s="1066"/>
      <c r="M2" s="1066"/>
      <c r="N2" s="1066"/>
      <c r="O2" s="1066"/>
      <c r="P2" s="1066"/>
      <c r="Q2" s="1066"/>
      <c r="R2" s="1066"/>
      <c r="S2" s="1066"/>
      <c r="T2" s="1067"/>
      <c r="U2" s="504"/>
      <c r="V2" s="504"/>
      <c r="W2" s="1068" t="s">
        <v>118</v>
      </c>
      <c r="X2" s="1069"/>
      <c r="Y2" s="505"/>
      <c r="Z2" s="505"/>
      <c r="AA2" s="505"/>
      <c r="AB2" s="505"/>
      <c r="AC2" s="503"/>
    </row>
    <row r="3" spans="1:29" ht="60.75" customHeight="1" x14ac:dyDescent="0.3">
      <c r="A3" s="506" t="s">
        <v>134</v>
      </c>
      <c r="B3" s="1059" t="s">
        <v>119</v>
      </c>
      <c r="C3" s="1060"/>
      <c r="D3" s="507" t="s">
        <v>137</v>
      </c>
      <c r="E3" s="508" t="s">
        <v>149</v>
      </c>
      <c r="F3" s="509" t="s">
        <v>152</v>
      </c>
      <c r="G3" s="509" t="s">
        <v>145</v>
      </c>
      <c r="H3" s="509" t="s">
        <v>69</v>
      </c>
      <c r="I3" s="509" t="s">
        <v>70</v>
      </c>
      <c r="J3" s="509" t="s">
        <v>154</v>
      </c>
      <c r="K3" s="509" t="s">
        <v>71</v>
      </c>
      <c r="L3" s="509" t="s">
        <v>72</v>
      </c>
      <c r="M3" s="509" t="s">
        <v>158</v>
      </c>
      <c r="N3" s="509" t="s">
        <v>141</v>
      </c>
      <c r="O3" s="509" t="s">
        <v>73</v>
      </c>
      <c r="P3" s="509" t="s">
        <v>74</v>
      </c>
      <c r="Q3" s="510" t="s">
        <v>75</v>
      </c>
      <c r="R3" s="510" t="s">
        <v>233</v>
      </c>
      <c r="S3" s="510" t="s">
        <v>120</v>
      </c>
      <c r="T3" s="511" t="s">
        <v>76</v>
      </c>
      <c r="U3" s="512" t="s">
        <v>437</v>
      </c>
      <c r="V3" s="513" t="s">
        <v>161</v>
      </c>
      <c r="W3" s="514" t="s">
        <v>77</v>
      </c>
      <c r="X3" s="515" t="s">
        <v>438</v>
      </c>
      <c r="Y3" s="516"/>
      <c r="Z3" s="516"/>
      <c r="AA3" s="516"/>
      <c r="AB3" s="516"/>
      <c r="AC3" s="503"/>
    </row>
    <row r="4" spans="1:29" ht="24.9" customHeight="1" x14ac:dyDescent="0.3">
      <c r="A4" s="517" t="str">
        <f>IF(IGRF!B14="","",IGRF!B14)</f>
        <v>0</v>
      </c>
      <c r="B4" s="1055" t="str">
        <f>IF(IGRF!C14="","",IGRF!C14)</f>
        <v>Andi Slamberg</v>
      </c>
      <c r="C4" s="1056"/>
      <c r="D4" s="518">
        <f>IF($A4="","",SUM(PT!E3,PT!E4))</f>
        <v>0</v>
      </c>
      <c r="E4" s="519">
        <f>IF($A4="","",SUM(PT!F3,PT!F4))</f>
        <v>0</v>
      </c>
      <c r="F4" s="519">
        <f>IF($A4="","",SUM(PT!G3,PT!G4))</f>
        <v>0</v>
      </c>
      <c r="G4" s="519">
        <f>IF($A4="","",SUM(PT!H3,PT!H4))</f>
        <v>0</v>
      </c>
      <c r="H4" s="519">
        <f>IF($A4="","",SUM(PT!I3,PT!I4))</f>
        <v>1</v>
      </c>
      <c r="I4" s="519">
        <f>IF($A4="","",SUM(PT!J3,PT!J4))</f>
        <v>0</v>
      </c>
      <c r="J4" s="519">
        <f>IF($A4="","",SUM(PT!K3,PT!K4))</f>
        <v>0</v>
      </c>
      <c r="K4" s="519">
        <f>IF($A4="","",SUM(PT!L3,PT!L4))</f>
        <v>0</v>
      </c>
      <c r="L4" s="519">
        <f>IF($A4="","",SUM(PT!M3,PT!M4))</f>
        <v>0</v>
      </c>
      <c r="M4" s="519">
        <f>IF($A4="","",SUM(PT!N3,PT!N4))</f>
        <v>1</v>
      </c>
      <c r="N4" s="519">
        <f>IF($A4="","",SUM(PT!O3,PT!O4))</f>
        <v>0</v>
      </c>
      <c r="O4" s="519">
        <f>IF($A4="","",SUM(PT!P3,PT!P4))</f>
        <v>0</v>
      </c>
      <c r="P4" s="519">
        <f>IF($A4="","",SUM(PT!Q3,PT!Q4))</f>
        <v>0</v>
      </c>
      <c r="Q4" s="519">
        <f>IF($A4="","",SUM(PT!R3,PT!R4))</f>
        <v>0</v>
      </c>
      <c r="R4" s="519">
        <f>IF($A4="","",SUM(PT!S3,PT!S4))</f>
        <v>0</v>
      </c>
      <c r="S4" s="520">
        <f>IF($A4="","",SUM(PT!T3,PT!T4))</f>
        <v>0</v>
      </c>
      <c r="T4" s="521">
        <f>IF($A4="","",SUM(D4:S4))</f>
        <v>2</v>
      </c>
      <c r="U4" s="522">
        <f>IF($A4="","",SUM(PT!U3,PT!U4))</f>
        <v>2</v>
      </c>
      <c r="V4" s="523" t="str">
        <f>IF($A4="","",PT!AJ4)</f>
        <v/>
      </c>
      <c r="W4" s="524">
        <f>'Game Summary'!F6</f>
        <v>21</v>
      </c>
      <c r="X4" s="525">
        <f t="shared" ref="X4:X23" si="0">IF(OR(W4="",W4=0),"",U4/W4)</f>
        <v>9.5238095238095233E-2</v>
      </c>
      <c r="Y4" s="516"/>
      <c r="Z4" s="516"/>
      <c r="AA4" s="516"/>
      <c r="AB4" s="516"/>
      <c r="AC4" s="503"/>
    </row>
    <row r="5" spans="1:29" ht="24.9" customHeight="1" x14ac:dyDescent="0.3">
      <c r="A5" s="526" t="str">
        <f>IF(IGRF!B15="","",IGRF!B15)</f>
        <v>1321</v>
      </c>
      <c r="B5" s="1053" t="str">
        <f>IF(IGRF!C15="","",IGRF!C15)</f>
        <v>Kristy Skelton</v>
      </c>
      <c r="C5" s="1054"/>
      <c r="D5" s="527">
        <f>IF($A5="","",SUM(PT!E5,PT!E6))</f>
        <v>0</v>
      </c>
      <c r="E5" s="528">
        <f>IF($A5="","",SUM(PT!F5,PT!F6))</f>
        <v>0</v>
      </c>
      <c r="F5" s="529">
        <f>IF($A5="","",SUM(PT!G5,PT!G6))</f>
        <v>0</v>
      </c>
      <c r="G5" s="530">
        <f>IF($A5="","",SUM(PT!H5,PT!H6))</f>
        <v>0</v>
      </c>
      <c r="H5" s="530">
        <f>IF($A5="","",SUM(PT!I5,PT!I6))</f>
        <v>0</v>
      </c>
      <c r="I5" s="530">
        <f>IF($A5="","",SUM(PT!J5,PT!J6))</f>
        <v>0</v>
      </c>
      <c r="J5" s="530">
        <f>IF($A5="","",SUM(PT!K5,PT!K6))</f>
        <v>0</v>
      </c>
      <c r="K5" s="530">
        <f>IF($A5="","",SUM(PT!L5,PT!L6))</f>
        <v>0</v>
      </c>
      <c r="L5" s="530">
        <f>IF($A5="","",SUM(PT!M5,PT!M6))</f>
        <v>0</v>
      </c>
      <c r="M5" s="530">
        <f>IF($A5="","",SUM(PT!N5,PT!N6))</f>
        <v>0</v>
      </c>
      <c r="N5" s="530">
        <f>IF($A5="","",SUM(PT!O5,PT!O6))</f>
        <v>0</v>
      </c>
      <c r="O5" s="530">
        <f>IF($A5="","",SUM(PT!P5,PT!P6))</f>
        <v>0</v>
      </c>
      <c r="P5" s="530">
        <f>IF($A5="","",SUM(PT!Q5,PT!Q6))</f>
        <v>0</v>
      </c>
      <c r="Q5" s="530">
        <f>IF($A5="","",SUM(PT!R5,PT!R6))</f>
        <v>0</v>
      </c>
      <c r="R5" s="530">
        <f>IF($A5="","",SUM(PT!S5,PT!S6))</f>
        <v>0</v>
      </c>
      <c r="S5" s="530">
        <f>IF($A5="","",SUM(PT!T5,PT!T6))</f>
        <v>0</v>
      </c>
      <c r="T5" s="531">
        <f t="shared" ref="T5:T23" si="1">IF($A5="","",SUM(D5:S5))</f>
        <v>0</v>
      </c>
      <c r="U5" s="532">
        <f>IF($A5="","",SUM(PT!U5,PT!U6))</f>
        <v>0</v>
      </c>
      <c r="V5" s="533" t="str">
        <f>IF($A5="","",PT!AJ6)</f>
        <v/>
      </c>
      <c r="W5" s="534">
        <f>'Game Summary'!F7</f>
        <v>4</v>
      </c>
      <c r="X5" s="535">
        <f t="shared" si="0"/>
        <v>0</v>
      </c>
      <c r="Y5" s="516"/>
      <c r="Z5" s="516"/>
      <c r="AA5" s="516"/>
      <c r="AB5" s="516"/>
      <c r="AC5" s="503"/>
    </row>
    <row r="6" spans="1:29" ht="24.9" customHeight="1" x14ac:dyDescent="0.3">
      <c r="A6" s="517" t="str">
        <f>IF(IGRF!B16="","",IGRF!B16)</f>
        <v>17</v>
      </c>
      <c r="B6" s="1055" t="str">
        <f>IF(IGRF!C16="","",IGRF!C16)</f>
        <v>Justine Sane</v>
      </c>
      <c r="C6" s="1056"/>
      <c r="D6" s="518">
        <f>IF($A6="","",SUM(PT!E7,PT!E8))</f>
        <v>0</v>
      </c>
      <c r="E6" s="519">
        <f>IF($A6="","",SUM(PT!F7,PT!F8))</f>
        <v>0</v>
      </c>
      <c r="F6" s="519">
        <f>IF($A6="","",SUM(PT!G7,PT!G8))</f>
        <v>0</v>
      </c>
      <c r="G6" s="519">
        <f>IF($A6="","",SUM(PT!H7,PT!H8))</f>
        <v>0</v>
      </c>
      <c r="H6" s="519">
        <f>IF($A6="","",SUM(PT!I7,PT!I8))</f>
        <v>0</v>
      </c>
      <c r="I6" s="519">
        <f>IF($A6="","",SUM(PT!J7,PT!J8))</f>
        <v>0</v>
      </c>
      <c r="J6" s="519">
        <f>IF($A6="","",SUM(PT!K7,PT!K8))</f>
        <v>1</v>
      </c>
      <c r="K6" s="519">
        <f>IF($A6="","",SUM(PT!L7,PT!L8))</f>
        <v>0</v>
      </c>
      <c r="L6" s="519">
        <f>IF($A6="","",SUM(PT!M7,PT!M8))</f>
        <v>0</v>
      </c>
      <c r="M6" s="519">
        <f>IF($A6="","",SUM(PT!N7,PT!N8))</f>
        <v>0</v>
      </c>
      <c r="N6" s="519">
        <f>IF($A6="","",SUM(PT!O7,PT!O8))</f>
        <v>1</v>
      </c>
      <c r="O6" s="519">
        <f>IF($A6="","",SUM(PT!P7,PT!P8))</f>
        <v>0</v>
      </c>
      <c r="P6" s="519">
        <f>IF($A6="","",SUM(PT!Q7,PT!Q8))</f>
        <v>0</v>
      </c>
      <c r="Q6" s="519">
        <f>IF($A6="","",SUM(PT!R7,PT!R8))</f>
        <v>0</v>
      </c>
      <c r="R6" s="519">
        <f>IF($A6="","",SUM(PT!S7,PT!S8))</f>
        <v>0</v>
      </c>
      <c r="S6" s="520">
        <f>IF($A6="","",SUM(PT!T7,PT!T8))</f>
        <v>0</v>
      </c>
      <c r="T6" s="521">
        <f t="shared" si="1"/>
        <v>2</v>
      </c>
      <c r="U6" s="522">
        <f>IF($A6="","",SUM(PT!U7,PT!U8))</f>
        <v>2</v>
      </c>
      <c r="V6" s="523" t="str">
        <f>IF($A6="","",PT!AJ8)</f>
        <v/>
      </c>
      <c r="W6" s="524">
        <f>'Game Summary'!F8</f>
        <v>9</v>
      </c>
      <c r="X6" s="525">
        <f t="shared" si="0"/>
        <v>0.22222222222222221</v>
      </c>
      <c r="Y6" s="516"/>
      <c r="Z6" s="516"/>
      <c r="AA6" s="516"/>
      <c r="AB6" s="516"/>
      <c r="AC6" s="503"/>
    </row>
    <row r="7" spans="1:29" ht="24.9" customHeight="1" x14ac:dyDescent="0.3">
      <c r="A7" s="526" t="str">
        <f>IF(IGRF!B17="","",IGRF!B17)</f>
        <v>19</v>
      </c>
      <c r="B7" s="1053" t="str">
        <f>IF(IGRF!C17="","",IGRF!C17)</f>
        <v>Lippy Wrongstockings</v>
      </c>
      <c r="C7" s="1054"/>
      <c r="D7" s="527">
        <f>IF($A7="","",SUM(PT!E9,PT!E10))</f>
        <v>1</v>
      </c>
      <c r="E7" s="528">
        <f>IF($A7="","",SUM(PT!F9,PT!F10))</f>
        <v>0</v>
      </c>
      <c r="F7" s="529">
        <f>IF($A7="","",SUM(PT!G9,PT!G10))</f>
        <v>0</v>
      </c>
      <c r="G7" s="530">
        <f>IF($A7="","",SUM(PT!H9,PT!H10))</f>
        <v>0</v>
      </c>
      <c r="H7" s="530">
        <f>IF($A7="","",SUM(PT!I9,PT!I10))</f>
        <v>0</v>
      </c>
      <c r="I7" s="530">
        <f>IF($A7="","",SUM(PT!J9,PT!J10))</f>
        <v>0</v>
      </c>
      <c r="J7" s="530">
        <f>IF($A7="","",SUM(PT!K9,PT!K10))</f>
        <v>0</v>
      </c>
      <c r="K7" s="530">
        <f>IF($A7="","",SUM(PT!L9,PT!L10))</f>
        <v>0</v>
      </c>
      <c r="L7" s="530">
        <f>IF($A7="","",SUM(PT!M9,PT!M10))</f>
        <v>0</v>
      </c>
      <c r="M7" s="530">
        <f>IF($A7="","",SUM(PT!N9,PT!N10))</f>
        <v>0</v>
      </c>
      <c r="N7" s="530">
        <f>IF($A7="","",SUM(PT!O9,PT!O10))</f>
        <v>0</v>
      </c>
      <c r="O7" s="530">
        <f>IF($A7="","",SUM(PT!P9,PT!P10))</f>
        <v>0</v>
      </c>
      <c r="P7" s="530">
        <f>IF($A7="","",SUM(PT!Q9,PT!Q10))</f>
        <v>0</v>
      </c>
      <c r="Q7" s="530">
        <f>IF($A7="","",SUM(PT!R9,PT!R10))</f>
        <v>0</v>
      </c>
      <c r="R7" s="530">
        <f>IF($A7="","",SUM(PT!S9,PT!S10))</f>
        <v>0</v>
      </c>
      <c r="S7" s="530">
        <f>IF($A7="","",SUM(PT!T9,PT!T10))</f>
        <v>0</v>
      </c>
      <c r="T7" s="531">
        <f t="shared" si="1"/>
        <v>1</v>
      </c>
      <c r="U7" s="532">
        <f>IF($A7="","",SUM(PT!U9,PT!U10))</f>
        <v>1</v>
      </c>
      <c r="V7" s="533" t="str">
        <f>IF($A7="","",PT!AJ10)</f>
        <v/>
      </c>
      <c r="W7" s="534">
        <f>'Game Summary'!F9</f>
        <v>10</v>
      </c>
      <c r="X7" s="535">
        <f t="shared" si="0"/>
        <v>0.1</v>
      </c>
      <c r="Y7" s="516"/>
      <c r="Z7" s="516"/>
      <c r="AA7" s="516"/>
      <c r="AB7" s="516"/>
      <c r="AC7" s="503"/>
    </row>
    <row r="8" spans="1:29" ht="24.9" customHeight="1" x14ac:dyDescent="0.3">
      <c r="A8" s="517" t="str">
        <f>IF(IGRF!B18="","",IGRF!B18)</f>
        <v>20</v>
      </c>
      <c r="B8" s="1055" t="str">
        <f>IF(IGRF!C18="","",IGRF!C18)</f>
        <v>Zooks</v>
      </c>
      <c r="C8" s="1056"/>
      <c r="D8" s="518">
        <f>IF($A8="","",SUM(PT!E11,PT!E12))</f>
        <v>0</v>
      </c>
      <c r="E8" s="519">
        <f>IF($A8="","",SUM(PT!F11,PT!F12))</f>
        <v>0</v>
      </c>
      <c r="F8" s="519">
        <f>IF($A8="","",SUM(PT!G11,PT!G12))</f>
        <v>0</v>
      </c>
      <c r="G8" s="519">
        <f>IF($A8="","",SUM(PT!H11,PT!H12))</f>
        <v>0</v>
      </c>
      <c r="H8" s="519">
        <f>IF($A8="","",SUM(PT!I11,PT!I12))</f>
        <v>0</v>
      </c>
      <c r="I8" s="519">
        <f>IF($A8="","",SUM(PT!J11,PT!J12))</f>
        <v>0</v>
      </c>
      <c r="J8" s="519">
        <f>IF($A8="","",SUM(PT!K11,PT!K12))</f>
        <v>0</v>
      </c>
      <c r="K8" s="519">
        <f>IF($A8="","",SUM(PT!L11,PT!L12))</f>
        <v>0</v>
      </c>
      <c r="L8" s="519">
        <f>IF($A8="","",SUM(PT!M11,PT!M12))</f>
        <v>0</v>
      </c>
      <c r="M8" s="519">
        <f>IF($A8="","",SUM(PT!N11,PT!N12))</f>
        <v>1</v>
      </c>
      <c r="N8" s="519">
        <f>IF($A8="","",SUM(PT!O11,PT!O12))</f>
        <v>1</v>
      </c>
      <c r="O8" s="519">
        <f>IF($A8="","",SUM(PT!P11,PT!P12))</f>
        <v>0</v>
      </c>
      <c r="P8" s="519">
        <f>IF($A8="","",SUM(PT!Q11,PT!Q12))</f>
        <v>0</v>
      </c>
      <c r="Q8" s="519">
        <f>IF($A8="","",SUM(PT!R11,PT!R12))</f>
        <v>0</v>
      </c>
      <c r="R8" s="519">
        <f>IF($A8="","",SUM(PT!S11,PT!S12))</f>
        <v>0</v>
      </c>
      <c r="S8" s="520">
        <f>IF($A8="","",SUM(PT!T11,PT!T12))</f>
        <v>0</v>
      </c>
      <c r="T8" s="521">
        <f t="shared" si="1"/>
        <v>2</v>
      </c>
      <c r="U8" s="522">
        <f>IF($A8="","",SUM(PT!U11,PT!U12))</f>
        <v>2</v>
      </c>
      <c r="V8" s="523" t="str">
        <f>IF($A8="","",PT!AJ12)</f>
        <v/>
      </c>
      <c r="W8" s="524">
        <f>'Game Summary'!F10</f>
        <v>16</v>
      </c>
      <c r="X8" s="525">
        <f t="shared" si="0"/>
        <v>0.125</v>
      </c>
      <c r="Y8" s="516"/>
      <c r="Z8" s="516"/>
      <c r="AA8" s="516"/>
      <c r="AB8" s="516"/>
      <c r="AC8" s="503"/>
    </row>
    <row r="9" spans="1:29" ht="24.9" customHeight="1" x14ac:dyDescent="0.3">
      <c r="A9" s="526" t="str">
        <f>IF(IGRF!B19="","",IGRF!B19)</f>
        <v>303</v>
      </c>
      <c r="B9" s="1053" t="str">
        <f>IF(IGRF!C19="","",IGRF!C19)</f>
        <v>Violent NoRegard</v>
      </c>
      <c r="C9" s="1054"/>
      <c r="D9" s="527">
        <f>IF($A9="","",SUM(PT!E13,PT!E14))</f>
        <v>0</v>
      </c>
      <c r="E9" s="528">
        <f>IF($A9="","",SUM(PT!F13,PT!F14))</f>
        <v>0</v>
      </c>
      <c r="F9" s="529">
        <f>IF($A9="","",SUM(PT!G13,PT!G14))</f>
        <v>0</v>
      </c>
      <c r="G9" s="530">
        <f>IF($A9="","",SUM(PT!H13,PT!H14))</f>
        <v>0</v>
      </c>
      <c r="H9" s="530">
        <f>IF($A9="","",SUM(PT!I13,PT!I14))</f>
        <v>0</v>
      </c>
      <c r="I9" s="530">
        <f>IF($A9="","",SUM(PT!J13,PT!J14))</f>
        <v>0</v>
      </c>
      <c r="J9" s="530">
        <f>IF($A9="","",SUM(PT!K13,PT!K14))</f>
        <v>2</v>
      </c>
      <c r="K9" s="530">
        <f>IF($A9="","",SUM(PT!L13,PT!L14))</f>
        <v>0</v>
      </c>
      <c r="L9" s="530">
        <f>IF($A9="","",SUM(PT!M13,PT!M14))</f>
        <v>1</v>
      </c>
      <c r="M9" s="530">
        <f>IF($A9="","",SUM(PT!N13,PT!N14))</f>
        <v>0</v>
      </c>
      <c r="N9" s="530">
        <f>IF($A9="","",SUM(PT!O13,PT!O14))</f>
        <v>0</v>
      </c>
      <c r="O9" s="530">
        <f>IF($A9="","",SUM(PT!P13,PT!P14))</f>
        <v>0</v>
      </c>
      <c r="P9" s="530">
        <f>IF($A9="","",SUM(PT!Q13,PT!Q14))</f>
        <v>0</v>
      </c>
      <c r="Q9" s="530">
        <f>IF($A9="","",SUM(PT!R13,PT!R14))</f>
        <v>0</v>
      </c>
      <c r="R9" s="530">
        <f>IF($A9="","",SUM(PT!S13,PT!S14))</f>
        <v>0</v>
      </c>
      <c r="S9" s="530">
        <f>IF($A9="","",SUM(PT!T13,PT!T14))</f>
        <v>0</v>
      </c>
      <c r="T9" s="531">
        <f t="shared" si="1"/>
        <v>3</v>
      </c>
      <c r="U9" s="532">
        <f>IF($A9="","",SUM(PT!U13,PT!U14))</f>
        <v>3</v>
      </c>
      <c r="V9" s="533" t="str">
        <f>IF($A9="","",PT!AJ14)</f>
        <v/>
      </c>
      <c r="W9" s="534">
        <f>'Game Summary'!F11</f>
        <v>15</v>
      </c>
      <c r="X9" s="535">
        <f t="shared" si="0"/>
        <v>0.2</v>
      </c>
      <c r="Y9" s="516"/>
      <c r="Z9" s="516"/>
      <c r="AA9" s="516"/>
      <c r="AB9" s="516"/>
      <c r="AC9" s="503"/>
    </row>
    <row r="10" spans="1:29" ht="24.9" customHeight="1" x14ac:dyDescent="0.3">
      <c r="A10" s="517" t="str">
        <f>IF(IGRF!B20="","",IGRF!B20)</f>
        <v>33</v>
      </c>
      <c r="B10" s="1055" t="str">
        <f>IF(IGRF!C20="","",IGRF!C20)</f>
        <v>Suzy Slam</v>
      </c>
      <c r="C10" s="1056"/>
      <c r="D10" s="518">
        <f>IF($A10="","",SUM(PT!E15,PT!E16))</f>
        <v>0</v>
      </c>
      <c r="E10" s="519">
        <f>IF($A10="","",SUM(PT!F15,PT!F16))</f>
        <v>0</v>
      </c>
      <c r="F10" s="519">
        <f>IF($A10="","",SUM(PT!G15,PT!G16))</f>
        <v>0</v>
      </c>
      <c r="G10" s="519">
        <f>IF($A10="","",SUM(PT!H15,PT!H16))</f>
        <v>0</v>
      </c>
      <c r="H10" s="519">
        <f>IF($A10="","",SUM(PT!I15,PT!I16))</f>
        <v>0</v>
      </c>
      <c r="I10" s="519">
        <f>IF($A10="","",SUM(PT!J15,PT!J16))</f>
        <v>0</v>
      </c>
      <c r="J10" s="519">
        <f>IF($A10="","",SUM(PT!K15,PT!K16))</f>
        <v>0</v>
      </c>
      <c r="K10" s="519">
        <f>IF($A10="","",SUM(PT!L15,PT!L16))</f>
        <v>1</v>
      </c>
      <c r="L10" s="519">
        <f>IF($A10="","",SUM(PT!M15,PT!M16))</f>
        <v>0</v>
      </c>
      <c r="M10" s="519">
        <f>IF($A10="","",SUM(PT!N15,PT!N16))</f>
        <v>0</v>
      </c>
      <c r="N10" s="519">
        <f>IF($A10="","",SUM(PT!O15,PT!O16))</f>
        <v>0</v>
      </c>
      <c r="O10" s="519">
        <f>IF($A10="","",SUM(PT!P15,PT!P16))</f>
        <v>0</v>
      </c>
      <c r="P10" s="519">
        <f>IF($A10="","",SUM(PT!Q15,PT!Q16))</f>
        <v>0</v>
      </c>
      <c r="Q10" s="519">
        <f>IF($A10="","",SUM(PT!R15,PT!R16))</f>
        <v>0</v>
      </c>
      <c r="R10" s="519">
        <f>IF($A10="","",SUM(PT!S15,PT!S16))</f>
        <v>0</v>
      </c>
      <c r="S10" s="520">
        <f>IF($A10="","",SUM(PT!T15,PT!T16))</f>
        <v>0</v>
      </c>
      <c r="T10" s="521">
        <f t="shared" si="1"/>
        <v>1</v>
      </c>
      <c r="U10" s="522">
        <f>IF($A10="","",SUM(PT!U15,PT!U16))</f>
        <v>1</v>
      </c>
      <c r="V10" s="523" t="str">
        <f>IF($A10="","",PT!AJ16)</f>
        <v/>
      </c>
      <c r="W10" s="524">
        <f>'Game Summary'!F12</f>
        <v>12</v>
      </c>
      <c r="X10" s="525">
        <f t="shared" si="0"/>
        <v>8.3333333333333329E-2</v>
      </c>
      <c r="Y10" s="516"/>
      <c r="Z10" s="516"/>
      <c r="AA10" s="516"/>
      <c r="AB10" s="516"/>
      <c r="AC10" s="503"/>
    </row>
    <row r="11" spans="1:29" ht="24.9" customHeight="1" x14ac:dyDescent="0.3">
      <c r="A11" s="526" t="str">
        <f>IF(IGRF!B21="","",IGRF!B21)</f>
        <v>4</v>
      </c>
      <c r="B11" s="1053" t="str">
        <f>IF(IGRF!C21="","",IGRF!C21)</f>
        <v>Psykosonic</v>
      </c>
      <c r="C11" s="1054"/>
      <c r="D11" s="527">
        <f>IF($A11="","",SUM(PT!E17,PT!E18))</f>
        <v>1</v>
      </c>
      <c r="E11" s="528">
        <f>IF($A11="","",SUM(PT!F17,PT!F18))</f>
        <v>0</v>
      </c>
      <c r="F11" s="529">
        <f>IF($A11="","",SUM(PT!G17,PT!G18))</f>
        <v>0</v>
      </c>
      <c r="G11" s="530">
        <f>IF($A11="","",SUM(PT!H17,PT!H18))</f>
        <v>0</v>
      </c>
      <c r="H11" s="530">
        <f>IF($A11="","",SUM(PT!I17,PT!I18))</f>
        <v>0</v>
      </c>
      <c r="I11" s="530">
        <f>IF($A11="","",SUM(PT!J17,PT!J18))</f>
        <v>0</v>
      </c>
      <c r="J11" s="530">
        <f>IF($A11="","",SUM(PT!K17,PT!K18))</f>
        <v>0</v>
      </c>
      <c r="K11" s="530">
        <f>IF($A11="","",SUM(PT!L17,PT!L18))</f>
        <v>0</v>
      </c>
      <c r="L11" s="530">
        <f>IF($A11="","",SUM(PT!M17,PT!M18))</f>
        <v>0</v>
      </c>
      <c r="M11" s="530">
        <f>IF($A11="","",SUM(PT!N17,PT!N18))</f>
        <v>0</v>
      </c>
      <c r="N11" s="530">
        <f>IF($A11="","",SUM(PT!O17,PT!O18))</f>
        <v>2</v>
      </c>
      <c r="O11" s="530">
        <f>IF($A11="","",SUM(PT!P17,PT!P18))</f>
        <v>0</v>
      </c>
      <c r="P11" s="530">
        <f>IF($A11="","",SUM(PT!Q17,PT!Q18))</f>
        <v>0</v>
      </c>
      <c r="Q11" s="530">
        <f>IF($A11="","",SUM(PT!R17,PT!R18))</f>
        <v>0</v>
      </c>
      <c r="R11" s="530">
        <f>IF($A11="","",SUM(PT!S17,PT!S18))</f>
        <v>0</v>
      </c>
      <c r="S11" s="530">
        <f>IF($A11="","",SUM(PT!T17,PT!T18))</f>
        <v>0</v>
      </c>
      <c r="T11" s="531">
        <f t="shared" si="1"/>
        <v>3</v>
      </c>
      <c r="U11" s="532">
        <f>IF($A11="","",SUM(PT!U17,PT!U18))</f>
        <v>3</v>
      </c>
      <c r="V11" s="533" t="str">
        <f>IF($A11="","",PT!AJ18)</f>
        <v/>
      </c>
      <c r="W11" s="534">
        <f>'Game Summary'!F13</f>
        <v>11</v>
      </c>
      <c r="X11" s="535">
        <f t="shared" si="0"/>
        <v>0.27272727272727271</v>
      </c>
      <c r="Y11" s="516"/>
      <c r="Z11" s="516"/>
      <c r="AA11" s="516"/>
      <c r="AB11" s="516"/>
      <c r="AC11" s="503"/>
    </row>
    <row r="12" spans="1:29" ht="24.9" customHeight="1" x14ac:dyDescent="0.3">
      <c r="A12" s="517" t="str">
        <f>IF(IGRF!B22="","",IGRF!B22)</f>
        <v>42</v>
      </c>
      <c r="B12" s="1055" t="str">
        <f>IF(IGRF!C22="","",IGRF!C22)</f>
        <v>Meg N' Plead</v>
      </c>
      <c r="C12" s="1056"/>
      <c r="D12" s="518">
        <f>IF($A12="","",SUM(PT!E19,PT!E20))</f>
        <v>0</v>
      </c>
      <c r="E12" s="519">
        <f>IF($A12="","",SUM(PT!F19,PT!F20))</f>
        <v>0</v>
      </c>
      <c r="F12" s="519">
        <f>IF($A12="","",SUM(PT!G19,PT!G20))</f>
        <v>0</v>
      </c>
      <c r="G12" s="519">
        <f>IF($A12="","",SUM(PT!H19,PT!H20))</f>
        <v>0</v>
      </c>
      <c r="H12" s="519">
        <f>IF($A12="","",SUM(PT!I19,PT!I20))</f>
        <v>0</v>
      </c>
      <c r="I12" s="519">
        <f>IF($A12="","",SUM(PT!J19,PT!J20))</f>
        <v>0</v>
      </c>
      <c r="J12" s="519">
        <f>IF($A12="","",SUM(PT!K19,PT!K20))</f>
        <v>0</v>
      </c>
      <c r="K12" s="519">
        <f>IF($A12="","",SUM(PT!L19,PT!L20))</f>
        <v>0</v>
      </c>
      <c r="L12" s="519">
        <f>IF($A12="","",SUM(PT!M19,PT!M20))</f>
        <v>0</v>
      </c>
      <c r="M12" s="519">
        <f>IF($A12="","",SUM(PT!N19,PT!N20))</f>
        <v>2</v>
      </c>
      <c r="N12" s="519">
        <f>IF($A12="","",SUM(PT!O19,PT!O20))</f>
        <v>0</v>
      </c>
      <c r="O12" s="519">
        <f>IF($A12="","",SUM(PT!P19,PT!P20))</f>
        <v>0</v>
      </c>
      <c r="P12" s="519">
        <f>IF($A12="","",SUM(PT!Q19,PT!Q20))</f>
        <v>0</v>
      </c>
      <c r="Q12" s="519">
        <f>IF($A12="","",SUM(PT!R19,PT!R20))</f>
        <v>0</v>
      </c>
      <c r="R12" s="519">
        <f>IF($A12="","",SUM(PT!S19,PT!S20))</f>
        <v>0</v>
      </c>
      <c r="S12" s="520">
        <f>IF($A12="","",SUM(PT!T19,PT!T20))</f>
        <v>0</v>
      </c>
      <c r="T12" s="521">
        <f t="shared" si="1"/>
        <v>2</v>
      </c>
      <c r="U12" s="522">
        <f>IF($A12="","",SUM(PT!U19,PT!U20))</f>
        <v>2</v>
      </c>
      <c r="V12" s="523" t="str">
        <f>IF($A12="","",PT!AJ20)</f>
        <v/>
      </c>
      <c r="W12" s="524">
        <f>'Game Summary'!F14</f>
        <v>11</v>
      </c>
      <c r="X12" s="525">
        <f t="shared" si="0"/>
        <v>0.18181818181818182</v>
      </c>
      <c r="Y12" s="516"/>
      <c r="Z12" s="516"/>
      <c r="AA12" s="516"/>
      <c r="AB12" s="516"/>
      <c r="AC12" s="503"/>
    </row>
    <row r="13" spans="1:29" ht="24.9" customHeight="1" x14ac:dyDescent="0.3">
      <c r="A13" s="526" t="str">
        <f>IF(IGRF!B23="","",IGRF!B23)</f>
        <v>44</v>
      </c>
      <c r="B13" s="1053" t="str">
        <f>IF(IGRF!C23="","",IGRF!C23)</f>
        <v>Brunt Force Bunny</v>
      </c>
      <c r="C13" s="1054"/>
      <c r="D13" s="527">
        <f>IF($A13="","",SUM(PT!E21,PT!E22))</f>
        <v>0</v>
      </c>
      <c r="E13" s="528">
        <f>IF($A13="","",SUM(PT!F21,PT!F22))</f>
        <v>0</v>
      </c>
      <c r="F13" s="529">
        <f>IF($A13="","",SUM(PT!G21,PT!G22))</f>
        <v>0</v>
      </c>
      <c r="G13" s="530">
        <f>IF($A13="","",SUM(PT!H21,PT!H22))</f>
        <v>0</v>
      </c>
      <c r="H13" s="530">
        <f>IF($A13="","",SUM(PT!I21,PT!I22))</f>
        <v>0</v>
      </c>
      <c r="I13" s="530">
        <f>IF($A13="","",SUM(PT!J21,PT!J22))</f>
        <v>0</v>
      </c>
      <c r="J13" s="530">
        <f>IF($A13="","",SUM(PT!K21,PT!K22))</f>
        <v>0</v>
      </c>
      <c r="K13" s="530">
        <f>IF($A13="","",SUM(PT!L21,PT!L22))</f>
        <v>0</v>
      </c>
      <c r="L13" s="530">
        <f>IF($A13="","",SUM(PT!M21,PT!M22))</f>
        <v>0</v>
      </c>
      <c r="M13" s="530">
        <f>IF($A13="","",SUM(PT!N21,PT!N22))</f>
        <v>0</v>
      </c>
      <c r="N13" s="530">
        <f>IF($A13="","",SUM(PT!O21,PT!O22))</f>
        <v>0</v>
      </c>
      <c r="O13" s="530">
        <f>IF($A13="","",SUM(PT!P21,PT!P22))</f>
        <v>0</v>
      </c>
      <c r="P13" s="530">
        <f>IF($A13="","",SUM(PT!Q21,PT!Q22))</f>
        <v>0</v>
      </c>
      <c r="Q13" s="530">
        <f>IF($A13="","",SUM(PT!R21,PT!R22))</f>
        <v>0</v>
      </c>
      <c r="R13" s="530">
        <f>IF($A13="","",SUM(PT!S21,PT!S22))</f>
        <v>0</v>
      </c>
      <c r="S13" s="530">
        <f>IF($A13="","",SUM(PT!T21,PT!T22))</f>
        <v>0</v>
      </c>
      <c r="T13" s="531">
        <f t="shared" si="1"/>
        <v>0</v>
      </c>
      <c r="U13" s="532">
        <f>IF($A13="","",SUM(PT!U21,PT!U22))</f>
        <v>0</v>
      </c>
      <c r="V13" s="533" t="str">
        <f>IF($A13="","",PT!AJ22)</f>
        <v/>
      </c>
      <c r="W13" s="534">
        <f>'Game Summary'!F15</f>
        <v>10</v>
      </c>
      <c r="X13" s="535">
        <f t="shared" si="0"/>
        <v>0</v>
      </c>
      <c r="Y13" s="516"/>
      <c r="Z13" s="516"/>
      <c r="AA13" s="516"/>
      <c r="AB13" s="516"/>
      <c r="AC13" s="503"/>
    </row>
    <row r="14" spans="1:29" ht="24.9" customHeight="1" x14ac:dyDescent="0.3">
      <c r="A14" s="517" t="str">
        <f>IF(IGRF!B24="","",IGRF!B24)</f>
        <v>480</v>
      </c>
      <c r="B14" s="1055" t="str">
        <f>IF(IGRF!C24="","",IGRF!C24)</f>
        <v>Slaughterhouse Streeter</v>
      </c>
      <c r="C14" s="1056"/>
      <c r="D14" s="518">
        <f>IF($A14="","",SUM(PT!E23,PT!E24))</f>
        <v>0</v>
      </c>
      <c r="E14" s="519">
        <f>IF($A14="","",SUM(PT!F23,PT!F24))</f>
        <v>0</v>
      </c>
      <c r="F14" s="519">
        <f>IF($A14="","",SUM(PT!G23,PT!G24))</f>
        <v>1</v>
      </c>
      <c r="G14" s="519">
        <f>IF($A14="","",SUM(PT!H23,PT!H24))</f>
        <v>0</v>
      </c>
      <c r="H14" s="519">
        <f>IF($A14="","",SUM(PT!I23,PT!I24))</f>
        <v>0</v>
      </c>
      <c r="I14" s="519">
        <f>IF($A14="","",SUM(PT!J23,PT!J24))</f>
        <v>0</v>
      </c>
      <c r="J14" s="519">
        <f>IF($A14="","",SUM(PT!K23,PT!K24))</f>
        <v>0</v>
      </c>
      <c r="K14" s="519">
        <f>IF($A14="","",SUM(PT!L23,PT!L24))</f>
        <v>0</v>
      </c>
      <c r="L14" s="519">
        <f>IF($A14="","",SUM(PT!M23,PT!M24))</f>
        <v>0</v>
      </c>
      <c r="M14" s="519">
        <f>IF($A14="","",SUM(PT!N23,PT!N24))</f>
        <v>2</v>
      </c>
      <c r="N14" s="519">
        <f>IF($A14="","",SUM(PT!O23,PT!O24))</f>
        <v>0</v>
      </c>
      <c r="O14" s="519">
        <f>IF($A14="","",SUM(PT!P23,PT!P24))</f>
        <v>0</v>
      </c>
      <c r="P14" s="519">
        <f>IF($A14="","",SUM(PT!Q23,PT!Q24))</f>
        <v>0</v>
      </c>
      <c r="Q14" s="519">
        <f>IF($A14="","",SUM(PT!R23,PT!R24))</f>
        <v>0</v>
      </c>
      <c r="R14" s="519">
        <f>IF($A14="","",SUM(PT!S23,PT!S24))</f>
        <v>0</v>
      </c>
      <c r="S14" s="520">
        <f>IF($A14="","",SUM(PT!T23,PT!T24))</f>
        <v>0</v>
      </c>
      <c r="T14" s="521">
        <f t="shared" si="1"/>
        <v>3</v>
      </c>
      <c r="U14" s="522">
        <f>IF($A14="","",SUM(PT!U23,PT!U24))</f>
        <v>3</v>
      </c>
      <c r="V14" s="523" t="str">
        <f>IF($A14="","",PT!AJ24)</f>
        <v/>
      </c>
      <c r="W14" s="524">
        <f>'Game Summary'!F16</f>
        <v>17</v>
      </c>
      <c r="X14" s="525">
        <f t="shared" si="0"/>
        <v>0.17647058823529413</v>
      </c>
      <c r="Y14" s="516"/>
      <c r="Z14" s="516"/>
      <c r="AA14" s="516"/>
      <c r="AB14" s="516"/>
      <c r="AC14" s="503"/>
    </row>
    <row r="15" spans="1:29" ht="24.9" customHeight="1" x14ac:dyDescent="0.3">
      <c r="A15" s="526" t="str">
        <f>IF(IGRF!B25="","",IGRF!B25)</f>
        <v>64</v>
      </c>
      <c r="B15" s="1053" t="str">
        <f>IF(IGRF!C25="","",IGRF!C25)</f>
        <v>Cannonball Doll</v>
      </c>
      <c r="C15" s="1054"/>
      <c r="D15" s="527">
        <f>IF($A15="","",SUM(PT!E25,PT!E26))</f>
        <v>0</v>
      </c>
      <c r="E15" s="528">
        <f>IF($A15="","",SUM(PT!F25,PT!F26))</f>
        <v>0</v>
      </c>
      <c r="F15" s="529">
        <f>IF($A15="","",SUM(PT!G25,PT!G26))</f>
        <v>2</v>
      </c>
      <c r="G15" s="530">
        <f>IF($A15="","",SUM(PT!H25,PT!H26))</f>
        <v>0</v>
      </c>
      <c r="H15" s="530">
        <f>IF($A15="","",SUM(PT!I25,PT!I26))</f>
        <v>0</v>
      </c>
      <c r="I15" s="530">
        <f>IF($A15="","",SUM(PT!J25,PT!J26))</f>
        <v>0</v>
      </c>
      <c r="J15" s="530">
        <f>IF($A15="","",SUM(PT!K25,PT!K26))</f>
        <v>0</v>
      </c>
      <c r="K15" s="530">
        <f>IF($A15="","",SUM(PT!L25,PT!L26))</f>
        <v>0</v>
      </c>
      <c r="L15" s="530">
        <f>IF($A15="","",SUM(PT!M25,PT!M26))</f>
        <v>0</v>
      </c>
      <c r="M15" s="530">
        <f>IF($A15="","",SUM(PT!N25,PT!N26))</f>
        <v>3</v>
      </c>
      <c r="N15" s="530">
        <f>IF($A15="","",SUM(PT!O25,PT!O26))</f>
        <v>0</v>
      </c>
      <c r="O15" s="530">
        <f>IF($A15="","",SUM(PT!P25,PT!P26))</f>
        <v>0</v>
      </c>
      <c r="P15" s="530">
        <f>IF($A15="","",SUM(PT!Q25,PT!Q26))</f>
        <v>0</v>
      </c>
      <c r="Q15" s="530">
        <f>IF($A15="","",SUM(PT!R25,PT!R26))</f>
        <v>0</v>
      </c>
      <c r="R15" s="530">
        <f>IF($A15="","",SUM(PT!S25,PT!S26))</f>
        <v>0</v>
      </c>
      <c r="S15" s="530">
        <f>IF($A15="","",SUM(PT!T25,PT!T26))</f>
        <v>0</v>
      </c>
      <c r="T15" s="531">
        <f t="shared" si="1"/>
        <v>5</v>
      </c>
      <c r="U15" s="532">
        <f>IF($A15="","",SUM(PT!U25,PT!U26))</f>
        <v>5</v>
      </c>
      <c r="V15" s="533" t="str">
        <f>IF($A15="","",PT!AJ26)</f>
        <v/>
      </c>
      <c r="W15" s="534">
        <f>'Game Summary'!F17</f>
        <v>21</v>
      </c>
      <c r="X15" s="535">
        <f t="shared" si="0"/>
        <v>0.23809523809523808</v>
      </c>
      <c r="Y15" s="516"/>
      <c r="Z15" s="516"/>
      <c r="AA15" s="516"/>
      <c r="AB15" s="516"/>
      <c r="AC15" s="503"/>
    </row>
    <row r="16" spans="1:29" ht="24.9" customHeight="1" x14ac:dyDescent="0.3">
      <c r="A16" s="517" t="str">
        <f>IF(IGRF!B26="","",IGRF!B26)</f>
        <v>84</v>
      </c>
      <c r="B16" s="1055" t="str">
        <f>IF(IGRF!C26="","",IGRF!C26)</f>
        <v>MEGAnTRON</v>
      </c>
      <c r="C16" s="1056"/>
      <c r="D16" s="518">
        <f>IF($A16="","",SUM(PT!E27,PT!E28))</f>
        <v>1</v>
      </c>
      <c r="E16" s="519">
        <f>IF($A16="","",SUM(PT!F27,PT!F28))</f>
        <v>0</v>
      </c>
      <c r="F16" s="519">
        <f>IF($A16="","",SUM(PT!G27,PT!G28))</f>
        <v>0</v>
      </c>
      <c r="G16" s="519">
        <f>IF($A16="","",SUM(PT!H27,PT!H28))</f>
        <v>0</v>
      </c>
      <c r="H16" s="519">
        <f>IF($A16="","",SUM(PT!I27,PT!I28))</f>
        <v>1</v>
      </c>
      <c r="I16" s="519">
        <f>IF($A16="","",SUM(PT!J27,PT!J28))</f>
        <v>0</v>
      </c>
      <c r="J16" s="519">
        <f>IF($A16="","",SUM(PT!K27,PT!K28))</f>
        <v>0</v>
      </c>
      <c r="K16" s="519">
        <f>IF($A16="","",SUM(PT!L27,PT!L28))</f>
        <v>0</v>
      </c>
      <c r="L16" s="519">
        <f>IF($A16="","",SUM(PT!M27,PT!M28))</f>
        <v>0</v>
      </c>
      <c r="M16" s="519">
        <f>IF($A16="","",SUM(PT!N27,PT!N28))</f>
        <v>0</v>
      </c>
      <c r="N16" s="519">
        <f>IF($A16="","",SUM(PT!O27,PT!O28))</f>
        <v>0</v>
      </c>
      <c r="O16" s="519">
        <f>IF($A16="","",SUM(PT!P27,PT!P28))</f>
        <v>0</v>
      </c>
      <c r="P16" s="519">
        <f>IF($A16="","",SUM(PT!Q27,PT!Q28))</f>
        <v>0</v>
      </c>
      <c r="Q16" s="519">
        <f>IF($A16="","",SUM(PT!R27,PT!R28))</f>
        <v>0</v>
      </c>
      <c r="R16" s="519">
        <f>IF($A16="","",SUM(PT!S27,PT!S28))</f>
        <v>0</v>
      </c>
      <c r="S16" s="520">
        <f>IF($A16="","",SUM(PT!T27,PT!T28))</f>
        <v>0</v>
      </c>
      <c r="T16" s="521">
        <f t="shared" si="1"/>
        <v>2</v>
      </c>
      <c r="U16" s="522">
        <f>IF($A16="","",SUM(PT!U27,PT!U28))</f>
        <v>2</v>
      </c>
      <c r="V16" s="523" t="str">
        <f>IF($A16="","",PT!AJ28)</f>
        <v/>
      </c>
      <c r="W16" s="524">
        <f>'Game Summary'!F18</f>
        <v>9</v>
      </c>
      <c r="X16" s="525">
        <f t="shared" si="0"/>
        <v>0.22222222222222221</v>
      </c>
      <c r="Y16" s="516"/>
      <c r="Z16" s="516"/>
      <c r="AA16" s="516"/>
      <c r="AB16" s="516"/>
      <c r="AC16" s="503"/>
    </row>
    <row r="17" spans="1:29" ht="24.9" customHeight="1" x14ac:dyDescent="0.3">
      <c r="A17" s="526" t="str">
        <f>IF(IGRF!B27="","",IGRF!B27)</f>
        <v>N01</v>
      </c>
      <c r="B17" s="1053" t="str">
        <f>IF(IGRF!C27="","",IGRF!C27)</f>
        <v>Commander Will Wrecker</v>
      </c>
      <c r="C17" s="1054"/>
      <c r="D17" s="527">
        <f>IF($A17="","",SUM(PT!E29,PT!E30))</f>
        <v>0</v>
      </c>
      <c r="E17" s="528">
        <f>IF($A17="","",SUM(PT!F29,PT!F30))</f>
        <v>0</v>
      </c>
      <c r="F17" s="529">
        <f>IF($A17="","",SUM(PT!G29,PT!G30))</f>
        <v>0</v>
      </c>
      <c r="G17" s="530">
        <f>IF($A17="","",SUM(PT!H29,PT!H30))</f>
        <v>0</v>
      </c>
      <c r="H17" s="530">
        <f>IF($A17="","",SUM(PT!I29,PT!I30))</f>
        <v>2</v>
      </c>
      <c r="I17" s="530">
        <f>IF($A17="","",SUM(PT!J29,PT!J30))</f>
        <v>0</v>
      </c>
      <c r="J17" s="530">
        <f>IF($A17="","",SUM(PT!K29,PT!K30))</f>
        <v>0</v>
      </c>
      <c r="K17" s="530">
        <f>IF($A17="","",SUM(PT!L29,PT!L30))</f>
        <v>0</v>
      </c>
      <c r="L17" s="530">
        <f>IF($A17="","",SUM(PT!M29,PT!M30))</f>
        <v>2</v>
      </c>
      <c r="M17" s="530">
        <f>IF($A17="","",SUM(PT!N29,PT!N30))</f>
        <v>0</v>
      </c>
      <c r="N17" s="530">
        <f>IF($A17="","",SUM(PT!O29,PT!O30))</f>
        <v>0</v>
      </c>
      <c r="O17" s="530">
        <f>IF($A17="","",SUM(PT!P29,PT!P30))</f>
        <v>0</v>
      </c>
      <c r="P17" s="530">
        <f>IF($A17="","",SUM(PT!Q29,PT!Q30))</f>
        <v>0</v>
      </c>
      <c r="Q17" s="530">
        <f>IF($A17="","",SUM(PT!R29,PT!R30))</f>
        <v>0</v>
      </c>
      <c r="R17" s="530">
        <f>IF($A17="","",SUM(PT!S29,PT!S30))</f>
        <v>0</v>
      </c>
      <c r="S17" s="530">
        <f>IF($A17="","",SUM(PT!T29,PT!T30))</f>
        <v>0</v>
      </c>
      <c r="T17" s="531">
        <f t="shared" si="1"/>
        <v>4</v>
      </c>
      <c r="U17" s="532">
        <f>IF($A17="","",SUM(PT!U29,PT!U30))</f>
        <v>4</v>
      </c>
      <c r="V17" s="533" t="str">
        <f>IF($A17="","",PT!AJ30)</f>
        <v/>
      </c>
      <c r="W17" s="534">
        <f>'Game Summary'!F19</f>
        <v>19</v>
      </c>
      <c r="X17" s="535">
        <f t="shared" si="0"/>
        <v>0.21052631578947367</v>
      </c>
      <c r="Y17" s="516"/>
      <c r="Z17" s="516"/>
      <c r="AA17" s="516"/>
      <c r="AB17" s="516"/>
      <c r="AC17" s="503"/>
    </row>
    <row r="18" spans="1:29" ht="24.9" customHeight="1" x14ac:dyDescent="0.3">
      <c r="A18" s="517" t="str">
        <f>IF(IGRF!B28="","",IGRF!B28)</f>
        <v/>
      </c>
      <c r="B18" s="1055" t="str">
        <f>IF(IGRF!C28="","",IGRF!C28)</f>
        <v/>
      </c>
      <c r="C18" s="1056"/>
      <c r="D18" s="518" t="str">
        <f>IF($A18="","",SUM(PT!E31,PT!E32))</f>
        <v/>
      </c>
      <c r="E18" s="519" t="str">
        <f>IF($A18="","",SUM(PT!F31,PT!F32))</f>
        <v/>
      </c>
      <c r="F18" s="519" t="str">
        <f>IF($A18="","",SUM(PT!G31,PT!G32))</f>
        <v/>
      </c>
      <c r="G18" s="519" t="str">
        <f>IF($A18="","",SUM(PT!H31,PT!H32))</f>
        <v/>
      </c>
      <c r="H18" s="519" t="str">
        <f>IF($A18="","",SUM(PT!I31,PT!I32))</f>
        <v/>
      </c>
      <c r="I18" s="519" t="str">
        <f>IF($A18="","",SUM(PT!J31,PT!J32))</f>
        <v/>
      </c>
      <c r="J18" s="519" t="str">
        <f>IF($A18="","",SUM(PT!K31,PT!K32))</f>
        <v/>
      </c>
      <c r="K18" s="519" t="str">
        <f>IF($A18="","",SUM(PT!L31,PT!L32))</f>
        <v/>
      </c>
      <c r="L18" s="519" t="str">
        <f>IF($A18="","",SUM(PT!M31,PT!M32))</f>
        <v/>
      </c>
      <c r="M18" s="519" t="str">
        <f>IF($A18="","",SUM(PT!N31,PT!N32))</f>
        <v/>
      </c>
      <c r="N18" s="519" t="str">
        <f>IF($A18="","",SUM(PT!O31,PT!O32))</f>
        <v/>
      </c>
      <c r="O18" s="519" t="str">
        <f>IF($A18="","",SUM(PT!P31,PT!P32))</f>
        <v/>
      </c>
      <c r="P18" s="519" t="str">
        <f>IF($A18="","",SUM(PT!Q31,PT!Q32))</f>
        <v/>
      </c>
      <c r="Q18" s="519" t="str">
        <f>IF($A18="","",SUM(PT!R31,PT!R32))</f>
        <v/>
      </c>
      <c r="R18" s="519" t="str">
        <f>IF($A18="","",SUM(PT!S31,PT!S32))</f>
        <v/>
      </c>
      <c r="S18" s="520" t="str">
        <f>IF($A18="","",SUM(PT!T31,PT!T32))</f>
        <v/>
      </c>
      <c r="T18" s="521" t="str">
        <f t="shared" si="1"/>
        <v/>
      </c>
      <c r="U18" s="522" t="str">
        <f>IF($A18="","",SUM(PT!U31,PT!U32))</f>
        <v/>
      </c>
      <c r="V18" s="523" t="str">
        <f>IF($A18="","",PT!AJ32)</f>
        <v/>
      </c>
      <c r="W18" s="524" t="str">
        <f>'Game Summary'!F20</f>
        <v/>
      </c>
      <c r="X18" s="525" t="str">
        <f t="shared" si="0"/>
        <v/>
      </c>
      <c r="Y18" s="516"/>
      <c r="Z18" s="516"/>
      <c r="AA18" s="516"/>
      <c r="AB18" s="516"/>
      <c r="AC18" s="503"/>
    </row>
    <row r="19" spans="1:29" ht="24.9" customHeight="1" x14ac:dyDescent="0.3">
      <c r="A19" s="526" t="str">
        <f>IF(IGRF!B29="","",IGRF!B29)</f>
        <v/>
      </c>
      <c r="B19" s="1053" t="str">
        <f>IF(IGRF!C29="","",IGRF!C29)</f>
        <v/>
      </c>
      <c r="C19" s="1054"/>
      <c r="D19" s="527" t="str">
        <f>IF($A19="","",SUM(PT!E33,PT!E34))</f>
        <v/>
      </c>
      <c r="E19" s="528" t="str">
        <f>IF($A19="","",SUM(PT!F33,PT!F34))</f>
        <v/>
      </c>
      <c r="F19" s="529" t="str">
        <f>IF($A19="","",SUM(PT!G33,PT!G34))</f>
        <v/>
      </c>
      <c r="G19" s="530" t="str">
        <f>IF($A19="","",SUM(PT!H33,PT!H34))</f>
        <v/>
      </c>
      <c r="H19" s="530" t="str">
        <f>IF($A19="","",SUM(PT!I33,PT!I34))</f>
        <v/>
      </c>
      <c r="I19" s="530" t="str">
        <f>IF($A19="","",SUM(PT!J33,PT!J34))</f>
        <v/>
      </c>
      <c r="J19" s="530" t="str">
        <f>IF($A19="","",SUM(PT!K33,PT!K34))</f>
        <v/>
      </c>
      <c r="K19" s="530" t="str">
        <f>IF($A19="","",SUM(PT!L33,PT!L34))</f>
        <v/>
      </c>
      <c r="L19" s="530" t="str">
        <f>IF($A19="","",SUM(PT!M33,PT!M34))</f>
        <v/>
      </c>
      <c r="M19" s="530" t="str">
        <f>IF($A19="","",SUM(PT!N33,PT!N34))</f>
        <v/>
      </c>
      <c r="N19" s="530" t="str">
        <f>IF($A19="","",SUM(PT!O33,PT!O34))</f>
        <v/>
      </c>
      <c r="O19" s="530" t="str">
        <f>IF($A19="","",SUM(PT!P33,PT!P34))</f>
        <v/>
      </c>
      <c r="P19" s="530" t="str">
        <f>IF($A19="","",SUM(PT!Q33,PT!Q34))</f>
        <v/>
      </c>
      <c r="Q19" s="530" t="str">
        <f>IF($A19="","",SUM(PT!R33,PT!R34))</f>
        <v/>
      </c>
      <c r="R19" s="530" t="str">
        <f>IF($A19="","",SUM(PT!S33,PT!S34))</f>
        <v/>
      </c>
      <c r="S19" s="530" t="str">
        <f>IF($A19="","",SUM(PT!T33,PT!T34))</f>
        <v/>
      </c>
      <c r="T19" s="531" t="str">
        <f t="shared" si="1"/>
        <v/>
      </c>
      <c r="U19" s="532" t="str">
        <f>IF($A19="","",SUM(PT!U33,PT!U34))</f>
        <v/>
      </c>
      <c r="V19" s="533" t="str">
        <f>IF($A19="","",PT!AJ34)</f>
        <v/>
      </c>
      <c r="W19" s="534" t="str">
        <f>'Game Summary'!F21</f>
        <v/>
      </c>
      <c r="X19" s="535" t="str">
        <f t="shared" si="0"/>
        <v/>
      </c>
      <c r="Y19" s="516"/>
      <c r="Z19" s="516"/>
      <c r="AA19" s="516"/>
      <c r="AB19" s="516"/>
      <c r="AC19" s="503"/>
    </row>
    <row r="20" spans="1:29" s="536" customFormat="1" ht="24.9" customHeight="1" x14ac:dyDescent="0.25">
      <c r="A20" s="517" t="str">
        <f>IF(IGRF!B30="","",IGRF!B30)</f>
        <v/>
      </c>
      <c r="B20" s="1055" t="str">
        <f>IF(IGRF!C30="","",IGRF!C30)</f>
        <v/>
      </c>
      <c r="C20" s="1056"/>
      <c r="D20" s="518" t="str">
        <f>IF($A20="","",SUM(PT!E35,PT!E36))</f>
        <v/>
      </c>
      <c r="E20" s="519" t="str">
        <f>IF($A20="","",SUM(PT!F35,PT!F36))</f>
        <v/>
      </c>
      <c r="F20" s="519" t="str">
        <f>IF($A20="","",SUM(PT!G35,PT!G36))</f>
        <v/>
      </c>
      <c r="G20" s="519" t="str">
        <f>IF($A20="","",SUM(PT!H35,PT!H36))</f>
        <v/>
      </c>
      <c r="H20" s="519" t="str">
        <f>IF($A20="","",SUM(PT!I35,PT!I36))</f>
        <v/>
      </c>
      <c r="I20" s="519" t="str">
        <f>IF($A20="","",SUM(PT!J35,PT!J36))</f>
        <v/>
      </c>
      <c r="J20" s="519" t="str">
        <f>IF($A20="","",SUM(PT!K35,PT!K36))</f>
        <v/>
      </c>
      <c r="K20" s="519" t="str">
        <f>IF($A20="","",SUM(PT!L35,PT!L36))</f>
        <v/>
      </c>
      <c r="L20" s="519" t="str">
        <f>IF($A20="","",SUM(PT!M35,PT!M36))</f>
        <v/>
      </c>
      <c r="M20" s="519" t="str">
        <f>IF($A20="","",SUM(PT!N35,PT!N36))</f>
        <v/>
      </c>
      <c r="N20" s="519" t="str">
        <f>IF($A20="","",SUM(PT!O35,PT!O36))</f>
        <v/>
      </c>
      <c r="O20" s="519" t="str">
        <f>IF($A20="","",SUM(PT!P35,PT!P36))</f>
        <v/>
      </c>
      <c r="P20" s="519" t="str">
        <f>IF($A20="","",SUM(PT!Q35,PT!Q36))</f>
        <v/>
      </c>
      <c r="Q20" s="519" t="str">
        <f>IF($A20="","",SUM(PT!R35,PT!R36))</f>
        <v/>
      </c>
      <c r="R20" s="519" t="str">
        <f>IF($A20="","",SUM(PT!S35,PT!S36))</f>
        <v/>
      </c>
      <c r="S20" s="520" t="str">
        <f>IF($A20="","",SUM(PT!T35,PT!T36))</f>
        <v/>
      </c>
      <c r="T20" s="521" t="str">
        <f t="shared" si="1"/>
        <v/>
      </c>
      <c r="U20" s="522" t="str">
        <f>IF($A20="","",SUM(PT!U35,PT!U36))</f>
        <v/>
      </c>
      <c r="V20" s="523" t="str">
        <f>IF($A20="","",PT!AJ36)</f>
        <v/>
      </c>
      <c r="W20" s="524" t="str">
        <f>'Game Summary'!F22</f>
        <v/>
      </c>
      <c r="X20" s="525" t="str">
        <f t="shared" si="0"/>
        <v/>
      </c>
    </row>
    <row r="21" spans="1:29" ht="24.9" customHeight="1" x14ac:dyDescent="0.3">
      <c r="A21" s="526" t="str">
        <f>IF(IGRF!B31="","",IGRF!B31)</f>
        <v/>
      </c>
      <c r="B21" s="1053" t="str">
        <f>IF(IGRF!C31="","",IGRF!C31)</f>
        <v/>
      </c>
      <c r="C21" s="1054"/>
      <c r="D21" s="527" t="str">
        <f>IF($A21="","",SUM(PT!E37,PT!E38))</f>
        <v/>
      </c>
      <c r="E21" s="528" t="str">
        <f>IF($A21="","",SUM(PT!F37,PT!F38))</f>
        <v/>
      </c>
      <c r="F21" s="529" t="str">
        <f>IF($A21="","",SUM(PT!G37,PT!G38))</f>
        <v/>
      </c>
      <c r="G21" s="530" t="str">
        <f>IF($A21="","",SUM(PT!H37,PT!H38))</f>
        <v/>
      </c>
      <c r="H21" s="530" t="str">
        <f>IF($A21="","",SUM(PT!I37,PT!I38))</f>
        <v/>
      </c>
      <c r="I21" s="530" t="str">
        <f>IF($A21="","",SUM(PT!J37,PT!J38))</f>
        <v/>
      </c>
      <c r="J21" s="530" t="str">
        <f>IF($A21="","",SUM(PT!K37,PT!K38))</f>
        <v/>
      </c>
      <c r="K21" s="530" t="str">
        <f>IF($A21="","",SUM(PT!L37,PT!L38))</f>
        <v/>
      </c>
      <c r="L21" s="530" t="str">
        <f>IF($A21="","",SUM(PT!M37,PT!M38))</f>
        <v/>
      </c>
      <c r="M21" s="530" t="str">
        <f>IF($A21="","",SUM(PT!N37,PT!N38))</f>
        <v/>
      </c>
      <c r="N21" s="530" t="str">
        <f>IF($A21="","",SUM(PT!O37,PT!O38))</f>
        <v/>
      </c>
      <c r="O21" s="530" t="str">
        <f>IF($A21="","",SUM(PT!P37,PT!P38))</f>
        <v/>
      </c>
      <c r="P21" s="530" t="str">
        <f>IF($A21="","",SUM(PT!Q37,PT!Q38))</f>
        <v/>
      </c>
      <c r="Q21" s="530" t="str">
        <f>IF($A21="","",SUM(PT!R37,PT!R38))</f>
        <v/>
      </c>
      <c r="R21" s="530" t="str">
        <f>IF($A21="","",SUM(PT!S37,PT!S38))</f>
        <v/>
      </c>
      <c r="S21" s="530" t="str">
        <f>IF($A21="","",SUM(PT!T37,PT!T38))</f>
        <v/>
      </c>
      <c r="T21" s="531" t="str">
        <f t="shared" si="1"/>
        <v/>
      </c>
      <c r="U21" s="532" t="str">
        <f>IF($A21="","",SUM(PT!U37,PT!U38))</f>
        <v/>
      </c>
      <c r="V21" s="533" t="str">
        <f>IF($A21="","",PT!AJ38)</f>
        <v/>
      </c>
      <c r="W21" s="534" t="str">
        <f>'Game Summary'!F23</f>
        <v/>
      </c>
      <c r="X21" s="535" t="str">
        <f t="shared" si="0"/>
        <v/>
      </c>
      <c r="Y21" s="505"/>
      <c r="Z21" s="505"/>
      <c r="AA21" s="505"/>
      <c r="AB21" s="505"/>
      <c r="AC21" s="503"/>
    </row>
    <row r="22" spans="1:29" ht="24.9" customHeight="1" x14ac:dyDescent="0.3">
      <c r="A22" s="517" t="str">
        <f>IF(IGRF!B32="","",IGRF!B32)</f>
        <v/>
      </c>
      <c r="B22" s="1055" t="str">
        <f>IF(IGRF!C32="","",IGRF!C32)</f>
        <v/>
      </c>
      <c r="C22" s="1056"/>
      <c r="D22" s="518" t="str">
        <f>IF($A22="","",SUM(PT!E39,PT!E40))</f>
        <v/>
      </c>
      <c r="E22" s="519" t="str">
        <f>IF($A22="","",SUM(PT!F39,PT!F40))</f>
        <v/>
      </c>
      <c r="F22" s="519" t="str">
        <f>IF($A22="","",SUM(PT!G39,PT!G40))</f>
        <v/>
      </c>
      <c r="G22" s="519" t="str">
        <f>IF($A22="","",SUM(PT!H39,PT!H40))</f>
        <v/>
      </c>
      <c r="H22" s="519" t="str">
        <f>IF($A22="","",SUM(PT!I39,PT!I40))</f>
        <v/>
      </c>
      <c r="I22" s="519" t="str">
        <f>IF($A22="","",SUM(PT!J39,PT!J40))</f>
        <v/>
      </c>
      <c r="J22" s="519" t="str">
        <f>IF($A22="","",SUM(PT!K39,PT!K40))</f>
        <v/>
      </c>
      <c r="K22" s="519" t="str">
        <f>IF($A22="","",SUM(PT!L39,PT!L40))</f>
        <v/>
      </c>
      <c r="L22" s="519" t="str">
        <f>IF($A22="","",SUM(PT!M39,PT!M40))</f>
        <v/>
      </c>
      <c r="M22" s="519" t="str">
        <f>IF($A22="","",SUM(PT!N39,PT!N40))</f>
        <v/>
      </c>
      <c r="N22" s="519" t="str">
        <f>IF($A22="","",SUM(PT!O39,PT!O40))</f>
        <v/>
      </c>
      <c r="O22" s="519" t="str">
        <f>IF($A22="","",SUM(PT!P39,PT!P40))</f>
        <v/>
      </c>
      <c r="P22" s="519" t="str">
        <f>IF($A22="","",SUM(PT!Q39,PT!Q40))</f>
        <v/>
      </c>
      <c r="Q22" s="519" t="str">
        <f>IF($A22="","",SUM(PT!R39,PT!R40))</f>
        <v/>
      </c>
      <c r="R22" s="519" t="str">
        <f>IF($A22="","",SUM(PT!S39,PT!S40))</f>
        <v/>
      </c>
      <c r="S22" s="520" t="str">
        <f>IF($A22="","",SUM(PT!T39,PT!T40))</f>
        <v/>
      </c>
      <c r="T22" s="521" t="str">
        <f t="shared" si="1"/>
        <v/>
      </c>
      <c r="U22" s="522" t="str">
        <f>IF($A22="","",SUM(PT!U39,PT!U40))</f>
        <v/>
      </c>
      <c r="V22" s="523" t="str">
        <f>IF($A22="","",PT!AJ40)</f>
        <v/>
      </c>
      <c r="W22" s="524" t="str">
        <f>'Game Summary'!F24</f>
        <v/>
      </c>
      <c r="X22" s="525" t="str">
        <f t="shared" si="0"/>
        <v/>
      </c>
      <c r="Y22" s="516"/>
      <c r="Z22" s="516"/>
      <c r="AA22" s="516"/>
      <c r="AB22" s="516"/>
      <c r="AC22" s="503"/>
    </row>
    <row r="23" spans="1:29" ht="24.9" customHeight="1" thickBot="1" x14ac:dyDescent="0.35">
      <c r="A23" s="526" t="str">
        <f>IF(IGRF!B33="","",IGRF!B33)</f>
        <v/>
      </c>
      <c r="B23" s="1053" t="str">
        <f>IF(IGRF!C33="","",IGRF!C33)</f>
        <v/>
      </c>
      <c r="C23" s="1070"/>
      <c r="D23" s="527" t="str">
        <f>IF($A23="","",SUM(PT!E41,PT!E42))</f>
        <v/>
      </c>
      <c r="E23" s="528" t="str">
        <f>IF($A23="","",SUM(PT!F41,PT!F42))</f>
        <v/>
      </c>
      <c r="F23" s="529" t="str">
        <f>IF($A23="","",SUM(PT!G41,PT!G42))</f>
        <v/>
      </c>
      <c r="G23" s="530" t="str">
        <f>IF($A23="","",SUM(PT!H41,PT!H42))</f>
        <v/>
      </c>
      <c r="H23" s="530" t="str">
        <f>IF($A23="","",SUM(PT!I41,PT!I42))</f>
        <v/>
      </c>
      <c r="I23" s="530" t="str">
        <f>IF($A23="","",SUM(PT!J41,PT!J42))</f>
        <v/>
      </c>
      <c r="J23" s="530" t="str">
        <f>IF($A23="","",SUM(PT!K41,PT!K42))</f>
        <v/>
      </c>
      <c r="K23" s="530" t="str">
        <f>IF($A23="","",SUM(PT!L41,PT!L42))</f>
        <v/>
      </c>
      <c r="L23" s="530" t="str">
        <f>IF($A23="","",SUM(PT!M41,PT!M42))</f>
        <v/>
      </c>
      <c r="M23" s="530" t="str">
        <f>IF($A23="","",SUM(PT!N41,PT!N42))</f>
        <v/>
      </c>
      <c r="N23" s="530" t="str">
        <f>IF($A23="","",SUM(PT!O41,PT!O42))</f>
        <v/>
      </c>
      <c r="O23" s="530" t="str">
        <f>IF($A23="","",SUM(PT!P41,PT!P42))</f>
        <v/>
      </c>
      <c r="P23" s="530" t="str">
        <f>IF($A23="","",SUM(PT!Q41,PT!Q42))</f>
        <v/>
      </c>
      <c r="Q23" s="530" t="str">
        <f>IF($A23="","",SUM(PT!R41,PT!R42))</f>
        <v/>
      </c>
      <c r="R23" s="530" t="str">
        <f>IF($A23="","",SUM(PT!S41,PT!S42))</f>
        <v/>
      </c>
      <c r="S23" s="530" t="str">
        <f>IF($A23="","",SUM(PT!T41,PT!T42))</f>
        <v/>
      </c>
      <c r="T23" s="531" t="str">
        <f t="shared" si="1"/>
        <v/>
      </c>
      <c r="U23" s="532" t="str">
        <f>IF($A23="","",SUM(PT!U41,PT!U42))</f>
        <v/>
      </c>
      <c r="V23" s="533" t="str">
        <f>IF($A23="","",PT!AJ42)</f>
        <v/>
      </c>
      <c r="W23" s="534" t="str">
        <f>'Game Summary'!F25</f>
        <v/>
      </c>
      <c r="X23" s="535" t="str">
        <f t="shared" si="0"/>
        <v/>
      </c>
      <c r="Y23" s="516"/>
      <c r="Z23" s="516"/>
      <c r="AA23" s="516"/>
      <c r="AB23" s="516"/>
      <c r="AC23" s="503"/>
    </row>
    <row r="24" spans="1:29" ht="21.75" customHeight="1" x14ac:dyDescent="0.3">
      <c r="A24" s="1057" t="s">
        <v>400</v>
      </c>
      <c r="B24" s="1058"/>
      <c r="C24" s="537" t="str">
        <f>PT!AJ44</f>
        <v/>
      </c>
      <c r="D24" s="1041" t="s">
        <v>137</v>
      </c>
      <c r="E24" s="1041" t="s">
        <v>149</v>
      </c>
      <c r="F24" s="1041" t="s">
        <v>152</v>
      </c>
      <c r="G24" s="1041" t="s">
        <v>145</v>
      </c>
      <c r="H24" s="1041" t="s">
        <v>69</v>
      </c>
      <c r="I24" s="1041" t="s">
        <v>70</v>
      </c>
      <c r="J24" s="1041" t="s">
        <v>154</v>
      </c>
      <c r="K24" s="1041" t="s">
        <v>71</v>
      </c>
      <c r="L24" s="1041" t="s">
        <v>72</v>
      </c>
      <c r="M24" s="1041" t="s">
        <v>158</v>
      </c>
      <c r="N24" s="1041" t="s">
        <v>141</v>
      </c>
      <c r="O24" s="1041" t="s">
        <v>73</v>
      </c>
      <c r="P24" s="1041" t="s">
        <v>74</v>
      </c>
      <c r="Q24" s="1041" t="s">
        <v>75</v>
      </c>
      <c r="R24" s="1041" t="s">
        <v>233</v>
      </c>
      <c r="S24" s="1041" t="s">
        <v>120</v>
      </c>
      <c r="T24" s="1044" t="s">
        <v>76</v>
      </c>
      <c r="U24" s="538"/>
      <c r="V24" s="539">
        <f>SUM(PT!X49:AI49,C24,C25)</f>
        <v>0</v>
      </c>
      <c r="W24" s="540">
        <f>IF(COUNT(W4:W23)=0,"-",SUM(W4:W23)/COUNT(W4:W23))</f>
        <v>13.214285714285714</v>
      </c>
      <c r="X24" s="541">
        <f>IF(COUNT(X4:X23)=0,"-",SUM(X4:X23)/COUNT(X4:X23))</f>
        <v>0.15197524783438096</v>
      </c>
      <c r="Y24" s="516"/>
      <c r="Z24" s="516"/>
      <c r="AA24" s="516"/>
      <c r="AB24" s="516"/>
      <c r="AC24" s="503"/>
    </row>
    <row r="25" spans="1:29" ht="20.25" customHeight="1" thickBot="1" x14ac:dyDescent="0.35">
      <c r="A25" s="1047" t="s">
        <v>400</v>
      </c>
      <c r="B25" s="1048"/>
      <c r="C25" s="542" t="str">
        <f>PT!AJ46</f>
        <v/>
      </c>
      <c r="D25" s="1042"/>
      <c r="E25" s="1042"/>
      <c r="F25" s="1042"/>
      <c r="G25" s="1042"/>
      <c r="H25" s="1042"/>
      <c r="I25" s="1042"/>
      <c r="J25" s="1042"/>
      <c r="K25" s="1042"/>
      <c r="L25" s="1042"/>
      <c r="M25" s="1042"/>
      <c r="N25" s="1042"/>
      <c r="O25" s="1042"/>
      <c r="P25" s="1042"/>
      <c r="Q25" s="1042"/>
      <c r="R25" s="1042"/>
      <c r="S25" s="1042"/>
      <c r="T25" s="1045"/>
      <c r="U25" s="543"/>
      <c r="V25" s="1049" t="s">
        <v>78</v>
      </c>
      <c r="W25" s="1051"/>
      <c r="X25" s="1051"/>
      <c r="Y25" s="516"/>
      <c r="Z25" s="516"/>
      <c r="AA25" s="516"/>
      <c r="AB25" s="516"/>
      <c r="AC25" s="503"/>
    </row>
    <row r="26" spans="1:29" ht="20.100000000000001" customHeight="1" thickBot="1" x14ac:dyDescent="0.35">
      <c r="A26" s="1027"/>
      <c r="B26" s="1052"/>
      <c r="C26" s="1052"/>
      <c r="D26" s="1043"/>
      <c r="E26" s="1043"/>
      <c r="F26" s="1043"/>
      <c r="G26" s="1043"/>
      <c r="H26" s="1043"/>
      <c r="I26" s="1043"/>
      <c r="J26" s="1043"/>
      <c r="K26" s="1043"/>
      <c r="L26" s="1043"/>
      <c r="M26" s="1043"/>
      <c r="N26" s="1043"/>
      <c r="O26" s="1043"/>
      <c r="P26" s="1043"/>
      <c r="Q26" s="1043"/>
      <c r="R26" s="1043"/>
      <c r="S26" s="1043"/>
      <c r="T26" s="1046"/>
      <c r="U26" s="543"/>
      <c r="V26" s="1050"/>
      <c r="W26" s="1051"/>
      <c r="X26" s="1051"/>
      <c r="Y26" s="516"/>
      <c r="Z26" s="516"/>
      <c r="AA26" s="516"/>
      <c r="AB26" s="516"/>
      <c r="AC26" s="503"/>
    </row>
    <row r="27" spans="1:29" ht="12.75" customHeight="1" thickBot="1" x14ac:dyDescent="0.35">
      <c r="A27" s="1027" t="s">
        <v>401</v>
      </c>
      <c r="B27" s="1027"/>
      <c r="C27" s="1027"/>
      <c r="D27" s="544">
        <f>SUM(D4:D23)</f>
        <v>3</v>
      </c>
      <c r="E27" s="544">
        <f t="shared" ref="E27:S27" si="2">SUM(E4:E23)</f>
        <v>0</v>
      </c>
      <c r="F27" s="544">
        <f t="shared" si="2"/>
        <v>3</v>
      </c>
      <c r="G27" s="544">
        <f t="shared" si="2"/>
        <v>0</v>
      </c>
      <c r="H27" s="544">
        <f t="shared" si="2"/>
        <v>4</v>
      </c>
      <c r="I27" s="544">
        <f t="shared" si="2"/>
        <v>0</v>
      </c>
      <c r="J27" s="544">
        <f t="shared" si="2"/>
        <v>3</v>
      </c>
      <c r="K27" s="544">
        <f t="shared" si="2"/>
        <v>1</v>
      </c>
      <c r="L27" s="544">
        <f t="shared" si="2"/>
        <v>3</v>
      </c>
      <c r="M27" s="544">
        <f t="shared" si="2"/>
        <v>9</v>
      </c>
      <c r="N27" s="544">
        <f t="shared" si="2"/>
        <v>4</v>
      </c>
      <c r="O27" s="544">
        <f t="shared" si="2"/>
        <v>0</v>
      </c>
      <c r="P27" s="544">
        <f t="shared" si="2"/>
        <v>0</v>
      </c>
      <c r="Q27" s="544">
        <f t="shared" si="2"/>
        <v>0</v>
      </c>
      <c r="R27" s="544">
        <f t="shared" si="2"/>
        <v>0</v>
      </c>
      <c r="S27" s="544">
        <f t="shared" si="2"/>
        <v>0</v>
      </c>
      <c r="T27" s="545">
        <f>SUM(T4:T23)</f>
        <v>30</v>
      </c>
      <c r="U27" s="543">
        <f>SUM(U4:U23,C24,C25)</f>
        <v>30</v>
      </c>
      <c r="V27" s="1028" t="s">
        <v>434</v>
      </c>
      <c r="W27" s="1028"/>
      <c r="X27" s="1029"/>
      <c r="Y27" s="516"/>
      <c r="Z27" s="516"/>
      <c r="AA27" s="516"/>
      <c r="AB27" s="516"/>
      <c r="AC27" s="503"/>
    </row>
    <row r="28" spans="1:29" ht="12.75" customHeight="1" thickBot="1" x14ac:dyDescent="0.35">
      <c r="A28" s="1027"/>
      <c r="B28" s="1027"/>
      <c r="C28" s="1027"/>
      <c r="D28" s="1030" t="s">
        <v>402</v>
      </c>
      <c r="E28" s="1030"/>
      <c r="F28" s="1030"/>
      <c r="G28" s="1030"/>
      <c r="H28" s="1030"/>
      <c r="I28" s="1030"/>
      <c r="J28" s="1031">
        <f>IF(OR(LU!D3=0,LU!D102=0),"",T27/(LU!D3+LU!D102))</f>
        <v>0.81081081081081086</v>
      </c>
      <c r="K28" s="1031"/>
      <c r="L28" s="1032" t="s">
        <v>436</v>
      </c>
      <c r="M28" s="1032"/>
      <c r="N28" s="1032"/>
      <c r="O28" s="1032"/>
      <c r="P28" s="1032"/>
      <c r="Q28" s="546"/>
      <c r="R28" s="1033">
        <f>IF(T27+T56=0,"",T27/(T27+T56))</f>
        <v>0.58823529411764708</v>
      </c>
      <c r="S28" s="1033"/>
      <c r="T28" s="547"/>
      <c r="U28" s="1034">
        <f>IF(U27+U56=0,"",U27/(U27+U56))</f>
        <v>0.58823529411764708</v>
      </c>
      <c r="V28" s="1035" t="s">
        <v>435</v>
      </c>
      <c r="W28" s="1035"/>
      <c r="X28" s="1036"/>
      <c r="Y28" s="516"/>
      <c r="Z28" s="516"/>
      <c r="AA28" s="516"/>
      <c r="AB28" s="516"/>
      <c r="AC28" s="503"/>
    </row>
    <row r="29" spans="1:29" ht="12.75" customHeight="1" thickBot="1" x14ac:dyDescent="0.35">
      <c r="A29" s="1027"/>
      <c r="B29" s="1027"/>
      <c r="C29" s="1027"/>
      <c r="D29" s="1039" t="s">
        <v>79</v>
      </c>
      <c r="E29" s="1039"/>
      <c r="F29" s="1039"/>
      <c r="G29" s="1039"/>
      <c r="H29" s="1039"/>
      <c r="I29" s="1039"/>
      <c r="J29" s="1040">
        <f>IF(OR(J28="",J57=""),"",J28-J57)</f>
        <v>0.24324324324324331</v>
      </c>
      <c r="K29" s="1040"/>
      <c r="L29" s="1032"/>
      <c r="M29" s="1032"/>
      <c r="N29" s="1032"/>
      <c r="O29" s="1032"/>
      <c r="P29" s="1032"/>
      <c r="Q29" s="546"/>
      <c r="R29" s="1033"/>
      <c r="S29" s="1033"/>
      <c r="T29" s="548"/>
      <c r="U29" s="1034"/>
      <c r="V29" s="1037"/>
      <c r="W29" s="1037"/>
      <c r="X29" s="1038"/>
      <c r="Y29" s="516"/>
      <c r="Z29" s="516"/>
      <c r="AA29" s="516"/>
      <c r="AB29" s="516"/>
      <c r="AC29" s="503"/>
    </row>
    <row r="30" spans="1:29" ht="20.25" customHeight="1" thickBot="1" x14ac:dyDescent="0.35">
      <c r="A30" s="1061">
        <f>IF(IGRF!$B$7="","",IGRF!$B$7)</f>
        <v>42105</v>
      </c>
      <c r="B30" s="1061"/>
      <c r="C30" s="1061"/>
      <c r="D30" s="1062" t="s">
        <v>117</v>
      </c>
      <c r="E30" s="1062"/>
      <c r="F30" s="1062"/>
      <c r="G30" s="1062"/>
      <c r="H30" s="1062"/>
      <c r="I30" s="1062"/>
      <c r="J30" s="1062"/>
      <c r="K30" s="1062"/>
      <c r="L30" s="1062"/>
      <c r="M30" s="1062"/>
      <c r="N30" s="1062"/>
      <c r="O30" s="1062"/>
      <c r="P30" s="1062"/>
      <c r="Q30" s="1062"/>
      <c r="R30" s="1062"/>
      <c r="S30" s="1062"/>
      <c r="T30" s="1062"/>
      <c r="U30" s="1062"/>
      <c r="V30" s="1062"/>
      <c r="W30" s="1063"/>
      <c r="X30" s="1063"/>
      <c r="Y30" s="516"/>
      <c r="Z30" s="516"/>
      <c r="AA30" s="516"/>
      <c r="AB30" s="516"/>
      <c r="AC30" s="503"/>
    </row>
    <row r="31" spans="1:29" ht="66" customHeight="1" thickBot="1" x14ac:dyDescent="0.35">
      <c r="A31" s="1064" t="str">
        <f>Score!$T$1</f>
        <v>Hammer City Roller Girls / Harlots</v>
      </c>
      <c r="B31" s="1064"/>
      <c r="C31" s="1064"/>
      <c r="D31" s="1065" t="str">
        <f>D2</f>
        <v>Penalties by Skaters</v>
      </c>
      <c r="E31" s="1066"/>
      <c r="F31" s="1066"/>
      <c r="G31" s="1066"/>
      <c r="H31" s="1066"/>
      <c r="I31" s="1066"/>
      <c r="J31" s="1066"/>
      <c r="K31" s="1066"/>
      <c r="L31" s="1066"/>
      <c r="M31" s="1066"/>
      <c r="N31" s="1066"/>
      <c r="O31" s="1066"/>
      <c r="P31" s="1066"/>
      <c r="Q31" s="1066"/>
      <c r="R31" s="1066"/>
      <c r="S31" s="1066"/>
      <c r="T31" s="1067"/>
      <c r="U31" s="504"/>
      <c r="V31" s="504"/>
      <c r="W31" s="1068" t="str">
        <f>W2</f>
        <v>EXTRAPOLATED</v>
      </c>
      <c r="X31" s="1069"/>
      <c r="Y31" s="516"/>
      <c r="Z31" s="516"/>
      <c r="AA31" s="516"/>
      <c r="AB31" s="516"/>
      <c r="AC31" s="503"/>
    </row>
    <row r="32" spans="1:29" ht="62.25" customHeight="1" x14ac:dyDescent="0.3">
      <c r="A32" s="506" t="s">
        <v>134</v>
      </c>
      <c r="B32" s="1059" t="s">
        <v>119</v>
      </c>
      <c r="C32" s="1060"/>
      <c r="D32" s="507" t="str">
        <f t="shared" ref="D32:P32" si="3">D3</f>
        <v>Back Block</v>
      </c>
      <c r="E32" s="508" t="str">
        <f t="shared" si="3"/>
        <v>High Block</v>
      </c>
      <c r="F32" s="509" t="str">
        <f t="shared" si="3"/>
        <v>Low Block</v>
      </c>
      <c r="G32" s="509" t="str">
        <f t="shared" si="3"/>
        <v>Elbows</v>
      </c>
      <c r="H32" s="509" t="str">
        <f t="shared" si="3"/>
        <v>Forearms &amp; Hands</v>
      </c>
      <c r="I32" s="509" t="str">
        <f t="shared" si="3"/>
        <v>Block w/ Head</v>
      </c>
      <c r="J32" s="509" t="str">
        <f t="shared" si="3"/>
        <v>Multi-Player</v>
      </c>
      <c r="K32" s="509" t="str">
        <f t="shared" si="3"/>
        <v>OOB Blocking</v>
      </c>
      <c r="L32" s="509" t="str">
        <f t="shared" si="3"/>
        <v>Direction of Gameplay</v>
      </c>
      <c r="M32" s="509" t="str">
        <f t="shared" si="3"/>
        <v>Out of Play</v>
      </c>
      <c r="N32" s="509" t="str">
        <f t="shared" si="3"/>
        <v>Cut Track</v>
      </c>
      <c r="O32" s="509" t="str">
        <f t="shared" si="3"/>
        <v>Skating OOB</v>
      </c>
      <c r="P32" s="509" t="str">
        <f t="shared" si="3"/>
        <v>Illegal Procedure</v>
      </c>
      <c r="Q32" s="510" t="s">
        <v>75</v>
      </c>
      <c r="R32" s="510" t="str">
        <f>R3</f>
        <v>Delay of Game</v>
      </c>
      <c r="S32" s="510" t="str">
        <f>S3</f>
        <v>Misconduct</v>
      </c>
      <c r="T32" s="511" t="s">
        <v>76</v>
      </c>
      <c r="U32" s="512" t="s">
        <v>437</v>
      </c>
      <c r="V32" s="513" t="s">
        <v>161</v>
      </c>
      <c r="W32" s="514" t="s">
        <v>77</v>
      </c>
      <c r="X32" s="515" t="s">
        <v>438</v>
      </c>
      <c r="Y32" s="516"/>
      <c r="Z32" s="516"/>
      <c r="AA32" s="516"/>
      <c r="AB32" s="516"/>
      <c r="AC32" s="503"/>
    </row>
    <row r="33" spans="1:29" ht="24.9" customHeight="1" x14ac:dyDescent="0.3">
      <c r="A33" s="517" t="str">
        <f>IF(IGRF!H14="","",IGRF!H14)</f>
        <v>11</v>
      </c>
      <c r="B33" s="1055" t="str">
        <f>IF(IGRF!I14="","",IGRF!I14)</f>
        <v>Typhoid Maggie</v>
      </c>
      <c r="C33" s="1056"/>
      <c r="D33" s="518">
        <f>IF($A33="","",SUM(PT!E56,PT!E57))</f>
        <v>0</v>
      </c>
      <c r="E33" s="519">
        <f>IF($A33="","",SUM(PT!F56,PT!F57))</f>
        <v>0</v>
      </c>
      <c r="F33" s="519">
        <f>IF($A33="","",SUM(PT!G56,PT!G57))</f>
        <v>0</v>
      </c>
      <c r="G33" s="519">
        <f>IF($A33="","",SUM(PT!H56,PT!H57))</f>
        <v>0</v>
      </c>
      <c r="H33" s="519">
        <f>IF($A33="","",SUM(PT!I56,PT!I57))</f>
        <v>0</v>
      </c>
      <c r="I33" s="519">
        <f>IF($A33="","",SUM(PT!J56,PT!J57))</f>
        <v>0</v>
      </c>
      <c r="J33" s="519">
        <f>IF($A33="","",SUM(PT!K56,PT!K57))</f>
        <v>0</v>
      </c>
      <c r="K33" s="519">
        <f>IF($A33="","",SUM(PT!L56,PT!L57))</f>
        <v>0</v>
      </c>
      <c r="L33" s="519">
        <f>IF($A33="","",SUM(PT!M56,PT!M57))</f>
        <v>0</v>
      </c>
      <c r="M33" s="519">
        <f>IF($A33="","",SUM(PT!N56,PT!N57))</f>
        <v>0</v>
      </c>
      <c r="N33" s="519">
        <f>IF($A33="","",SUM(PT!O56,PT!O57))</f>
        <v>1</v>
      </c>
      <c r="O33" s="519">
        <f>IF($A33="","",SUM(PT!P56,PT!P57))</f>
        <v>0</v>
      </c>
      <c r="P33" s="519">
        <f>IF($A33="","",SUM(PT!Q56,PT!Q57))</f>
        <v>0</v>
      </c>
      <c r="Q33" s="519">
        <f>IF($A33="","",SUM(PT!R56,PT!R57))</f>
        <v>0</v>
      </c>
      <c r="R33" s="519">
        <f>IF($A33="","",SUM(PT!S56,PT!S57))</f>
        <v>0</v>
      </c>
      <c r="S33" s="520">
        <f>IF($A33="","",SUM(PT!T56,PT!T57))</f>
        <v>0</v>
      </c>
      <c r="T33" s="521">
        <f>IF($A33="","",SUM(D33:S33))</f>
        <v>1</v>
      </c>
      <c r="U33" s="522">
        <f>IF($A33="","",SUM(PT!U56,PT!U57))</f>
        <v>1</v>
      </c>
      <c r="V33" s="523" t="str">
        <f>IF($A33="","",PT!AJ57)</f>
        <v/>
      </c>
      <c r="W33" s="524">
        <f>'Game Summary'!F28</f>
        <v>19</v>
      </c>
      <c r="X33" s="525">
        <f t="shared" ref="X33:X52" si="4">IF(OR(W33="",W33=0),"",U33/W33)</f>
        <v>5.2631578947368418E-2</v>
      </c>
      <c r="Y33" s="516"/>
      <c r="Z33" s="516"/>
      <c r="AA33" s="516"/>
      <c r="AB33" s="516"/>
      <c r="AC33" s="503"/>
    </row>
    <row r="34" spans="1:29" ht="24.9" customHeight="1" x14ac:dyDescent="0.3">
      <c r="A34" s="526" t="str">
        <f>IF(IGRF!H15="","",IGRF!H15)</f>
        <v>11G6</v>
      </c>
      <c r="B34" s="1053" t="str">
        <f>IF(IGRF!I15="","",IGRF!I15)</f>
        <v>Fista Krusher</v>
      </c>
      <c r="C34" s="1054"/>
      <c r="D34" s="527">
        <f>IF($A34="","",SUM(PT!E58,PT!E59))</f>
        <v>1</v>
      </c>
      <c r="E34" s="528">
        <f>IF($A34="","",SUM(PT!F58,PT!F59))</f>
        <v>0</v>
      </c>
      <c r="F34" s="529">
        <f>IF($A34="","",SUM(PT!G58,PT!G59))</f>
        <v>0</v>
      </c>
      <c r="G34" s="530">
        <f>IF($A34="","",SUM(PT!H58,PT!H59))</f>
        <v>0</v>
      </c>
      <c r="H34" s="530">
        <f>IF($A34="","",SUM(PT!I58,PT!I59))</f>
        <v>0</v>
      </c>
      <c r="I34" s="530">
        <f>IF($A34="","",SUM(PT!J58,PT!J59))</f>
        <v>0</v>
      </c>
      <c r="J34" s="530">
        <f>IF($A34="","",SUM(PT!K58,PT!K59))</f>
        <v>0</v>
      </c>
      <c r="K34" s="530">
        <f>IF($A34="","",SUM(PT!L58,PT!L59))</f>
        <v>0</v>
      </c>
      <c r="L34" s="530">
        <f>IF($A34="","",SUM(PT!M58,PT!M59))</f>
        <v>0</v>
      </c>
      <c r="M34" s="530">
        <f>IF($A34="","",SUM(PT!N58,PT!N59))</f>
        <v>0</v>
      </c>
      <c r="N34" s="530">
        <f>IF($A34="","",SUM(PT!O58,PT!O59))</f>
        <v>1</v>
      </c>
      <c r="O34" s="530">
        <f>IF($A34="","",SUM(PT!P58,PT!P59))</f>
        <v>0</v>
      </c>
      <c r="P34" s="530">
        <f>IF($A34="","",SUM(PT!Q58,PT!Q59))</f>
        <v>0</v>
      </c>
      <c r="Q34" s="530">
        <f>IF($A34="","",SUM(PT!R58,PT!R59))</f>
        <v>0</v>
      </c>
      <c r="R34" s="530">
        <f>IF($A34="","",SUM(PT!S58,PT!S59))</f>
        <v>0</v>
      </c>
      <c r="S34" s="530">
        <f>IF($A34="","",SUM(PT!T58,PT!T59))</f>
        <v>0</v>
      </c>
      <c r="T34" s="531">
        <f t="shared" ref="T34:T52" si="5">IF($A34="","",SUM(D34:S34))</f>
        <v>2</v>
      </c>
      <c r="U34" s="532">
        <f>IF($A34="","",SUM(PT!U58,PT!U59))</f>
        <v>2</v>
      </c>
      <c r="V34" s="533" t="str">
        <f>IF($A34="","",PT!AJ59)</f>
        <v/>
      </c>
      <c r="W34" s="534">
        <f>'Game Summary'!F29</f>
        <v>9</v>
      </c>
      <c r="X34" s="535">
        <f t="shared" si="4"/>
        <v>0.22222222222222221</v>
      </c>
      <c r="Y34" s="516"/>
      <c r="Z34" s="516"/>
      <c r="AA34" s="516"/>
      <c r="AB34" s="516"/>
      <c r="AC34" s="503"/>
    </row>
    <row r="35" spans="1:29" ht="24.9" customHeight="1" x14ac:dyDescent="0.3">
      <c r="A35" s="517" t="str">
        <f>IF(IGRF!H16="","",IGRF!H16)</f>
        <v>152</v>
      </c>
      <c r="B35" s="1055" t="str">
        <f>IF(IGRF!I16="","",IGRF!I16)</f>
        <v>Hitty Pryde</v>
      </c>
      <c r="C35" s="1056"/>
      <c r="D35" s="518">
        <f>IF($A35="","",SUM(PT!E60,PT!E61))</f>
        <v>0</v>
      </c>
      <c r="E35" s="519">
        <f>IF($A35="","",SUM(PT!F60,PT!F61))</f>
        <v>0</v>
      </c>
      <c r="F35" s="519">
        <f>IF($A35="","",SUM(PT!G60,PT!G61))</f>
        <v>0</v>
      </c>
      <c r="G35" s="519">
        <f>IF($A35="","",SUM(PT!H60,PT!H61))</f>
        <v>0</v>
      </c>
      <c r="H35" s="519">
        <f>IF($A35="","",SUM(PT!I60,PT!I61))</f>
        <v>0</v>
      </c>
      <c r="I35" s="519">
        <f>IF($A35="","",SUM(PT!J60,PT!J61))</f>
        <v>0</v>
      </c>
      <c r="J35" s="519">
        <f>IF($A35="","",SUM(PT!K60,PT!K61))</f>
        <v>0</v>
      </c>
      <c r="K35" s="519">
        <f>IF($A35="","",SUM(PT!L60,PT!L61))</f>
        <v>0</v>
      </c>
      <c r="L35" s="519">
        <f>IF($A35="","",SUM(PT!M60,PT!M61))</f>
        <v>1</v>
      </c>
      <c r="M35" s="519">
        <f>IF($A35="","",SUM(PT!N60,PT!N61))</f>
        <v>0</v>
      </c>
      <c r="N35" s="519">
        <f>IF($A35="","",SUM(PT!O60,PT!O61))</f>
        <v>0</v>
      </c>
      <c r="O35" s="519">
        <f>IF($A35="","",SUM(PT!P60,PT!P61))</f>
        <v>0</v>
      </c>
      <c r="P35" s="519">
        <f>IF($A35="","",SUM(PT!Q60,PT!Q61))</f>
        <v>0</v>
      </c>
      <c r="Q35" s="519">
        <f>IF($A35="","",SUM(PT!R60,PT!R61))</f>
        <v>0</v>
      </c>
      <c r="R35" s="519">
        <f>IF($A35="","",SUM(PT!S60,PT!S61))</f>
        <v>0</v>
      </c>
      <c r="S35" s="520">
        <f>IF($A35="","",SUM(PT!T60,PT!T61))</f>
        <v>0</v>
      </c>
      <c r="T35" s="521">
        <f t="shared" si="5"/>
        <v>1</v>
      </c>
      <c r="U35" s="522">
        <f>IF($A35="","",SUM(PT!U60,PT!U61))</f>
        <v>1</v>
      </c>
      <c r="V35" s="523" t="str">
        <f>IF($A35="","",PT!AJ61)</f>
        <v/>
      </c>
      <c r="W35" s="524">
        <f>'Game Summary'!F30</f>
        <v>9</v>
      </c>
      <c r="X35" s="525">
        <f t="shared" si="4"/>
        <v>0.1111111111111111</v>
      </c>
      <c r="Y35" s="516"/>
      <c r="Z35" s="516"/>
      <c r="AA35" s="516"/>
      <c r="AB35" s="516"/>
      <c r="AC35" s="503"/>
    </row>
    <row r="36" spans="1:29" ht="24.9" customHeight="1" x14ac:dyDescent="0.3">
      <c r="A36" s="526" t="str">
        <f>IF(IGRF!H17="","",IGRF!H17)</f>
        <v xml:space="preserve">237 </v>
      </c>
      <c r="B36" s="1053" t="str">
        <f>IF(IGRF!I17="","",IGRF!I17)</f>
        <v>GuilloTina</v>
      </c>
      <c r="C36" s="1054"/>
      <c r="D36" s="527">
        <f>IF($A36="","",SUM(PT!E62,PT!E63))</f>
        <v>0</v>
      </c>
      <c r="E36" s="528">
        <f>IF($A36="","",SUM(PT!F62,PT!F63))</f>
        <v>0</v>
      </c>
      <c r="F36" s="529">
        <f>IF($A36="","",SUM(PT!G62,PT!G63))</f>
        <v>0</v>
      </c>
      <c r="G36" s="530">
        <f>IF($A36="","",SUM(PT!H62,PT!H63))</f>
        <v>0</v>
      </c>
      <c r="H36" s="530">
        <f>IF($A36="","",SUM(PT!I62,PT!I63))</f>
        <v>0</v>
      </c>
      <c r="I36" s="530">
        <f>IF($A36="","",SUM(PT!J62,PT!J63))</f>
        <v>0</v>
      </c>
      <c r="J36" s="530">
        <f>IF($A36="","",SUM(PT!K62,PT!K63))</f>
        <v>0</v>
      </c>
      <c r="K36" s="530">
        <f>IF($A36="","",SUM(PT!L62,PT!L63))</f>
        <v>0</v>
      </c>
      <c r="L36" s="530">
        <f>IF($A36="","",SUM(PT!M62,PT!M63))</f>
        <v>0</v>
      </c>
      <c r="M36" s="530">
        <f>IF($A36="","",SUM(PT!N62,PT!N63))</f>
        <v>0</v>
      </c>
      <c r="N36" s="530">
        <f>IF($A36="","",SUM(PT!O62,PT!O63))</f>
        <v>0</v>
      </c>
      <c r="O36" s="530">
        <f>IF($A36="","",SUM(PT!P62,PT!P63))</f>
        <v>0</v>
      </c>
      <c r="P36" s="530">
        <f>IF($A36="","",SUM(PT!Q62,PT!Q63))</f>
        <v>0</v>
      </c>
      <c r="Q36" s="530">
        <f>IF($A36="","",SUM(PT!R62,PT!R63))</f>
        <v>0</v>
      </c>
      <c r="R36" s="530">
        <f>IF($A36="","",SUM(PT!S62,PT!S63))</f>
        <v>0</v>
      </c>
      <c r="S36" s="530">
        <f>IF($A36="","",SUM(PT!T62,PT!T63))</f>
        <v>0</v>
      </c>
      <c r="T36" s="531">
        <f t="shared" si="5"/>
        <v>0</v>
      </c>
      <c r="U36" s="532">
        <f>IF($A36="","",SUM(PT!U62,PT!U63))</f>
        <v>0</v>
      </c>
      <c r="V36" s="533" t="str">
        <f>IF($A36="","",PT!AJ63)</f>
        <v/>
      </c>
      <c r="W36" s="534">
        <f>'Game Summary'!F31</f>
        <v>0</v>
      </c>
      <c r="X36" s="535" t="str">
        <f t="shared" si="4"/>
        <v/>
      </c>
      <c r="Y36" s="516"/>
      <c r="Z36" s="516"/>
      <c r="AA36" s="516"/>
      <c r="AB36" s="516"/>
      <c r="AC36" s="503"/>
    </row>
    <row r="37" spans="1:29" ht="24.9" customHeight="1" x14ac:dyDescent="0.3">
      <c r="A37" s="517" t="str">
        <f>IF(IGRF!H18="","",IGRF!H18)</f>
        <v>26</v>
      </c>
      <c r="B37" s="1055" t="str">
        <f>IF(IGRF!I18="","",IGRF!I18)</f>
        <v>Bam Bam Bigelow</v>
      </c>
      <c r="C37" s="1056"/>
      <c r="D37" s="518">
        <f>IF($A37="","",SUM(PT!E64,PT!E65))</f>
        <v>0</v>
      </c>
      <c r="E37" s="519">
        <f>IF($A37="","",SUM(PT!F64,PT!F65))</f>
        <v>0</v>
      </c>
      <c r="F37" s="519">
        <f>IF($A37="","",SUM(PT!G64,PT!G65))</f>
        <v>0</v>
      </c>
      <c r="G37" s="519">
        <f>IF($A37="","",SUM(PT!H64,PT!H65))</f>
        <v>0</v>
      </c>
      <c r="H37" s="519">
        <f>IF($A37="","",SUM(PT!I64,PT!I65))</f>
        <v>0</v>
      </c>
      <c r="I37" s="519">
        <f>IF($A37="","",SUM(PT!J64,PT!J65))</f>
        <v>0</v>
      </c>
      <c r="J37" s="519">
        <f>IF($A37="","",SUM(PT!K64,PT!K65))</f>
        <v>0</v>
      </c>
      <c r="K37" s="519">
        <f>IF($A37="","",SUM(PT!L64,PT!L65))</f>
        <v>0</v>
      </c>
      <c r="L37" s="519">
        <f>IF($A37="","",SUM(PT!M64,PT!M65))</f>
        <v>0</v>
      </c>
      <c r="M37" s="519">
        <f>IF($A37="","",SUM(PT!N64,PT!N65))</f>
        <v>0</v>
      </c>
      <c r="N37" s="519">
        <f>IF($A37="","",SUM(PT!O64,PT!O65))</f>
        <v>1</v>
      </c>
      <c r="O37" s="519">
        <f>IF($A37="","",SUM(PT!P64,PT!P65))</f>
        <v>0</v>
      </c>
      <c r="P37" s="519">
        <f>IF($A37="","",SUM(PT!Q64,PT!Q65))</f>
        <v>0</v>
      </c>
      <c r="Q37" s="519">
        <f>IF($A37="","",SUM(PT!R64,PT!R65))</f>
        <v>0</v>
      </c>
      <c r="R37" s="519">
        <f>IF($A37="","",SUM(PT!S64,PT!S65))</f>
        <v>0</v>
      </c>
      <c r="S37" s="520">
        <f>IF($A37="","",SUM(PT!T64,PT!T65))</f>
        <v>0</v>
      </c>
      <c r="T37" s="521">
        <f t="shared" si="5"/>
        <v>1</v>
      </c>
      <c r="U37" s="522">
        <f>IF($A37="","",SUM(PT!U64,PT!U65))</f>
        <v>1</v>
      </c>
      <c r="V37" s="523" t="str">
        <f>IF($A37="","",PT!AJ65)</f>
        <v/>
      </c>
      <c r="W37" s="524">
        <f>'Game Summary'!F32</f>
        <v>19</v>
      </c>
      <c r="X37" s="525">
        <f t="shared" si="4"/>
        <v>5.2631578947368418E-2</v>
      </c>
      <c r="Y37" s="516"/>
      <c r="Z37" s="516"/>
      <c r="AA37" s="516"/>
      <c r="AB37" s="516"/>
      <c r="AC37" s="503"/>
    </row>
    <row r="38" spans="1:29" ht="24.9" customHeight="1" x14ac:dyDescent="0.3">
      <c r="A38" s="526" t="str">
        <f>IF(IGRF!H19="","",IGRF!H19)</f>
        <v>2611</v>
      </c>
      <c r="B38" s="1053" t="str">
        <f>IF(IGRF!I19="","",IGRF!I19)</f>
        <v>Va Va BOOM</v>
      </c>
      <c r="C38" s="1054"/>
      <c r="D38" s="527">
        <f>IF($A38="","",SUM(PT!E66,PT!E67))</f>
        <v>0</v>
      </c>
      <c r="E38" s="528">
        <f>IF($A38="","",SUM(PT!F66,PT!F67))</f>
        <v>0</v>
      </c>
      <c r="F38" s="529">
        <f>IF($A38="","",SUM(PT!G66,PT!G67))</f>
        <v>0</v>
      </c>
      <c r="G38" s="530">
        <f>IF($A38="","",SUM(PT!H66,PT!H67))</f>
        <v>1</v>
      </c>
      <c r="H38" s="530">
        <f>IF($A38="","",SUM(PT!I66,PT!I67))</f>
        <v>0</v>
      </c>
      <c r="I38" s="530">
        <f>IF($A38="","",SUM(PT!J66,PT!J67))</f>
        <v>0</v>
      </c>
      <c r="J38" s="530">
        <f>IF($A38="","",SUM(PT!K66,PT!K67))</f>
        <v>0</v>
      </c>
      <c r="K38" s="530">
        <f>IF($A38="","",SUM(PT!L66,PT!L67))</f>
        <v>0</v>
      </c>
      <c r="L38" s="530">
        <f>IF($A38="","",SUM(PT!M66,PT!M67))</f>
        <v>1</v>
      </c>
      <c r="M38" s="530">
        <f>IF($A38="","",SUM(PT!N66,PT!N67))</f>
        <v>1</v>
      </c>
      <c r="N38" s="530">
        <f>IF($A38="","",SUM(PT!O66,PT!O67))</f>
        <v>0</v>
      </c>
      <c r="O38" s="530">
        <f>IF($A38="","",SUM(PT!P66,PT!P67))</f>
        <v>0</v>
      </c>
      <c r="P38" s="530">
        <f>IF($A38="","",SUM(PT!Q66,PT!Q67))</f>
        <v>0</v>
      </c>
      <c r="Q38" s="530">
        <f>IF($A38="","",SUM(PT!R66,PT!R67))</f>
        <v>0</v>
      </c>
      <c r="R38" s="530">
        <f>IF($A38="","",SUM(PT!S66,PT!S67))</f>
        <v>0</v>
      </c>
      <c r="S38" s="530">
        <f>IF($A38="","",SUM(PT!T66,PT!T67))</f>
        <v>0</v>
      </c>
      <c r="T38" s="531">
        <f t="shared" si="5"/>
        <v>3</v>
      </c>
      <c r="U38" s="532">
        <f>IF($A38="","",SUM(PT!U66,PT!U67))</f>
        <v>3</v>
      </c>
      <c r="V38" s="533" t="str">
        <f>IF($A38="","",PT!AJ67)</f>
        <v/>
      </c>
      <c r="W38" s="534">
        <f>'Game Summary'!F33</f>
        <v>21</v>
      </c>
      <c r="X38" s="535">
        <f t="shared" si="4"/>
        <v>0.14285714285714285</v>
      </c>
      <c r="Y38" s="516"/>
      <c r="Z38" s="516"/>
      <c r="AA38" s="516"/>
      <c r="AB38" s="516"/>
      <c r="AC38" s="503"/>
    </row>
    <row r="39" spans="1:29" ht="24.9" customHeight="1" x14ac:dyDescent="0.3">
      <c r="A39" s="517" t="str">
        <f>IF(IGRF!H20="","",IGRF!H20)</f>
        <v>45</v>
      </c>
      <c r="B39" s="1055" t="str">
        <f>IF(IGRF!I20="","",IGRF!I20)</f>
        <v>Miss Carriage</v>
      </c>
      <c r="C39" s="1056"/>
      <c r="D39" s="518">
        <f>IF($A39="","",SUM(PT!E68,PT!E69))</f>
        <v>0</v>
      </c>
      <c r="E39" s="519">
        <f>IF($A39="","",SUM(PT!F68,PT!F69))</f>
        <v>0</v>
      </c>
      <c r="F39" s="519">
        <f>IF($A39="","",SUM(PT!G68,PT!G69))</f>
        <v>0</v>
      </c>
      <c r="G39" s="519">
        <f>IF($A39="","",SUM(PT!H68,PT!H69))</f>
        <v>0</v>
      </c>
      <c r="H39" s="519">
        <f>IF($A39="","",SUM(PT!I68,PT!I69))</f>
        <v>0</v>
      </c>
      <c r="I39" s="519">
        <f>IF($A39="","",SUM(PT!J68,PT!J69))</f>
        <v>0</v>
      </c>
      <c r="J39" s="519">
        <f>IF($A39="","",SUM(PT!K68,PT!K69))</f>
        <v>0</v>
      </c>
      <c r="K39" s="519">
        <f>IF($A39="","",SUM(PT!L68,PT!L69))</f>
        <v>0</v>
      </c>
      <c r="L39" s="519">
        <f>IF($A39="","",SUM(PT!M68,PT!M69))</f>
        <v>0</v>
      </c>
      <c r="M39" s="519">
        <f>IF($A39="","",SUM(PT!N68,PT!N69))</f>
        <v>0</v>
      </c>
      <c r="N39" s="519">
        <f>IF($A39="","",SUM(PT!O68,PT!O69))</f>
        <v>1</v>
      </c>
      <c r="O39" s="519">
        <f>IF($A39="","",SUM(PT!P68,PT!P69))</f>
        <v>0</v>
      </c>
      <c r="P39" s="519">
        <f>IF($A39="","",SUM(PT!Q68,PT!Q69))</f>
        <v>0</v>
      </c>
      <c r="Q39" s="519">
        <f>IF($A39="","",SUM(PT!R68,PT!R69))</f>
        <v>0</v>
      </c>
      <c r="R39" s="519">
        <f>IF($A39="","",SUM(PT!S68,PT!S69))</f>
        <v>0</v>
      </c>
      <c r="S39" s="520">
        <f>IF($A39="","",SUM(PT!T68,PT!T69))</f>
        <v>0</v>
      </c>
      <c r="T39" s="521">
        <f t="shared" si="5"/>
        <v>1</v>
      </c>
      <c r="U39" s="522">
        <f>IF($A39="","",SUM(PT!U68,PT!U69))</f>
        <v>1</v>
      </c>
      <c r="V39" s="523" t="str">
        <f>IF($A39="","",PT!AJ69)</f>
        <v/>
      </c>
      <c r="W39" s="524">
        <f>'Game Summary'!F34</f>
        <v>16</v>
      </c>
      <c r="X39" s="525">
        <f t="shared" si="4"/>
        <v>6.25E-2</v>
      </c>
      <c r="Y39" s="516"/>
      <c r="Z39" s="516"/>
      <c r="AA39" s="516"/>
      <c r="AB39" s="516"/>
      <c r="AC39" s="503"/>
    </row>
    <row r="40" spans="1:29" ht="24.9" customHeight="1" x14ac:dyDescent="0.3">
      <c r="A40" s="526" t="str">
        <f>IF(IGRF!H21="","",IGRF!H21)</f>
        <v>451</v>
      </c>
      <c r="B40" s="1053" t="str">
        <f>IF(IGRF!I21="","",IGRF!I21)</f>
        <v>fErinheit</v>
      </c>
      <c r="C40" s="1054"/>
      <c r="D40" s="527">
        <f>IF($A40="","",SUM(PT!E70,PT!E71))</f>
        <v>0</v>
      </c>
      <c r="E40" s="528">
        <f>IF($A40="","",SUM(PT!F70,PT!F71))</f>
        <v>0</v>
      </c>
      <c r="F40" s="529">
        <f>IF($A40="","",SUM(PT!G70,PT!G71))</f>
        <v>0</v>
      </c>
      <c r="G40" s="530">
        <f>IF($A40="","",SUM(PT!H70,PT!H71))</f>
        <v>0</v>
      </c>
      <c r="H40" s="530">
        <f>IF($A40="","",SUM(PT!I70,PT!I71))</f>
        <v>0</v>
      </c>
      <c r="I40" s="530">
        <f>IF($A40="","",SUM(PT!J70,PT!J71))</f>
        <v>0</v>
      </c>
      <c r="J40" s="530">
        <f>IF($A40="","",SUM(PT!K70,PT!K71))</f>
        <v>0</v>
      </c>
      <c r="K40" s="530">
        <f>IF($A40="","",SUM(PT!L70,PT!L71))</f>
        <v>0</v>
      </c>
      <c r="L40" s="530">
        <f>IF($A40="","",SUM(PT!M70,PT!M71))</f>
        <v>0</v>
      </c>
      <c r="M40" s="530">
        <f>IF($A40="","",SUM(PT!N70,PT!N71))</f>
        <v>1</v>
      </c>
      <c r="N40" s="530">
        <f>IF($A40="","",SUM(PT!O70,PT!O71))</f>
        <v>0</v>
      </c>
      <c r="O40" s="530">
        <f>IF($A40="","",SUM(PT!P70,PT!P71))</f>
        <v>0</v>
      </c>
      <c r="P40" s="530">
        <f>IF($A40="","",SUM(PT!Q70,PT!Q71))</f>
        <v>0</v>
      </c>
      <c r="Q40" s="530">
        <f>IF($A40="","",SUM(PT!R70,PT!R71))</f>
        <v>0</v>
      </c>
      <c r="R40" s="530">
        <f>IF($A40="","",SUM(PT!S70,PT!S71))</f>
        <v>0</v>
      </c>
      <c r="S40" s="530">
        <f>IF($A40="","",SUM(PT!T70,PT!T71))</f>
        <v>0</v>
      </c>
      <c r="T40" s="531">
        <f t="shared" si="5"/>
        <v>1</v>
      </c>
      <c r="U40" s="532">
        <f>IF($A40="","",SUM(PT!U70,PT!U71))</f>
        <v>1</v>
      </c>
      <c r="V40" s="533" t="str">
        <f>IF($A40="","",PT!AJ71)</f>
        <v/>
      </c>
      <c r="W40" s="534">
        <f>'Game Summary'!F35</f>
        <v>8</v>
      </c>
      <c r="X40" s="535">
        <f t="shared" si="4"/>
        <v>0.125</v>
      </c>
      <c r="Y40" s="516"/>
      <c r="Z40" s="516"/>
      <c r="AA40" s="516"/>
      <c r="AB40" s="516"/>
      <c r="AC40" s="503"/>
    </row>
    <row r="41" spans="1:29" ht="24.9" customHeight="1" x14ac:dyDescent="0.3">
      <c r="A41" s="517" t="str">
        <f>IF(IGRF!H22="","",IGRF!H22)</f>
        <v>511</v>
      </c>
      <c r="B41" s="1055" t="str">
        <f>IF(IGRF!I22="","",IGRF!I22)</f>
        <v>Bean Stalker</v>
      </c>
      <c r="C41" s="1056"/>
      <c r="D41" s="518">
        <f>IF($A41="","",SUM(PT!E72,PT!E73))</f>
        <v>0</v>
      </c>
      <c r="E41" s="519">
        <f>IF($A41="","",SUM(PT!F72,PT!F73))</f>
        <v>0</v>
      </c>
      <c r="F41" s="519">
        <f>IF($A41="","",SUM(PT!G72,PT!G73))</f>
        <v>0</v>
      </c>
      <c r="G41" s="519">
        <f>IF($A41="","",SUM(PT!H72,PT!H73))</f>
        <v>0</v>
      </c>
      <c r="H41" s="519">
        <f>IF($A41="","",SUM(PT!I72,PT!I73))</f>
        <v>1</v>
      </c>
      <c r="I41" s="519">
        <f>IF($A41="","",SUM(PT!J72,PT!J73))</f>
        <v>0</v>
      </c>
      <c r="J41" s="519">
        <f>IF($A41="","",SUM(PT!K72,PT!K73))</f>
        <v>0</v>
      </c>
      <c r="K41" s="519">
        <f>IF($A41="","",SUM(PT!L72,PT!L73))</f>
        <v>0</v>
      </c>
      <c r="L41" s="519">
        <f>IF($A41="","",SUM(PT!M72,PT!M73))</f>
        <v>0</v>
      </c>
      <c r="M41" s="519">
        <f>IF($A41="","",SUM(PT!N72,PT!N73))</f>
        <v>0</v>
      </c>
      <c r="N41" s="519">
        <f>IF($A41="","",SUM(PT!O72,PT!O73))</f>
        <v>1</v>
      </c>
      <c r="O41" s="519">
        <f>IF($A41="","",SUM(PT!P72,PT!P73))</f>
        <v>0</v>
      </c>
      <c r="P41" s="519">
        <f>IF($A41="","",SUM(PT!Q72,PT!Q73))</f>
        <v>0</v>
      </c>
      <c r="Q41" s="519">
        <f>IF($A41="","",SUM(PT!R72,PT!R73))</f>
        <v>0</v>
      </c>
      <c r="R41" s="519">
        <f>IF($A41="","",SUM(PT!S72,PT!S73))</f>
        <v>0</v>
      </c>
      <c r="S41" s="520">
        <f>IF($A41="","",SUM(PT!T72,PT!T73))</f>
        <v>0</v>
      </c>
      <c r="T41" s="521">
        <f t="shared" si="5"/>
        <v>2</v>
      </c>
      <c r="U41" s="522">
        <f>IF($A41="","",SUM(PT!U72,PT!U73))</f>
        <v>2</v>
      </c>
      <c r="V41" s="523" t="str">
        <f>IF($A41="","",PT!AJ73)</f>
        <v/>
      </c>
      <c r="W41" s="524">
        <f>'Game Summary'!F36</f>
        <v>9</v>
      </c>
      <c r="X41" s="525">
        <f t="shared" si="4"/>
        <v>0.22222222222222221</v>
      </c>
      <c r="Y41" s="516"/>
      <c r="Z41" s="516"/>
      <c r="AA41" s="516"/>
      <c r="AB41" s="516"/>
      <c r="AC41" s="503"/>
    </row>
    <row r="42" spans="1:29" ht="24.9" customHeight="1" x14ac:dyDescent="0.3">
      <c r="A42" s="526" t="str">
        <f>IF(IGRF!H23="","",IGRF!H23)</f>
        <v>519</v>
      </c>
      <c r="B42" s="1053" t="str">
        <f>IF(IGRF!I23="","",IGRF!I23)</f>
        <v>Smashin' Good Time</v>
      </c>
      <c r="C42" s="1054"/>
      <c r="D42" s="527">
        <f>IF($A42="","",SUM(PT!E74,PT!E75))</f>
        <v>0</v>
      </c>
      <c r="E42" s="528">
        <f>IF($A42="","",SUM(PT!F74,PT!F75))</f>
        <v>0</v>
      </c>
      <c r="F42" s="529">
        <f>IF($A42="","",SUM(PT!G74,PT!G75))</f>
        <v>0</v>
      </c>
      <c r="G42" s="530">
        <f>IF($A42="","",SUM(PT!H74,PT!H75))</f>
        <v>0</v>
      </c>
      <c r="H42" s="530">
        <f>IF($A42="","",SUM(PT!I74,PT!I75))</f>
        <v>0</v>
      </c>
      <c r="I42" s="530">
        <f>IF($A42="","",SUM(PT!J74,PT!J75))</f>
        <v>0</v>
      </c>
      <c r="J42" s="530">
        <f>IF($A42="","",SUM(PT!K74,PT!K75))</f>
        <v>1</v>
      </c>
      <c r="K42" s="530">
        <f>IF($A42="","",SUM(PT!L74,PT!L75))</f>
        <v>0</v>
      </c>
      <c r="L42" s="530">
        <f>IF($A42="","",SUM(PT!M74,PT!M75))</f>
        <v>3</v>
      </c>
      <c r="M42" s="530">
        <f>IF($A42="","",SUM(PT!N74,PT!N75))</f>
        <v>0</v>
      </c>
      <c r="N42" s="530">
        <f>IF($A42="","",SUM(PT!O74,PT!O75))</f>
        <v>0</v>
      </c>
      <c r="O42" s="530">
        <f>IF($A42="","",SUM(PT!P74,PT!P75))</f>
        <v>0</v>
      </c>
      <c r="P42" s="530">
        <f>IF($A42="","",SUM(PT!Q74,PT!Q75))</f>
        <v>0</v>
      </c>
      <c r="Q42" s="530">
        <f>IF($A42="","",SUM(PT!R74,PT!R75))</f>
        <v>0</v>
      </c>
      <c r="R42" s="530">
        <f>IF($A42="","",SUM(PT!S74,PT!S75))</f>
        <v>0</v>
      </c>
      <c r="S42" s="530">
        <f>IF($A42="","",SUM(PT!T74,PT!T75))</f>
        <v>0</v>
      </c>
      <c r="T42" s="531">
        <f t="shared" si="5"/>
        <v>4</v>
      </c>
      <c r="U42" s="532">
        <f>IF($A42="","",SUM(PT!U74,PT!U75))</f>
        <v>4</v>
      </c>
      <c r="V42" s="533" t="str">
        <f>IF($A42="","",PT!AJ75)</f>
        <v/>
      </c>
      <c r="W42" s="534">
        <f>'Game Summary'!F37</f>
        <v>18</v>
      </c>
      <c r="X42" s="535">
        <f t="shared" si="4"/>
        <v>0.22222222222222221</v>
      </c>
    </row>
    <row r="43" spans="1:29" ht="24.9" customHeight="1" x14ac:dyDescent="0.3">
      <c r="A43" s="517" t="str">
        <f>IF(IGRF!H24="","",IGRF!H24)</f>
        <v>58</v>
      </c>
      <c r="B43" s="1055" t="str">
        <f>IF(IGRF!I24="","",IGRF!I24)</f>
        <v>Natty B</v>
      </c>
      <c r="C43" s="1056"/>
      <c r="D43" s="518">
        <f>IF($A43="","",SUM(PT!E76,PT!E77))</f>
        <v>1</v>
      </c>
      <c r="E43" s="519">
        <f>IF($A43="","",SUM(PT!F76,PT!F77))</f>
        <v>0</v>
      </c>
      <c r="F43" s="519">
        <f>IF($A43="","",SUM(PT!G76,PT!G77))</f>
        <v>0</v>
      </c>
      <c r="G43" s="519">
        <f>IF($A43="","",SUM(PT!H76,PT!H77))</f>
        <v>0</v>
      </c>
      <c r="H43" s="519">
        <f>IF($A43="","",SUM(PT!I76,PT!I77))</f>
        <v>0</v>
      </c>
      <c r="I43" s="519">
        <f>IF($A43="","",SUM(PT!J76,PT!J77))</f>
        <v>0</v>
      </c>
      <c r="J43" s="519">
        <f>IF($A43="","",SUM(PT!K76,PT!K77))</f>
        <v>0</v>
      </c>
      <c r="K43" s="519">
        <f>IF($A43="","",SUM(PT!L76,PT!L77))</f>
        <v>0</v>
      </c>
      <c r="L43" s="519">
        <f>IF($A43="","",SUM(PT!M76,PT!M77))</f>
        <v>0</v>
      </c>
      <c r="M43" s="519">
        <f>IF($A43="","",SUM(PT!N76,PT!N77))</f>
        <v>0</v>
      </c>
      <c r="N43" s="519">
        <f>IF($A43="","",SUM(PT!O76,PT!O77))</f>
        <v>1</v>
      </c>
      <c r="O43" s="519">
        <f>IF($A43="","",SUM(PT!P76,PT!P77))</f>
        <v>0</v>
      </c>
      <c r="P43" s="519">
        <f>IF($A43="","",SUM(PT!Q76,PT!Q77))</f>
        <v>0</v>
      </c>
      <c r="Q43" s="519">
        <f>IF($A43="","",SUM(PT!R76,PT!R77))</f>
        <v>0</v>
      </c>
      <c r="R43" s="519">
        <f>IF($A43="","",SUM(PT!S76,PT!S77))</f>
        <v>0</v>
      </c>
      <c r="S43" s="520">
        <f>IF($A43="","",SUM(PT!T76,PT!T77))</f>
        <v>0</v>
      </c>
      <c r="T43" s="521">
        <f t="shared" si="5"/>
        <v>2</v>
      </c>
      <c r="U43" s="522">
        <f>IF($A43="","",SUM(PT!U76,PT!U77))</f>
        <v>2</v>
      </c>
      <c r="V43" s="523" t="str">
        <f>IF($A43="","",PT!AJ77)</f>
        <v/>
      </c>
      <c r="W43" s="524">
        <f>'Game Summary'!F38</f>
        <v>10</v>
      </c>
      <c r="X43" s="525">
        <f t="shared" si="4"/>
        <v>0.2</v>
      </c>
    </row>
    <row r="44" spans="1:29" ht="24.9" customHeight="1" x14ac:dyDescent="0.3">
      <c r="A44" s="526" t="str">
        <f>IF(IGRF!H25="","",IGRF!H25)</f>
        <v>932</v>
      </c>
      <c r="B44" s="1053" t="str">
        <f>IF(IGRF!I25="","",IGRF!I25)</f>
        <v>Heaven Lee Bash</v>
      </c>
      <c r="C44" s="1054"/>
      <c r="D44" s="527">
        <f>IF($A44="","",SUM(PT!E78,PT!E79))</f>
        <v>0</v>
      </c>
      <c r="E44" s="528">
        <f>IF($A44="","",SUM(PT!F78,PT!F79))</f>
        <v>0</v>
      </c>
      <c r="F44" s="529">
        <f>IF($A44="","",SUM(PT!G78,PT!G79))</f>
        <v>0</v>
      </c>
      <c r="G44" s="530">
        <f>IF($A44="","",SUM(PT!H78,PT!H79))</f>
        <v>0</v>
      </c>
      <c r="H44" s="530">
        <f>IF($A44="","",SUM(PT!I78,PT!I79))</f>
        <v>0</v>
      </c>
      <c r="I44" s="530">
        <f>IF($A44="","",SUM(PT!J78,PT!J79))</f>
        <v>0</v>
      </c>
      <c r="J44" s="530">
        <f>IF($A44="","",SUM(PT!K78,PT!K79))</f>
        <v>0</v>
      </c>
      <c r="K44" s="530">
        <f>IF($A44="","",SUM(PT!L78,PT!L79))</f>
        <v>0</v>
      </c>
      <c r="L44" s="530">
        <f>IF($A44="","",SUM(PT!M78,PT!M79))</f>
        <v>0</v>
      </c>
      <c r="M44" s="530">
        <f>IF($A44="","",SUM(PT!N78,PT!N79))</f>
        <v>0</v>
      </c>
      <c r="N44" s="530">
        <f>IF($A44="","",SUM(PT!O78,PT!O79))</f>
        <v>0</v>
      </c>
      <c r="O44" s="530">
        <f>IF($A44="","",SUM(PT!P78,PT!P79))</f>
        <v>0</v>
      </c>
      <c r="P44" s="530">
        <f>IF($A44="","",SUM(PT!Q78,PT!Q79))</f>
        <v>0</v>
      </c>
      <c r="Q44" s="530">
        <f>IF($A44="","",SUM(PT!R78,PT!R79))</f>
        <v>0</v>
      </c>
      <c r="R44" s="530">
        <f>IF($A44="","",SUM(PT!S78,PT!S79))</f>
        <v>0</v>
      </c>
      <c r="S44" s="530">
        <f>IF($A44="","",SUM(PT!T78,PT!T79))</f>
        <v>0</v>
      </c>
      <c r="T44" s="531">
        <f t="shared" si="5"/>
        <v>0</v>
      </c>
      <c r="U44" s="532">
        <f>IF($A44="","",SUM(PT!U78,PT!U79))</f>
        <v>0</v>
      </c>
      <c r="V44" s="533" t="str">
        <f>IF($A44="","",PT!AJ79)</f>
        <v/>
      </c>
      <c r="W44" s="534">
        <f>'Game Summary'!F39</f>
        <v>10</v>
      </c>
      <c r="X44" s="535">
        <f t="shared" si="4"/>
        <v>0</v>
      </c>
    </row>
    <row r="45" spans="1:29" ht="24.9" customHeight="1" x14ac:dyDescent="0.3">
      <c r="A45" s="517" t="str">
        <f>IF(IGRF!H26="","",IGRF!H26)</f>
        <v>H20</v>
      </c>
      <c r="B45" s="1055" t="str">
        <f>IF(IGRF!I26="","",IGRF!I26)</f>
        <v>Lethal Mermaid</v>
      </c>
      <c r="C45" s="1056"/>
      <c r="D45" s="518">
        <f>IF($A45="","",SUM(PT!E80,PT!E81))</f>
        <v>0</v>
      </c>
      <c r="E45" s="519">
        <f>IF($A45="","",SUM(PT!F80,PT!F81))</f>
        <v>0</v>
      </c>
      <c r="F45" s="519">
        <f>IF($A45="","",SUM(PT!G80,PT!G81))</f>
        <v>0</v>
      </c>
      <c r="G45" s="519">
        <f>IF($A45="","",SUM(PT!H80,PT!H81))</f>
        <v>0</v>
      </c>
      <c r="H45" s="519">
        <f>IF($A45="","",SUM(PT!I80,PT!I81))</f>
        <v>0</v>
      </c>
      <c r="I45" s="519">
        <f>IF($A45="","",SUM(PT!J80,PT!J81))</f>
        <v>0</v>
      </c>
      <c r="J45" s="519">
        <f>IF($A45="","",SUM(PT!K80,PT!K81))</f>
        <v>0</v>
      </c>
      <c r="K45" s="519">
        <f>IF($A45="","",SUM(PT!L80,PT!L81))</f>
        <v>0</v>
      </c>
      <c r="L45" s="519">
        <f>IF($A45="","",SUM(PT!M80,PT!M81))</f>
        <v>0</v>
      </c>
      <c r="M45" s="519">
        <f>IF($A45="","",SUM(PT!N80,PT!N81))</f>
        <v>1</v>
      </c>
      <c r="N45" s="519">
        <f>IF($A45="","",SUM(PT!O80,PT!O81))</f>
        <v>0</v>
      </c>
      <c r="O45" s="519">
        <f>IF($A45="","",SUM(PT!P80,PT!P81))</f>
        <v>0</v>
      </c>
      <c r="P45" s="519">
        <f>IF($A45="","",SUM(PT!Q80,PT!Q81))</f>
        <v>0</v>
      </c>
      <c r="Q45" s="519">
        <f>IF($A45="","",SUM(PT!R80,PT!R81))</f>
        <v>0</v>
      </c>
      <c r="R45" s="519">
        <f>IF($A45="","",SUM(PT!S80,PT!S81))</f>
        <v>0</v>
      </c>
      <c r="S45" s="520">
        <f>IF($A45="","",SUM(PT!T80,PT!T81))</f>
        <v>0</v>
      </c>
      <c r="T45" s="521">
        <f t="shared" si="5"/>
        <v>1</v>
      </c>
      <c r="U45" s="522">
        <f>IF($A45="","",SUM(PT!U80,PT!U81))</f>
        <v>1</v>
      </c>
      <c r="V45" s="523" t="str">
        <f>IF($A45="","",PT!AJ81)</f>
        <v/>
      </c>
      <c r="W45" s="524">
        <f>'Game Summary'!F40</f>
        <v>8</v>
      </c>
      <c r="X45" s="525">
        <f t="shared" si="4"/>
        <v>0.125</v>
      </c>
    </row>
    <row r="46" spans="1:29" ht="24.9" customHeight="1" x14ac:dyDescent="0.3">
      <c r="A46" s="526" t="str">
        <f>IF(IGRF!H27="","",IGRF!H27)</f>
        <v>K9</v>
      </c>
      <c r="B46" s="1053" t="str">
        <f>IF(IGRF!I27="","",IGRF!I27)</f>
        <v>Scooby Doom</v>
      </c>
      <c r="C46" s="1054"/>
      <c r="D46" s="527">
        <f>IF($A46="","",SUM(PT!E82,PT!E83))</f>
        <v>0</v>
      </c>
      <c r="E46" s="528">
        <f>IF($A46="","",SUM(PT!F82,PT!F83))</f>
        <v>0</v>
      </c>
      <c r="F46" s="529">
        <f>IF($A46="","",SUM(PT!G82,PT!G83))</f>
        <v>0</v>
      </c>
      <c r="G46" s="530">
        <f>IF($A46="","",SUM(PT!H82,PT!H83))</f>
        <v>0</v>
      </c>
      <c r="H46" s="530">
        <f>IF($A46="","",SUM(PT!I82,PT!I83))</f>
        <v>0</v>
      </c>
      <c r="I46" s="530">
        <f>IF($A46="","",SUM(PT!J82,PT!J83))</f>
        <v>0</v>
      </c>
      <c r="J46" s="530">
        <f>IF($A46="","",SUM(PT!K82,PT!K83))</f>
        <v>0</v>
      </c>
      <c r="K46" s="530">
        <f>IF($A46="","",SUM(PT!L82,PT!L83))</f>
        <v>0</v>
      </c>
      <c r="L46" s="530">
        <f>IF($A46="","",SUM(PT!M82,PT!M83))</f>
        <v>0</v>
      </c>
      <c r="M46" s="530">
        <f>IF($A46="","",SUM(PT!N82,PT!N83))</f>
        <v>0</v>
      </c>
      <c r="N46" s="530">
        <f>IF($A46="","",SUM(PT!O82,PT!O83))</f>
        <v>2</v>
      </c>
      <c r="O46" s="530">
        <f>IF($A46="","",SUM(PT!P82,PT!P83))</f>
        <v>0</v>
      </c>
      <c r="P46" s="530">
        <f>IF($A46="","",SUM(PT!Q82,PT!Q83))</f>
        <v>0</v>
      </c>
      <c r="Q46" s="530">
        <f>IF($A46="","",SUM(PT!R82,PT!R83))</f>
        <v>0</v>
      </c>
      <c r="R46" s="530">
        <f>IF($A46="","",SUM(PT!S82,PT!S83))</f>
        <v>0</v>
      </c>
      <c r="S46" s="530">
        <f>IF($A46="","",SUM(PT!T82,PT!T83))</f>
        <v>0</v>
      </c>
      <c r="T46" s="531">
        <f t="shared" si="5"/>
        <v>2</v>
      </c>
      <c r="U46" s="532">
        <f>IF($A46="","",SUM(PT!U82,PT!U83))</f>
        <v>2</v>
      </c>
      <c r="V46" s="533" t="str">
        <f>IF($A46="","",PT!AJ83)</f>
        <v/>
      </c>
      <c r="W46" s="534">
        <f>'Game Summary'!F41</f>
        <v>10</v>
      </c>
      <c r="X46" s="535">
        <f t="shared" si="4"/>
        <v>0.2</v>
      </c>
    </row>
    <row r="47" spans="1:29" ht="24.9" customHeight="1" x14ac:dyDescent="0.3">
      <c r="A47" s="517" t="str">
        <f>IF(IGRF!H28="","",IGRF!H28)</f>
        <v/>
      </c>
      <c r="B47" s="1055" t="str">
        <f>IF(IGRF!I28="","",IGRF!I28)</f>
        <v/>
      </c>
      <c r="C47" s="1056"/>
      <c r="D47" s="518" t="str">
        <f>IF($A47="","",SUM(PT!E84,PT!E85))</f>
        <v/>
      </c>
      <c r="E47" s="519" t="str">
        <f>IF($A47="","",SUM(PT!F84,PT!F85))</f>
        <v/>
      </c>
      <c r="F47" s="519" t="str">
        <f>IF($A47="","",SUM(PT!G84,PT!G85))</f>
        <v/>
      </c>
      <c r="G47" s="519" t="str">
        <f>IF($A47="","",SUM(PT!H84,PT!H85))</f>
        <v/>
      </c>
      <c r="H47" s="519" t="str">
        <f>IF($A47="","",SUM(PT!I84,PT!I85))</f>
        <v/>
      </c>
      <c r="I47" s="519" t="str">
        <f>IF($A47="","",SUM(PT!J84,PT!J85))</f>
        <v/>
      </c>
      <c r="J47" s="519" t="str">
        <f>IF($A47="","",SUM(PT!K84,PT!K85))</f>
        <v/>
      </c>
      <c r="K47" s="519" t="str">
        <f>IF($A47="","",SUM(PT!L84,PT!L85))</f>
        <v/>
      </c>
      <c r="L47" s="519" t="str">
        <f>IF($A47="","",SUM(PT!M84,PT!M85))</f>
        <v/>
      </c>
      <c r="M47" s="519" t="str">
        <f>IF($A47="","",SUM(PT!N84,PT!N85))</f>
        <v/>
      </c>
      <c r="N47" s="519" t="str">
        <f>IF($A47="","",SUM(PT!O84,PT!O85))</f>
        <v/>
      </c>
      <c r="O47" s="519" t="str">
        <f>IF($A47="","",SUM(PT!P84,PT!P85))</f>
        <v/>
      </c>
      <c r="P47" s="519" t="str">
        <f>IF($A47="","",SUM(PT!Q84,PT!Q85))</f>
        <v/>
      </c>
      <c r="Q47" s="519" t="str">
        <f>IF($A47="","",SUM(PT!R84,PT!R85))</f>
        <v/>
      </c>
      <c r="R47" s="519" t="str">
        <f>IF($A47="","",SUM(PT!S84,PT!S85))</f>
        <v/>
      </c>
      <c r="S47" s="520" t="str">
        <f>IF($A47="","",SUM(PT!T84,PT!T85))</f>
        <v/>
      </c>
      <c r="T47" s="521" t="str">
        <f t="shared" si="5"/>
        <v/>
      </c>
      <c r="U47" s="522" t="str">
        <f>IF($A47="","",SUM(PT!U84,PT!U85))</f>
        <v/>
      </c>
      <c r="V47" s="523" t="str">
        <f>IF($A47="","",PT!AJ85)</f>
        <v/>
      </c>
      <c r="W47" s="524" t="str">
        <f>'Game Summary'!F42</f>
        <v/>
      </c>
      <c r="X47" s="525" t="str">
        <f t="shared" si="4"/>
        <v/>
      </c>
    </row>
    <row r="48" spans="1:29" ht="24.9" customHeight="1" x14ac:dyDescent="0.3">
      <c r="A48" s="526" t="str">
        <f>IF(IGRF!H29="","",IGRF!H29)</f>
        <v/>
      </c>
      <c r="B48" s="1053" t="str">
        <f>IF(IGRF!I29="","",IGRF!I29)</f>
        <v/>
      </c>
      <c r="C48" s="1054"/>
      <c r="D48" s="527" t="str">
        <f>IF($A48="","",SUM(PT!E86,PT!E87))</f>
        <v/>
      </c>
      <c r="E48" s="528" t="str">
        <f>IF($A48="","",SUM(PT!F86,PT!F87))</f>
        <v/>
      </c>
      <c r="F48" s="529" t="str">
        <f>IF($A48="","",SUM(PT!G86,PT!G87))</f>
        <v/>
      </c>
      <c r="G48" s="530" t="str">
        <f>IF($A48="","",SUM(PT!H86,PT!H87))</f>
        <v/>
      </c>
      <c r="H48" s="530" t="str">
        <f>IF($A48="","",SUM(PT!I86,PT!I87))</f>
        <v/>
      </c>
      <c r="I48" s="530" t="str">
        <f>IF($A48="","",SUM(PT!J86,PT!J87))</f>
        <v/>
      </c>
      <c r="J48" s="530" t="str">
        <f>IF($A48="","",SUM(PT!K86,PT!K87))</f>
        <v/>
      </c>
      <c r="K48" s="530" t="str">
        <f>IF($A48="","",SUM(PT!L86,PT!L87))</f>
        <v/>
      </c>
      <c r="L48" s="530" t="str">
        <f>IF($A48="","",SUM(PT!M86,PT!M87))</f>
        <v/>
      </c>
      <c r="M48" s="530" t="str">
        <f>IF($A48="","",SUM(PT!N86,PT!N87))</f>
        <v/>
      </c>
      <c r="N48" s="530" t="str">
        <f>IF($A48="","",SUM(PT!O86,PT!O87))</f>
        <v/>
      </c>
      <c r="O48" s="530" t="str">
        <f>IF($A48="","",SUM(PT!P86,PT!P87))</f>
        <v/>
      </c>
      <c r="P48" s="530" t="str">
        <f>IF($A48="","",SUM(PT!Q86,PT!Q87))</f>
        <v/>
      </c>
      <c r="Q48" s="530" t="str">
        <f>IF($A48="","",SUM(PT!R86,PT!R87))</f>
        <v/>
      </c>
      <c r="R48" s="530" t="str">
        <f>IF($A48="","",SUM(PT!S86,PT!S87))</f>
        <v/>
      </c>
      <c r="S48" s="530" t="str">
        <f>IF($A48="","",SUM(PT!T86,PT!T87))</f>
        <v/>
      </c>
      <c r="T48" s="531" t="str">
        <f t="shared" si="5"/>
        <v/>
      </c>
      <c r="U48" s="532" t="str">
        <f>IF($A48="","",SUM(PT!U86,PT!U87))</f>
        <v/>
      </c>
      <c r="V48" s="533" t="str">
        <f>IF($A48="","",PT!AJ87)</f>
        <v/>
      </c>
      <c r="W48" s="534" t="str">
        <f>'Game Summary'!F43</f>
        <v/>
      </c>
      <c r="X48" s="535" t="str">
        <f t="shared" si="4"/>
        <v/>
      </c>
    </row>
    <row r="49" spans="1:24" ht="24.9" customHeight="1" x14ac:dyDescent="0.3">
      <c r="A49" s="517" t="str">
        <f>IF(IGRF!H30="","",IGRF!H30)</f>
        <v/>
      </c>
      <c r="B49" s="1055" t="str">
        <f>IF(IGRF!I30="","",IGRF!I30)</f>
        <v/>
      </c>
      <c r="C49" s="1056"/>
      <c r="D49" s="518" t="str">
        <f>IF($A49="","",SUM(PT!E88,PT!E89))</f>
        <v/>
      </c>
      <c r="E49" s="519" t="str">
        <f>IF($A49="","",SUM(PT!F88,PT!F89))</f>
        <v/>
      </c>
      <c r="F49" s="519" t="str">
        <f>IF($A49="","",SUM(PT!G88,PT!G89))</f>
        <v/>
      </c>
      <c r="G49" s="519" t="str">
        <f>IF($A49="","",SUM(PT!H88,PT!H89))</f>
        <v/>
      </c>
      <c r="H49" s="519" t="str">
        <f>IF($A49="","",SUM(PT!I88,PT!I89))</f>
        <v/>
      </c>
      <c r="I49" s="519" t="str">
        <f>IF($A49="","",SUM(PT!J88,PT!J89))</f>
        <v/>
      </c>
      <c r="J49" s="519" t="str">
        <f>IF($A49="","",SUM(PT!K88,PT!K89))</f>
        <v/>
      </c>
      <c r="K49" s="519" t="str">
        <f>IF($A49="","",SUM(PT!L88,PT!L89))</f>
        <v/>
      </c>
      <c r="L49" s="519" t="str">
        <f>IF($A49="","",SUM(PT!M88,PT!M89))</f>
        <v/>
      </c>
      <c r="M49" s="519" t="str">
        <f>IF($A49="","",SUM(PT!N88,PT!N89))</f>
        <v/>
      </c>
      <c r="N49" s="519" t="str">
        <f>IF($A49="","",SUM(PT!O88,PT!O89))</f>
        <v/>
      </c>
      <c r="O49" s="519" t="str">
        <f>IF($A49="","",SUM(PT!P88,PT!P89))</f>
        <v/>
      </c>
      <c r="P49" s="519" t="str">
        <f>IF($A49="","",SUM(PT!Q88,PT!Q89))</f>
        <v/>
      </c>
      <c r="Q49" s="519" t="str">
        <f>IF($A49="","",SUM(PT!R88,PT!R89))</f>
        <v/>
      </c>
      <c r="R49" s="519" t="str">
        <f>IF($A49="","",SUM(PT!S88,PT!S89))</f>
        <v/>
      </c>
      <c r="S49" s="520" t="str">
        <f>IF($A49="","",SUM(PT!T88,PT!T89))</f>
        <v/>
      </c>
      <c r="T49" s="521" t="str">
        <f t="shared" si="5"/>
        <v/>
      </c>
      <c r="U49" s="522" t="str">
        <f>IF($A49="","",SUM(PT!U88,PT!U89))</f>
        <v/>
      </c>
      <c r="V49" s="523" t="str">
        <f>IF($A49="","",PT!AJ89)</f>
        <v/>
      </c>
      <c r="W49" s="524" t="str">
        <f>'Game Summary'!F44</f>
        <v/>
      </c>
      <c r="X49" s="525" t="str">
        <f t="shared" si="4"/>
        <v/>
      </c>
    </row>
    <row r="50" spans="1:24" ht="24.9" customHeight="1" x14ac:dyDescent="0.3">
      <c r="A50" s="526" t="str">
        <f>IF(IGRF!H31="","",IGRF!H31)</f>
        <v/>
      </c>
      <c r="B50" s="1053" t="str">
        <f>IF(IGRF!I31="","",IGRF!I31)</f>
        <v/>
      </c>
      <c r="C50" s="1054"/>
      <c r="D50" s="527" t="str">
        <f>IF($A50="","",SUM(PT!E90,PT!E91))</f>
        <v/>
      </c>
      <c r="E50" s="528" t="str">
        <f>IF($A50="","",SUM(PT!F90,PT!F91))</f>
        <v/>
      </c>
      <c r="F50" s="529" t="str">
        <f>IF($A50="","",SUM(PT!G90,PT!G91))</f>
        <v/>
      </c>
      <c r="G50" s="530" t="str">
        <f>IF($A50="","",SUM(PT!H90,PT!H91))</f>
        <v/>
      </c>
      <c r="H50" s="530" t="str">
        <f>IF($A50="","",SUM(PT!I90,PT!I91))</f>
        <v/>
      </c>
      <c r="I50" s="530" t="str">
        <f>IF($A50="","",SUM(PT!J90,PT!J91))</f>
        <v/>
      </c>
      <c r="J50" s="530" t="str">
        <f>IF($A50="","",SUM(PT!K90,PT!K91))</f>
        <v/>
      </c>
      <c r="K50" s="530" t="str">
        <f>IF($A50="","",SUM(PT!L90,PT!L91))</f>
        <v/>
      </c>
      <c r="L50" s="530" t="str">
        <f>IF($A50="","",SUM(PT!M90,PT!M91))</f>
        <v/>
      </c>
      <c r="M50" s="530" t="str">
        <f>IF($A50="","",SUM(PT!N90,PT!N91))</f>
        <v/>
      </c>
      <c r="N50" s="530" t="str">
        <f>IF($A50="","",SUM(PT!O90,PT!O91))</f>
        <v/>
      </c>
      <c r="O50" s="530" t="str">
        <f>IF($A50="","",SUM(PT!P90,PT!P91))</f>
        <v/>
      </c>
      <c r="P50" s="530" t="str">
        <f>IF($A50="","",SUM(PT!Q90,PT!Q91))</f>
        <v/>
      </c>
      <c r="Q50" s="530" t="str">
        <f>IF($A50="","",SUM(PT!R90,PT!R91))</f>
        <v/>
      </c>
      <c r="R50" s="530" t="str">
        <f>IF($A50="","",SUM(PT!S90,PT!S91))</f>
        <v/>
      </c>
      <c r="S50" s="530" t="str">
        <f>IF($A50="","",SUM(PT!T90,PT!T91))</f>
        <v/>
      </c>
      <c r="T50" s="531" t="str">
        <f t="shared" si="5"/>
        <v/>
      </c>
      <c r="U50" s="532" t="str">
        <f>IF($A50="","",SUM(PT!U90,PT!U91))</f>
        <v/>
      </c>
      <c r="V50" s="533" t="str">
        <f>IF($A50="","",PT!AJ91)</f>
        <v/>
      </c>
      <c r="W50" s="534" t="str">
        <f>'Game Summary'!F45</f>
        <v/>
      </c>
      <c r="X50" s="535" t="str">
        <f t="shared" si="4"/>
        <v/>
      </c>
    </row>
    <row r="51" spans="1:24" ht="24.9" customHeight="1" x14ac:dyDescent="0.3">
      <c r="A51" s="517" t="str">
        <f>IF(IGRF!H32="","",IGRF!H32)</f>
        <v/>
      </c>
      <c r="B51" s="1055" t="str">
        <f>IF(IGRF!I32="","",IGRF!I32)</f>
        <v/>
      </c>
      <c r="C51" s="1056"/>
      <c r="D51" s="518" t="str">
        <f>IF($A51="","",SUM(PT!E92,PT!E93))</f>
        <v/>
      </c>
      <c r="E51" s="519" t="str">
        <f>IF($A51="","",SUM(PT!F92,PT!F93))</f>
        <v/>
      </c>
      <c r="F51" s="519" t="str">
        <f>IF($A51="","",SUM(PT!G92,PT!G93))</f>
        <v/>
      </c>
      <c r="G51" s="519" t="str">
        <f>IF($A51="","",SUM(PT!H92,PT!H93))</f>
        <v/>
      </c>
      <c r="H51" s="519" t="str">
        <f>IF($A51="","",SUM(PT!I92,PT!I93))</f>
        <v/>
      </c>
      <c r="I51" s="519" t="str">
        <f>IF($A51="","",SUM(PT!J92,PT!J93))</f>
        <v/>
      </c>
      <c r="J51" s="519" t="str">
        <f>IF($A51="","",SUM(PT!K92,PT!K93))</f>
        <v/>
      </c>
      <c r="K51" s="519" t="str">
        <f>IF($A51="","",SUM(PT!L92,PT!L93))</f>
        <v/>
      </c>
      <c r="L51" s="519" t="str">
        <f>IF($A51="","",SUM(PT!M92,PT!M93))</f>
        <v/>
      </c>
      <c r="M51" s="519" t="str">
        <f>IF($A51="","",SUM(PT!N92,PT!N93))</f>
        <v/>
      </c>
      <c r="N51" s="519" t="str">
        <f>IF($A51="","",SUM(PT!O92,PT!O93))</f>
        <v/>
      </c>
      <c r="O51" s="519" t="str">
        <f>IF($A51="","",SUM(PT!P92,PT!P93))</f>
        <v/>
      </c>
      <c r="P51" s="519" t="str">
        <f>IF($A51="","",SUM(PT!Q92,PT!Q93))</f>
        <v/>
      </c>
      <c r="Q51" s="519" t="str">
        <f>IF($A51="","",SUM(PT!R92,PT!R93))</f>
        <v/>
      </c>
      <c r="R51" s="519" t="str">
        <f>IF($A51="","",SUM(PT!S92,PT!S93))</f>
        <v/>
      </c>
      <c r="S51" s="520" t="str">
        <f>IF($A51="","",SUM(PT!T92,PT!T93))</f>
        <v/>
      </c>
      <c r="T51" s="521" t="str">
        <f t="shared" si="5"/>
        <v/>
      </c>
      <c r="U51" s="522" t="str">
        <f>IF($A51="","",SUM(PT!U92,PT!U93))</f>
        <v/>
      </c>
      <c r="V51" s="523" t="str">
        <f>IF($A51="","",PT!AJ93)</f>
        <v/>
      </c>
      <c r="W51" s="524" t="str">
        <f>'Game Summary'!F46</f>
        <v/>
      </c>
      <c r="X51" s="525" t="str">
        <f t="shared" si="4"/>
        <v/>
      </c>
    </row>
    <row r="52" spans="1:24" ht="24.9" customHeight="1" thickBot="1" x14ac:dyDescent="0.35">
      <c r="A52" s="526" t="str">
        <f>IF(IGRF!H33="","",IGRF!H33)</f>
        <v/>
      </c>
      <c r="B52" s="1053" t="str">
        <f>IF(IGRF!I33="","",IGRF!I33)</f>
        <v/>
      </c>
      <c r="C52" s="1054"/>
      <c r="D52" s="527" t="str">
        <f>IF($A52="","",SUM(PT!E94,PT!E95))</f>
        <v/>
      </c>
      <c r="E52" s="528" t="str">
        <f>IF($A52="","",SUM(PT!F94,PT!F95))</f>
        <v/>
      </c>
      <c r="F52" s="529" t="str">
        <f>IF($A52="","",SUM(PT!G94,PT!G95))</f>
        <v/>
      </c>
      <c r="G52" s="530" t="str">
        <f>IF($A52="","",SUM(PT!H94,PT!H95))</f>
        <v/>
      </c>
      <c r="H52" s="530" t="str">
        <f>IF($A52="","",SUM(PT!I94,PT!I95))</f>
        <v/>
      </c>
      <c r="I52" s="530" t="str">
        <f>IF($A52="","",SUM(PT!J94,PT!J95))</f>
        <v/>
      </c>
      <c r="J52" s="530" t="str">
        <f>IF($A52="","",SUM(PT!K94,PT!K95))</f>
        <v/>
      </c>
      <c r="K52" s="530" t="str">
        <f>IF($A52="","",SUM(PT!L94,PT!L95))</f>
        <v/>
      </c>
      <c r="L52" s="530" t="str">
        <f>IF($A52="","",SUM(PT!M94,PT!M95))</f>
        <v/>
      </c>
      <c r="M52" s="530" t="str">
        <f>IF($A52="","",SUM(PT!N94,PT!N95))</f>
        <v/>
      </c>
      <c r="N52" s="530" t="str">
        <f>IF($A52="","",SUM(PT!O94,PT!O95))</f>
        <v/>
      </c>
      <c r="O52" s="530" t="str">
        <f>IF($A52="","",SUM(PT!P94,PT!P95))</f>
        <v/>
      </c>
      <c r="P52" s="530" t="str">
        <f>IF($A52="","",SUM(PT!Q94,PT!Q95))</f>
        <v/>
      </c>
      <c r="Q52" s="530" t="str">
        <f>IF($A52="","",SUM(PT!R94,PT!R95))</f>
        <v/>
      </c>
      <c r="R52" s="530" t="str">
        <f>IF($A52="","",SUM(PT!S94,PT!S95))</f>
        <v/>
      </c>
      <c r="S52" s="530" t="str">
        <f>IF($A52="","",SUM(PT!T94,PT!T95))</f>
        <v/>
      </c>
      <c r="T52" s="531" t="str">
        <f t="shared" si="5"/>
        <v/>
      </c>
      <c r="U52" s="532" t="str">
        <f>IF($A52="","",SUM(PT!U94,PT!U95))</f>
        <v/>
      </c>
      <c r="V52" s="533" t="str">
        <f>IF($A52="","",PT!AJ95)</f>
        <v/>
      </c>
      <c r="W52" s="534" t="str">
        <f>'Game Summary'!F47</f>
        <v/>
      </c>
      <c r="X52" s="535" t="str">
        <f t="shared" si="4"/>
        <v/>
      </c>
    </row>
    <row r="53" spans="1:24" ht="21.75" customHeight="1" x14ac:dyDescent="0.3">
      <c r="A53" s="1057" t="s">
        <v>400</v>
      </c>
      <c r="B53" s="1058"/>
      <c r="C53" s="537" t="str">
        <f>PT!AJ97</f>
        <v/>
      </c>
      <c r="D53" s="1041" t="s">
        <v>137</v>
      </c>
      <c r="E53" s="1041" t="s">
        <v>149</v>
      </c>
      <c r="F53" s="1041" t="s">
        <v>152</v>
      </c>
      <c r="G53" s="1041" t="s">
        <v>145</v>
      </c>
      <c r="H53" s="1041" t="s">
        <v>69</v>
      </c>
      <c r="I53" s="1041" t="s">
        <v>70</v>
      </c>
      <c r="J53" s="1041" t="s">
        <v>154</v>
      </c>
      <c r="K53" s="1041" t="s">
        <v>71</v>
      </c>
      <c r="L53" s="1041" t="s">
        <v>72</v>
      </c>
      <c r="M53" s="1041" t="s">
        <v>158</v>
      </c>
      <c r="N53" s="1041" t="s">
        <v>141</v>
      </c>
      <c r="O53" s="1041" t="s">
        <v>73</v>
      </c>
      <c r="P53" s="1041" t="s">
        <v>74</v>
      </c>
      <c r="Q53" s="1041" t="s">
        <v>75</v>
      </c>
      <c r="R53" s="1041" t="s">
        <v>233</v>
      </c>
      <c r="S53" s="1041" t="s">
        <v>120</v>
      </c>
      <c r="T53" s="1044" t="s">
        <v>76</v>
      </c>
      <c r="U53" s="538"/>
      <c r="V53" s="539">
        <f>SUM(PT!X102:AI102,C53,C54)</f>
        <v>0</v>
      </c>
      <c r="W53" s="540">
        <f>IF(COUNT(W33:W52)=0,"-",SUM(W33:W52)/COUNT(W33:W52))</f>
        <v>11.857142857142858</v>
      </c>
      <c r="X53" s="541">
        <f>IF(COUNT(X33:X52)=0,"-",SUM(X33:X52)/COUNT(X33:X52))</f>
        <v>0.13372292911766595</v>
      </c>
    </row>
    <row r="54" spans="1:24" ht="21" customHeight="1" thickBot="1" x14ac:dyDescent="0.35">
      <c r="A54" s="1047" t="s">
        <v>400</v>
      </c>
      <c r="B54" s="1048"/>
      <c r="C54" s="542" t="str">
        <f>PT!AJ99</f>
        <v/>
      </c>
      <c r="D54" s="1042"/>
      <c r="E54" s="1042"/>
      <c r="F54" s="1042"/>
      <c r="G54" s="1042"/>
      <c r="H54" s="1042"/>
      <c r="I54" s="1042"/>
      <c r="J54" s="1042"/>
      <c r="K54" s="1042"/>
      <c r="L54" s="1042"/>
      <c r="M54" s="1042"/>
      <c r="N54" s="1042"/>
      <c r="O54" s="1042"/>
      <c r="P54" s="1042"/>
      <c r="Q54" s="1042"/>
      <c r="R54" s="1042"/>
      <c r="S54" s="1042"/>
      <c r="T54" s="1045"/>
      <c r="U54" s="543"/>
      <c r="V54" s="1049" t="s">
        <v>78</v>
      </c>
      <c r="W54" s="1051"/>
      <c r="X54" s="1051"/>
    </row>
    <row r="55" spans="1:24" ht="20.100000000000001" customHeight="1" thickBot="1" x14ac:dyDescent="0.35">
      <c r="A55" s="1027"/>
      <c r="B55" s="1052"/>
      <c r="C55" s="1052"/>
      <c r="D55" s="1043"/>
      <c r="E55" s="1043"/>
      <c r="F55" s="1043"/>
      <c r="G55" s="1043"/>
      <c r="H55" s="1043"/>
      <c r="I55" s="1043"/>
      <c r="J55" s="1043"/>
      <c r="K55" s="1043"/>
      <c r="L55" s="1043"/>
      <c r="M55" s="1043"/>
      <c r="N55" s="1043"/>
      <c r="O55" s="1043"/>
      <c r="P55" s="1043"/>
      <c r="Q55" s="1043"/>
      <c r="R55" s="1043"/>
      <c r="S55" s="1043"/>
      <c r="T55" s="1046"/>
      <c r="U55" s="543"/>
      <c r="V55" s="1050"/>
      <c r="W55" s="1051"/>
      <c r="X55" s="1051"/>
    </row>
    <row r="56" spans="1:24" ht="12.75" customHeight="1" thickBot="1" x14ac:dyDescent="0.35">
      <c r="A56" s="1027" t="s">
        <v>401</v>
      </c>
      <c r="B56" s="1027"/>
      <c r="C56" s="1027"/>
      <c r="D56" s="544">
        <f>SUM(D33:D52)</f>
        <v>2</v>
      </c>
      <c r="E56" s="544">
        <f t="shared" ref="E56:T56" si="6">SUM(E33:E52)</f>
        <v>0</v>
      </c>
      <c r="F56" s="544">
        <f t="shared" si="6"/>
        <v>0</v>
      </c>
      <c r="G56" s="544">
        <f t="shared" si="6"/>
        <v>1</v>
      </c>
      <c r="H56" s="544">
        <f t="shared" si="6"/>
        <v>1</v>
      </c>
      <c r="I56" s="544">
        <f t="shared" si="6"/>
        <v>0</v>
      </c>
      <c r="J56" s="544">
        <f t="shared" si="6"/>
        <v>1</v>
      </c>
      <c r="K56" s="544">
        <f t="shared" si="6"/>
        <v>0</v>
      </c>
      <c r="L56" s="544">
        <f t="shared" si="6"/>
        <v>5</v>
      </c>
      <c r="M56" s="544">
        <f t="shared" si="6"/>
        <v>3</v>
      </c>
      <c r="N56" s="544">
        <f t="shared" si="6"/>
        <v>8</v>
      </c>
      <c r="O56" s="544">
        <f t="shared" si="6"/>
        <v>0</v>
      </c>
      <c r="P56" s="544">
        <f t="shared" si="6"/>
        <v>0</v>
      </c>
      <c r="Q56" s="544">
        <f t="shared" si="6"/>
        <v>0</v>
      </c>
      <c r="R56" s="544">
        <f t="shared" si="6"/>
        <v>0</v>
      </c>
      <c r="S56" s="544">
        <f t="shared" si="6"/>
        <v>0</v>
      </c>
      <c r="T56" s="544">
        <f t="shared" si="6"/>
        <v>21</v>
      </c>
      <c r="U56" s="543">
        <f>SUM(U33:U52,C53,C54)</f>
        <v>21</v>
      </c>
      <c r="V56" s="1028" t="s">
        <v>434</v>
      </c>
      <c r="W56" s="1028"/>
      <c r="X56" s="1029"/>
    </row>
    <row r="57" spans="1:24" ht="12.75" customHeight="1" thickBot="1" x14ac:dyDescent="0.35">
      <c r="A57" s="1027"/>
      <c r="B57" s="1027"/>
      <c r="C57" s="1027"/>
      <c r="D57" s="1030" t="s">
        <v>402</v>
      </c>
      <c r="E57" s="1030"/>
      <c r="F57" s="1030"/>
      <c r="G57" s="1030"/>
      <c r="H57" s="1030"/>
      <c r="I57" s="1030"/>
      <c r="J57" s="1031">
        <f>IF(OR(LU!W3=0,LU!W102=0),"",T56/(LU!W3+LU!W102))</f>
        <v>0.56756756756756754</v>
      </c>
      <c r="K57" s="1031"/>
      <c r="L57" s="1032" t="s">
        <v>436</v>
      </c>
      <c r="M57" s="1032"/>
      <c r="N57" s="1032"/>
      <c r="O57" s="1032"/>
      <c r="P57" s="1032"/>
      <c r="Q57" s="546"/>
      <c r="R57" s="1033">
        <f>IF(T27+T56=0,"",T56/(T27+T56))</f>
        <v>0.41176470588235292</v>
      </c>
      <c r="S57" s="1033"/>
      <c r="T57" s="547"/>
      <c r="U57" s="1034">
        <f>IF(U27+U56=0,"",U56/(U27+U56))</f>
        <v>0.41176470588235292</v>
      </c>
      <c r="V57" s="1035" t="s">
        <v>435</v>
      </c>
      <c r="W57" s="1035"/>
      <c r="X57" s="1036"/>
    </row>
    <row r="58" spans="1:24" ht="13.5" customHeight="1" thickBot="1" x14ac:dyDescent="0.35">
      <c r="A58" s="1027"/>
      <c r="B58" s="1027"/>
      <c r="C58" s="1027"/>
      <c r="D58" s="1039" t="s">
        <v>79</v>
      </c>
      <c r="E58" s="1039"/>
      <c r="F58" s="1039"/>
      <c r="G58" s="1039"/>
      <c r="H58" s="1039"/>
      <c r="I58" s="1039"/>
      <c r="J58" s="1040">
        <f>IF(OR(J28="",J57=""),"",J57-J28)</f>
        <v>-0.24324324324324331</v>
      </c>
      <c r="K58" s="1040"/>
      <c r="L58" s="1032"/>
      <c r="M58" s="1032"/>
      <c r="N58" s="1032"/>
      <c r="O58" s="1032"/>
      <c r="P58" s="1032"/>
      <c r="Q58" s="546"/>
      <c r="R58" s="1033"/>
      <c r="S58" s="1033"/>
      <c r="T58" s="548"/>
      <c r="U58" s="1034"/>
      <c r="V58" s="1037"/>
      <c r="W58" s="1037"/>
      <c r="X58" s="1038"/>
    </row>
  </sheetData>
  <mergeCells count="118">
    <mergeCell ref="A1:C1"/>
    <mergeCell ref="D1:V1"/>
    <mergeCell ref="W1:X1"/>
    <mergeCell ref="A2:C2"/>
    <mergeCell ref="D2:T2"/>
    <mergeCell ref="W2:X2"/>
    <mergeCell ref="B9:C9"/>
    <mergeCell ref="B10:C10"/>
    <mergeCell ref="B11:C11"/>
    <mergeCell ref="B12:C12"/>
    <mergeCell ref="B13:C13"/>
    <mergeCell ref="B14:C14"/>
    <mergeCell ref="B3:C3"/>
    <mergeCell ref="B4:C4"/>
    <mergeCell ref="B5:C5"/>
    <mergeCell ref="B6:C6"/>
    <mergeCell ref="B7:C7"/>
    <mergeCell ref="B8:C8"/>
    <mergeCell ref="B21:C21"/>
    <mergeCell ref="B22:C22"/>
    <mergeCell ref="B23:C23"/>
    <mergeCell ref="A24:B24"/>
    <mergeCell ref="D24:D26"/>
    <mergeCell ref="E24:E26"/>
    <mergeCell ref="B15:C15"/>
    <mergeCell ref="B16:C16"/>
    <mergeCell ref="B17:C17"/>
    <mergeCell ref="B18:C18"/>
    <mergeCell ref="B19:C19"/>
    <mergeCell ref="B20:C20"/>
    <mergeCell ref="R24:R26"/>
    <mergeCell ref="S24:S26"/>
    <mergeCell ref="T24:T26"/>
    <mergeCell ref="A25:B25"/>
    <mergeCell ref="V25:V26"/>
    <mergeCell ref="W25:X26"/>
    <mergeCell ref="A26:C26"/>
    <mergeCell ref="L24:L26"/>
    <mergeCell ref="M24:M26"/>
    <mergeCell ref="N24:N26"/>
    <mergeCell ref="O24:O26"/>
    <mergeCell ref="P24:P26"/>
    <mergeCell ref="Q24:Q26"/>
    <mergeCell ref="F24:F26"/>
    <mergeCell ref="G24:G26"/>
    <mergeCell ref="H24:H26"/>
    <mergeCell ref="I24:I26"/>
    <mergeCell ref="J24:J26"/>
    <mergeCell ref="K24:K26"/>
    <mergeCell ref="A30:C30"/>
    <mergeCell ref="D30:V30"/>
    <mergeCell ref="W30:X30"/>
    <mergeCell ref="A31:C31"/>
    <mergeCell ref="D31:T31"/>
    <mergeCell ref="W31:X31"/>
    <mergeCell ref="A27:C29"/>
    <mergeCell ref="V27:X27"/>
    <mergeCell ref="D28:I28"/>
    <mergeCell ref="J28:K28"/>
    <mergeCell ref="L28:P29"/>
    <mergeCell ref="R28:S29"/>
    <mergeCell ref="U28:U29"/>
    <mergeCell ref="V28:X29"/>
    <mergeCell ref="D29:I29"/>
    <mergeCell ref="J29:K29"/>
    <mergeCell ref="B38:C38"/>
    <mergeCell ref="B39:C39"/>
    <mergeCell ref="B40:C40"/>
    <mergeCell ref="B41:C41"/>
    <mergeCell ref="B42:C42"/>
    <mergeCell ref="B43:C43"/>
    <mergeCell ref="B32:C32"/>
    <mergeCell ref="B33:C33"/>
    <mergeCell ref="B34:C34"/>
    <mergeCell ref="B35:C35"/>
    <mergeCell ref="B36:C36"/>
    <mergeCell ref="B37:C37"/>
    <mergeCell ref="B50:C50"/>
    <mergeCell ref="B51:C51"/>
    <mergeCell ref="B52:C52"/>
    <mergeCell ref="A53:B53"/>
    <mergeCell ref="D53:D55"/>
    <mergeCell ref="E53:E55"/>
    <mergeCell ref="B44:C44"/>
    <mergeCell ref="B45:C45"/>
    <mergeCell ref="B46:C46"/>
    <mergeCell ref="B47:C47"/>
    <mergeCell ref="B48:C48"/>
    <mergeCell ref="B49:C49"/>
    <mergeCell ref="R53:R55"/>
    <mergeCell ref="S53:S55"/>
    <mergeCell ref="T53:T55"/>
    <mergeCell ref="A54:B54"/>
    <mergeCell ref="V54:V55"/>
    <mergeCell ref="W54:X55"/>
    <mergeCell ref="A55:C55"/>
    <mergeCell ref="L53:L55"/>
    <mergeCell ref="M53:M55"/>
    <mergeCell ref="N53:N55"/>
    <mergeCell ref="O53:O55"/>
    <mergeCell ref="P53:P55"/>
    <mergeCell ref="Q53:Q55"/>
    <mergeCell ref="F53:F55"/>
    <mergeCell ref="G53:G55"/>
    <mergeCell ref="H53:H55"/>
    <mergeCell ref="I53:I55"/>
    <mergeCell ref="J53:J55"/>
    <mergeCell ref="K53:K55"/>
    <mergeCell ref="A56:C58"/>
    <mergeCell ref="V56:X56"/>
    <mergeCell ref="D57:I57"/>
    <mergeCell ref="J57:K57"/>
    <mergeCell ref="L57:P58"/>
    <mergeCell ref="R57:S58"/>
    <mergeCell ref="U57:U58"/>
    <mergeCell ref="V57:X58"/>
    <mergeCell ref="D58:I58"/>
    <mergeCell ref="J58:K58"/>
  </mergeCells>
  <printOptions horizontalCentered="1" verticalCentered="1"/>
  <pageMargins left="0.25" right="0.25" top="0.25" bottom="0.25" header="0.31" footer="0.32"/>
  <pageSetup scale="77" firstPageNumber="0" fitToWidth="0" fitToHeight="0" orientation="landscape" horizontalDpi="300" verticalDpi="300" r:id="rId1"/>
  <headerFooter alignWithMargins="0"/>
  <rowBreaks count="1" manualBreakCount="1">
    <brk id="29" max="16383" man="1"/>
  </rowBreaks>
  <colBreaks count="1" manualBreakCount="1">
    <brk id="24" max="1048575" man="1"/>
  </colBreaks>
  <ignoredErrors>
    <ignoredError sqref="A1" emptyCellReference="1"/>
  </ignoredErrors>
  <legacy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tabColor rgb="FFC00000"/>
  </sheetPr>
  <dimension ref="A1:K84"/>
  <sheetViews>
    <sheetView showGridLines="0" workbookViewId="0">
      <selection sqref="A1:B2"/>
    </sheetView>
  </sheetViews>
  <sheetFormatPr defaultColWidth="8.88671875" defaultRowHeight="13.2" x14ac:dyDescent="0.25"/>
  <cols>
    <col min="1" max="1" width="8.6640625" customWidth="1"/>
    <col min="2" max="2" width="26.6640625" customWidth="1"/>
    <col min="3" max="3" width="47.44140625" customWidth="1"/>
    <col min="4" max="4" width="12.6640625" customWidth="1"/>
    <col min="5" max="7" width="9.109375" hidden="1" customWidth="1"/>
    <col min="8" max="8" width="8.6640625" customWidth="1"/>
    <col min="9" max="9" width="26.6640625" customWidth="1"/>
    <col min="10" max="10" width="47.44140625" customWidth="1"/>
    <col min="11" max="11" width="12.6640625" customWidth="1"/>
  </cols>
  <sheetData>
    <row r="1" spans="1:11" ht="12.75" customHeight="1" x14ac:dyDescent="0.3">
      <c r="A1" s="1079" t="str">
        <f>Score!$A$1</f>
        <v>Tri-City Roller Derby / Plan B</v>
      </c>
      <c r="B1" s="1080"/>
      <c r="C1" s="688">
        <f>IF(ISBLANK(IGRF!$B$7), "", IGRF!$B$7)</f>
        <v>42105</v>
      </c>
      <c r="D1" s="1082">
        <v>1</v>
      </c>
      <c r="H1" s="1079" t="str">
        <f>Score!$T$1</f>
        <v>Hammer City Roller Girls / Harlots</v>
      </c>
      <c r="I1" s="1080"/>
      <c r="J1" s="688">
        <f>IF(ISBLANK(IGRF!$B$7), "", IGRF!$B$7)</f>
        <v>42105</v>
      </c>
      <c r="K1" s="1082">
        <v>1</v>
      </c>
    </row>
    <row r="2" spans="1:11" ht="13.5" customHeight="1" thickBot="1" x14ac:dyDescent="0.3">
      <c r="A2" s="1081"/>
      <c r="B2" s="924"/>
      <c r="C2" s="11" t="s">
        <v>248</v>
      </c>
      <c r="D2" s="1083"/>
      <c r="H2" s="1081"/>
      <c r="I2" s="924"/>
      <c r="J2" s="11" t="s">
        <v>248</v>
      </c>
      <c r="K2" s="1083"/>
    </row>
    <row r="3" spans="1:11" ht="14.1" customHeight="1" thickBot="1" x14ac:dyDescent="0.3">
      <c r="A3" s="682" t="s">
        <v>370</v>
      </c>
      <c r="B3" s="675" t="s">
        <v>476</v>
      </c>
      <c r="C3" s="676" t="s">
        <v>475</v>
      </c>
      <c r="D3" s="681" t="str">
        <f>IF(ISBLANK(IGRF!$K$3), "", "GAME " &amp; IGRF!$K$3)</f>
        <v>GAME 2</v>
      </c>
      <c r="H3" s="682" t="s">
        <v>370</v>
      </c>
      <c r="I3" s="675" t="s">
        <v>476</v>
      </c>
      <c r="J3" s="676" t="s">
        <v>475</v>
      </c>
      <c r="K3" s="681" t="str">
        <f>IF(ISBLANK(IGRF!$K$3), "", "GAME " &amp; IGRF!$K$3)</f>
        <v>GAME 2</v>
      </c>
    </row>
    <row r="4" spans="1:11" ht="23.4" x14ac:dyDescent="0.45">
      <c r="A4" s="677">
        <f>IF(Score!A4="", "",Score!A4 )</f>
        <v>1</v>
      </c>
      <c r="B4" s="684"/>
      <c r="C4" s="1073"/>
      <c r="D4" s="1074"/>
      <c r="H4" s="677">
        <f>IF(Score!T4="", "",Score!T4 )</f>
        <v>1</v>
      </c>
      <c r="I4" s="684"/>
      <c r="J4" s="1073"/>
      <c r="K4" s="1074"/>
    </row>
    <row r="5" spans="1:11" ht="23.4" x14ac:dyDescent="0.45">
      <c r="A5" s="678">
        <f>IF(Score!A5="", "",Score!A5 )</f>
        <v>2</v>
      </c>
      <c r="B5" s="685"/>
      <c r="C5" s="1071"/>
      <c r="D5" s="1072"/>
      <c r="H5" s="678">
        <f>IF(Score!T5="", "",Score!T5 )</f>
        <v>2</v>
      </c>
      <c r="I5" s="685"/>
      <c r="J5" s="1071"/>
      <c r="K5" s="1072"/>
    </row>
    <row r="6" spans="1:11" ht="23.4" x14ac:dyDescent="0.45">
      <c r="A6" s="679">
        <f>IF(Score!A6="", "",Score!A6 )</f>
        <v>3</v>
      </c>
      <c r="B6" s="684"/>
      <c r="C6" s="1073"/>
      <c r="D6" s="1074"/>
      <c r="H6" s="679">
        <f>IF(Score!T6="", "",Score!T6 )</f>
        <v>3</v>
      </c>
      <c r="I6" s="684"/>
      <c r="J6" s="1073"/>
      <c r="K6" s="1074"/>
    </row>
    <row r="7" spans="1:11" ht="23.4" x14ac:dyDescent="0.45">
      <c r="A7" s="678">
        <f>IF(Score!A7="", "",Score!A7 )</f>
        <v>4</v>
      </c>
      <c r="B7" s="685"/>
      <c r="C7" s="1071"/>
      <c r="D7" s="1072"/>
      <c r="H7" s="678">
        <f>IF(Score!T7="", "",Score!T7 )</f>
        <v>4</v>
      </c>
      <c r="I7" s="685"/>
      <c r="J7" s="1071"/>
      <c r="K7" s="1072"/>
    </row>
    <row r="8" spans="1:11" ht="23.4" x14ac:dyDescent="0.45">
      <c r="A8" s="679">
        <f>IF(Score!A8="", "",Score!A8 )</f>
        <v>5</v>
      </c>
      <c r="B8" s="684"/>
      <c r="C8" s="1073"/>
      <c r="D8" s="1074"/>
      <c r="H8" s="679">
        <f>IF(Score!T8="", "",Score!T8 )</f>
        <v>5</v>
      </c>
      <c r="I8" s="684"/>
      <c r="J8" s="1073"/>
      <c r="K8" s="1074"/>
    </row>
    <row r="9" spans="1:11" ht="23.4" x14ac:dyDescent="0.45">
      <c r="A9" s="678">
        <f>IF(Score!A9="", "",Score!A9 )</f>
        <v>6</v>
      </c>
      <c r="B9" s="685"/>
      <c r="C9" s="1071"/>
      <c r="D9" s="1072"/>
      <c r="H9" s="678">
        <f>IF(Score!T9="", "",Score!T9 )</f>
        <v>6</v>
      </c>
      <c r="I9" s="685"/>
      <c r="J9" s="1071"/>
      <c r="K9" s="1072"/>
    </row>
    <row r="10" spans="1:11" ht="23.4" x14ac:dyDescent="0.45">
      <c r="A10" s="679" t="str">
        <f>IF(Score!A10="", "",Score!A10 )</f>
        <v>SP*</v>
      </c>
      <c r="B10" s="684"/>
      <c r="C10" s="1073"/>
      <c r="D10" s="1074"/>
      <c r="H10" s="679" t="str">
        <f>IF(Score!T10="", "",Score!T10 )</f>
        <v>SP</v>
      </c>
      <c r="I10" s="684"/>
      <c r="J10" s="1073"/>
      <c r="K10" s="1074"/>
    </row>
    <row r="11" spans="1:11" ht="23.4" x14ac:dyDescent="0.45">
      <c r="A11" s="678">
        <f>IF(Score!A11="", "",Score!A11 )</f>
        <v>7</v>
      </c>
      <c r="B11" s="685"/>
      <c r="C11" s="1071"/>
      <c r="D11" s="1072"/>
      <c r="H11" s="678">
        <f>IF(Score!T11="", "",Score!T11 )</f>
        <v>7</v>
      </c>
      <c r="I11" s="685"/>
      <c r="J11" s="1071"/>
      <c r="K11" s="1072"/>
    </row>
    <row r="12" spans="1:11" ht="23.4" x14ac:dyDescent="0.45">
      <c r="A12" s="679">
        <f>IF(Score!A12="", "",Score!A12 )</f>
        <v>8</v>
      </c>
      <c r="B12" s="684"/>
      <c r="C12" s="1073"/>
      <c r="D12" s="1074"/>
      <c r="H12" s="679">
        <f>IF(Score!T12="", "",Score!T12 )</f>
        <v>8</v>
      </c>
      <c r="I12" s="684"/>
      <c r="J12" s="1073"/>
      <c r="K12" s="1074"/>
    </row>
    <row r="13" spans="1:11" ht="23.4" x14ac:dyDescent="0.45">
      <c r="A13" s="678">
        <f>IF(Score!A13="", "",Score!A13 )</f>
        <v>9</v>
      </c>
      <c r="B13" s="685"/>
      <c r="C13" s="1071"/>
      <c r="D13" s="1072"/>
      <c r="H13" s="678">
        <f>IF(Score!T13="", "",Score!T13 )</f>
        <v>9</v>
      </c>
      <c r="I13" s="685"/>
      <c r="J13" s="1071"/>
      <c r="K13" s="1072"/>
    </row>
    <row r="14" spans="1:11" ht="23.4" x14ac:dyDescent="0.45">
      <c r="A14" s="679">
        <f>IF(Score!A14="", "",Score!A14 )</f>
        <v>10</v>
      </c>
      <c r="B14" s="684"/>
      <c r="C14" s="1073"/>
      <c r="D14" s="1074"/>
      <c r="H14" s="679">
        <f>IF(Score!T14="", "",Score!T14 )</f>
        <v>10</v>
      </c>
      <c r="I14" s="684"/>
      <c r="J14" s="1073"/>
      <c r="K14" s="1074"/>
    </row>
    <row r="15" spans="1:11" ht="23.4" x14ac:dyDescent="0.45">
      <c r="A15" s="678">
        <f>IF(Score!A15="", "",Score!A15 )</f>
        <v>11</v>
      </c>
      <c r="B15" s="685"/>
      <c r="C15" s="1071"/>
      <c r="D15" s="1072"/>
      <c r="H15" s="678">
        <f>IF(Score!T15="", "",Score!T15 )</f>
        <v>11</v>
      </c>
      <c r="I15" s="685"/>
      <c r="J15" s="1071"/>
      <c r="K15" s="1072"/>
    </row>
    <row r="16" spans="1:11" ht="23.4" x14ac:dyDescent="0.45">
      <c r="A16" s="679">
        <f>IF(Score!A16="", "",Score!A16 )</f>
        <v>12</v>
      </c>
      <c r="B16" s="684"/>
      <c r="C16" s="1073"/>
      <c r="D16" s="1074"/>
      <c r="H16" s="679">
        <f>IF(Score!T16="", "",Score!T16 )</f>
        <v>12</v>
      </c>
      <c r="I16" s="684"/>
      <c r="J16" s="1073"/>
      <c r="K16" s="1074"/>
    </row>
    <row r="17" spans="1:11" ht="23.4" x14ac:dyDescent="0.45">
      <c r="A17" s="678">
        <f>IF(Score!A17="", "",Score!A17 )</f>
        <v>13</v>
      </c>
      <c r="B17" s="685"/>
      <c r="C17" s="1071"/>
      <c r="D17" s="1072"/>
      <c r="H17" s="678">
        <f>IF(Score!T17="", "",Score!T17 )</f>
        <v>13</v>
      </c>
      <c r="I17" s="685"/>
      <c r="J17" s="1071"/>
      <c r="K17" s="1072"/>
    </row>
    <row r="18" spans="1:11" ht="23.4" x14ac:dyDescent="0.45">
      <c r="A18" s="679">
        <f>IF(Score!A18="", "",Score!A18 )</f>
        <v>14</v>
      </c>
      <c r="B18" s="684"/>
      <c r="C18" s="1073"/>
      <c r="D18" s="1074"/>
      <c r="H18" s="679">
        <f>IF(Score!T18="", "",Score!T18 )</f>
        <v>14</v>
      </c>
      <c r="I18" s="684"/>
      <c r="J18" s="1073"/>
      <c r="K18" s="1074"/>
    </row>
    <row r="19" spans="1:11" ht="23.4" x14ac:dyDescent="0.45">
      <c r="A19" s="678">
        <f>IF(Score!A19="", "",Score!A19 )</f>
        <v>15</v>
      </c>
      <c r="B19" s="685"/>
      <c r="C19" s="1071"/>
      <c r="D19" s="1072"/>
      <c r="H19" s="678">
        <f>IF(Score!T19="", "",Score!T19 )</f>
        <v>15</v>
      </c>
      <c r="I19" s="685"/>
      <c r="J19" s="1071"/>
      <c r="K19" s="1072"/>
    </row>
    <row r="20" spans="1:11" ht="23.4" x14ac:dyDescent="0.45">
      <c r="A20" s="679">
        <f>IF(Score!A20="", "",Score!A20 )</f>
        <v>16</v>
      </c>
      <c r="B20" s="684"/>
      <c r="C20" s="1073"/>
      <c r="D20" s="1074"/>
      <c r="H20" s="679">
        <f>IF(Score!T20="", "",Score!T20 )</f>
        <v>16</v>
      </c>
      <c r="I20" s="684"/>
      <c r="J20" s="1073"/>
      <c r="K20" s="1074"/>
    </row>
    <row r="21" spans="1:11" ht="23.4" x14ac:dyDescent="0.45">
      <c r="A21" s="678">
        <f>IF(Score!A21="", "",Score!A21 )</f>
        <v>17</v>
      </c>
      <c r="B21" s="685"/>
      <c r="C21" s="1071"/>
      <c r="D21" s="1072"/>
      <c r="H21" s="678">
        <f>IF(Score!T21="", "",Score!T21 )</f>
        <v>17</v>
      </c>
      <c r="I21" s="685"/>
      <c r="J21" s="1071"/>
      <c r="K21" s="1072"/>
    </row>
    <row r="22" spans="1:11" ht="23.4" x14ac:dyDescent="0.45">
      <c r="A22" s="679">
        <f>IF(Score!A22="", "",Score!A22 )</f>
        <v>18</v>
      </c>
      <c r="B22" s="684"/>
      <c r="C22" s="1073"/>
      <c r="D22" s="1074"/>
      <c r="H22" s="679">
        <f>IF(Score!T22="", "",Score!T22 )</f>
        <v>18</v>
      </c>
      <c r="I22" s="684"/>
      <c r="J22" s="1073"/>
      <c r="K22" s="1074"/>
    </row>
    <row r="23" spans="1:11" ht="23.4" x14ac:dyDescent="0.45">
      <c r="A23" s="678" t="str">
        <f>IF(Score!A23="", "",Score!A23 )</f>
        <v>SP*</v>
      </c>
      <c r="B23" s="685"/>
      <c r="C23" s="1071"/>
      <c r="D23" s="1072"/>
      <c r="H23" s="678" t="str">
        <f>IF(Score!T23="", "",Score!T23 )</f>
        <v>SP</v>
      </c>
      <c r="I23" s="685"/>
      <c r="J23" s="1071"/>
      <c r="K23" s="1072"/>
    </row>
    <row r="24" spans="1:11" ht="23.4" x14ac:dyDescent="0.45">
      <c r="A24" s="679">
        <f>IF(Score!A24="", "",Score!A24 )</f>
        <v>19</v>
      </c>
      <c r="B24" s="684"/>
      <c r="C24" s="1073"/>
      <c r="D24" s="1074"/>
      <c r="H24" s="679">
        <f>IF(Score!T24="", "",Score!T24 )</f>
        <v>19</v>
      </c>
      <c r="I24" s="684"/>
      <c r="J24" s="1073"/>
      <c r="K24" s="1074"/>
    </row>
    <row r="25" spans="1:11" ht="23.4" x14ac:dyDescent="0.45">
      <c r="A25" s="678" t="str">
        <f>IF(Score!A25="", "",Score!A25 )</f>
        <v/>
      </c>
      <c r="B25" s="685"/>
      <c r="C25" s="1071"/>
      <c r="D25" s="1072"/>
      <c r="H25" s="678" t="str">
        <f>IF(Score!T25="", "",Score!T25 )</f>
        <v/>
      </c>
      <c r="I25" s="685"/>
      <c r="J25" s="1071"/>
      <c r="K25" s="1072"/>
    </row>
    <row r="26" spans="1:11" ht="23.4" x14ac:dyDescent="0.45">
      <c r="A26" s="679" t="str">
        <f>IF(Score!A26="", "",Score!A26 )</f>
        <v/>
      </c>
      <c r="B26" s="684"/>
      <c r="C26" s="1073"/>
      <c r="D26" s="1074"/>
      <c r="H26" s="679" t="str">
        <f>IF(Score!T26="", "",Score!T26 )</f>
        <v/>
      </c>
      <c r="I26" s="684"/>
      <c r="J26" s="1073"/>
      <c r="K26" s="1074"/>
    </row>
    <row r="27" spans="1:11" ht="23.4" x14ac:dyDescent="0.45">
      <c r="A27" s="678" t="str">
        <f>IF(Score!A27="", "",Score!A27 )</f>
        <v/>
      </c>
      <c r="B27" s="685"/>
      <c r="C27" s="1071"/>
      <c r="D27" s="1072"/>
      <c r="H27" s="678" t="str">
        <f>IF(Score!T27="", "",Score!T27 )</f>
        <v/>
      </c>
      <c r="I27" s="685"/>
      <c r="J27" s="1071"/>
      <c r="K27" s="1072"/>
    </row>
    <row r="28" spans="1:11" ht="23.4" x14ac:dyDescent="0.45">
      <c r="A28" s="679" t="str">
        <f>IF(Score!A28="", "",Score!A28 )</f>
        <v/>
      </c>
      <c r="B28" s="684"/>
      <c r="C28" s="1073"/>
      <c r="D28" s="1074"/>
      <c r="H28" s="679" t="str">
        <f>IF(Score!T28="", "",Score!T28 )</f>
        <v/>
      </c>
      <c r="I28" s="684"/>
      <c r="J28" s="1073"/>
      <c r="K28" s="1074"/>
    </row>
    <row r="29" spans="1:11" ht="23.4" x14ac:dyDescent="0.45">
      <c r="A29" s="678" t="str">
        <f>IF(Score!A29="", "",Score!A29 )</f>
        <v/>
      </c>
      <c r="B29" s="685"/>
      <c r="C29" s="1071"/>
      <c r="D29" s="1072"/>
      <c r="H29" s="678" t="str">
        <f>IF(Score!T29="", "",Score!T29 )</f>
        <v/>
      </c>
      <c r="I29" s="685"/>
      <c r="J29" s="1071"/>
      <c r="K29" s="1072"/>
    </row>
    <row r="30" spans="1:11" ht="23.4" x14ac:dyDescent="0.45">
      <c r="A30" s="679" t="str">
        <f>IF(Score!A30="", "",Score!A30 )</f>
        <v/>
      </c>
      <c r="B30" s="684"/>
      <c r="C30" s="1073"/>
      <c r="D30" s="1074"/>
      <c r="H30" s="679" t="str">
        <f>IF(Score!T30="", "",Score!T30 )</f>
        <v/>
      </c>
      <c r="I30" s="684"/>
      <c r="J30" s="1073"/>
      <c r="K30" s="1074"/>
    </row>
    <row r="31" spans="1:11" ht="23.4" x14ac:dyDescent="0.45">
      <c r="A31" s="678" t="str">
        <f>IF(Score!A31="", "",Score!A31 )</f>
        <v/>
      </c>
      <c r="B31" s="685"/>
      <c r="C31" s="1071"/>
      <c r="D31" s="1072"/>
      <c r="H31" s="678" t="str">
        <f>IF(Score!T31="", "",Score!T31 )</f>
        <v/>
      </c>
      <c r="I31" s="685"/>
      <c r="J31" s="1071"/>
      <c r="K31" s="1072"/>
    </row>
    <row r="32" spans="1:11" ht="23.4" x14ac:dyDescent="0.45">
      <c r="A32" s="679" t="str">
        <f>IF(Score!A32="", "",Score!A32 )</f>
        <v/>
      </c>
      <c r="B32" s="684"/>
      <c r="C32" s="1073"/>
      <c r="D32" s="1074"/>
      <c r="H32" s="679" t="str">
        <f>IF(Score!T32="", "",Score!T32 )</f>
        <v/>
      </c>
      <c r="I32" s="684"/>
      <c r="J32" s="1073"/>
      <c r="K32" s="1074"/>
    </row>
    <row r="33" spans="1:11" ht="23.4" x14ac:dyDescent="0.45">
      <c r="A33" s="678" t="str">
        <f>IF(Score!A33="", "",Score!A33 )</f>
        <v/>
      </c>
      <c r="B33" s="685"/>
      <c r="C33" s="1071"/>
      <c r="D33" s="1072"/>
      <c r="H33" s="678" t="str">
        <f>IF(Score!T33="", "",Score!T33 )</f>
        <v/>
      </c>
      <c r="I33" s="685"/>
      <c r="J33" s="1071"/>
      <c r="K33" s="1072"/>
    </row>
    <row r="34" spans="1:11" ht="23.4" x14ac:dyDescent="0.45">
      <c r="A34" s="679" t="str">
        <f>IF(Score!A34="", "",Score!A34 )</f>
        <v/>
      </c>
      <c r="B34" s="684"/>
      <c r="C34" s="1073"/>
      <c r="D34" s="1074"/>
      <c r="H34" s="679" t="str">
        <f>IF(Score!T34="", "",Score!T34 )</f>
        <v/>
      </c>
      <c r="I34" s="684"/>
      <c r="J34" s="1073"/>
      <c r="K34" s="1074"/>
    </row>
    <row r="35" spans="1:11" ht="23.4" x14ac:dyDescent="0.45">
      <c r="A35" s="678" t="str">
        <f>IF(Score!A35="", "",Score!A35 )</f>
        <v/>
      </c>
      <c r="B35" s="685"/>
      <c r="C35" s="1071"/>
      <c r="D35" s="1072"/>
      <c r="H35" s="678" t="str">
        <f>IF(Score!T35="", "",Score!T35 )</f>
        <v/>
      </c>
      <c r="I35" s="685"/>
      <c r="J35" s="1071"/>
      <c r="K35" s="1072"/>
    </row>
    <row r="36" spans="1:11" ht="23.4" x14ac:dyDescent="0.45">
      <c r="A36" s="679" t="str">
        <f>IF(Score!A36="", "",Score!A36 )</f>
        <v/>
      </c>
      <c r="B36" s="684"/>
      <c r="C36" s="1073"/>
      <c r="D36" s="1074"/>
      <c r="H36" s="679" t="str">
        <f>IF(Score!T36="", "",Score!T36 )</f>
        <v/>
      </c>
      <c r="I36" s="684"/>
      <c r="J36" s="1073"/>
      <c r="K36" s="1074"/>
    </row>
    <row r="37" spans="1:11" ht="23.4" x14ac:dyDescent="0.45">
      <c r="A37" s="678" t="str">
        <f>IF(Score!A37="", "",Score!A37 )</f>
        <v/>
      </c>
      <c r="B37" s="685"/>
      <c r="C37" s="1071"/>
      <c r="D37" s="1072"/>
      <c r="H37" s="678" t="str">
        <f>IF(Score!T37="", "",Score!T37 )</f>
        <v/>
      </c>
      <c r="I37" s="685"/>
      <c r="J37" s="1071"/>
      <c r="K37" s="1072"/>
    </row>
    <row r="38" spans="1:11" ht="23.4" x14ac:dyDescent="0.45">
      <c r="A38" s="679" t="str">
        <f>IF(Score!A38="", "",Score!A38 )</f>
        <v/>
      </c>
      <c r="B38" s="684"/>
      <c r="C38" s="1073"/>
      <c r="D38" s="1074"/>
      <c r="H38" s="679" t="str">
        <f>IF(Score!T38="", "",Score!T38 )</f>
        <v/>
      </c>
      <c r="I38" s="684"/>
      <c r="J38" s="1073"/>
      <c r="K38" s="1074"/>
    </row>
    <row r="39" spans="1:11" ht="23.4" x14ac:dyDescent="0.45">
      <c r="A39" s="678" t="str">
        <f>IF(Score!A39="", "",Score!A39 )</f>
        <v/>
      </c>
      <c r="B39" s="685"/>
      <c r="C39" s="1071"/>
      <c r="D39" s="1072"/>
      <c r="H39" s="678" t="str">
        <f>IF(Score!T39="", "",Score!T39 )</f>
        <v/>
      </c>
      <c r="I39" s="685"/>
      <c r="J39" s="1071"/>
      <c r="K39" s="1072"/>
    </row>
    <row r="40" spans="1:11" ht="23.4" x14ac:dyDescent="0.45">
      <c r="A40" s="679" t="str">
        <f>IF(Score!A40="", "",Score!A40 )</f>
        <v/>
      </c>
      <c r="B40" s="684"/>
      <c r="C40" s="1073"/>
      <c r="D40" s="1074"/>
      <c r="H40" s="679" t="str">
        <f>IF(Score!T40="", "",Score!T40 )</f>
        <v/>
      </c>
      <c r="I40" s="684"/>
      <c r="J40" s="1073"/>
      <c r="K40" s="1074"/>
    </row>
    <row r="41" spans="1:11" ht="24" thickBot="1" x14ac:dyDescent="0.5">
      <c r="A41" s="680" t="str">
        <f>IF(Score!A41="", "",Score!A41 )</f>
        <v/>
      </c>
      <c r="B41" s="686"/>
      <c r="C41" s="1075"/>
      <c r="D41" s="1076"/>
      <c r="H41" s="680" t="str">
        <f>IF(Score!T41="", "",Score!T41 )</f>
        <v/>
      </c>
      <c r="I41" s="686"/>
      <c r="J41" s="1075"/>
      <c r="K41" s="1076"/>
    </row>
    <row r="42" spans="1:11" ht="27.9" customHeight="1" thickTop="1" thickBot="1" x14ac:dyDescent="0.3">
      <c r="A42" s="687" t="s">
        <v>477</v>
      </c>
      <c r="B42" s="683">
        <f>SUM(B4:B41)</f>
        <v>0</v>
      </c>
      <c r="C42" s="1077"/>
      <c r="D42" s="1078"/>
      <c r="H42" s="687" t="str">
        <f>A42</f>
        <v>Period Offset</v>
      </c>
      <c r="I42" s="683">
        <f>SUM(I4:I41)</f>
        <v>0</v>
      </c>
      <c r="J42" s="1077"/>
      <c r="K42" s="1078"/>
    </row>
    <row r="43" spans="1:11" ht="12.75" customHeight="1" x14ac:dyDescent="0.3">
      <c r="A43" s="1079" t="str">
        <f>A1</f>
        <v>Tri-City Roller Derby / Plan B</v>
      </c>
      <c r="B43" s="1080"/>
      <c r="C43" s="688">
        <f>IF(ISBLANK(IGRF!$B$7), "", IGRF!$B$7)</f>
        <v>42105</v>
      </c>
      <c r="D43" s="1082">
        <v>2</v>
      </c>
      <c r="H43" s="1079" t="str">
        <f>H1</f>
        <v>Hammer City Roller Girls / Harlots</v>
      </c>
      <c r="I43" s="1080"/>
      <c r="J43" s="688">
        <f>IF(ISBLANK(IGRF!$B$7), "", IGRF!$B$7)</f>
        <v>42105</v>
      </c>
      <c r="K43" s="1082">
        <v>2</v>
      </c>
    </row>
    <row r="44" spans="1:11" ht="13.5" customHeight="1" thickBot="1" x14ac:dyDescent="0.3">
      <c r="A44" s="1081"/>
      <c r="B44" s="924"/>
      <c r="C44" s="11" t="s">
        <v>248</v>
      </c>
      <c r="D44" s="1083"/>
      <c r="H44" s="1081"/>
      <c r="I44" s="924"/>
      <c r="J44" s="11" t="s">
        <v>248</v>
      </c>
      <c r="K44" s="1083"/>
    </row>
    <row r="45" spans="1:11" ht="14.1" customHeight="1" thickBot="1" x14ac:dyDescent="0.3">
      <c r="A45" s="682" t="s">
        <v>370</v>
      </c>
      <c r="B45" s="675" t="s">
        <v>476</v>
      </c>
      <c r="C45" s="676" t="s">
        <v>475</v>
      </c>
      <c r="D45" s="681" t="str">
        <f>IF(ISBLANK(IGRF!$K$3), "", "GAME " &amp; IGRF!$K$3)</f>
        <v>GAME 2</v>
      </c>
      <c r="H45" s="682" t="s">
        <v>370</v>
      </c>
      <c r="I45" s="675" t="s">
        <v>476</v>
      </c>
      <c r="J45" s="676" t="s">
        <v>475</v>
      </c>
      <c r="K45" s="681" t="str">
        <f>IF(ISBLANK(IGRF!$K$3), "", "GAME " &amp; IGRF!$K$3)</f>
        <v>GAME 2</v>
      </c>
    </row>
    <row r="46" spans="1:11" ht="23.4" x14ac:dyDescent="0.45">
      <c r="A46" s="677">
        <f>IF(Score!A46="", "",Score!A46 )</f>
        <v>1</v>
      </c>
      <c r="B46" s="684"/>
      <c r="C46" s="1073"/>
      <c r="D46" s="1074"/>
      <c r="H46" s="677">
        <f>IF(Score!T46="", "",Score!T46 )</f>
        <v>1</v>
      </c>
      <c r="I46" s="684"/>
      <c r="J46" s="1073"/>
      <c r="K46" s="1074"/>
    </row>
    <row r="47" spans="1:11" ht="23.4" x14ac:dyDescent="0.45">
      <c r="A47" s="678">
        <f>IF(Score!A47="", "",Score!A47 )</f>
        <v>2</v>
      </c>
      <c r="B47" s="685"/>
      <c r="C47" s="1071"/>
      <c r="D47" s="1072"/>
      <c r="H47" s="678">
        <f>IF(Score!T47="", "",Score!T47 )</f>
        <v>2</v>
      </c>
      <c r="I47" s="685"/>
      <c r="J47" s="1071"/>
      <c r="K47" s="1072"/>
    </row>
    <row r="48" spans="1:11" ht="23.4" x14ac:dyDescent="0.45">
      <c r="A48" s="679">
        <f>IF(Score!A48="", "",Score!A48 )</f>
        <v>3</v>
      </c>
      <c r="B48" s="684"/>
      <c r="C48" s="1073"/>
      <c r="D48" s="1074"/>
      <c r="H48" s="679">
        <f>IF(Score!T48="", "",Score!T48 )</f>
        <v>3</v>
      </c>
      <c r="I48" s="684"/>
      <c r="J48" s="1073"/>
      <c r="K48" s="1074"/>
    </row>
    <row r="49" spans="1:11" ht="23.4" x14ac:dyDescent="0.45">
      <c r="A49" s="678">
        <f>IF(Score!A49="", "",Score!A49 )</f>
        <v>4</v>
      </c>
      <c r="B49" s="685"/>
      <c r="C49" s="1071"/>
      <c r="D49" s="1072"/>
      <c r="H49" s="678">
        <f>IF(Score!T49="", "",Score!T49 )</f>
        <v>4</v>
      </c>
      <c r="I49" s="685"/>
      <c r="J49" s="1071"/>
      <c r="K49" s="1072"/>
    </row>
    <row r="50" spans="1:11" ht="23.4" x14ac:dyDescent="0.45">
      <c r="A50" s="679">
        <f>IF(Score!A50="", "",Score!A50 )</f>
        <v>5</v>
      </c>
      <c r="B50" s="684"/>
      <c r="C50" s="1073"/>
      <c r="D50" s="1074"/>
      <c r="H50" s="679">
        <f>IF(Score!T50="", "",Score!T50 )</f>
        <v>5</v>
      </c>
      <c r="I50" s="684"/>
      <c r="J50" s="1073"/>
      <c r="K50" s="1074"/>
    </row>
    <row r="51" spans="1:11" ht="23.4" x14ac:dyDescent="0.45">
      <c r="A51" s="678" t="str">
        <f>IF(Score!A51="", "",Score!A51 )</f>
        <v>SP*</v>
      </c>
      <c r="B51" s="685"/>
      <c r="C51" s="1071"/>
      <c r="D51" s="1072"/>
      <c r="H51" s="678" t="str">
        <f>IF(Score!T51="", "",Score!T51 )</f>
        <v>SP</v>
      </c>
      <c r="I51" s="685"/>
      <c r="J51" s="1071"/>
      <c r="K51" s="1072"/>
    </row>
    <row r="52" spans="1:11" ht="23.4" x14ac:dyDescent="0.45">
      <c r="A52" s="679">
        <f>IF(Score!A52="", "",Score!A52 )</f>
        <v>6</v>
      </c>
      <c r="B52" s="684"/>
      <c r="C52" s="1073"/>
      <c r="D52" s="1074"/>
      <c r="H52" s="679">
        <f>IF(Score!T52="", "",Score!T52 )</f>
        <v>6</v>
      </c>
      <c r="I52" s="684"/>
      <c r="J52" s="1073"/>
      <c r="K52" s="1074"/>
    </row>
    <row r="53" spans="1:11" ht="23.4" x14ac:dyDescent="0.45">
      <c r="A53" s="678" t="str">
        <f>IF(Score!A53="", "",Score!A53 )</f>
        <v>SP*</v>
      </c>
      <c r="B53" s="685"/>
      <c r="C53" s="1071"/>
      <c r="D53" s="1072"/>
      <c r="H53" s="678" t="str">
        <f>IF(Score!T53="", "",Score!T53 )</f>
        <v>SP</v>
      </c>
      <c r="I53" s="685"/>
      <c r="J53" s="1071"/>
      <c r="K53" s="1072"/>
    </row>
    <row r="54" spans="1:11" ht="23.4" x14ac:dyDescent="0.45">
      <c r="A54" s="679">
        <f>IF(Score!A54="", "",Score!A54 )</f>
        <v>7</v>
      </c>
      <c r="B54" s="684"/>
      <c r="C54" s="1073"/>
      <c r="D54" s="1074"/>
      <c r="H54" s="679">
        <f>IF(Score!T54="", "",Score!T54 )</f>
        <v>7</v>
      </c>
      <c r="I54" s="684"/>
      <c r="J54" s="1073"/>
      <c r="K54" s="1074"/>
    </row>
    <row r="55" spans="1:11" ht="23.4" x14ac:dyDescent="0.45">
      <c r="A55" s="678" t="str">
        <f>IF(Score!A55="", "",Score!A55 )</f>
        <v>SP*</v>
      </c>
      <c r="B55" s="685"/>
      <c r="C55" s="1071"/>
      <c r="D55" s="1072"/>
      <c r="H55" s="678" t="str">
        <f>IF(Score!T55="", "",Score!T55 )</f>
        <v>SP</v>
      </c>
      <c r="I55" s="685"/>
      <c r="J55" s="1071"/>
      <c r="K55" s="1072"/>
    </row>
    <row r="56" spans="1:11" ht="23.4" x14ac:dyDescent="0.45">
      <c r="A56" s="679">
        <f>IF(Score!A56="", "",Score!A56 )</f>
        <v>8</v>
      </c>
      <c r="B56" s="684"/>
      <c r="C56" s="1073"/>
      <c r="D56" s="1074"/>
      <c r="H56" s="679">
        <f>IF(Score!T56="", "",Score!T56 )</f>
        <v>8</v>
      </c>
      <c r="I56" s="684"/>
      <c r="J56" s="1073"/>
      <c r="K56" s="1074"/>
    </row>
    <row r="57" spans="1:11" ht="23.4" x14ac:dyDescent="0.45">
      <c r="A57" s="678">
        <f>IF(Score!A57="", "",Score!A57 )</f>
        <v>9</v>
      </c>
      <c r="B57" s="685"/>
      <c r="C57" s="1071"/>
      <c r="D57" s="1072"/>
      <c r="H57" s="678">
        <f>IF(Score!T57="", "",Score!T57 )</f>
        <v>9</v>
      </c>
      <c r="I57" s="685"/>
      <c r="J57" s="1071"/>
      <c r="K57" s="1072"/>
    </row>
    <row r="58" spans="1:11" ht="23.4" x14ac:dyDescent="0.45">
      <c r="A58" s="679">
        <f>IF(Score!A58="", "",Score!A58 )</f>
        <v>10</v>
      </c>
      <c r="B58" s="684"/>
      <c r="C58" s="1073"/>
      <c r="D58" s="1074"/>
      <c r="H58" s="679">
        <f>IF(Score!T58="", "",Score!T58 )</f>
        <v>10</v>
      </c>
      <c r="I58" s="684"/>
      <c r="J58" s="1073"/>
      <c r="K58" s="1074"/>
    </row>
    <row r="59" spans="1:11" ht="23.4" x14ac:dyDescent="0.45">
      <c r="A59" s="678">
        <f>IF(Score!A59="", "",Score!A59 )</f>
        <v>11</v>
      </c>
      <c r="B59" s="685"/>
      <c r="C59" s="1071"/>
      <c r="D59" s="1072"/>
      <c r="H59" s="678">
        <f>IF(Score!T59="", "",Score!T59 )</f>
        <v>11</v>
      </c>
      <c r="I59" s="685"/>
      <c r="J59" s="1071"/>
      <c r="K59" s="1072"/>
    </row>
    <row r="60" spans="1:11" ht="23.4" x14ac:dyDescent="0.45">
      <c r="A60" s="679" t="str">
        <f>IF(Score!A60="", "",Score!A60 )</f>
        <v>SP*</v>
      </c>
      <c r="B60" s="684"/>
      <c r="C60" s="1073"/>
      <c r="D60" s="1074"/>
      <c r="H60" s="679" t="str">
        <f>IF(Score!T60="", "",Score!T60 )</f>
        <v>SP</v>
      </c>
      <c r="I60" s="684"/>
      <c r="J60" s="1073"/>
      <c r="K60" s="1074"/>
    </row>
    <row r="61" spans="1:11" ht="23.4" x14ac:dyDescent="0.45">
      <c r="A61" s="678">
        <f>IF(Score!A61="", "",Score!A61 )</f>
        <v>12</v>
      </c>
      <c r="B61" s="685"/>
      <c r="C61" s="1071"/>
      <c r="D61" s="1072"/>
      <c r="H61" s="678">
        <f>IF(Score!T61="", "",Score!T61 )</f>
        <v>12</v>
      </c>
      <c r="I61" s="685"/>
      <c r="J61" s="1071"/>
      <c r="K61" s="1072"/>
    </row>
    <row r="62" spans="1:11" ht="23.4" x14ac:dyDescent="0.45">
      <c r="A62" s="679">
        <f>IF(Score!A62="", "",Score!A62 )</f>
        <v>13</v>
      </c>
      <c r="B62" s="684"/>
      <c r="C62" s="1073"/>
      <c r="D62" s="1074"/>
      <c r="H62" s="679">
        <f>IF(Score!T62="", "",Score!T62 )</f>
        <v>13</v>
      </c>
      <c r="I62" s="684"/>
      <c r="J62" s="1073"/>
      <c r="K62" s="1074"/>
    </row>
    <row r="63" spans="1:11" ht="23.4" x14ac:dyDescent="0.45">
      <c r="A63" s="678" t="str">
        <f>IF(Score!A63="", "",Score!A63 )</f>
        <v>SP*</v>
      </c>
      <c r="B63" s="685"/>
      <c r="C63" s="1071"/>
      <c r="D63" s="1072"/>
      <c r="H63" s="678" t="str">
        <f>IF(Score!T63="", "",Score!T63 )</f>
        <v>SP</v>
      </c>
      <c r="I63" s="685"/>
      <c r="J63" s="1071"/>
      <c r="K63" s="1072"/>
    </row>
    <row r="64" spans="1:11" ht="23.4" x14ac:dyDescent="0.45">
      <c r="A64" s="679">
        <f>IF(Score!A64="", "",Score!A64 )</f>
        <v>14</v>
      </c>
      <c r="B64" s="684"/>
      <c r="C64" s="1073"/>
      <c r="D64" s="1074"/>
      <c r="H64" s="679">
        <f>IF(Score!T64="", "",Score!T64 )</f>
        <v>14</v>
      </c>
      <c r="I64" s="684"/>
      <c r="J64" s="1073"/>
      <c r="K64" s="1074"/>
    </row>
    <row r="65" spans="1:11" ht="23.4" x14ac:dyDescent="0.45">
      <c r="A65" s="678">
        <f>IF(Score!A65="", "",Score!A65 )</f>
        <v>15</v>
      </c>
      <c r="B65" s="685"/>
      <c r="C65" s="1071"/>
      <c r="D65" s="1072"/>
      <c r="H65" s="678">
        <f>IF(Score!T65="", "",Score!T65 )</f>
        <v>15</v>
      </c>
      <c r="I65" s="685"/>
      <c r="J65" s="1071"/>
      <c r="K65" s="1072"/>
    </row>
    <row r="66" spans="1:11" ht="23.4" x14ac:dyDescent="0.45">
      <c r="A66" s="679" t="str">
        <f>IF(Score!A66="", "",Score!A66 )</f>
        <v>SP*</v>
      </c>
      <c r="B66" s="684"/>
      <c r="C66" s="1073"/>
      <c r="D66" s="1074"/>
      <c r="H66" s="679" t="str">
        <f>IF(Score!T66="", "",Score!T66 )</f>
        <v>SP</v>
      </c>
      <c r="I66" s="684"/>
      <c r="J66" s="1073"/>
      <c r="K66" s="1074"/>
    </row>
    <row r="67" spans="1:11" ht="23.4" x14ac:dyDescent="0.45">
      <c r="A67" s="678">
        <f>IF(Score!A67="", "",Score!A67 )</f>
        <v>16</v>
      </c>
      <c r="B67" s="685"/>
      <c r="C67" s="1071"/>
      <c r="D67" s="1072"/>
      <c r="H67" s="678">
        <f>IF(Score!T67="", "",Score!T67 )</f>
        <v>16</v>
      </c>
      <c r="I67" s="685"/>
      <c r="J67" s="1071"/>
      <c r="K67" s="1072"/>
    </row>
    <row r="68" spans="1:11" ht="23.4" x14ac:dyDescent="0.45">
      <c r="A68" s="679" t="str">
        <f>IF(Score!A68="", "",Score!A68 )</f>
        <v>SP*</v>
      </c>
      <c r="B68" s="684"/>
      <c r="C68" s="1073"/>
      <c r="D68" s="1074"/>
      <c r="H68" s="679" t="str">
        <f>IF(Score!T68="", "",Score!T68 )</f>
        <v>SP</v>
      </c>
      <c r="I68" s="684"/>
      <c r="J68" s="1073"/>
      <c r="K68" s="1074"/>
    </row>
    <row r="69" spans="1:11" ht="23.4" x14ac:dyDescent="0.45">
      <c r="A69" s="678">
        <f>IF(Score!A69="", "",Score!A69 )</f>
        <v>17</v>
      </c>
      <c r="B69" s="685"/>
      <c r="C69" s="1071"/>
      <c r="D69" s="1072"/>
      <c r="H69" s="678">
        <f>IF(Score!T69="", "",Score!T69 )</f>
        <v>17</v>
      </c>
      <c r="I69" s="685"/>
      <c r="J69" s="1071"/>
      <c r="K69" s="1072"/>
    </row>
    <row r="70" spans="1:11" ht="23.4" x14ac:dyDescent="0.45">
      <c r="A70" s="679">
        <f>IF(Score!A70="", "",Score!A70 )</f>
        <v>18</v>
      </c>
      <c r="B70" s="684"/>
      <c r="C70" s="1073"/>
      <c r="D70" s="1074"/>
      <c r="H70" s="679">
        <f>IF(Score!T70="", "",Score!T70 )</f>
        <v>18</v>
      </c>
      <c r="I70" s="684"/>
      <c r="J70" s="1073"/>
      <c r="K70" s="1074"/>
    </row>
    <row r="71" spans="1:11" ht="23.4" x14ac:dyDescent="0.45">
      <c r="A71" s="678" t="str">
        <f>IF(Score!A71="", "",Score!A71 )</f>
        <v/>
      </c>
      <c r="B71" s="685"/>
      <c r="C71" s="1071"/>
      <c r="D71" s="1072"/>
      <c r="H71" s="678" t="str">
        <f>IF(Score!T71="", "",Score!T71 )</f>
        <v/>
      </c>
      <c r="I71" s="685"/>
      <c r="J71" s="1071"/>
      <c r="K71" s="1072"/>
    </row>
    <row r="72" spans="1:11" ht="23.4" x14ac:dyDescent="0.45">
      <c r="A72" s="679" t="str">
        <f>IF(Score!A72="", "",Score!A72 )</f>
        <v/>
      </c>
      <c r="B72" s="684"/>
      <c r="C72" s="1073"/>
      <c r="D72" s="1074"/>
      <c r="H72" s="679" t="str">
        <f>IF(Score!T72="", "",Score!T72 )</f>
        <v/>
      </c>
      <c r="I72" s="684"/>
      <c r="J72" s="1073"/>
      <c r="K72" s="1074"/>
    </row>
    <row r="73" spans="1:11" ht="23.4" x14ac:dyDescent="0.45">
      <c r="A73" s="678" t="str">
        <f>IF(Score!A73="", "",Score!A73 )</f>
        <v/>
      </c>
      <c r="B73" s="685"/>
      <c r="C73" s="1071"/>
      <c r="D73" s="1072"/>
      <c r="H73" s="678" t="str">
        <f>IF(Score!T73="", "",Score!T73 )</f>
        <v/>
      </c>
      <c r="I73" s="685"/>
      <c r="J73" s="1071"/>
      <c r="K73" s="1072"/>
    </row>
    <row r="74" spans="1:11" ht="23.4" x14ac:dyDescent="0.45">
      <c r="A74" s="679" t="str">
        <f>IF(Score!A74="", "",Score!A74 )</f>
        <v/>
      </c>
      <c r="B74" s="684"/>
      <c r="C74" s="1073"/>
      <c r="D74" s="1074"/>
      <c r="H74" s="679" t="str">
        <f>IF(Score!T74="", "",Score!T74 )</f>
        <v/>
      </c>
      <c r="I74" s="684"/>
      <c r="J74" s="1073"/>
      <c r="K74" s="1074"/>
    </row>
    <row r="75" spans="1:11" ht="23.4" x14ac:dyDescent="0.45">
      <c r="A75" s="678" t="str">
        <f>IF(Score!A75="", "",Score!A75 )</f>
        <v/>
      </c>
      <c r="B75" s="685"/>
      <c r="C75" s="1071"/>
      <c r="D75" s="1072"/>
      <c r="H75" s="678" t="str">
        <f>IF(Score!T75="", "",Score!T75 )</f>
        <v/>
      </c>
      <c r="I75" s="685"/>
      <c r="J75" s="1071"/>
      <c r="K75" s="1072"/>
    </row>
    <row r="76" spans="1:11" ht="23.4" x14ac:dyDescent="0.45">
      <c r="A76" s="679" t="str">
        <f>IF(Score!A76="", "",Score!A76 )</f>
        <v/>
      </c>
      <c r="B76" s="684"/>
      <c r="C76" s="1073"/>
      <c r="D76" s="1074"/>
      <c r="H76" s="679" t="str">
        <f>IF(Score!T76="", "",Score!T76 )</f>
        <v/>
      </c>
      <c r="I76" s="684"/>
      <c r="J76" s="1073"/>
      <c r="K76" s="1074"/>
    </row>
    <row r="77" spans="1:11" ht="23.4" x14ac:dyDescent="0.45">
      <c r="A77" s="678" t="str">
        <f>IF(Score!A77="", "",Score!A77 )</f>
        <v/>
      </c>
      <c r="B77" s="685"/>
      <c r="C77" s="1071"/>
      <c r="D77" s="1072"/>
      <c r="H77" s="678" t="str">
        <f>IF(Score!T77="", "",Score!T77 )</f>
        <v/>
      </c>
      <c r="I77" s="685"/>
      <c r="J77" s="1071"/>
      <c r="K77" s="1072"/>
    </row>
    <row r="78" spans="1:11" ht="23.4" x14ac:dyDescent="0.45">
      <c r="A78" s="679" t="str">
        <f>IF(Score!A78="", "",Score!A78 )</f>
        <v/>
      </c>
      <c r="B78" s="684"/>
      <c r="C78" s="1073"/>
      <c r="D78" s="1074"/>
      <c r="H78" s="679" t="str">
        <f>IF(Score!T78="", "",Score!T78 )</f>
        <v/>
      </c>
      <c r="I78" s="684"/>
      <c r="J78" s="1073"/>
      <c r="K78" s="1074"/>
    </row>
    <row r="79" spans="1:11" ht="23.4" x14ac:dyDescent="0.45">
      <c r="A79" s="678" t="str">
        <f>IF(Score!A79="", "",Score!A79 )</f>
        <v/>
      </c>
      <c r="B79" s="685"/>
      <c r="C79" s="1071"/>
      <c r="D79" s="1072"/>
      <c r="H79" s="678" t="str">
        <f>IF(Score!T79="", "",Score!T79 )</f>
        <v/>
      </c>
      <c r="I79" s="685"/>
      <c r="J79" s="1071"/>
      <c r="K79" s="1072"/>
    </row>
    <row r="80" spans="1:11" ht="23.4" x14ac:dyDescent="0.45">
      <c r="A80" s="679" t="str">
        <f>IF(Score!A80="", "",Score!A80 )</f>
        <v/>
      </c>
      <c r="B80" s="684"/>
      <c r="C80" s="1073"/>
      <c r="D80" s="1074"/>
      <c r="H80" s="679" t="str">
        <f>IF(Score!T80="", "",Score!T80 )</f>
        <v/>
      </c>
      <c r="I80" s="684"/>
      <c r="J80" s="1073"/>
      <c r="K80" s="1074"/>
    </row>
    <row r="81" spans="1:11" ht="23.4" x14ac:dyDescent="0.45">
      <c r="A81" s="678" t="str">
        <f>IF(Score!A81="", "",Score!A81 )</f>
        <v/>
      </c>
      <c r="B81" s="685"/>
      <c r="C81" s="1071"/>
      <c r="D81" s="1072"/>
      <c r="H81" s="678" t="str">
        <f>IF(Score!T81="", "",Score!T81 )</f>
        <v/>
      </c>
      <c r="I81" s="685"/>
      <c r="J81" s="1071"/>
      <c r="K81" s="1072"/>
    </row>
    <row r="82" spans="1:11" ht="23.4" x14ac:dyDescent="0.45">
      <c r="A82" s="679" t="str">
        <f>IF(Score!A82="", "",Score!A82 )</f>
        <v/>
      </c>
      <c r="B82" s="684"/>
      <c r="C82" s="1073"/>
      <c r="D82" s="1074"/>
      <c r="H82" s="679" t="str">
        <f>IF(Score!T82="", "",Score!T82 )</f>
        <v/>
      </c>
      <c r="I82" s="684"/>
      <c r="J82" s="1073"/>
      <c r="K82" s="1074"/>
    </row>
    <row r="83" spans="1:11" ht="24" thickBot="1" x14ac:dyDescent="0.5">
      <c r="A83" s="680" t="str">
        <f>IF(Score!A83="", "",Score!A83 )</f>
        <v/>
      </c>
      <c r="B83" s="686"/>
      <c r="C83" s="1075"/>
      <c r="D83" s="1076"/>
      <c r="H83" s="680" t="str">
        <f>IF(Score!T83="", "",Score!T83 )</f>
        <v/>
      </c>
      <c r="I83" s="686"/>
      <c r="J83" s="1075"/>
      <c r="K83" s="1076"/>
    </row>
    <row r="84" spans="1:11" ht="27.6" thickTop="1" thickBot="1" x14ac:dyDescent="0.3">
      <c r="A84" s="687" t="str">
        <f>A42</f>
        <v>Period Offset</v>
      </c>
      <c r="B84" s="683">
        <f>SUM(B46:B83)</f>
        <v>0</v>
      </c>
      <c r="C84" s="1077"/>
      <c r="D84" s="1078"/>
      <c r="H84" s="687" t="str">
        <f>A42</f>
        <v>Period Offset</v>
      </c>
      <c r="I84" s="683">
        <f>SUM(I46:I83)</f>
        <v>0</v>
      </c>
      <c r="J84" s="1077"/>
      <c r="K84" s="1078"/>
    </row>
  </sheetData>
  <mergeCells count="164">
    <mergeCell ref="H1:I2"/>
    <mergeCell ref="C7:D7"/>
    <mergeCell ref="C8:D8"/>
    <mergeCell ref="C9:D9"/>
    <mergeCell ref="C10:D10"/>
    <mergeCell ref="C11:D11"/>
    <mergeCell ref="C12:D12"/>
    <mergeCell ref="D1:D2"/>
    <mergeCell ref="A1:B2"/>
    <mergeCell ref="C4:D4"/>
    <mergeCell ref="C5:D5"/>
    <mergeCell ref="C6:D6"/>
    <mergeCell ref="C22:D22"/>
    <mergeCell ref="C23:D23"/>
    <mergeCell ref="C24:D24"/>
    <mergeCell ref="C13:D13"/>
    <mergeCell ref="C14:D14"/>
    <mergeCell ref="C15:D15"/>
    <mergeCell ref="C16:D16"/>
    <mergeCell ref="C17:D17"/>
    <mergeCell ref="C18:D18"/>
    <mergeCell ref="K1:K2"/>
    <mergeCell ref="J4:K4"/>
    <mergeCell ref="J5:K5"/>
    <mergeCell ref="J6:K6"/>
    <mergeCell ref="J7:K7"/>
    <mergeCell ref="J8:K8"/>
    <mergeCell ref="C37:D37"/>
    <mergeCell ref="C38:D38"/>
    <mergeCell ref="C39:D39"/>
    <mergeCell ref="C31:D31"/>
    <mergeCell ref="C32:D32"/>
    <mergeCell ref="C33:D33"/>
    <mergeCell ref="C34:D34"/>
    <mergeCell ref="C35:D35"/>
    <mergeCell ref="C36:D36"/>
    <mergeCell ref="C25:D25"/>
    <mergeCell ref="C26:D26"/>
    <mergeCell ref="C27:D27"/>
    <mergeCell ref="C28:D28"/>
    <mergeCell ref="C29:D29"/>
    <mergeCell ref="C30:D30"/>
    <mergeCell ref="C19:D19"/>
    <mergeCell ref="C20:D20"/>
    <mergeCell ref="C21:D21"/>
    <mergeCell ref="J15:K15"/>
    <mergeCell ref="J16:K16"/>
    <mergeCell ref="J17:K17"/>
    <mergeCell ref="J18:K18"/>
    <mergeCell ref="J19:K19"/>
    <mergeCell ref="J20:K20"/>
    <mergeCell ref="J9:K9"/>
    <mergeCell ref="J10:K10"/>
    <mergeCell ref="J11:K11"/>
    <mergeCell ref="J12:K12"/>
    <mergeCell ref="J13:K13"/>
    <mergeCell ref="J14:K14"/>
    <mergeCell ref="J27:K27"/>
    <mergeCell ref="J28:K28"/>
    <mergeCell ref="J29:K29"/>
    <mergeCell ref="J30:K30"/>
    <mergeCell ref="J31:K31"/>
    <mergeCell ref="J32:K32"/>
    <mergeCell ref="J21:K21"/>
    <mergeCell ref="J22:K22"/>
    <mergeCell ref="J23:K23"/>
    <mergeCell ref="J24:K24"/>
    <mergeCell ref="J25:K25"/>
    <mergeCell ref="J26:K26"/>
    <mergeCell ref="J39:K39"/>
    <mergeCell ref="J40:K40"/>
    <mergeCell ref="J41:K41"/>
    <mergeCell ref="J42:K42"/>
    <mergeCell ref="A43:B44"/>
    <mergeCell ref="D43:D44"/>
    <mergeCell ref="J33:K33"/>
    <mergeCell ref="J34:K34"/>
    <mergeCell ref="J35:K35"/>
    <mergeCell ref="J36:K36"/>
    <mergeCell ref="J37:K37"/>
    <mergeCell ref="J38:K38"/>
    <mergeCell ref="C40:D40"/>
    <mergeCell ref="C41:D41"/>
    <mergeCell ref="C42:D42"/>
    <mergeCell ref="C52:D52"/>
    <mergeCell ref="C53:D53"/>
    <mergeCell ref="C54:D54"/>
    <mergeCell ref="C55:D55"/>
    <mergeCell ref="C56:D56"/>
    <mergeCell ref="C57:D57"/>
    <mergeCell ref="C46:D46"/>
    <mergeCell ref="C47:D47"/>
    <mergeCell ref="C48:D48"/>
    <mergeCell ref="C49:D49"/>
    <mergeCell ref="C50:D50"/>
    <mergeCell ref="C51:D51"/>
    <mergeCell ref="C66:D66"/>
    <mergeCell ref="C67:D67"/>
    <mergeCell ref="C68:D68"/>
    <mergeCell ref="C69:D69"/>
    <mergeCell ref="C58:D58"/>
    <mergeCell ref="C59:D59"/>
    <mergeCell ref="C60:D60"/>
    <mergeCell ref="C61:D61"/>
    <mergeCell ref="C62:D62"/>
    <mergeCell ref="C63:D63"/>
    <mergeCell ref="C82:D82"/>
    <mergeCell ref="C83:D83"/>
    <mergeCell ref="C84:D84"/>
    <mergeCell ref="H43:I44"/>
    <mergeCell ref="K43:K44"/>
    <mergeCell ref="J46:K46"/>
    <mergeCell ref="J47:K47"/>
    <mergeCell ref="J48:K48"/>
    <mergeCell ref="J49:K49"/>
    <mergeCell ref="J50:K50"/>
    <mergeCell ref="C76:D76"/>
    <mergeCell ref="C77:D77"/>
    <mergeCell ref="C78:D78"/>
    <mergeCell ref="C79:D79"/>
    <mergeCell ref="C80:D80"/>
    <mergeCell ref="C81:D81"/>
    <mergeCell ref="C70:D70"/>
    <mergeCell ref="C71:D71"/>
    <mergeCell ref="C72:D72"/>
    <mergeCell ref="C73:D73"/>
    <mergeCell ref="C74:D74"/>
    <mergeCell ref="C75:D75"/>
    <mergeCell ref="C64:D64"/>
    <mergeCell ref="C65:D65"/>
    <mergeCell ref="J57:K57"/>
    <mergeCell ref="J58:K58"/>
    <mergeCell ref="J59:K59"/>
    <mergeCell ref="J60:K60"/>
    <mergeCell ref="J61:K61"/>
    <mergeCell ref="J62:K62"/>
    <mergeCell ref="J51:K51"/>
    <mergeCell ref="J52:K52"/>
    <mergeCell ref="J53:K53"/>
    <mergeCell ref="J54:K54"/>
    <mergeCell ref="J55:K55"/>
    <mergeCell ref="J56:K56"/>
    <mergeCell ref="J69:K69"/>
    <mergeCell ref="J70:K70"/>
    <mergeCell ref="J71:K71"/>
    <mergeCell ref="J72:K72"/>
    <mergeCell ref="J73:K73"/>
    <mergeCell ref="J74:K74"/>
    <mergeCell ref="J63:K63"/>
    <mergeCell ref="J64:K64"/>
    <mergeCell ref="J65:K65"/>
    <mergeCell ref="J66:K66"/>
    <mergeCell ref="J67:K67"/>
    <mergeCell ref="J68:K68"/>
    <mergeCell ref="J81:K81"/>
    <mergeCell ref="J82:K82"/>
    <mergeCell ref="J83:K83"/>
    <mergeCell ref="J84:K84"/>
    <mergeCell ref="J75:K75"/>
    <mergeCell ref="J76:K76"/>
    <mergeCell ref="J77:K77"/>
    <mergeCell ref="J78:K78"/>
    <mergeCell ref="J79:K79"/>
    <mergeCell ref="J80:K80"/>
  </mergeCells>
  <phoneticPr fontId="6" type="noConversion"/>
  <pageMargins left="0.7" right="0.7" top="0.75" bottom="0.75" header="0.3" footer="0.3"/>
  <pageSetup scale="72" orientation="portrait" horizontalDpi="1200" verticalDpi="1200" r:id="rId1"/>
  <headerFooter>
    <oddHeader>&amp;L&amp;"Calibri,Regular"&amp;34&amp;G&amp;A&amp;R&amp;"-,Regular"_x000D_‘&amp;A’ revision 150103_x000D_StatsBook © 2008–2015 WFTDA</oddHeader>
  </headerFooter>
  <rowBreaks count="1" manualBreakCount="1">
    <brk id="42" max="10" man="1"/>
  </rowBreaks>
  <colBreaks count="1" manualBreakCount="1">
    <brk id="4" max="84" man="1"/>
  </colBreaks>
  <legacyDrawing r:id="rId2"/>
  <legacyDrawingHF r:id="rId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FFFF"/>
  </sheetPr>
  <dimension ref="A1:I32"/>
  <sheetViews>
    <sheetView workbookViewId="0">
      <selection sqref="A1:B1"/>
    </sheetView>
  </sheetViews>
  <sheetFormatPr defaultColWidth="10.88671875" defaultRowHeight="13.8" x14ac:dyDescent="0.3"/>
  <cols>
    <col min="1" max="1" width="8.88671875" style="12" customWidth="1"/>
    <col min="2" max="2" width="6.88671875" style="12" customWidth="1"/>
    <col min="3" max="3" width="33.33203125" style="12" customWidth="1"/>
    <col min="4" max="4" width="7.44140625" style="12" customWidth="1"/>
    <col min="5" max="5" width="11" style="12" customWidth="1"/>
    <col min="6" max="6" width="7.44140625" style="12" customWidth="1"/>
    <col min="7" max="7" width="11" style="12" customWidth="1"/>
    <col min="8" max="8" width="7.44140625" style="12" customWidth="1"/>
    <col min="9" max="9" width="11" style="12" customWidth="1"/>
    <col min="10" max="16384" width="10.88671875" style="12"/>
  </cols>
  <sheetData>
    <row r="1" spans="1:9" ht="30" customHeight="1" x14ac:dyDescent="0.3">
      <c r="A1" s="1092">
        <f>IF(ISBLANK(IGRF!$B$7), "", IGRF!$B$7)</f>
        <v>42105</v>
      </c>
      <c r="B1" s="1092"/>
      <c r="C1" s="1093"/>
      <c r="D1" s="1093"/>
      <c r="E1" s="1093"/>
      <c r="F1" s="1094" t="str">
        <f>Score!$A$1</f>
        <v>Tri-City Roller Derby / Plan B</v>
      </c>
      <c r="G1" s="1094"/>
      <c r="H1" s="1094"/>
      <c r="I1" s="1094"/>
    </row>
    <row r="2" spans="1:9" ht="15" customHeight="1" x14ac:dyDescent="0.3">
      <c r="A2" s="1095" t="s">
        <v>248</v>
      </c>
      <c r="B2" s="1095"/>
      <c r="C2" s="1096" t="s">
        <v>258</v>
      </c>
      <c r="D2" s="1096"/>
      <c r="E2" s="1096"/>
      <c r="F2" s="1094" t="str">
        <f>Score!$T$1</f>
        <v>Hammer City Roller Girls / Harlots</v>
      </c>
      <c r="G2" s="1094"/>
      <c r="H2" s="1094"/>
      <c r="I2" s="1094"/>
    </row>
    <row r="3" spans="1:9" ht="15" customHeight="1" thickBot="1" x14ac:dyDescent="0.35">
      <c r="A3" s="1098" t="str">
        <f>IF(ISBLANK(IGRF!$K$3), "Period 1", "GAME " &amp; IGRF!$K$3&amp;", Period 1")</f>
        <v>GAME 2, Period 1</v>
      </c>
      <c r="B3" s="1098"/>
      <c r="C3" s="1097"/>
      <c r="D3" s="1097"/>
      <c r="E3" s="1097"/>
      <c r="F3" s="1094"/>
      <c r="G3" s="1094"/>
      <c r="H3" s="1094"/>
      <c r="I3" s="1094"/>
    </row>
    <row r="4" spans="1:9" ht="30" customHeight="1" x14ac:dyDescent="0.6">
      <c r="A4" s="162"/>
      <c r="B4" s="157" t="s">
        <v>121</v>
      </c>
      <c r="C4" s="480"/>
      <c r="D4" s="163" t="s">
        <v>227</v>
      </c>
      <c r="E4" s="158"/>
      <c r="F4" s="163" t="s">
        <v>226</v>
      </c>
      <c r="G4" s="158"/>
      <c r="H4" s="481" t="s">
        <v>384</v>
      </c>
      <c r="I4" s="482" t="s">
        <v>385</v>
      </c>
    </row>
    <row r="5" spans="1:9" ht="75" customHeight="1" x14ac:dyDescent="0.3">
      <c r="A5" s="159" t="s">
        <v>225</v>
      </c>
      <c r="B5" s="1087"/>
      <c r="C5" s="1088"/>
      <c r="D5" s="1088"/>
      <c r="E5" s="1088"/>
      <c r="F5" s="1088"/>
      <c r="G5" s="1088"/>
      <c r="H5" s="1088"/>
      <c r="I5" s="1089"/>
    </row>
    <row r="6" spans="1:9" ht="45" customHeight="1" thickBot="1" x14ac:dyDescent="0.35">
      <c r="A6" s="159" t="s">
        <v>228</v>
      </c>
      <c r="B6" s="1084"/>
      <c r="C6" s="1085"/>
      <c r="D6" s="1085"/>
      <c r="E6" s="1085"/>
      <c r="F6" s="1085"/>
      <c r="G6" s="1085"/>
      <c r="H6" s="1085"/>
      <c r="I6" s="1086"/>
    </row>
    <row r="7" spans="1:9" ht="30" customHeight="1" x14ac:dyDescent="0.6">
      <c r="A7" s="162"/>
      <c r="B7" s="160" t="s">
        <v>121</v>
      </c>
      <c r="C7" s="480"/>
      <c r="D7" s="163" t="s">
        <v>227</v>
      </c>
      <c r="E7" s="158"/>
      <c r="F7" s="163" t="s">
        <v>226</v>
      </c>
      <c r="G7" s="158"/>
      <c r="H7" s="481" t="s">
        <v>384</v>
      </c>
      <c r="I7" s="482" t="s">
        <v>385</v>
      </c>
    </row>
    <row r="8" spans="1:9" ht="75" customHeight="1" x14ac:dyDescent="0.3">
      <c r="A8" s="159" t="s">
        <v>225</v>
      </c>
      <c r="B8" s="1087"/>
      <c r="C8" s="1088"/>
      <c r="D8" s="1088"/>
      <c r="E8" s="1088"/>
      <c r="F8" s="1088"/>
      <c r="G8" s="1088"/>
      <c r="H8" s="1088"/>
      <c r="I8" s="1089"/>
    </row>
    <row r="9" spans="1:9" ht="45" customHeight="1" thickBot="1" x14ac:dyDescent="0.35">
      <c r="A9" s="161" t="s">
        <v>228</v>
      </c>
      <c r="B9" s="1084"/>
      <c r="C9" s="1085"/>
      <c r="D9" s="1085"/>
      <c r="E9" s="1085"/>
      <c r="F9" s="1085"/>
      <c r="G9" s="1085"/>
      <c r="H9" s="1085"/>
      <c r="I9" s="1086"/>
    </row>
    <row r="10" spans="1:9" ht="30" customHeight="1" x14ac:dyDescent="0.6">
      <c r="A10" s="162"/>
      <c r="B10" s="157" t="s">
        <v>121</v>
      </c>
      <c r="C10" s="480"/>
      <c r="D10" s="163" t="s">
        <v>227</v>
      </c>
      <c r="E10" s="158"/>
      <c r="F10" s="163" t="s">
        <v>226</v>
      </c>
      <c r="G10" s="158"/>
      <c r="H10" s="481" t="s">
        <v>384</v>
      </c>
      <c r="I10" s="482" t="s">
        <v>385</v>
      </c>
    </row>
    <row r="11" spans="1:9" ht="75" customHeight="1" x14ac:dyDescent="0.3">
      <c r="A11" s="159" t="s">
        <v>225</v>
      </c>
      <c r="B11" s="1087"/>
      <c r="C11" s="1088"/>
      <c r="D11" s="1088"/>
      <c r="E11" s="1088"/>
      <c r="F11" s="1088"/>
      <c r="G11" s="1088"/>
      <c r="H11" s="1088"/>
      <c r="I11" s="1089"/>
    </row>
    <row r="12" spans="1:9" ht="45" customHeight="1" thickBot="1" x14ac:dyDescent="0.35">
      <c r="A12" s="159" t="s">
        <v>228</v>
      </c>
      <c r="B12" s="1084"/>
      <c r="C12" s="1085"/>
      <c r="D12" s="1085"/>
      <c r="E12" s="1085"/>
      <c r="F12" s="1085"/>
      <c r="G12" s="1085"/>
      <c r="H12" s="1085"/>
      <c r="I12" s="1086"/>
    </row>
    <row r="13" spans="1:9" ht="30" customHeight="1" x14ac:dyDescent="0.6">
      <c r="A13" s="162"/>
      <c r="B13" s="160" t="s">
        <v>121</v>
      </c>
      <c r="C13" s="480"/>
      <c r="D13" s="163" t="s">
        <v>227</v>
      </c>
      <c r="E13" s="158"/>
      <c r="F13" s="163" t="s">
        <v>226</v>
      </c>
      <c r="G13" s="158"/>
      <c r="H13" s="481" t="s">
        <v>384</v>
      </c>
      <c r="I13" s="482" t="s">
        <v>385</v>
      </c>
    </row>
    <row r="14" spans="1:9" ht="75" customHeight="1" x14ac:dyDescent="0.3">
      <c r="A14" s="159" t="s">
        <v>225</v>
      </c>
      <c r="B14" s="1087"/>
      <c r="C14" s="1088"/>
      <c r="D14" s="1088"/>
      <c r="E14" s="1088"/>
      <c r="F14" s="1088"/>
      <c r="G14" s="1088"/>
      <c r="H14" s="1088"/>
      <c r="I14" s="1089"/>
    </row>
    <row r="15" spans="1:9" ht="45" customHeight="1" thickBot="1" x14ac:dyDescent="0.35">
      <c r="A15" s="161" t="s">
        <v>228</v>
      </c>
      <c r="B15" s="1084"/>
      <c r="C15" s="1085"/>
      <c r="D15" s="1085"/>
      <c r="E15" s="1085"/>
      <c r="F15" s="1085"/>
      <c r="G15" s="1085"/>
      <c r="H15" s="1085"/>
      <c r="I15" s="1086"/>
    </row>
    <row r="16" spans="1:9" ht="30" customHeight="1" x14ac:dyDescent="0.3">
      <c r="A16" s="156" t="s">
        <v>259</v>
      </c>
      <c r="B16" s="1090"/>
      <c r="C16" s="1090"/>
      <c r="D16" s="1090"/>
      <c r="E16" s="156" t="s">
        <v>260</v>
      </c>
      <c r="F16" s="1091"/>
      <c r="G16" s="1091"/>
      <c r="H16" s="1091"/>
      <c r="I16" s="1091"/>
    </row>
    <row r="17" spans="1:9" ht="30" customHeight="1" x14ac:dyDescent="0.3">
      <c r="A17" s="1092">
        <f>IF(ISBLANK(IGRF!$B$7), "", IGRF!$B$7)</f>
        <v>42105</v>
      </c>
      <c r="B17" s="1092"/>
      <c r="C17" s="1093"/>
      <c r="D17" s="1093"/>
      <c r="E17" s="1093"/>
      <c r="F17" s="1094" t="str">
        <f>Score!$A$1</f>
        <v>Tri-City Roller Derby / Plan B</v>
      </c>
      <c r="G17" s="1094"/>
      <c r="H17" s="1094"/>
      <c r="I17" s="1094"/>
    </row>
    <row r="18" spans="1:9" ht="15" customHeight="1" x14ac:dyDescent="0.3">
      <c r="A18" s="1095" t="s">
        <v>248</v>
      </c>
      <c r="B18" s="1095"/>
      <c r="C18" s="1096" t="s">
        <v>258</v>
      </c>
      <c r="D18" s="1096"/>
      <c r="E18" s="1096"/>
      <c r="F18" s="1094" t="str">
        <f>Score!$T$1</f>
        <v>Hammer City Roller Girls / Harlots</v>
      </c>
      <c r="G18" s="1094"/>
      <c r="H18" s="1094"/>
      <c r="I18" s="1094"/>
    </row>
    <row r="19" spans="1:9" ht="15" customHeight="1" thickBot="1" x14ac:dyDescent="0.35">
      <c r="A19" s="1098" t="str">
        <f>IF(ISBLANK(IGRF!$K$3), "Period 2", "GAME " &amp; IGRF!$K$3&amp;", Period 2")</f>
        <v>GAME 2, Period 2</v>
      </c>
      <c r="B19" s="1098"/>
      <c r="C19" s="1097"/>
      <c r="D19" s="1097"/>
      <c r="E19" s="1097"/>
      <c r="F19" s="1094"/>
      <c r="G19" s="1094"/>
      <c r="H19" s="1094"/>
      <c r="I19" s="1094"/>
    </row>
    <row r="20" spans="1:9" ht="30" customHeight="1" x14ac:dyDescent="0.6">
      <c r="A20" s="162"/>
      <c r="B20" s="157" t="s">
        <v>121</v>
      </c>
      <c r="C20" s="480"/>
      <c r="D20" s="163" t="s">
        <v>227</v>
      </c>
      <c r="E20" s="158"/>
      <c r="F20" s="163" t="s">
        <v>226</v>
      </c>
      <c r="G20" s="158"/>
      <c r="H20" s="481" t="s">
        <v>384</v>
      </c>
      <c r="I20" s="482" t="s">
        <v>385</v>
      </c>
    </row>
    <row r="21" spans="1:9" ht="75" customHeight="1" x14ac:dyDescent="0.3">
      <c r="A21" s="159" t="s">
        <v>225</v>
      </c>
      <c r="B21" s="1087"/>
      <c r="C21" s="1088"/>
      <c r="D21" s="1088"/>
      <c r="E21" s="1088"/>
      <c r="F21" s="1088"/>
      <c r="G21" s="1088"/>
      <c r="H21" s="1088"/>
      <c r="I21" s="1089"/>
    </row>
    <row r="22" spans="1:9" ht="45" customHeight="1" thickBot="1" x14ac:dyDescent="0.35">
      <c r="A22" s="159" t="s">
        <v>228</v>
      </c>
      <c r="B22" s="1084"/>
      <c r="C22" s="1085"/>
      <c r="D22" s="1085"/>
      <c r="E22" s="1085"/>
      <c r="F22" s="1085"/>
      <c r="G22" s="1085"/>
      <c r="H22" s="1085"/>
      <c r="I22" s="1086"/>
    </row>
    <row r="23" spans="1:9" ht="30" customHeight="1" x14ac:dyDescent="0.6">
      <c r="A23" s="162"/>
      <c r="B23" s="160" t="s">
        <v>121</v>
      </c>
      <c r="C23" s="480"/>
      <c r="D23" s="163" t="s">
        <v>227</v>
      </c>
      <c r="E23" s="158"/>
      <c r="F23" s="163" t="s">
        <v>226</v>
      </c>
      <c r="G23" s="158"/>
      <c r="H23" s="481" t="s">
        <v>384</v>
      </c>
      <c r="I23" s="482" t="s">
        <v>385</v>
      </c>
    </row>
    <row r="24" spans="1:9" ht="75" customHeight="1" x14ac:dyDescent="0.3">
      <c r="A24" s="159" t="s">
        <v>225</v>
      </c>
      <c r="B24" s="1087"/>
      <c r="C24" s="1088"/>
      <c r="D24" s="1088"/>
      <c r="E24" s="1088"/>
      <c r="F24" s="1088"/>
      <c r="G24" s="1088"/>
      <c r="H24" s="1088"/>
      <c r="I24" s="1089"/>
    </row>
    <row r="25" spans="1:9" ht="45" customHeight="1" thickBot="1" x14ac:dyDescent="0.35">
      <c r="A25" s="161" t="s">
        <v>228</v>
      </c>
      <c r="B25" s="1084"/>
      <c r="C25" s="1085"/>
      <c r="D25" s="1085"/>
      <c r="E25" s="1085"/>
      <c r="F25" s="1085"/>
      <c r="G25" s="1085"/>
      <c r="H25" s="1085"/>
      <c r="I25" s="1086"/>
    </row>
    <row r="26" spans="1:9" ht="30" customHeight="1" x14ac:dyDescent="0.6">
      <c r="A26" s="162"/>
      <c r="B26" s="157" t="s">
        <v>121</v>
      </c>
      <c r="C26" s="480"/>
      <c r="D26" s="163" t="s">
        <v>227</v>
      </c>
      <c r="E26" s="158"/>
      <c r="F26" s="163" t="s">
        <v>226</v>
      </c>
      <c r="G26" s="158"/>
      <c r="H26" s="481" t="s">
        <v>384</v>
      </c>
      <c r="I26" s="482" t="s">
        <v>385</v>
      </c>
    </row>
    <row r="27" spans="1:9" ht="75" customHeight="1" x14ac:dyDescent="0.3">
      <c r="A27" s="159" t="s">
        <v>225</v>
      </c>
      <c r="B27" s="1087"/>
      <c r="C27" s="1088"/>
      <c r="D27" s="1088"/>
      <c r="E27" s="1088"/>
      <c r="F27" s="1088"/>
      <c r="G27" s="1088"/>
      <c r="H27" s="1088"/>
      <c r="I27" s="1089"/>
    </row>
    <row r="28" spans="1:9" ht="45" customHeight="1" thickBot="1" x14ac:dyDescent="0.35">
      <c r="A28" s="159" t="s">
        <v>228</v>
      </c>
      <c r="B28" s="1084"/>
      <c r="C28" s="1085"/>
      <c r="D28" s="1085"/>
      <c r="E28" s="1085"/>
      <c r="F28" s="1085"/>
      <c r="G28" s="1085"/>
      <c r="H28" s="1085"/>
      <c r="I28" s="1086"/>
    </row>
    <row r="29" spans="1:9" ht="30" customHeight="1" x14ac:dyDescent="0.6">
      <c r="A29" s="162"/>
      <c r="B29" s="160" t="s">
        <v>121</v>
      </c>
      <c r="C29" s="480"/>
      <c r="D29" s="163" t="s">
        <v>227</v>
      </c>
      <c r="E29" s="158"/>
      <c r="F29" s="163" t="s">
        <v>226</v>
      </c>
      <c r="G29" s="158"/>
      <c r="H29" s="481" t="s">
        <v>384</v>
      </c>
      <c r="I29" s="482" t="s">
        <v>385</v>
      </c>
    </row>
    <row r="30" spans="1:9" ht="75" customHeight="1" x14ac:dyDescent="0.3">
      <c r="A30" s="159" t="s">
        <v>225</v>
      </c>
      <c r="B30" s="1087"/>
      <c r="C30" s="1088"/>
      <c r="D30" s="1088"/>
      <c r="E30" s="1088"/>
      <c r="F30" s="1088"/>
      <c r="G30" s="1088"/>
      <c r="H30" s="1088"/>
      <c r="I30" s="1089"/>
    </row>
    <row r="31" spans="1:9" ht="45" customHeight="1" thickBot="1" x14ac:dyDescent="0.35">
      <c r="A31" s="161" t="s">
        <v>228</v>
      </c>
      <c r="B31" s="1084"/>
      <c r="C31" s="1085"/>
      <c r="D31" s="1085"/>
      <c r="E31" s="1085"/>
      <c r="F31" s="1085"/>
      <c r="G31" s="1085"/>
      <c r="H31" s="1085"/>
      <c r="I31" s="1086"/>
    </row>
    <row r="32" spans="1:9" ht="30" customHeight="1" x14ac:dyDescent="0.3">
      <c r="A32" s="156" t="s">
        <v>259</v>
      </c>
      <c r="B32" s="1090"/>
      <c r="C32" s="1090"/>
      <c r="D32" s="1090"/>
      <c r="E32" s="156" t="s">
        <v>260</v>
      </c>
      <c r="F32" s="1091"/>
      <c r="G32" s="1091"/>
      <c r="H32" s="1091"/>
      <c r="I32" s="1091"/>
    </row>
  </sheetData>
  <mergeCells count="34">
    <mergeCell ref="B14:I14"/>
    <mergeCell ref="B11:I11"/>
    <mergeCell ref="B15:I15"/>
    <mergeCell ref="B12:I12"/>
    <mergeCell ref="A2:B2"/>
    <mergeCell ref="A3:B3"/>
    <mergeCell ref="B8:I8"/>
    <mergeCell ref="B5:I5"/>
    <mergeCell ref="B9:I9"/>
    <mergeCell ref="B6:I6"/>
    <mergeCell ref="A1:B1"/>
    <mergeCell ref="C1:E1"/>
    <mergeCell ref="F1:I1"/>
    <mergeCell ref="F2:I3"/>
    <mergeCell ref="C2:E3"/>
    <mergeCell ref="B16:D16"/>
    <mergeCell ref="A17:B17"/>
    <mergeCell ref="C17:E17"/>
    <mergeCell ref="F17:I17"/>
    <mergeCell ref="A18:B18"/>
    <mergeCell ref="C18:E19"/>
    <mergeCell ref="F18:I19"/>
    <mergeCell ref="A19:B19"/>
    <mergeCell ref="F16:I16"/>
    <mergeCell ref="B21:I21"/>
    <mergeCell ref="B22:I22"/>
    <mergeCell ref="B24:I24"/>
    <mergeCell ref="B25:I25"/>
    <mergeCell ref="B27:I27"/>
    <mergeCell ref="B28:I28"/>
    <mergeCell ref="B30:I30"/>
    <mergeCell ref="B31:I31"/>
    <mergeCell ref="B32:D32"/>
    <mergeCell ref="F32:I32"/>
  </mergeCells>
  <phoneticPr fontId="6" type="noConversion"/>
  <printOptions horizontalCentered="1"/>
  <pageMargins left="0.75" right="0.75" top="1.23" bottom="0.5" header="0.75" footer="0.5"/>
  <pageSetup scale="80" orientation="portrait" r:id="rId1"/>
  <headerFooter>
    <oddHeader>&amp;L&amp;"Calibri,Regular"&amp;36&amp;K000000&amp;G&amp;34&amp;A&amp;R&amp;"Calibri,Regular"&amp;K000000_x000D_‘&amp;A’ revision 150103_x000D_StatsBook © 2008–2015 WFTDA</oddHeader>
  </headerFooter>
  <rowBreaks count="1" manualBreakCount="1">
    <brk id="16" max="16383" man="1"/>
  </rowBreaks>
  <ignoredErrors>
    <ignoredError sqref="A1" emptyCellReference="1"/>
  </ignoredErrors>
  <legacyDrawingHF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FFFF"/>
  </sheetPr>
  <dimension ref="A1:J102"/>
  <sheetViews>
    <sheetView workbookViewId="0"/>
  </sheetViews>
  <sheetFormatPr defaultColWidth="8.88671875" defaultRowHeight="13.8" x14ac:dyDescent="0.3"/>
  <cols>
    <col min="1" max="1" width="7.109375" style="3" customWidth="1"/>
    <col min="2" max="2" width="17.6640625" style="3" customWidth="1"/>
    <col min="3" max="3" width="20.6640625" style="3" customWidth="1"/>
    <col min="4" max="4" width="17.6640625" style="3" customWidth="1"/>
    <col min="5" max="8" width="11.88671875" style="3" customWidth="1"/>
    <col min="9" max="9" width="13.44140625" style="3" customWidth="1"/>
    <col min="10" max="10" width="10.6640625" style="3" customWidth="1"/>
    <col min="11" max="257" width="11.44140625" style="3" customWidth="1"/>
    <col min="258" max="16384" width="8.88671875" style="3"/>
  </cols>
  <sheetData>
    <row r="1" spans="1:10" s="2" customFormat="1" ht="30" customHeight="1" x14ac:dyDescent="0.3">
      <c r="A1" s="60" t="s">
        <v>249</v>
      </c>
      <c r="B1" s="1126" t="str">
        <f>Score!$A$1</f>
        <v>Tri-City Roller Derby / Plan B</v>
      </c>
      <c r="C1" s="1126"/>
      <c r="D1" s="1126"/>
      <c r="E1" s="665" t="str">
        <f>IF(ISBLANK(IGRF!$B$12), "", IGRF!$B$12)</f>
        <v/>
      </c>
      <c r="F1" s="1118"/>
      <c r="G1" s="1118"/>
      <c r="H1" s="1118"/>
      <c r="I1" s="1127">
        <f>IF(ISBLANK(IGRF!$B$7), "", IGRF!$B$7)</f>
        <v>42105</v>
      </c>
      <c r="J1" s="1134">
        <v>1</v>
      </c>
    </row>
    <row r="2" spans="1:10" s="2" customFormat="1" ht="15" customHeight="1" x14ac:dyDescent="0.3">
      <c r="A2" s="1129" t="s">
        <v>250</v>
      </c>
      <c r="B2" s="1126" t="str">
        <f>Score!$T$1</f>
        <v>Hammer City Roller Girls / Harlots</v>
      </c>
      <c r="C2" s="1126"/>
      <c r="D2" s="1126"/>
      <c r="E2" s="1115" t="str">
        <f>IF(ISBLANK(IGRF!$H$12),"",IGRF!$H$12)</f>
        <v/>
      </c>
      <c r="F2" s="1113"/>
      <c r="G2" s="1113"/>
      <c r="H2" s="1113"/>
      <c r="I2" s="1128"/>
      <c r="J2" s="1134"/>
    </row>
    <row r="3" spans="1:10" s="2" customFormat="1" ht="15" customHeight="1" thickBot="1" x14ac:dyDescent="0.35">
      <c r="A3" s="1129"/>
      <c r="B3" s="1126"/>
      <c r="C3" s="1126"/>
      <c r="D3" s="1126"/>
      <c r="E3" s="1119"/>
      <c r="F3" s="1114" t="s">
        <v>243</v>
      </c>
      <c r="G3" s="1114"/>
      <c r="H3" s="1114"/>
      <c r="I3" s="164" t="s">
        <v>248</v>
      </c>
      <c r="J3" s="165" t="str">
        <f>IF(ISBLANK(IGRF!$K$3), "", "GAME " &amp; IGRF!$K$3)</f>
        <v>GAME 2</v>
      </c>
    </row>
    <row r="4" spans="1:10" s="6" customFormat="1" ht="15" customHeight="1" thickBot="1" x14ac:dyDescent="0.3">
      <c r="A4" s="24"/>
      <c r="B4" s="1139" t="s">
        <v>55</v>
      </c>
      <c r="C4" s="1139"/>
      <c r="D4" s="1139" t="s">
        <v>56</v>
      </c>
      <c r="E4" s="1139"/>
      <c r="F4" s="1139"/>
      <c r="G4" s="1117" t="s">
        <v>57</v>
      </c>
      <c r="H4" s="1117"/>
      <c r="I4" s="1135" t="s">
        <v>174</v>
      </c>
      <c r="J4" s="1135"/>
    </row>
    <row r="5" spans="1:10" s="6" customFormat="1" ht="21" customHeight="1" thickBot="1" x14ac:dyDescent="0.3">
      <c r="A5" s="25" t="s">
        <v>142</v>
      </c>
      <c r="B5" s="1133"/>
      <c r="C5" s="1133"/>
      <c r="D5" s="1124"/>
      <c r="E5" s="1125"/>
      <c r="F5" s="1123"/>
      <c r="G5" s="1124"/>
      <c r="H5" s="1108"/>
      <c r="I5" s="1136" t="str">
        <f>B1</f>
        <v>Tri-City Roller Derby / Plan B</v>
      </c>
      <c r="J5" s="1137"/>
    </row>
    <row r="6" spans="1:10" s="6" customFormat="1" ht="21" customHeight="1" thickBot="1" x14ac:dyDescent="0.3">
      <c r="A6" s="26" t="s">
        <v>148</v>
      </c>
      <c r="B6" s="1138"/>
      <c r="C6" s="1138"/>
      <c r="D6" s="1124"/>
      <c r="E6" s="1125"/>
      <c r="F6" s="1123"/>
      <c r="G6" s="1124"/>
      <c r="H6" s="1109"/>
      <c r="I6" s="1136"/>
      <c r="J6" s="1137"/>
    </row>
    <row r="7" spans="1:10" s="6" customFormat="1" ht="21" customHeight="1" thickBot="1" x14ac:dyDescent="0.3">
      <c r="A7" s="25" t="s">
        <v>142</v>
      </c>
      <c r="B7" s="1133"/>
      <c r="C7" s="1133"/>
      <c r="D7" s="1124"/>
      <c r="E7" s="1125"/>
      <c r="F7" s="1123"/>
      <c r="G7" s="1124"/>
      <c r="H7" s="1110"/>
      <c r="I7" s="1137" t="str">
        <f>B2</f>
        <v>Hammer City Roller Girls / Harlots</v>
      </c>
      <c r="J7" s="1137"/>
    </row>
    <row r="8" spans="1:10" s="6" customFormat="1" ht="21" customHeight="1" thickBot="1" x14ac:dyDescent="0.3">
      <c r="A8" s="26" t="s">
        <v>148</v>
      </c>
      <c r="B8" s="1138"/>
      <c r="C8" s="1138"/>
      <c r="D8" s="1124"/>
      <c r="E8" s="1125"/>
      <c r="F8" s="1123"/>
      <c r="G8" s="1124"/>
      <c r="H8" s="1111"/>
      <c r="I8" s="1137"/>
      <c r="J8" s="1137"/>
    </row>
    <row r="9" spans="1:10" x14ac:dyDescent="0.3">
      <c r="A9" s="1130" t="s">
        <v>58</v>
      </c>
      <c r="B9" s="1130"/>
      <c r="C9" s="1130"/>
      <c r="D9" s="1130"/>
      <c r="E9" s="1130"/>
      <c r="F9" s="1130"/>
      <c r="G9" s="1130"/>
      <c r="H9" s="1131"/>
      <c r="I9" s="1130"/>
      <c r="J9" s="1130"/>
    </row>
    <row r="10" spans="1:10" s="59" customFormat="1" ht="15" customHeight="1" x14ac:dyDescent="0.25">
      <c r="A10" s="56" t="s">
        <v>191</v>
      </c>
      <c r="B10" s="57" t="s">
        <v>59</v>
      </c>
      <c r="C10" s="57" t="s">
        <v>60</v>
      </c>
      <c r="D10" s="57" t="s">
        <v>61</v>
      </c>
      <c r="E10" s="1132" t="s">
        <v>62</v>
      </c>
      <c r="F10" s="1132"/>
      <c r="G10" s="1132"/>
      <c r="H10" s="388"/>
      <c r="I10" s="57" t="s">
        <v>63</v>
      </c>
      <c r="J10" s="58" t="s">
        <v>64</v>
      </c>
    </row>
    <row r="11" spans="1:10" s="7" customFormat="1" ht="22.5" customHeight="1" x14ac:dyDescent="0.3">
      <c r="A11" s="51">
        <f>IF(ISNUMBER(SK!B3), SK!A3, "")</f>
        <v>1</v>
      </c>
      <c r="B11" s="52"/>
      <c r="C11" s="53"/>
      <c r="D11" s="53"/>
      <c r="E11" s="1120"/>
      <c r="F11" s="1121"/>
      <c r="G11" s="1121"/>
      <c r="H11" s="1122"/>
      <c r="I11" s="54" t="str">
        <f>IF(OR(A11="",B11="",B11=0,C11=""),"",60*C11/IF(B11&lt;1,B11*1440,B11))</f>
        <v/>
      </c>
      <c r="J11" s="55" t="str">
        <f ca="1">IF(OR(A11="",B11="",B11=0),"",60*SUM(INDIRECT(ADDRESS(MATCH(A11,SK!A$3:A$78,0)+2,COLUMN(SK!E$2),1,,"SK")),INDIRECT(ADDRESS(MATCH(A11,SK!Q$3:Q$78,0)+2,COLUMN(SK!U$2),1,,"SK")))/IF(B11&lt;1,B11*1440,B11))</f>
        <v/>
      </c>
    </row>
    <row r="12" spans="1:10" ht="22.5" customHeight="1" x14ac:dyDescent="0.3">
      <c r="A12" s="33">
        <f>IF(ISNUMBER(SK!B5), SK!A5, "")</f>
        <v>2</v>
      </c>
      <c r="B12" s="34"/>
      <c r="C12" s="35"/>
      <c r="D12" s="35"/>
      <c r="E12" s="1102"/>
      <c r="F12" s="1103"/>
      <c r="G12" s="1103"/>
      <c r="H12" s="1104"/>
      <c r="I12" s="36" t="str">
        <f>IF(OR(A12="",B12="",B12=0,C12=""),"",60*C12/IF(B12&lt;1,B12*1440,B12))</f>
        <v/>
      </c>
      <c r="J12" s="37" t="str">
        <f ca="1">IF(OR(A12="",B12="",B12=0),"",60*SUM(INDIRECT(ADDRESS(MATCH(A12,SK!A$3:A$78,0)+2,COLUMN(SK!E$2),1,,"SK")),INDIRECT(ADDRESS(MATCH(A12,SK!Q$3:Q$78,0)+2,COLUMN(SK!U$2),1,,"SK")))/IF(B12&lt;1,B12*1440,B12))</f>
        <v/>
      </c>
    </row>
    <row r="13" spans="1:10" ht="22.5" customHeight="1" x14ac:dyDescent="0.3">
      <c r="A13" s="28">
        <f>IF(ISNUMBER(SK!B7), SK!A7, "")</f>
        <v>3</v>
      </c>
      <c r="B13" s="29"/>
      <c r="C13" s="30"/>
      <c r="D13" s="30"/>
      <c r="E13" s="1099"/>
      <c r="F13" s="1100"/>
      <c r="G13" s="1100"/>
      <c r="H13" s="1101"/>
      <c r="I13" s="31" t="str">
        <f>IF(OR(A13="",B13="",B13=0,C13=""),"",60*C13/IF(B13&lt;1,B13*1440,B13))</f>
        <v/>
      </c>
      <c r="J13" s="32" t="str">
        <f ca="1">IF(OR(A13="",B13="",B13=0),"",60*SUM(INDIRECT(ADDRESS(MATCH(A13,SK!A$3:A$78,0)+2,COLUMN(SK!E$2),1,,"SK")),INDIRECT(ADDRESS(MATCH(A13,SK!Q$3:Q$78,0)+2,COLUMN(SK!U$2),1,,"SK")))/IF(B13&lt;1,B13*1440,B13))</f>
        <v/>
      </c>
    </row>
    <row r="14" spans="1:10" ht="22.5" customHeight="1" x14ac:dyDescent="0.3">
      <c r="A14" s="33">
        <f>IF(ISNUMBER(SK!B9), SK!A9, "")</f>
        <v>4</v>
      </c>
      <c r="B14" s="34"/>
      <c r="C14" s="35"/>
      <c r="D14" s="35"/>
      <c r="E14" s="1102"/>
      <c r="F14" s="1103"/>
      <c r="G14" s="1103"/>
      <c r="H14" s="1104"/>
      <c r="I14" s="36" t="str">
        <f t="shared" ref="I14:I30" si="0">IF(OR(A14="",B14="",B14=0,C14=""),"",60*C14/IF(B14&lt;1,B14*1440,B14))</f>
        <v/>
      </c>
      <c r="J14" s="37" t="str">
        <f ca="1">IF(OR(A14="",B14="",B14=0),"",60*SUM(INDIRECT(ADDRESS(MATCH(A14,SK!A$3:A$78,0)+2,COLUMN(SK!E$2),1,,"SK")),INDIRECT(ADDRESS(MATCH(A14,SK!Q$3:Q$78,0)+2,COLUMN(SK!U$2),1,,"SK")))/IF(B14&lt;1,B14*1440,B14))</f>
        <v/>
      </c>
    </row>
    <row r="15" spans="1:10" ht="22.5" customHeight="1" x14ac:dyDescent="0.3">
      <c r="A15" s="28">
        <f>IF(ISNUMBER(SK!B11), SK!A11, "")</f>
        <v>5</v>
      </c>
      <c r="B15" s="29"/>
      <c r="C15" s="30"/>
      <c r="D15" s="30"/>
      <c r="E15" s="1099"/>
      <c r="F15" s="1100"/>
      <c r="G15" s="1100"/>
      <c r="H15" s="1101"/>
      <c r="I15" s="31" t="str">
        <f t="shared" si="0"/>
        <v/>
      </c>
      <c r="J15" s="32" t="str">
        <f ca="1">IF(OR(A15="",B15="",B15=0),"",60*SUM(INDIRECT(ADDRESS(MATCH(A15,SK!A$3:A$78,0)+2,COLUMN(SK!E$2),1,,"SK")),INDIRECT(ADDRESS(MATCH(A15,SK!Q$3:Q$78,0)+2,COLUMN(SK!U$2),1,,"SK")))/IF(B15&lt;1,B15*1440,B15))</f>
        <v/>
      </c>
    </row>
    <row r="16" spans="1:10" ht="22.5" customHeight="1" x14ac:dyDescent="0.3">
      <c r="A16" s="33">
        <f>IF(ISNUMBER(SK!B13), SK!A13, "")</f>
        <v>6</v>
      </c>
      <c r="B16" s="34"/>
      <c r="C16" s="35"/>
      <c r="D16" s="35"/>
      <c r="E16" s="1102"/>
      <c r="F16" s="1103"/>
      <c r="G16" s="1103"/>
      <c r="H16" s="1104"/>
      <c r="I16" s="36" t="str">
        <f t="shared" si="0"/>
        <v/>
      </c>
      <c r="J16" s="37" t="str">
        <f ca="1">IF(OR(A16="",B16="",B16=0),"",60*SUM(INDIRECT(ADDRESS(MATCH(A16,SK!A$3:A$78,0)+2,COLUMN(SK!E$2),1,,"SK")),INDIRECT(ADDRESS(MATCH(A16,SK!Q$3:Q$78,0)+2,COLUMN(SK!U$2),1,,"SK")))/IF(B16&lt;1,B16*1440,B16))</f>
        <v/>
      </c>
    </row>
    <row r="17" spans="1:10" ht="22.5" customHeight="1" x14ac:dyDescent="0.3">
      <c r="A17" s="28">
        <f>IF(ISNUMBER(SK!B15), SK!A15, "")</f>
        <v>7</v>
      </c>
      <c r="B17" s="29"/>
      <c r="C17" s="30"/>
      <c r="D17" s="30"/>
      <c r="E17" s="1099"/>
      <c r="F17" s="1100"/>
      <c r="G17" s="1100"/>
      <c r="H17" s="1101"/>
      <c r="I17" s="31" t="str">
        <f t="shared" si="0"/>
        <v/>
      </c>
      <c r="J17" s="32" t="str">
        <f ca="1">IF(OR(A17="",B17="",B17=0),"",60*SUM(INDIRECT(ADDRESS(MATCH(A17,SK!A$3:A$78,0)+2,COLUMN(SK!E$2),1,,"SK")),INDIRECT(ADDRESS(MATCH(A17,SK!Q$3:Q$78,0)+2,COLUMN(SK!U$2),1,,"SK")))/IF(B17&lt;1,B17*1440,B17))</f>
        <v/>
      </c>
    </row>
    <row r="18" spans="1:10" ht="22.5" customHeight="1" x14ac:dyDescent="0.3">
      <c r="A18" s="33">
        <f>IF(ISNUMBER(SK!B17), SK!A17, "")</f>
        <v>8</v>
      </c>
      <c r="B18" s="34"/>
      <c r="C18" s="35"/>
      <c r="D18" s="35"/>
      <c r="E18" s="1102"/>
      <c r="F18" s="1103"/>
      <c r="G18" s="1103"/>
      <c r="H18" s="1104"/>
      <c r="I18" s="36" t="str">
        <f t="shared" si="0"/>
        <v/>
      </c>
      <c r="J18" s="37" t="str">
        <f ca="1">IF(OR(A18="",B18="",B18=0),"",60*SUM(INDIRECT(ADDRESS(MATCH(A18,SK!A$3:A$78,0)+2,COLUMN(SK!E$2),1,,"SK")),INDIRECT(ADDRESS(MATCH(A18,SK!Q$3:Q$78,0)+2,COLUMN(SK!U$2),1,,"SK")))/IF(B18&lt;1,B18*1440,B18))</f>
        <v/>
      </c>
    </row>
    <row r="19" spans="1:10" ht="22.5" customHeight="1" x14ac:dyDescent="0.3">
      <c r="A19" s="28">
        <f>IF(ISNUMBER(SK!B19), SK!A19, "")</f>
        <v>9</v>
      </c>
      <c r="B19" s="29"/>
      <c r="C19" s="30"/>
      <c r="D19" s="30"/>
      <c r="E19" s="1099"/>
      <c r="F19" s="1100"/>
      <c r="G19" s="1100"/>
      <c r="H19" s="1101"/>
      <c r="I19" s="31" t="str">
        <f t="shared" si="0"/>
        <v/>
      </c>
      <c r="J19" s="32" t="str">
        <f ca="1">IF(OR(A19="",B19="",B19=0),"",60*SUM(INDIRECT(ADDRESS(MATCH(A19,SK!A$3:A$78,0)+2,COLUMN(SK!E$2),1,,"SK")),INDIRECT(ADDRESS(MATCH(A19,SK!Q$3:Q$78,0)+2,COLUMN(SK!U$2),1,,"SK")))/IF(B19&lt;1,B19*1440,B19))</f>
        <v/>
      </c>
    </row>
    <row r="20" spans="1:10" ht="22.5" customHeight="1" x14ac:dyDescent="0.3">
      <c r="A20" s="33">
        <f>IF(ISNUMBER(SK!B21), SK!A21, "")</f>
        <v>10</v>
      </c>
      <c r="B20" s="34"/>
      <c r="C20" s="35"/>
      <c r="D20" s="35"/>
      <c r="E20" s="1102"/>
      <c r="F20" s="1103"/>
      <c r="G20" s="1103"/>
      <c r="H20" s="1104"/>
      <c r="I20" s="36" t="str">
        <f t="shared" si="0"/>
        <v/>
      </c>
      <c r="J20" s="37" t="str">
        <f ca="1">IF(OR(A20="",B20="",B20=0),"",60*SUM(INDIRECT(ADDRESS(MATCH(A20,SK!A$3:A$78,0)+2,COLUMN(SK!E$2),1,,"SK")),INDIRECT(ADDRESS(MATCH(A20,SK!Q$3:Q$78,0)+2,COLUMN(SK!U$2),1,,"SK")))/IF(B20&lt;1,B20*1440,B20))</f>
        <v/>
      </c>
    </row>
    <row r="21" spans="1:10" ht="22.5" customHeight="1" x14ac:dyDescent="0.3">
      <c r="A21" s="28">
        <f>IF(ISNUMBER(SK!B23), SK!A23, "")</f>
        <v>11</v>
      </c>
      <c r="B21" s="29"/>
      <c r="C21" s="30"/>
      <c r="D21" s="30"/>
      <c r="E21" s="1099"/>
      <c r="F21" s="1100"/>
      <c r="G21" s="1100"/>
      <c r="H21" s="1101"/>
      <c r="I21" s="31" t="str">
        <f t="shared" si="0"/>
        <v/>
      </c>
      <c r="J21" s="32" t="str">
        <f ca="1">IF(OR(A21="",B21="",B21=0),"",60*SUM(INDIRECT(ADDRESS(MATCH(A21,SK!A$3:A$78,0)+2,COLUMN(SK!E$2),1,,"SK")),INDIRECT(ADDRESS(MATCH(A21,SK!Q$3:Q$78,0)+2,COLUMN(SK!U$2),1,,"SK")))/IF(B21&lt;1,B21*1440,B21))</f>
        <v/>
      </c>
    </row>
    <row r="22" spans="1:10" ht="22.5" customHeight="1" x14ac:dyDescent="0.3">
      <c r="A22" s="33">
        <f>IF(ISNUMBER(SK!B25), SK!A25, "")</f>
        <v>12</v>
      </c>
      <c r="B22" s="34"/>
      <c r="C22" s="35"/>
      <c r="D22" s="35"/>
      <c r="E22" s="1102"/>
      <c r="F22" s="1103"/>
      <c r="G22" s="1103"/>
      <c r="H22" s="1104"/>
      <c r="I22" s="36" t="str">
        <f t="shared" si="0"/>
        <v/>
      </c>
      <c r="J22" s="37" t="str">
        <f ca="1">IF(OR(A22="",B22="",B22=0),"",60*SUM(INDIRECT(ADDRESS(MATCH(A22,SK!A$3:A$78,0)+2,COLUMN(SK!E$2),1,,"SK")),INDIRECT(ADDRESS(MATCH(A22,SK!Q$3:Q$78,0)+2,COLUMN(SK!U$2),1,,"SK")))/IF(B22&lt;1,B22*1440,B22))</f>
        <v/>
      </c>
    </row>
    <row r="23" spans="1:10" ht="22.5" customHeight="1" x14ac:dyDescent="0.3">
      <c r="A23" s="28">
        <f>IF(ISNUMBER(SK!B27), SK!A27, "")</f>
        <v>13</v>
      </c>
      <c r="B23" s="29"/>
      <c r="C23" s="30"/>
      <c r="D23" s="30"/>
      <c r="E23" s="1099"/>
      <c r="F23" s="1100"/>
      <c r="G23" s="1100"/>
      <c r="H23" s="1101"/>
      <c r="I23" s="31" t="str">
        <f t="shared" si="0"/>
        <v/>
      </c>
      <c r="J23" s="32" t="str">
        <f ca="1">IF(OR(A23="",B23="",B23=0),"",60*SUM(INDIRECT(ADDRESS(MATCH(A23,SK!A$3:A$78,0)+2,COLUMN(SK!E$2),1,,"SK")),INDIRECT(ADDRESS(MATCH(A23,SK!Q$3:Q$78,0)+2,COLUMN(SK!U$2),1,,"SK")))/IF(B23&lt;1,B23*1440,B23))</f>
        <v/>
      </c>
    </row>
    <row r="24" spans="1:10" ht="22.5" customHeight="1" x14ac:dyDescent="0.3">
      <c r="A24" s="33">
        <f>IF(ISNUMBER(SK!B29), SK!A29, "")</f>
        <v>14</v>
      </c>
      <c r="B24" s="34"/>
      <c r="C24" s="35"/>
      <c r="D24" s="35"/>
      <c r="E24" s="1102"/>
      <c r="F24" s="1103"/>
      <c r="G24" s="1103"/>
      <c r="H24" s="1104"/>
      <c r="I24" s="36" t="str">
        <f t="shared" si="0"/>
        <v/>
      </c>
      <c r="J24" s="37" t="str">
        <f ca="1">IF(OR(A24="",B24="",B24=0),"",60*SUM(INDIRECT(ADDRESS(MATCH(A24,SK!A$3:A$78,0)+2,COLUMN(SK!E$2),1,,"SK")),INDIRECT(ADDRESS(MATCH(A24,SK!Q$3:Q$78,0)+2,COLUMN(SK!U$2),1,,"SK")))/IF(B24&lt;1,B24*1440,B24))</f>
        <v/>
      </c>
    </row>
    <row r="25" spans="1:10" ht="22.5" customHeight="1" x14ac:dyDescent="0.3">
      <c r="A25" s="28">
        <f>IF(ISNUMBER(SK!B31), SK!A31, "")</f>
        <v>15</v>
      </c>
      <c r="B25" s="29"/>
      <c r="C25" s="30"/>
      <c r="D25" s="30"/>
      <c r="E25" s="1099"/>
      <c r="F25" s="1100"/>
      <c r="G25" s="1100"/>
      <c r="H25" s="1101"/>
      <c r="I25" s="31" t="str">
        <f t="shared" si="0"/>
        <v/>
      </c>
      <c r="J25" s="32" t="str">
        <f ca="1">IF(OR(A25="",B25="",B25=0),"",60*SUM(INDIRECT(ADDRESS(MATCH(A25,SK!A$3:A$78,0)+2,COLUMN(SK!E$2),1,,"SK")),INDIRECT(ADDRESS(MATCH(A25,SK!Q$3:Q$78,0)+2,COLUMN(SK!U$2),1,,"SK")))/IF(B25&lt;1,B25*1440,B25))</f>
        <v/>
      </c>
    </row>
    <row r="26" spans="1:10" ht="22.5" customHeight="1" x14ac:dyDescent="0.3">
      <c r="A26" s="33">
        <f>IF(ISNUMBER(SK!B33), SK!A33, "")</f>
        <v>16</v>
      </c>
      <c r="B26" s="34"/>
      <c r="C26" s="35"/>
      <c r="D26" s="35"/>
      <c r="E26" s="1102"/>
      <c r="F26" s="1103"/>
      <c r="G26" s="1103"/>
      <c r="H26" s="1104"/>
      <c r="I26" s="36" t="str">
        <f t="shared" si="0"/>
        <v/>
      </c>
      <c r="J26" s="37" t="str">
        <f ca="1">IF(OR(A26="",B26="",B26=0),"",60*SUM(INDIRECT(ADDRESS(MATCH(A26,SK!A$3:A$78,0)+2,COLUMN(SK!E$2),1,,"SK")),INDIRECT(ADDRESS(MATCH(A26,SK!Q$3:Q$78,0)+2,COLUMN(SK!U$2),1,,"SK")))/IF(B26&lt;1,B26*1440,B26))</f>
        <v/>
      </c>
    </row>
    <row r="27" spans="1:10" ht="22.5" customHeight="1" x14ac:dyDescent="0.3">
      <c r="A27" s="28">
        <f>IF(ISNUMBER(SK!B35), SK!A35, "")</f>
        <v>17</v>
      </c>
      <c r="B27" s="29"/>
      <c r="C27" s="30"/>
      <c r="D27" s="30"/>
      <c r="E27" s="1099"/>
      <c r="F27" s="1100"/>
      <c r="G27" s="1100"/>
      <c r="H27" s="1101"/>
      <c r="I27" s="31" t="str">
        <f t="shared" si="0"/>
        <v/>
      </c>
      <c r="J27" s="32" t="str">
        <f ca="1">IF(OR(A27="",B27="",B27=0),"",60*SUM(INDIRECT(ADDRESS(MATCH(A27,SK!A$3:A$78,0)+2,COLUMN(SK!E$2),1,,"SK")),INDIRECT(ADDRESS(MATCH(A27,SK!Q$3:Q$78,0)+2,COLUMN(SK!U$2),1,,"SK")))/IF(B27&lt;1,B27*1440,B27))</f>
        <v/>
      </c>
    </row>
    <row r="28" spans="1:10" ht="22.5" customHeight="1" x14ac:dyDescent="0.3">
      <c r="A28" s="33">
        <f>IF(ISNUMBER(SK!B37), SK!A37, "")</f>
        <v>18</v>
      </c>
      <c r="B28" s="34"/>
      <c r="C28" s="35"/>
      <c r="D28" s="35"/>
      <c r="E28" s="1102"/>
      <c r="F28" s="1103"/>
      <c r="G28" s="1103"/>
      <c r="H28" s="1104"/>
      <c r="I28" s="36" t="str">
        <f t="shared" si="0"/>
        <v/>
      </c>
      <c r="J28" s="37" t="str">
        <f ca="1">IF(OR(A28="",B28="",B28=0),"",60*SUM(INDIRECT(ADDRESS(MATCH(A28,SK!A$3:A$78,0)+2,COLUMN(SK!E$2),1,,"SK")),INDIRECT(ADDRESS(MATCH(A28,SK!Q$3:Q$78,0)+2,COLUMN(SK!U$2),1,,"SK")))/IF(B28&lt;1,B28*1440,B28))</f>
        <v/>
      </c>
    </row>
    <row r="29" spans="1:10" ht="22.5" customHeight="1" x14ac:dyDescent="0.3">
      <c r="A29" s="28">
        <f>IF(ISNUMBER(SK!B39), SK!A39, "")</f>
        <v>19</v>
      </c>
      <c r="B29" s="29"/>
      <c r="C29" s="30"/>
      <c r="D29" s="30"/>
      <c r="E29" s="1099"/>
      <c r="F29" s="1100"/>
      <c r="G29" s="1100"/>
      <c r="H29" s="1101"/>
      <c r="I29" s="31" t="str">
        <f t="shared" si="0"/>
        <v/>
      </c>
      <c r="J29" s="32" t="str">
        <f ca="1">IF(OR(A29="",B29="",B29=0),"",60*SUM(INDIRECT(ADDRESS(MATCH(A29,SK!A$3:A$78,0)+2,COLUMN(SK!E$2),1,,"SK")),INDIRECT(ADDRESS(MATCH(A29,SK!Q$3:Q$78,0)+2,COLUMN(SK!U$2),1,,"SK")))/IF(B29&lt;1,B29*1440,B29))</f>
        <v/>
      </c>
    </row>
    <row r="30" spans="1:10" ht="22.5" customHeight="1" x14ac:dyDescent="0.3">
      <c r="A30" s="33" t="str">
        <f>IF(ISNUMBER(SK!B41), SK!A41, "")</f>
        <v/>
      </c>
      <c r="B30" s="34"/>
      <c r="C30" s="35"/>
      <c r="D30" s="35"/>
      <c r="E30" s="1102"/>
      <c r="F30" s="1103"/>
      <c r="G30" s="1103"/>
      <c r="H30" s="1104"/>
      <c r="I30" s="36" t="str">
        <f t="shared" si="0"/>
        <v/>
      </c>
      <c r="J30" s="37" t="str">
        <f ca="1">IF(OR(A30="",B30="",B30=0),"",60*SUM(INDIRECT(ADDRESS(MATCH(A30,SK!A$3:A$78,0)+2,COLUMN(SK!E$2),1,,"SK")),INDIRECT(ADDRESS(MATCH(A30,SK!Q$3:Q$78,0)+2,COLUMN(SK!U$2),1,,"SK")))/IF(B30&lt;1,B30*1440,B30))</f>
        <v/>
      </c>
    </row>
    <row r="31" spans="1:10" ht="22.5" customHeight="1" x14ac:dyDescent="0.3">
      <c r="A31" s="28" t="str">
        <f>IF(ISNUMBER(SK!B43), SK!A43, "")</f>
        <v/>
      </c>
      <c r="B31" s="29"/>
      <c r="C31" s="30"/>
      <c r="D31" s="30"/>
      <c r="E31" s="1099"/>
      <c r="F31" s="1100"/>
      <c r="G31" s="1100"/>
      <c r="H31" s="1101"/>
      <c r="I31" s="31" t="str">
        <f t="shared" ref="I31:I36" si="1">IF(OR(A31="",B31="",B31=0,C31=""),"",60*C31/IF(B31&lt;1,B31*1440,B31))</f>
        <v/>
      </c>
      <c r="J31" s="32" t="str">
        <f ca="1">IF(OR(A31="",B31="",B31=0),"",60*SUM(INDIRECT(ADDRESS(MATCH(A31,SK!A$3:A$78,0)+2,COLUMN(SK!E$2),1,,"SK")),INDIRECT(ADDRESS(MATCH(A31,SK!Q$3:Q$78,0)+2,COLUMN(SK!U$2),1,,"SK")))/IF(B31&lt;1,B31*1440,B31))</f>
        <v/>
      </c>
    </row>
    <row r="32" spans="1:10" ht="22.5" customHeight="1" x14ac:dyDescent="0.3">
      <c r="A32" s="33" t="str">
        <f>IF(ISNUMBER(SK!B45), SK!A45, "")</f>
        <v/>
      </c>
      <c r="B32" s="34"/>
      <c r="C32" s="35"/>
      <c r="D32" s="35"/>
      <c r="E32" s="1102"/>
      <c r="F32" s="1103"/>
      <c r="G32" s="1103"/>
      <c r="H32" s="1104"/>
      <c r="I32" s="36" t="str">
        <f t="shared" si="1"/>
        <v/>
      </c>
      <c r="J32" s="37" t="str">
        <f ca="1">IF(OR(A32="",B32="",B32=0),"",60*SUM(INDIRECT(ADDRESS(MATCH(A32,SK!A$3:A$78,0)+2,COLUMN(SK!E$2),1,,"SK")),INDIRECT(ADDRESS(MATCH(A32,SK!Q$3:Q$78,0)+2,COLUMN(SK!U$2),1,,"SK")))/IF(B32&lt;1,B32*1440,B32))</f>
        <v/>
      </c>
    </row>
    <row r="33" spans="1:10" ht="22.5" customHeight="1" x14ac:dyDescent="0.3">
      <c r="A33" s="28" t="str">
        <f>IF(ISNUMBER(SK!B47), SK!A47, "")</f>
        <v/>
      </c>
      <c r="B33" s="29"/>
      <c r="C33" s="30"/>
      <c r="D33" s="30"/>
      <c r="E33" s="1099"/>
      <c r="F33" s="1100"/>
      <c r="G33" s="1100"/>
      <c r="H33" s="1101"/>
      <c r="I33" s="31" t="str">
        <f t="shared" si="1"/>
        <v/>
      </c>
      <c r="J33" s="32" t="str">
        <f ca="1">IF(OR(A33="",B33="",B33=0),"",60*SUM(INDIRECT(ADDRESS(MATCH(A33,SK!A$3:A$78,0)+2,COLUMN(SK!E$2),1,,"SK")),INDIRECT(ADDRESS(MATCH(A33,SK!Q$3:Q$78,0)+2,COLUMN(SK!U$2),1,,"SK")))/IF(B33&lt;1,B33*1440,B33))</f>
        <v/>
      </c>
    </row>
    <row r="34" spans="1:10" ht="22.5" customHeight="1" x14ac:dyDescent="0.3">
      <c r="A34" s="33" t="str">
        <f>IF(ISNUMBER(SK!B49), SK!A49, "")</f>
        <v/>
      </c>
      <c r="B34" s="34"/>
      <c r="C34" s="35"/>
      <c r="D34" s="35"/>
      <c r="E34" s="1102"/>
      <c r="F34" s="1103"/>
      <c r="G34" s="1103"/>
      <c r="H34" s="1104"/>
      <c r="I34" s="36" t="str">
        <f t="shared" si="1"/>
        <v/>
      </c>
      <c r="J34" s="37" t="str">
        <f ca="1">IF(OR(A34="",B34="",B34=0),"",60*SUM(INDIRECT(ADDRESS(MATCH(A34,SK!A$3:A$78,0)+2,COLUMN(SK!E$2),1,,"SK")),INDIRECT(ADDRESS(MATCH(A34,SK!Q$3:Q$78,0)+2,COLUMN(SK!U$2),1,,"SK")))/IF(B34&lt;1,B34*1440,B34))</f>
        <v/>
      </c>
    </row>
    <row r="35" spans="1:10" ht="22.5" customHeight="1" x14ac:dyDescent="0.3">
      <c r="A35" s="28" t="str">
        <f>IF(ISNUMBER(SK!B51), SK!A51, "")</f>
        <v/>
      </c>
      <c r="B35" s="29"/>
      <c r="C35" s="30"/>
      <c r="D35" s="30"/>
      <c r="E35" s="1099"/>
      <c r="F35" s="1100"/>
      <c r="G35" s="1100"/>
      <c r="H35" s="1101"/>
      <c r="I35" s="31" t="str">
        <f t="shared" si="1"/>
        <v/>
      </c>
      <c r="J35" s="32" t="str">
        <f ca="1">IF(OR(A35="",B35="",B35=0),"",60*SUM(INDIRECT(ADDRESS(MATCH(A35,SK!A$3:A$78,0)+2,COLUMN(SK!E$2),1,,"SK")),INDIRECT(ADDRESS(MATCH(A35,SK!Q$3:Q$78,0)+2,COLUMN(SK!U$2),1,,"SK")))/IF(B35&lt;1,B35*1440,B35))</f>
        <v/>
      </c>
    </row>
    <row r="36" spans="1:10" ht="22.5" customHeight="1" x14ac:dyDescent="0.3">
      <c r="A36" s="33" t="str">
        <f>IF(ISNUMBER(SK!B53), SK!A53, "")</f>
        <v/>
      </c>
      <c r="B36" s="34"/>
      <c r="C36" s="35"/>
      <c r="D36" s="35"/>
      <c r="E36" s="1102"/>
      <c r="F36" s="1103"/>
      <c r="G36" s="1103"/>
      <c r="H36" s="1104"/>
      <c r="I36" s="36" t="str">
        <f t="shared" si="1"/>
        <v/>
      </c>
      <c r="J36" s="37" t="str">
        <f ca="1">IF(OR(A36="",B36="",B36=0),"",60*SUM(INDIRECT(ADDRESS(MATCH(A36,SK!A$3:A$78,0)+2,COLUMN(SK!E$2),1,,"SK")),INDIRECT(ADDRESS(MATCH(A36,SK!Q$3:Q$78,0)+2,COLUMN(SK!U$2),1,,"SK")))/IF(B36&lt;1,B36*1440,B36))</f>
        <v/>
      </c>
    </row>
    <row r="37" spans="1:10" ht="22.5" customHeight="1" x14ac:dyDescent="0.3">
      <c r="A37" s="28" t="str">
        <f>IF(ISNUMBER(SK!B55), SK!A55, "")</f>
        <v/>
      </c>
      <c r="B37" s="29"/>
      <c r="C37" s="30"/>
      <c r="D37" s="30"/>
      <c r="E37" s="1099"/>
      <c r="F37" s="1100"/>
      <c r="G37" s="1100"/>
      <c r="H37" s="1101"/>
      <c r="I37" s="31" t="str">
        <f>IF(OR(A37="",B37="",B37=0,C37=""),"",60*C37/IF(B37&lt;1,B37*1440,B37))</f>
        <v/>
      </c>
      <c r="J37" s="32" t="str">
        <f ca="1">IF(OR(A37="",B37="",B37=0),"",60*SUM(INDIRECT(ADDRESS(MATCH(A37,SK!A$3:A$78,0)+2,COLUMN(SK!E$2),1,,"SK")),INDIRECT(ADDRESS(MATCH(A37,SK!Q$3:Q$78,0)+2,COLUMN(SK!U$2),1,,"SK")))/IF(B37&lt;1,B37*1440,B37))</f>
        <v/>
      </c>
    </row>
    <row r="38" spans="1:10" ht="22.5" customHeight="1" x14ac:dyDescent="0.3">
      <c r="A38" s="33" t="str">
        <f>IF(ISNUMBER(SK!B57), SK!A57, "")</f>
        <v/>
      </c>
      <c r="B38" s="34"/>
      <c r="C38" s="35"/>
      <c r="D38" s="35"/>
      <c r="E38" s="1102"/>
      <c r="F38" s="1103"/>
      <c r="G38" s="1103"/>
      <c r="H38" s="1104"/>
      <c r="I38" s="36" t="str">
        <f>IF(OR(A38="",B38="",B38=0,C38=""),"",60*C38/IF(B38&lt;1,B38*1440,B38))</f>
        <v/>
      </c>
      <c r="J38" s="37" t="str">
        <f ca="1">IF(OR(A38="",B38="",B38=0),"",60*SUM(INDIRECT(ADDRESS(MATCH(A38,SK!A$3:A$78,0)+2,COLUMN(SK!E$2),1,,"SK")),INDIRECT(ADDRESS(MATCH(A38,SK!Q$3:Q$78,0)+2,COLUMN(SK!U$2),1,,"SK")))/IF(B38&lt;1,B38*1440,B38))</f>
        <v/>
      </c>
    </row>
    <row r="39" spans="1:10" ht="22.5" customHeight="1" x14ac:dyDescent="0.3">
      <c r="A39" s="28" t="str">
        <f>IF(ISNUMBER(SK!B59), SK!A59, "")</f>
        <v/>
      </c>
      <c r="B39" s="29"/>
      <c r="C39" s="30"/>
      <c r="D39" s="30"/>
      <c r="E39" s="1099"/>
      <c r="F39" s="1100"/>
      <c r="G39" s="1100"/>
      <c r="H39" s="1101"/>
      <c r="I39" s="31" t="str">
        <f>IF(OR(A39="",B39="",B39=0,C39=""),"",60*C39/IF(B39&lt;1,B39*1440,B39))</f>
        <v/>
      </c>
      <c r="J39" s="32" t="str">
        <f ca="1">IF(OR(A39="",B39="",B39=0),"",60*SUM(INDIRECT(ADDRESS(MATCH(A39,SK!A$3:A$78,0)+2,COLUMN(SK!E$2),1,,"SK")),INDIRECT(ADDRESS(MATCH(A39,SK!Q$3:Q$78,0)+2,COLUMN(SK!U$2),1,,"SK")))/IF(B39&lt;1,B39*1440,B39))</f>
        <v/>
      </c>
    </row>
    <row r="40" spans="1:10" ht="22.5" customHeight="1" x14ac:dyDescent="0.3">
      <c r="A40" s="33" t="str">
        <f>IF(ISNUMBER(SK!B61), SK!A61, "")</f>
        <v/>
      </c>
      <c r="B40" s="34"/>
      <c r="C40" s="35"/>
      <c r="D40" s="35"/>
      <c r="E40" s="1102"/>
      <c r="F40" s="1103"/>
      <c r="G40" s="1103"/>
      <c r="H40" s="1104"/>
      <c r="I40" s="36" t="str">
        <f>IF(OR(A40="",B40="",B40=0,C40=""),"",60*C40/IF(B40&lt;1,B40*1440,B40))</f>
        <v/>
      </c>
      <c r="J40" s="37" t="str">
        <f ca="1">IF(OR(A40="",B40="",B40=0),"",60*SUM(INDIRECT(ADDRESS(MATCH(A40,SK!A$3:A$78,0)+2,COLUMN(SK!E$2),1,,"SK")),INDIRECT(ADDRESS(MATCH(A40,SK!Q$3:Q$78,0)+2,COLUMN(SK!U$2),1,,"SK")))/IF(B40&lt;1,B40*1440,B40))</f>
        <v/>
      </c>
    </row>
    <row r="41" spans="1:10" ht="22.5" customHeight="1" x14ac:dyDescent="0.3">
      <c r="A41" s="28" t="str">
        <f>IF(ISNUMBER(SK!B63), SK!A63, "")</f>
        <v/>
      </c>
      <c r="B41" s="29"/>
      <c r="C41" s="30"/>
      <c r="D41" s="30"/>
      <c r="E41" s="1099"/>
      <c r="F41" s="1100"/>
      <c r="G41" s="1100"/>
      <c r="H41" s="1101"/>
      <c r="I41" s="31" t="str">
        <f t="shared" ref="I41:I48" si="2">IF(OR(A41="",B41="",B41=0,C41=""),"",60*C41/IF(B41&lt;1,B41*1440,B41))</f>
        <v/>
      </c>
      <c r="J41" s="32" t="str">
        <f ca="1">IF(OR(A41="",B41="",B41=0),"",60*SUM(INDIRECT(ADDRESS(MATCH(A41,SK!A$3:A$78,0)+2,COLUMN(SK!E$2),1,,"SK")),INDIRECT(ADDRESS(MATCH(A41,SK!Q$3:Q$78,0)+2,COLUMN(SK!U$2),1,,"SK")))/IF(B41&lt;1,B41*1440,B41))</f>
        <v/>
      </c>
    </row>
    <row r="42" spans="1:10" ht="22.5" customHeight="1" x14ac:dyDescent="0.3">
      <c r="A42" s="33" t="str">
        <f>IF(ISNUMBER(SK!B65), SK!A65, "")</f>
        <v/>
      </c>
      <c r="B42" s="34"/>
      <c r="C42" s="35"/>
      <c r="D42" s="35"/>
      <c r="E42" s="1102"/>
      <c r="F42" s="1103"/>
      <c r="G42" s="1103"/>
      <c r="H42" s="1104"/>
      <c r="I42" s="36" t="str">
        <f t="shared" si="2"/>
        <v/>
      </c>
      <c r="J42" s="37" t="str">
        <f ca="1">IF(OR(A42="",B42="",B42=0),"",60*SUM(INDIRECT(ADDRESS(MATCH(A42,SK!A$3:A$78,0)+2,COLUMN(SK!E$2),1,,"SK")),INDIRECT(ADDRESS(MATCH(A42,SK!Q$3:Q$78,0)+2,COLUMN(SK!U$2),1,,"SK")))/IF(B42&lt;1,B42*1440,B42))</f>
        <v/>
      </c>
    </row>
    <row r="43" spans="1:10" ht="22.5" customHeight="1" x14ac:dyDescent="0.3">
      <c r="A43" s="28" t="str">
        <f>IF(ISNUMBER(SK!B67), SK!A67, "")</f>
        <v/>
      </c>
      <c r="B43" s="29"/>
      <c r="C43" s="30"/>
      <c r="D43" s="30"/>
      <c r="E43" s="1099"/>
      <c r="F43" s="1100"/>
      <c r="G43" s="1100"/>
      <c r="H43" s="1101"/>
      <c r="I43" s="31" t="str">
        <f t="shared" si="2"/>
        <v/>
      </c>
      <c r="J43" s="32" t="str">
        <f ca="1">IF(OR(A43="",B43="",B43=0),"",60*SUM(INDIRECT(ADDRESS(MATCH(A43,SK!A$3:A$78,0)+2,COLUMN(SK!E$2),1,,"SK")),INDIRECT(ADDRESS(MATCH(A43,SK!Q$3:Q$78,0)+2,COLUMN(SK!U$2),1,,"SK")))/IF(B43&lt;1,B43*1440,B43))</f>
        <v/>
      </c>
    </row>
    <row r="44" spans="1:10" ht="22.5" customHeight="1" x14ac:dyDescent="0.3">
      <c r="A44" s="33" t="str">
        <f>IF(ISNUMBER(SK!B69), SK!A69, "")</f>
        <v/>
      </c>
      <c r="B44" s="34"/>
      <c r="C44" s="35"/>
      <c r="D44" s="35"/>
      <c r="E44" s="1102"/>
      <c r="F44" s="1103"/>
      <c r="G44" s="1103"/>
      <c r="H44" s="1104"/>
      <c r="I44" s="36" t="str">
        <f t="shared" si="2"/>
        <v/>
      </c>
      <c r="J44" s="37" t="str">
        <f ca="1">IF(OR(A44="",B44="",B44=0),"",60*SUM(INDIRECT(ADDRESS(MATCH(A44,SK!A$3:A$78,0)+2,COLUMN(SK!E$2),1,,"SK")),INDIRECT(ADDRESS(MATCH(A44,SK!Q$3:Q$78,0)+2,COLUMN(SK!U$2),1,,"SK")))/IF(B44&lt;1,B44*1440,B44))</f>
        <v/>
      </c>
    </row>
    <row r="45" spans="1:10" ht="22.5" customHeight="1" x14ac:dyDescent="0.3">
      <c r="A45" s="28" t="str">
        <f>IF(ISNUMBER(SK!B71), SK!A71, "")</f>
        <v/>
      </c>
      <c r="B45" s="29"/>
      <c r="C45" s="30"/>
      <c r="D45" s="30"/>
      <c r="E45" s="1099"/>
      <c r="F45" s="1100"/>
      <c r="G45" s="1100"/>
      <c r="H45" s="1101"/>
      <c r="I45" s="31" t="str">
        <f t="shared" si="2"/>
        <v/>
      </c>
      <c r="J45" s="32" t="str">
        <f ca="1">IF(OR(A45="",B45="",B45=0),"",60*SUM(INDIRECT(ADDRESS(MATCH(A45,SK!A$3:A$78,0)+2,COLUMN(SK!E$2),1,,"SK")),INDIRECT(ADDRESS(MATCH(A45,SK!Q$3:Q$78,0)+2,COLUMN(SK!U$2),1,,"SK")))/IF(B45&lt;1,B45*1440,B45))</f>
        <v/>
      </c>
    </row>
    <row r="46" spans="1:10" ht="22.5" customHeight="1" x14ac:dyDescent="0.3">
      <c r="A46" s="33" t="str">
        <f>IF(ISNUMBER(SK!B73), SK!A73, "")</f>
        <v/>
      </c>
      <c r="B46" s="34"/>
      <c r="C46" s="35"/>
      <c r="D46" s="35"/>
      <c r="E46" s="1102"/>
      <c r="F46" s="1103"/>
      <c r="G46" s="1103"/>
      <c r="H46" s="1104"/>
      <c r="I46" s="36" t="str">
        <f t="shared" si="2"/>
        <v/>
      </c>
      <c r="J46" s="37" t="str">
        <f ca="1">IF(OR(A46="",B46="",B46=0),"",60*SUM(INDIRECT(ADDRESS(MATCH(A46,SK!A$3:A$78,0)+2,COLUMN(SK!E$2),1,,"SK")),INDIRECT(ADDRESS(MATCH(A46,SK!Q$3:Q$78,0)+2,COLUMN(SK!U$2),1,,"SK")))/IF(B46&lt;1,B46*1440,B46))</f>
        <v/>
      </c>
    </row>
    <row r="47" spans="1:10" ht="22.5" customHeight="1" x14ac:dyDescent="0.3">
      <c r="A47" s="28" t="str">
        <f>IF(ISNUMBER(SK!B75), SK!A75, "")</f>
        <v/>
      </c>
      <c r="B47" s="29"/>
      <c r="C47" s="30"/>
      <c r="D47" s="30"/>
      <c r="E47" s="1099"/>
      <c r="F47" s="1100"/>
      <c r="G47" s="1100"/>
      <c r="H47" s="1101"/>
      <c r="I47" s="31" t="str">
        <f t="shared" si="2"/>
        <v/>
      </c>
      <c r="J47" s="32" t="str">
        <f ca="1">IF(OR(A47="",B47="",B47=0),"",60*SUM(INDIRECT(ADDRESS(MATCH(A47,SK!A$3:A$78,0)+2,COLUMN(SK!E$2),1,,"SK")),INDIRECT(ADDRESS(MATCH(A47,SK!Q$3:Q$78,0)+2,COLUMN(SK!U$2),1,,"SK")))/IF(B47&lt;1,B47*1440,B47))</f>
        <v/>
      </c>
    </row>
    <row r="48" spans="1:10" ht="22.5" customHeight="1" thickBot="1" x14ac:dyDescent="0.35">
      <c r="A48" s="33" t="str">
        <f>IF(ISNUMBER(SK!B77), SK!A77, "")</f>
        <v/>
      </c>
      <c r="B48" s="34"/>
      <c r="C48" s="35"/>
      <c r="D48" s="35"/>
      <c r="E48" s="1105"/>
      <c r="F48" s="1106"/>
      <c r="G48" s="1106"/>
      <c r="H48" s="1107"/>
      <c r="I48" s="36" t="str">
        <f t="shared" si="2"/>
        <v/>
      </c>
      <c r="J48" s="37" t="str">
        <f ca="1">IF(OR(A48="",B48="",B48=0),"",60*SUM(INDIRECT(ADDRESS(MATCH(A48,SK!A$3:A$78,0)+2,COLUMN(SK!E$2),1,,"SK")),INDIRECT(ADDRESS(MATCH(A48,SK!Q$3:Q$78,0)+2,COLUMN(SK!U$2),1,,"SK")))/IF(B48&lt;1,B48*1440,B48))</f>
        <v/>
      </c>
    </row>
    <row r="49" spans="1:10" x14ac:dyDescent="0.3">
      <c r="A49" s="38" t="s">
        <v>65</v>
      </c>
      <c r="B49" s="39"/>
      <c r="C49" s="39" t="s">
        <v>473</v>
      </c>
      <c r="D49" s="39"/>
      <c r="E49" s="39"/>
      <c r="F49" s="39"/>
      <c r="G49" s="39"/>
      <c r="H49" s="39"/>
      <c r="I49" s="39"/>
      <c r="J49" s="40"/>
    </row>
    <row r="50" spans="1:10" x14ac:dyDescent="0.3">
      <c r="A50" s="41" t="s">
        <v>66</v>
      </c>
      <c r="B50" s="42"/>
      <c r="C50" s="42" t="s">
        <v>474</v>
      </c>
      <c r="D50" s="42"/>
      <c r="E50" s="42"/>
      <c r="F50" s="42"/>
      <c r="G50" s="42"/>
      <c r="H50" s="42"/>
      <c r="I50" s="42"/>
      <c r="J50" s="43"/>
    </row>
    <row r="51" spans="1:10" ht="14.4" thickBot="1" x14ac:dyDescent="0.35">
      <c r="A51" s="44" t="s">
        <v>67</v>
      </c>
      <c r="B51" s="45"/>
      <c r="C51" s="46" t="s">
        <v>251</v>
      </c>
      <c r="D51" s="45"/>
      <c r="E51" s="45"/>
      <c r="F51" s="45"/>
      <c r="G51" s="45"/>
      <c r="H51" s="456"/>
      <c r="I51" s="45"/>
      <c r="J51" s="47"/>
    </row>
    <row r="52" spans="1:10" s="2" customFormat="1" ht="29.1" customHeight="1" x14ac:dyDescent="0.3">
      <c r="A52" s="60" t="s">
        <v>249</v>
      </c>
      <c r="B52" s="1126" t="str">
        <f>Score!$A$1</f>
        <v>Tri-City Roller Derby / Plan B</v>
      </c>
      <c r="C52" s="1126"/>
      <c r="D52" s="1126"/>
      <c r="E52" s="664" t="str">
        <f>E1</f>
        <v/>
      </c>
      <c r="F52" s="1112"/>
      <c r="G52" s="1112"/>
      <c r="H52" s="1112"/>
      <c r="I52" s="1127">
        <f>IF(ISBLANK(IGRF!$B$7), "", IGRF!$B$7)</f>
        <v>42105</v>
      </c>
      <c r="J52" s="1134">
        <v>2</v>
      </c>
    </row>
    <row r="53" spans="1:10" s="2" customFormat="1" ht="15" customHeight="1" x14ac:dyDescent="0.3">
      <c r="A53" s="1129" t="s">
        <v>250</v>
      </c>
      <c r="B53" s="1126" t="str">
        <f>Score!$T$1</f>
        <v>Hammer City Roller Girls / Harlots</v>
      </c>
      <c r="C53" s="1126"/>
      <c r="D53" s="1126"/>
      <c r="E53" s="1115" t="str">
        <f>E2</f>
        <v/>
      </c>
      <c r="F53" s="1113"/>
      <c r="G53" s="1113"/>
      <c r="H53" s="1113"/>
      <c r="I53" s="1128"/>
      <c r="J53" s="1134"/>
    </row>
    <row r="54" spans="1:10" s="2" customFormat="1" ht="15" customHeight="1" thickBot="1" x14ac:dyDescent="0.35">
      <c r="A54" s="1129"/>
      <c r="B54" s="1126"/>
      <c r="C54" s="1126"/>
      <c r="D54" s="1126"/>
      <c r="E54" s="1116"/>
      <c r="F54" s="1114" t="s">
        <v>243</v>
      </c>
      <c r="G54" s="1114"/>
      <c r="H54" s="1114"/>
      <c r="I54" s="164" t="s">
        <v>248</v>
      </c>
      <c r="J54" s="165" t="str">
        <f>J3</f>
        <v>GAME 2</v>
      </c>
    </row>
    <row r="55" spans="1:10" s="6" customFormat="1" ht="15" customHeight="1" thickBot="1" x14ac:dyDescent="0.3">
      <c r="A55" s="24"/>
      <c r="B55" s="1139" t="s">
        <v>55</v>
      </c>
      <c r="C55" s="1139"/>
      <c r="D55" s="1139" t="s">
        <v>56</v>
      </c>
      <c r="E55" s="1139"/>
      <c r="F55" s="1139"/>
      <c r="G55" s="1117" t="s">
        <v>57</v>
      </c>
      <c r="H55" s="1117"/>
      <c r="I55" s="1135" t="s">
        <v>174</v>
      </c>
      <c r="J55" s="1135"/>
    </row>
    <row r="56" spans="1:10" ht="21" customHeight="1" thickBot="1" x14ac:dyDescent="0.35">
      <c r="A56" s="25" t="s">
        <v>142</v>
      </c>
      <c r="B56" s="1140" t="str">
        <f>IF(B5="", "",B5 )</f>
        <v/>
      </c>
      <c r="C56" s="1140"/>
      <c r="D56" s="1124"/>
      <c r="E56" s="1125"/>
      <c r="F56" s="1123"/>
      <c r="G56" s="1124"/>
      <c r="H56" s="1108"/>
      <c r="I56" s="1137" t="str">
        <f>I5</f>
        <v>Tri-City Roller Derby / Plan B</v>
      </c>
      <c r="J56" s="1137"/>
    </row>
    <row r="57" spans="1:10" ht="21" customHeight="1" thickBot="1" x14ac:dyDescent="0.35">
      <c r="A57" s="26" t="s">
        <v>148</v>
      </c>
      <c r="B57" s="1141" t="str">
        <f>IF(B6="", "",B6 )</f>
        <v/>
      </c>
      <c r="C57" s="1141"/>
      <c r="D57" s="1124"/>
      <c r="E57" s="1125"/>
      <c r="F57" s="1123"/>
      <c r="G57" s="1124"/>
      <c r="H57" s="1109"/>
      <c r="I57" s="1137"/>
      <c r="J57" s="1137"/>
    </row>
    <row r="58" spans="1:10" ht="21" customHeight="1" thickBot="1" x14ac:dyDescent="0.35">
      <c r="A58" s="25" t="s">
        <v>142</v>
      </c>
      <c r="B58" s="1140" t="str">
        <f>IF(B7="", "",B7 )</f>
        <v/>
      </c>
      <c r="C58" s="1140"/>
      <c r="D58" s="1124"/>
      <c r="E58" s="1125"/>
      <c r="F58" s="1123"/>
      <c r="G58" s="1124"/>
      <c r="H58" s="1110"/>
      <c r="I58" s="1137" t="str">
        <f>I7</f>
        <v>Hammer City Roller Girls / Harlots</v>
      </c>
      <c r="J58" s="1137"/>
    </row>
    <row r="59" spans="1:10" ht="21" customHeight="1" thickBot="1" x14ac:dyDescent="0.35">
      <c r="A59" s="26" t="s">
        <v>148</v>
      </c>
      <c r="B59" s="1141" t="str">
        <f>IF(B8="", "",B8 )</f>
        <v/>
      </c>
      <c r="C59" s="1141"/>
      <c r="D59" s="1124"/>
      <c r="E59" s="1125"/>
      <c r="F59" s="1123"/>
      <c r="G59" s="1124"/>
      <c r="H59" s="1111"/>
      <c r="I59" s="1137"/>
      <c r="J59" s="1137"/>
    </row>
    <row r="60" spans="1:10" ht="14.4" thickBot="1" x14ac:dyDescent="0.35">
      <c r="A60" s="1130" t="s">
        <v>58</v>
      </c>
      <c r="B60" s="1130"/>
      <c r="C60" s="1130"/>
      <c r="D60" s="1130"/>
      <c r="E60" s="1130"/>
      <c r="F60" s="1130"/>
      <c r="G60" s="1130"/>
      <c r="H60" s="1131"/>
      <c r="I60" s="1130"/>
      <c r="J60" s="1130"/>
    </row>
    <row r="61" spans="1:10" s="6" customFormat="1" ht="15" customHeight="1" x14ac:dyDescent="0.25">
      <c r="A61" s="48" t="s">
        <v>191</v>
      </c>
      <c r="B61" s="49" t="s">
        <v>59</v>
      </c>
      <c r="C61" s="49" t="s">
        <v>60</v>
      </c>
      <c r="D61" s="49" t="s">
        <v>61</v>
      </c>
      <c r="E61" s="1142" t="s">
        <v>62</v>
      </c>
      <c r="F61" s="1142"/>
      <c r="G61" s="1142"/>
      <c r="H61" s="457"/>
      <c r="I61" s="49" t="s">
        <v>63</v>
      </c>
      <c r="J61" s="50" t="s">
        <v>64</v>
      </c>
    </row>
    <row r="62" spans="1:10" ht="22.5" customHeight="1" x14ac:dyDescent="0.3">
      <c r="A62" s="28">
        <f>IF(ISNUMBER(SK!B88), SK!A88, "")</f>
        <v>1</v>
      </c>
      <c r="B62" s="29"/>
      <c r="C62" s="30"/>
      <c r="D62" s="30"/>
      <c r="E62" s="1099"/>
      <c r="F62" s="1100"/>
      <c r="G62" s="1100"/>
      <c r="H62" s="1101"/>
      <c r="I62" s="31" t="str">
        <f t="shared" ref="I62:I92" si="3">IF(OR(A62="",B62="",B62=0,C62=""),"",60*C62/IF(B62&lt;1,B62*1440,B62))</f>
        <v/>
      </c>
      <c r="J62" s="32" t="str">
        <f ca="1">IF(OR(A62="",B62="",B62=0),"",60*SUM(INDIRECT(ADDRESS(MATCH(A62,SK!A$88:A$162,0)+87,COLUMN(SK!E$2),1,,"SK")),INDIRECT(ADDRESS(MATCH(A62,SK!Q$88:Q$162,0)+87,COLUMN(SK!U$2),1,,"SK")))/IF(B62&lt;1,B62*1440,B62))</f>
        <v/>
      </c>
    </row>
    <row r="63" spans="1:10" ht="22.5" customHeight="1" x14ac:dyDescent="0.3">
      <c r="A63" s="33">
        <f>IF(ISNUMBER(SK!B90), SK!A90, "")</f>
        <v>2</v>
      </c>
      <c r="B63" s="34"/>
      <c r="C63" s="35"/>
      <c r="D63" s="35"/>
      <c r="E63" s="1102"/>
      <c r="F63" s="1103"/>
      <c r="G63" s="1103"/>
      <c r="H63" s="1104"/>
      <c r="I63" s="36" t="str">
        <f t="shared" si="3"/>
        <v/>
      </c>
      <c r="J63" s="37" t="str">
        <f ca="1">IF(OR(A63="",B63="",B63=0),"",60*SUM(INDIRECT(ADDRESS(MATCH(A63,SK!A$88:A$162,0)+87,COLUMN(SK!E$2),1,,"SK")),INDIRECT(ADDRESS(MATCH(A63,SK!Q$88:Q$162,0)+87,COLUMN(SK!U$2),1,,"SK")))/IF(B63&lt;1,B63*1440,B63))</f>
        <v/>
      </c>
    </row>
    <row r="64" spans="1:10" ht="22.5" customHeight="1" x14ac:dyDescent="0.3">
      <c r="A64" s="28">
        <f>IF(ISNUMBER(SK!B92), SK!A92, "")</f>
        <v>3</v>
      </c>
      <c r="B64" s="29"/>
      <c r="C64" s="30"/>
      <c r="D64" s="30"/>
      <c r="E64" s="1099"/>
      <c r="F64" s="1100"/>
      <c r="G64" s="1100"/>
      <c r="H64" s="1101"/>
      <c r="I64" s="31" t="str">
        <f t="shared" si="3"/>
        <v/>
      </c>
      <c r="J64" s="32" t="str">
        <f ca="1">IF(OR(A64="",B64="",B64=0),"",60*SUM(INDIRECT(ADDRESS(MATCH(A64,SK!A$88:A$162,0)+87,COLUMN(SK!E$2),1,,"SK")),INDIRECT(ADDRESS(MATCH(A64,SK!Q$88:Q$162,0)+87,COLUMN(SK!U$2),1,,"SK")))/IF(B64&lt;1,B64*1440,B64))</f>
        <v/>
      </c>
    </row>
    <row r="65" spans="1:10" ht="22.5" customHeight="1" x14ac:dyDescent="0.3">
      <c r="A65" s="33">
        <f>IF(ISNUMBER(SK!B94), SK!A94, "")</f>
        <v>4</v>
      </c>
      <c r="B65" s="34"/>
      <c r="C65" s="35"/>
      <c r="D65" s="35"/>
      <c r="E65" s="1102"/>
      <c r="F65" s="1103"/>
      <c r="G65" s="1103"/>
      <c r="H65" s="1104"/>
      <c r="I65" s="36" t="str">
        <f t="shared" si="3"/>
        <v/>
      </c>
      <c r="J65" s="37" t="str">
        <f ca="1">IF(OR(A65="",B65="",B65=0),"",60*SUM(INDIRECT(ADDRESS(MATCH(A65,SK!A$88:A$162,0)+87,COLUMN(SK!E$2),1,,"SK")),INDIRECT(ADDRESS(MATCH(A65,SK!Q$88:Q$162,0)+87,COLUMN(SK!U$2),1,,"SK")))/IF(B65&lt;1,B65*1440,B65))</f>
        <v/>
      </c>
    </row>
    <row r="66" spans="1:10" ht="22.5" customHeight="1" x14ac:dyDescent="0.3">
      <c r="A66" s="28">
        <f>IF(ISNUMBER(SK!B96), SK!A96, "")</f>
        <v>5</v>
      </c>
      <c r="B66" s="29"/>
      <c r="C66" s="30"/>
      <c r="D66" s="30"/>
      <c r="E66" s="1099"/>
      <c r="F66" s="1100"/>
      <c r="G66" s="1100"/>
      <c r="H66" s="1101"/>
      <c r="I66" s="31" t="str">
        <f t="shared" si="3"/>
        <v/>
      </c>
      <c r="J66" s="32" t="str">
        <f ca="1">IF(OR(A66="",B66="",B66=0),"",60*SUM(INDIRECT(ADDRESS(MATCH(A66,SK!A$88:A$162,0)+87,COLUMN(SK!E$2),1,,"SK")),INDIRECT(ADDRESS(MATCH(A66,SK!Q$88:Q$162,0)+87,COLUMN(SK!U$2),1,,"SK")))/IF(B66&lt;1,B66*1440,B66))</f>
        <v/>
      </c>
    </row>
    <row r="67" spans="1:10" ht="22.5" customHeight="1" x14ac:dyDescent="0.3">
      <c r="A67" s="33">
        <f>IF(ISNUMBER(SK!B98), SK!A98, "")</f>
        <v>6</v>
      </c>
      <c r="B67" s="34"/>
      <c r="C67" s="35"/>
      <c r="D67" s="35"/>
      <c r="E67" s="1102"/>
      <c r="F67" s="1103"/>
      <c r="G67" s="1103"/>
      <c r="H67" s="1104"/>
      <c r="I67" s="36" t="str">
        <f t="shared" si="3"/>
        <v/>
      </c>
      <c r="J67" s="37" t="str">
        <f ca="1">IF(OR(A67="",B67="",B67=0),"",60*SUM(INDIRECT(ADDRESS(MATCH(A67,SK!A$88:A$162,0)+87,COLUMN(SK!E$2),1,,"SK")),INDIRECT(ADDRESS(MATCH(A67,SK!Q$88:Q$162,0)+87,COLUMN(SK!U$2),1,,"SK")))/IF(B67&lt;1,B67*1440,B67))</f>
        <v/>
      </c>
    </row>
    <row r="68" spans="1:10" ht="22.5" customHeight="1" x14ac:dyDescent="0.3">
      <c r="A68" s="28">
        <f>IF(ISNUMBER(SK!B100), SK!A100, "")</f>
        <v>7</v>
      </c>
      <c r="B68" s="29"/>
      <c r="C68" s="30"/>
      <c r="D68" s="30"/>
      <c r="E68" s="1099"/>
      <c r="F68" s="1100"/>
      <c r="G68" s="1100"/>
      <c r="H68" s="1101"/>
      <c r="I68" s="31" t="str">
        <f t="shared" si="3"/>
        <v/>
      </c>
      <c r="J68" s="32" t="str">
        <f ca="1">IF(OR(A68="",B68="",B68=0),"",60*SUM(INDIRECT(ADDRESS(MATCH(A68,SK!A$88:A$162,0)+87,COLUMN(SK!E$2),1,,"SK")),INDIRECT(ADDRESS(MATCH(A68,SK!Q$88:Q$162,0)+87,COLUMN(SK!U$2),1,,"SK")))/IF(B68&lt;1,B68*1440,B68))</f>
        <v/>
      </c>
    </row>
    <row r="69" spans="1:10" ht="22.5" customHeight="1" x14ac:dyDescent="0.3">
      <c r="A69" s="33">
        <f>IF(ISNUMBER(SK!B102), SK!A102, "")</f>
        <v>8</v>
      </c>
      <c r="B69" s="34"/>
      <c r="C69" s="35"/>
      <c r="D69" s="35"/>
      <c r="E69" s="1102"/>
      <c r="F69" s="1103"/>
      <c r="G69" s="1103"/>
      <c r="H69" s="1104"/>
      <c r="I69" s="36" t="str">
        <f t="shared" si="3"/>
        <v/>
      </c>
      <c r="J69" s="37" t="str">
        <f ca="1">IF(OR(A69="",B69="",B69=0),"",60*SUM(INDIRECT(ADDRESS(MATCH(A69,SK!A$88:A$162,0)+87,COLUMN(SK!E$2),1,,"SK")),INDIRECT(ADDRESS(MATCH(A69,SK!Q$88:Q$162,0)+87,COLUMN(SK!U$2),1,,"SK")))/IF(B69&lt;1,B69*1440,B69))</f>
        <v/>
      </c>
    </row>
    <row r="70" spans="1:10" ht="22.5" customHeight="1" x14ac:dyDescent="0.3">
      <c r="A70" s="28">
        <f>IF(ISNUMBER(SK!B104), SK!A104, "")</f>
        <v>9</v>
      </c>
      <c r="B70" s="29"/>
      <c r="C70" s="30"/>
      <c r="D70" s="30"/>
      <c r="E70" s="1099"/>
      <c r="F70" s="1100"/>
      <c r="G70" s="1100"/>
      <c r="H70" s="1101"/>
      <c r="I70" s="31" t="str">
        <f t="shared" si="3"/>
        <v/>
      </c>
      <c r="J70" s="32" t="str">
        <f ca="1">IF(OR(A70="",B70="",B70=0),"",60*SUM(INDIRECT(ADDRESS(MATCH(A70,SK!A$88:A$162,0)+87,COLUMN(SK!E$2),1,,"SK")),INDIRECT(ADDRESS(MATCH(A70,SK!Q$88:Q$162,0)+87,COLUMN(SK!U$2),1,,"SK")))/IF(B70&lt;1,B70*1440,B70))</f>
        <v/>
      </c>
    </row>
    <row r="71" spans="1:10" ht="22.5" customHeight="1" x14ac:dyDescent="0.3">
      <c r="A71" s="33">
        <f>IF(ISNUMBER(SK!B106), SK!A106, "")</f>
        <v>10</v>
      </c>
      <c r="B71" s="34"/>
      <c r="C71" s="35"/>
      <c r="D71" s="35"/>
      <c r="E71" s="1102"/>
      <c r="F71" s="1103"/>
      <c r="G71" s="1103"/>
      <c r="H71" s="1104"/>
      <c r="I71" s="36" t="str">
        <f t="shared" si="3"/>
        <v/>
      </c>
      <c r="J71" s="37" t="str">
        <f ca="1">IF(OR(A71="",B71="",B71=0),"",60*SUM(INDIRECT(ADDRESS(MATCH(A71,SK!A$88:A$162,0)+87,COLUMN(SK!E$2),1,,"SK")),INDIRECT(ADDRESS(MATCH(A71,SK!Q$88:Q$162,0)+87,COLUMN(SK!U$2),1,,"SK")))/IF(B71&lt;1,B71*1440,B71))</f>
        <v/>
      </c>
    </row>
    <row r="72" spans="1:10" ht="22.5" customHeight="1" x14ac:dyDescent="0.3">
      <c r="A72" s="28">
        <f>IF(ISNUMBER(SK!B108), SK!A108, "")</f>
        <v>11</v>
      </c>
      <c r="B72" s="29"/>
      <c r="C72" s="30"/>
      <c r="D72" s="30"/>
      <c r="E72" s="1099"/>
      <c r="F72" s="1100"/>
      <c r="G72" s="1100"/>
      <c r="H72" s="1101"/>
      <c r="I72" s="31" t="str">
        <f t="shared" si="3"/>
        <v/>
      </c>
      <c r="J72" s="32" t="str">
        <f ca="1">IF(OR(A72="",B72="",B72=0),"",60*SUM(INDIRECT(ADDRESS(MATCH(A72,SK!A$88:A$162,0)+87,COLUMN(SK!E$2),1,,"SK")),INDIRECT(ADDRESS(MATCH(A72,SK!Q$88:Q$162,0)+87,COLUMN(SK!U$2),1,,"SK")))/IF(B72&lt;1,B72*1440,B72))</f>
        <v/>
      </c>
    </row>
    <row r="73" spans="1:10" ht="22.5" customHeight="1" x14ac:dyDescent="0.3">
      <c r="A73" s="33">
        <f>IF(ISNUMBER(SK!B110), SK!A110, "")</f>
        <v>12</v>
      </c>
      <c r="B73" s="34"/>
      <c r="C73" s="35"/>
      <c r="D73" s="35"/>
      <c r="E73" s="1102"/>
      <c r="F73" s="1103"/>
      <c r="G73" s="1103"/>
      <c r="H73" s="1104"/>
      <c r="I73" s="36" t="str">
        <f t="shared" si="3"/>
        <v/>
      </c>
      <c r="J73" s="37" t="str">
        <f ca="1">IF(OR(A73="",B73="",B73=0),"",60*SUM(INDIRECT(ADDRESS(MATCH(A73,SK!A$88:A$162,0)+87,COLUMN(SK!E$2),1,,"SK")),INDIRECT(ADDRESS(MATCH(A73,SK!Q$88:Q$162,0)+87,COLUMN(SK!U$2),1,,"SK")))/IF(B73&lt;1,B73*1440,B73))</f>
        <v/>
      </c>
    </row>
    <row r="74" spans="1:10" ht="22.5" customHeight="1" x14ac:dyDescent="0.3">
      <c r="A74" s="28">
        <f>IF(ISNUMBER(SK!B112), SK!A112, "")</f>
        <v>13</v>
      </c>
      <c r="B74" s="29"/>
      <c r="C74" s="30"/>
      <c r="D74" s="30"/>
      <c r="E74" s="1099"/>
      <c r="F74" s="1100"/>
      <c r="G74" s="1100"/>
      <c r="H74" s="1101"/>
      <c r="I74" s="31" t="str">
        <f t="shared" si="3"/>
        <v/>
      </c>
      <c r="J74" s="32" t="str">
        <f ca="1">IF(OR(A74="",B74="",B74=0),"",60*SUM(INDIRECT(ADDRESS(MATCH(A74,SK!A$88:A$162,0)+87,COLUMN(SK!E$2),1,,"SK")),INDIRECT(ADDRESS(MATCH(A74,SK!Q$88:Q$162,0)+87,COLUMN(SK!U$2),1,,"SK")))/IF(B74&lt;1,B74*1440,B74))</f>
        <v/>
      </c>
    </row>
    <row r="75" spans="1:10" ht="22.5" customHeight="1" x14ac:dyDescent="0.3">
      <c r="A75" s="33">
        <f>IF(ISNUMBER(SK!B114), SK!A114, "")</f>
        <v>14</v>
      </c>
      <c r="B75" s="34"/>
      <c r="C75" s="35"/>
      <c r="D75" s="35"/>
      <c r="E75" s="1102"/>
      <c r="F75" s="1103"/>
      <c r="G75" s="1103"/>
      <c r="H75" s="1104"/>
      <c r="I75" s="36" t="str">
        <f t="shared" si="3"/>
        <v/>
      </c>
      <c r="J75" s="37" t="str">
        <f ca="1">IF(OR(A75="",B75="",B75=0),"",60*SUM(INDIRECT(ADDRESS(MATCH(A75,SK!A$88:A$162,0)+87,COLUMN(SK!E$2),1,,"SK")),INDIRECT(ADDRESS(MATCH(A75,SK!Q$88:Q$162,0)+87,COLUMN(SK!U$2),1,,"SK")))/IF(B75&lt;1,B75*1440,B75))</f>
        <v/>
      </c>
    </row>
    <row r="76" spans="1:10" ht="22.5" customHeight="1" x14ac:dyDescent="0.3">
      <c r="A76" s="28">
        <f>IF(ISNUMBER(SK!B116), SK!A116, "")</f>
        <v>15</v>
      </c>
      <c r="B76" s="29"/>
      <c r="C76" s="30"/>
      <c r="D76" s="30"/>
      <c r="E76" s="1099"/>
      <c r="F76" s="1100"/>
      <c r="G76" s="1100"/>
      <c r="H76" s="1101"/>
      <c r="I76" s="31" t="str">
        <f t="shared" si="3"/>
        <v/>
      </c>
      <c r="J76" s="32" t="str">
        <f ca="1">IF(OR(A76="",B76="",B76=0),"",60*SUM(INDIRECT(ADDRESS(MATCH(A76,SK!A$88:A$162,0)+87,COLUMN(SK!E$2),1,,"SK")),INDIRECT(ADDRESS(MATCH(A76,SK!Q$88:Q$162,0)+87,COLUMN(SK!U$2),1,,"SK")))/IF(B76&lt;1,B76*1440,B76))</f>
        <v/>
      </c>
    </row>
    <row r="77" spans="1:10" ht="22.5" customHeight="1" x14ac:dyDescent="0.3">
      <c r="A77" s="33">
        <f>IF(ISNUMBER(SK!B118), SK!A118, "")</f>
        <v>16</v>
      </c>
      <c r="B77" s="34"/>
      <c r="C77" s="35"/>
      <c r="D77" s="35"/>
      <c r="E77" s="1102"/>
      <c r="F77" s="1103"/>
      <c r="G77" s="1103"/>
      <c r="H77" s="1104"/>
      <c r="I77" s="36" t="str">
        <f t="shared" si="3"/>
        <v/>
      </c>
      <c r="J77" s="37" t="str">
        <f ca="1">IF(OR(A77="",B77="",B77=0),"",60*SUM(INDIRECT(ADDRESS(MATCH(A77,SK!A$88:A$162,0)+87,COLUMN(SK!E$2),1,,"SK")),INDIRECT(ADDRESS(MATCH(A77,SK!Q$88:Q$162,0)+87,COLUMN(SK!U$2),1,,"SK")))/IF(B77&lt;1,B77*1440,B77))</f>
        <v/>
      </c>
    </row>
    <row r="78" spans="1:10" ht="22.5" customHeight="1" x14ac:dyDescent="0.3">
      <c r="A78" s="28">
        <f>IF(ISNUMBER(SK!B120), SK!A120, "")</f>
        <v>17</v>
      </c>
      <c r="B78" s="29"/>
      <c r="C78" s="30"/>
      <c r="D78" s="30"/>
      <c r="E78" s="1099"/>
      <c r="F78" s="1100"/>
      <c r="G78" s="1100"/>
      <c r="H78" s="1101"/>
      <c r="I78" s="31" t="str">
        <f t="shared" si="3"/>
        <v/>
      </c>
      <c r="J78" s="32" t="str">
        <f ca="1">IF(OR(A78="",B78="",B78=0),"",60*SUM(INDIRECT(ADDRESS(MATCH(A78,SK!A$88:A$162,0)+87,COLUMN(SK!E$2),1,,"SK")),INDIRECT(ADDRESS(MATCH(A78,SK!Q$88:Q$162,0)+87,COLUMN(SK!U$2),1,,"SK")))/IF(B78&lt;1,B78*1440,B78))</f>
        <v/>
      </c>
    </row>
    <row r="79" spans="1:10" ht="22.5" customHeight="1" x14ac:dyDescent="0.3">
      <c r="A79" s="33">
        <f>IF(ISNUMBER(SK!B122), SK!A122, "")</f>
        <v>18</v>
      </c>
      <c r="B79" s="34"/>
      <c r="C79" s="35"/>
      <c r="D79" s="35"/>
      <c r="E79" s="1102"/>
      <c r="F79" s="1103"/>
      <c r="G79" s="1103"/>
      <c r="H79" s="1104"/>
      <c r="I79" s="36" t="str">
        <f t="shared" si="3"/>
        <v/>
      </c>
      <c r="J79" s="37" t="str">
        <f ca="1">IF(OR(A79="",B79="",B79=0),"",60*SUM(INDIRECT(ADDRESS(MATCH(A79,SK!A$88:A$162,0)+87,COLUMN(SK!E$2),1,,"SK")),INDIRECT(ADDRESS(MATCH(A79,SK!Q$88:Q$162,0)+87,COLUMN(SK!U$2),1,,"SK")))/IF(B79&lt;1,B79*1440,B79))</f>
        <v/>
      </c>
    </row>
    <row r="80" spans="1:10" ht="22.5" customHeight="1" x14ac:dyDescent="0.3">
      <c r="A80" s="28" t="str">
        <f>IF(ISNUMBER(SK!B124), SK!A124, "")</f>
        <v/>
      </c>
      <c r="B80" s="29"/>
      <c r="C80" s="30"/>
      <c r="D80" s="30"/>
      <c r="E80" s="1099"/>
      <c r="F80" s="1100"/>
      <c r="G80" s="1100"/>
      <c r="H80" s="1101"/>
      <c r="I80" s="31" t="str">
        <f t="shared" si="3"/>
        <v/>
      </c>
      <c r="J80" s="32" t="str">
        <f ca="1">IF(OR(A80="",B80="",B80=0),"",60*SUM(INDIRECT(ADDRESS(MATCH(A80,SK!A$88:A$162,0)+87,COLUMN(SK!E$2),1,,"SK")),INDIRECT(ADDRESS(MATCH(A80,SK!Q$88:Q$162,0)+87,COLUMN(SK!U$2),1,,"SK")))/IF(B80&lt;1,B80*1440,B80))</f>
        <v/>
      </c>
    </row>
    <row r="81" spans="1:10" ht="22.5" customHeight="1" x14ac:dyDescent="0.3">
      <c r="A81" s="33" t="str">
        <f>IF(ISNUMBER(SK!B126), SK!A126, "")</f>
        <v/>
      </c>
      <c r="B81" s="34"/>
      <c r="C81" s="35"/>
      <c r="D81" s="35"/>
      <c r="E81" s="1102"/>
      <c r="F81" s="1103"/>
      <c r="G81" s="1103"/>
      <c r="H81" s="1104"/>
      <c r="I81" s="36" t="str">
        <f t="shared" si="3"/>
        <v/>
      </c>
      <c r="J81" s="37" t="str">
        <f ca="1">IF(OR(A81="",B81="",B81=0),"",60*SUM(INDIRECT(ADDRESS(MATCH(A81,SK!A$88:A$162,0)+87,COLUMN(SK!E$2),1,,"SK")),INDIRECT(ADDRESS(MATCH(A81,SK!Q$88:Q$162,0)+87,COLUMN(SK!U$2),1,,"SK")))/IF(B81&lt;1,B81*1440,B81))</f>
        <v/>
      </c>
    </row>
    <row r="82" spans="1:10" ht="22.5" customHeight="1" x14ac:dyDescent="0.3">
      <c r="A82" s="28" t="str">
        <f>IF(ISNUMBER(SK!B128), SK!A128, "")</f>
        <v/>
      </c>
      <c r="B82" s="29"/>
      <c r="C82" s="30"/>
      <c r="D82" s="30"/>
      <c r="E82" s="1099"/>
      <c r="F82" s="1100"/>
      <c r="G82" s="1100"/>
      <c r="H82" s="1101"/>
      <c r="I82" s="31" t="str">
        <f>IF(OR(A82="",B82="",B82=0,C82=""),"",60*C82/IF(B82&lt;1,B82*1440,B82))</f>
        <v/>
      </c>
      <c r="J82" s="32" t="str">
        <f ca="1">IF(OR(A82="",B82="",B82=0),"",60*SUM(INDIRECT(ADDRESS(MATCH(A82,SK!A$88:A$162,0)+87,COLUMN(SK!E$2),1,,"SK")),INDIRECT(ADDRESS(MATCH(A82,SK!Q$88:Q$162,0)+87,COLUMN(SK!U$2),1,,"SK")))/IF(B82&lt;1,B82*1440,B82))</f>
        <v/>
      </c>
    </row>
    <row r="83" spans="1:10" ht="22.5" customHeight="1" x14ac:dyDescent="0.3">
      <c r="A83" s="33" t="str">
        <f>IF(ISNUMBER(SK!B130), SK!A130, "")</f>
        <v/>
      </c>
      <c r="B83" s="34"/>
      <c r="C83" s="35"/>
      <c r="D83" s="35"/>
      <c r="E83" s="1102"/>
      <c r="F83" s="1103"/>
      <c r="G83" s="1103"/>
      <c r="H83" s="1104"/>
      <c r="I83" s="36" t="str">
        <f>IF(OR(A83="",B83="",B83=0,C83=""),"",60*C83/IF(B83&lt;1,B83*1440,B83))</f>
        <v/>
      </c>
      <c r="J83" s="37" t="str">
        <f ca="1">IF(OR(A83="",B83="",B83=0),"",60*SUM(INDIRECT(ADDRESS(MATCH(A83,SK!A$88:A$162,0)+87,COLUMN(SK!E$2),1,,"SK")),INDIRECT(ADDRESS(MATCH(A83,SK!Q$88:Q$162,0)+87,COLUMN(SK!U$2),1,,"SK")))/IF(B83&lt;1,B83*1440,B83))</f>
        <v/>
      </c>
    </row>
    <row r="84" spans="1:10" ht="22.5" customHeight="1" x14ac:dyDescent="0.3">
      <c r="A84" s="28" t="str">
        <f>IF(ISNUMBER(SK!B132), SK!A132, "")</f>
        <v/>
      </c>
      <c r="B84" s="29"/>
      <c r="C84" s="30"/>
      <c r="D84" s="30"/>
      <c r="E84" s="1099"/>
      <c r="F84" s="1100"/>
      <c r="G84" s="1100"/>
      <c r="H84" s="1101"/>
      <c r="I84" s="31" t="str">
        <f>IF(OR(A84="",B84="",B84=0,C84=""),"",60*C84/IF(B84&lt;1,B84*1440,B84))</f>
        <v/>
      </c>
      <c r="J84" s="32" t="str">
        <f ca="1">IF(OR(A84="",B84="",B84=0),"",60*SUM(INDIRECT(ADDRESS(MATCH(A84,SK!A$88:A$162,0)+87,COLUMN(SK!E$2),1,,"SK")),INDIRECT(ADDRESS(MATCH(A84,SK!Q$88:Q$162,0)+87,COLUMN(SK!U$2),1,,"SK")))/IF(B84&lt;1,B84*1440,B84))</f>
        <v/>
      </c>
    </row>
    <row r="85" spans="1:10" ht="22.5" customHeight="1" x14ac:dyDescent="0.3">
      <c r="A85" s="33" t="str">
        <f>IF(ISNUMBER(SK!B134), SK!A134, "")</f>
        <v/>
      </c>
      <c r="B85" s="34"/>
      <c r="C85" s="35"/>
      <c r="D85" s="35"/>
      <c r="E85" s="1102"/>
      <c r="F85" s="1103"/>
      <c r="G85" s="1103"/>
      <c r="H85" s="1104"/>
      <c r="I85" s="36" t="str">
        <f>IF(OR(A85="",B85="",B85=0,C85=""),"",60*C85/IF(B85&lt;1,B85*1440,B85))</f>
        <v/>
      </c>
      <c r="J85" s="37" t="str">
        <f ca="1">IF(OR(A85="",B85="",B85=0),"",60*SUM(INDIRECT(ADDRESS(MATCH(A85,SK!A$88:A$162,0)+87,COLUMN(SK!E$2),1,,"SK")),INDIRECT(ADDRESS(MATCH(A85,SK!Q$88:Q$162,0)+87,COLUMN(SK!U$2),1,,"SK")))/IF(B85&lt;1,B85*1440,B85))</f>
        <v/>
      </c>
    </row>
    <row r="86" spans="1:10" ht="22.5" customHeight="1" x14ac:dyDescent="0.3">
      <c r="A86" s="28" t="str">
        <f>IF(ISNUMBER(SK!B136), SK!A136, "")</f>
        <v/>
      </c>
      <c r="B86" s="29"/>
      <c r="C86" s="30"/>
      <c r="D86" s="30"/>
      <c r="E86" s="1099"/>
      <c r="F86" s="1100"/>
      <c r="G86" s="1100"/>
      <c r="H86" s="1101"/>
      <c r="I86" s="31" t="str">
        <f t="shared" si="3"/>
        <v/>
      </c>
      <c r="J86" s="32" t="str">
        <f ca="1">IF(OR(A86="",B86="",B86=0),"",60*SUM(INDIRECT(ADDRESS(MATCH(A86,SK!A$88:A$162,0)+87,COLUMN(SK!E$2),1,,"SK")),INDIRECT(ADDRESS(MATCH(A86,SK!Q$88:Q$162,0)+87,COLUMN(SK!U$2),1,,"SK")))/IF(B86&lt;1,B86*1440,B86))</f>
        <v/>
      </c>
    </row>
    <row r="87" spans="1:10" ht="22.5" customHeight="1" x14ac:dyDescent="0.3">
      <c r="A87" s="33" t="str">
        <f>IF(ISNUMBER(SK!B138), SK!A138, "")</f>
        <v/>
      </c>
      <c r="B87" s="34"/>
      <c r="C87" s="35"/>
      <c r="D87" s="35"/>
      <c r="E87" s="1102"/>
      <c r="F87" s="1103"/>
      <c r="G87" s="1103"/>
      <c r="H87" s="1104"/>
      <c r="I87" s="36" t="str">
        <f t="shared" si="3"/>
        <v/>
      </c>
      <c r="J87" s="37" t="str">
        <f ca="1">IF(OR(A87="",B87="",B87=0),"",60*SUM(INDIRECT(ADDRESS(MATCH(A87,SK!A$88:A$162,0)+87,COLUMN(SK!E$2),1,,"SK")),INDIRECT(ADDRESS(MATCH(A87,SK!Q$88:Q$162,0)+87,COLUMN(SK!U$2),1,,"SK")))/IF(B87&lt;1,B87*1440,B87))</f>
        <v/>
      </c>
    </row>
    <row r="88" spans="1:10" ht="22.5" customHeight="1" x14ac:dyDescent="0.3">
      <c r="A88" s="28" t="str">
        <f>IF(ISNUMBER(SK!B140), SK!A140, "")</f>
        <v/>
      </c>
      <c r="B88" s="29"/>
      <c r="C88" s="30"/>
      <c r="D88" s="30"/>
      <c r="E88" s="1099"/>
      <c r="F88" s="1100"/>
      <c r="G88" s="1100"/>
      <c r="H88" s="1101"/>
      <c r="I88" s="31" t="str">
        <f t="shared" si="3"/>
        <v/>
      </c>
      <c r="J88" s="32" t="str">
        <f ca="1">IF(OR(A88="",B88="",B88=0),"",60*SUM(INDIRECT(ADDRESS(MATCH(A88,SK!A$88:A$162,0)+87,COLUMN(SK!E$2),1,,"SK")),INDIRECT(ADDRESS(MATCH(A88,SK!Q$88:Q$162,0)+87,COLUMN(SK!U$2),1,,"SK")))/IF(B88&lt;1,B88*1440,B88))</f>
        <v/>
      </c>
    </row>
    <row r="89" spans="1:10" ht="22.5" customHeight="1" x14ac:dyDescent="0.3">
      <c r="A89" s="33" t="str">
        <f>IF(ISNUMBER(SK!B142), SK!A142, "")</f>
        <v/>
      </c>
      <c r="B89" s="34"/>
      <c r="C89" s="35"/>
      <c r="D89" s="35"/>
      <c r="E89" s="1102"/>
      <c r="F89" s="1103"/>
      <c r="G89" s="1103"/>
      <c r="H89" s="1104"/>
      <c r="I89" s="36" t="str">
        <f t="shared" si="3"/>
        <v/>
      </c>
      <c r="J89" s="37" t="str">
        <f ca="1">IF(OR(A89="",B89="",B89=0),"",60*SUM(INDIRECT(ADDRESS(MATCH(A89,SK!A$88:A$162,0)+87,COLUMN(SK!E$2),1,,"SK")),INDIRECT(ADDRESS(MATCH(A89,SK!Q$88:Q$162,0)+87,COLUMN(SK!U$2),1,,"SK")))/IF(B89&lt;1,B89*1440,B89))</f>
        <v/>
      </c>
    </row>
    <row r="90" spans="1:10" ht="22.5" customHeight="1" x14ac:dyDescent="0.3">
      <c r="A90" s="28" t="str">
        <f>IF(ISNUMBER(SK!B144), SK!A144, "")</f>
        <v/>
      </c>
      <c r="B90" s="29"/>
      <c r="C90" s="30"/>
      <c r="D90" s="30"/>
      <c r="E90" s="1099"/>
      <c r="F90" s="1100"/>
      <c r="G90" s="1100"/>
      <c r="H90" s="1101"/>
      <c r="I90" s="31" t="str">
        <f>IF(OR(A90="",B90="",B90=0,C90=""),"",60*C90/IF(B90&lt;1,B90*1440,B90))</f>
        <v/>
      </c>
      <c r="J90" s="32" t="str">
        <f ca="1">IF(OR(A90="",B90="",B90=0),"",60*SUM(INDIRECT(ADDRESS(MATCH(A90,SK!A$88:A$162,0)+87,COLUMN(SK!E$2),1,,"SK")),INDIRECT(ADDRESS(MATCH(A90,SK!Q$88:Q$162,0)+87,COLUMN(SK!U$2),1,,"SK")))/IF(B90&lt;1,B90*1440,B90))</f>
        <v/>
      </c>
    </row>
    <row r="91" spans="1:10" ht="22.5" customHeight="1" x14ac:dyDescent="0.3">
      <c r="A91" s="33" t="str">
        <f>IF(ISNUMBER(SK!B146), SK!A146, "")</f>
        <v/>
      </c>
      <c r="B91" s="34"/>
      <c r="C91" s="35"/>
      <c r="D91" s="35"/>
      <c r="E91" s="1102"/>
      <c r="F91" s="1103"/>
      <c r="G91" s="1103"/>
      <c r="H91" s="1104"/>
      <c r="I91" s="36" t="str">
        <f t="shared" si="3"/>
        <v/>
      </c>
      <c r="J91" s="37" t="str">
        <f ca="1">IF(OR(A91="",B91="",B91=0),"",60*SUM(INDIRECT(ADDRESS(MATCH(A91,SK!A$88:A$162,0)+87,COLUMN(SK!E$2),1,,"SK")),INDIRECT(ADDRESS(MATCH(A91,SK!Q$88:Q$162,0)+87,COLUMN(SK!U$2),1,,"SK")))/IF(B91&lt;1,B91*1440,B91))</f>
        <v/>
      </c>
    </row>
    <row r="92" spans="1:10" ht="22.5" customHeight="1" x14ac:dyDescent="0.3">
      <c r="A92" s="28" t="str">
        <f>IF(ISNUMBER(SK!B148), SK!A148, "")</f>
        <v/>
      </c>
      <c r="B92" s="29"/>
      <c r="C92" s="30"/>
      <c r="D92" s="30"/>
      <c r="E92" s="1099"/>
      <c r="F92" s="1100"/>
      <c r="G92" s="1100"/>
      <c r="H92" s="1101"/>
      <c r="I92" s="31" t="str">
        <f t="shared" si="3"/>
        <v/>
      </c>
      <c r="J92" s="32" t="str">
        <f ca="1">IF(OR(A92="",B92="",B92=0),"",60*SUM(INDIRECT(ADDRESS(MATCH(A92,SK!A$88:A$162,0)+87,COLUMN(SK!E$2),1,,"SK")),INDIRECT(ADDRESS(MATCH(A92,SK!Q$88:Q$162,0)+87,COLUMN(SK!U$2),1,,"SK")))/IF(B92&lt;1,B92*1440,B92))</f>
        <v/>
      </c>
    </row>
    <row r="93" spans="1:10" ht="22.5" customHeight="1" x14ac:dyDescent="0.3">
      <c r="A93" s="33" t="str">
        <f>IF(ISNUMBER(SK!B150), SK!A150, "")</f>
        <v/>
      </c>
      <c r="B93" s="34"/>
      <c r="C93" s="35"/>
      <c r="D93" s="35"/>
      <c r="E93" s="1102"/>
      <c r="F93" s="1103"/>
      <c r="G93" s="1103"/>
      <c r="H93" s="1104"/>
      <c r="I93" s="36" t="str">
        <f t="shared" ref="I93:I99" si="4">IF(OR(A93="",B93="",B93=0,C93=""),"",60*C93/IF(B93&lt;1,B93*1440,B93))</f>
        <v/>
      </c>
      <c r="J93" s="37" t="str">
        <f ca="1">IF(OR(A93="",B93="",B93=0),"",60*SUM(INDIRECT(ADDRESS(MATCH(A93,SK!A$88:A$162,0)+87,COLUMN(SK!E$2),1,,"SK")),INDIRECT(ADDRESS(MATCH(A93,SK!Q$88:Q$162,0)+87,COLUMN(SK!U$2),1,,"SK")))/IF(B93&lt;1,B93*1440,B93))</f>
        <v/>
      </c>
    </row>
    <row r="94" spans="1:10" ht="22.5" customHeight="1" x14ac:dyDescent="0.3">
      <c r="A94" s="28" t="str">
        <f>IF(ISNUMBER(SK!B152), SK!A152, "")</f>
        <v/>
      </c>
      <c r="B94" s="29"/>
      <c r="C94" s="30"/>
      <c r="D94" s="30"/>
      <c r="E94" s="1099"/>
      <c r="F94" s="1100"/>
      <c r="G94" s="1100"/>
      <c r="H94" s="1101"/>
      <c r="I94" s="31" t="str">
        <f t="shared" si="4"/>
        <v/>
      </c>
      <c r="J94" s="32" t="str">
        <f ca="1">IF(OR(A94="",B94="",B94=0),"",60*SUM(INDIRECT(ADDRESS(MATCH(A94,SK!A$88:A$162,0)+87,COLUMN(SK!E$2),1,,"SK")),INDIRECT(ADDRESS(MATCH(A94,SK!Q$88:Q$162,0)+87,COLUMN(SK!U$2),1,,"SK")))/IF(B94&lt;1,B94*1440,B94))</f>
        <v/>
      </c>
    </row>
    <row r="95" spans="1:10" ht="22.5" customHeight="1" x14ac:dyDescent="0.3">
      <c r="A95" s="33" t="str">
        <f>IF(ISNUMBER(SK!B154), SK!A154, "")</f>
        <v/>
      </c>
      <c r="B95" s="34"/>
      <c r="C95" s="35"/>
      <c r="D95" s="35"/>
      <c r="E95" s="1102"/>
      <c r="F95" s="1103"/>
      <c r="G95" s="1103"/>
      <c r="H95" s="1104"/>
      <c r="I95" s="36" t="str">
        <f t="shared" si="4"/>
        <v/>
      </c>
      <c r="J95" s="37" t="str">
        <f ca="1">IF(OR(A95="",B95="",B95=0),"",60*SUM(INDIRECT(ADDRESS(MATCH(A95,SK!A$88:A$162,0)+87,COLUMN(SK!E$2),1,,"SK")),INDIRECT(ADDRESS(MATCH(A95,SK!Q$88:Q$162,0)+87,COLUMN(SK!U$2),1,,"SK")))/IF(B95&lt;1,B95*1440,B95))</f>
        <v/>
      </c>
    </row>
    <row r="96" spans="1:10" ht="22.5" customHeight="1" x14ac:dyDescent="0.3">
      <c r="A96" s="28" t="str">
        <f>IF(ISNUMBER(SK!B156), SK!A156, "")</f>
        <v/>
      </c>
      <c r="B96" s="29"/>
      <c r="C96" s="30"/>
      <c r="D96" s="30"/>
      <c r="E96" s="1099"/>
      <c r="F96" s="1100"/>
      <c r="G96" s="1100"/>
      <c r="H96" s="1101"/>
      <c r="I96" s="31" t="str">
        <f t="shared" si="4"/>
        <v/>
      </c>
      <c r="J96" s="32" t="str">
        <f ca="1">IF(OR(A96="",B96="",B96=0),"",60*SUM(INDIRECT(ADDRESS(MATCH(A96,SK!A$88:A$162,0)+87,COLUMN(SK!E$2),1,,"SK")),INDIRECT(ADDRESS(MATCH(A96,SK!Q$88:Q$162,0)+87,COLUMN(SK!U$2),1,,"SK")))/IF(B96&lt;1,B96*1440,B96))</f>
        <v/>
      </c>
    </row>
    <row r="97" spans="1:10" ht="22.5" customHeight="1" x14ac:dyDescent="0.3">
      <c r="A97" s="33" t="str">
        <f>IF(ISNUMBER(SK!B158), SK!A158, "")</f>
        <v/>
      </c>
      <c r="B97" s="34"/>
      <c r="C97" s="35"/>
      <c r="D97" s="35"/>
      <c r="E97" s="1102"/>
      <c r="F97" s="1103"/>
      <c r="G97" s="1103"/>
      <c r="H97" s="1104"/>
      <c r="I97" s="36" t="str">
        <f t="shared" si="4"/>
        <v/>
      </c>
      <c r="J97" s="37" t="str">
        <f ca="1">IF(OR(A97="",B97="",B97=0),"",60*SUM(INDIRECT(ADDRESS(MATCH(A97,SK!A$88:A$162,0)+87,COLUMN(SK!E$2),1,,"SK")),INDIRECT(ADDRESS(MATCH(A97,SK!Q$88:Q$162,0)+87,COLUMN(SK!U$2),1,,"SK")))/IF(B97&lt;1,B97*1440,B97))</f>
        <v/>
      </c>
    </row>
    <row r="98" spans="1:10" ht="22.5" customHeight="1" x14ac:dyDescent="0.3">
      <c r="A98" s="28" t="str">
        <f>IF(ISNUMBER(SK!B160), SK!A160, "")</f>
        <v/>
      </c>
      <c r="B98" s="29"/>
      <c r="C98" s="30"/>
      <c r="D98" s="30"/>
      <c r="E98" s="1099"/>
      <c r="F98" s="1100"/>
      <c r="G98" s="1100"/>
      <c r="H98" s="1101"/>
      <c r="I98" s="31" t="str">
        <f t="shared" si="4"/>
        <v/>
      </c>
      <c r="J98" s="32" t="str">
        <f ca="1">IF(OR(A98="",B98="",B98=0),"",60*SUM(INDIRECT(ADDRESS(MATCH(A98,SK!A$88:A$162,0)+87,COLUMN(SK!E$2),1,,"SK")),INDIRECT(ADDRESS(MATCH(A98,SK!Q$88:Q$162,0)+87,COLUMN(SK!U$2),1,,"SK")))/IF(B98&lt;1,B98*1440,B98))</f>
        <v/>
      </c>
    </row>
    <row r="99" spans="1:10" ht="22.5" customHeight="1" thickBot="1" x14ac:dyDescent="0.35">
      <c r="A99" s="33" t="str">
        <f>IF(ISNUMBER(SK!B162), SK!A162, "")</f>
        <v/>
      </c>
      <c r="B99" s="34"/>
      <c r="C99" s="35"/>
      <c r="D99" s="35"/>
      <c r="E99" s="1105"/>
      <c r="F99" s="1106"/>
      <c r="G99" s="1106"/>
      <c r="H99" s="1107"/>
      <c r="I99" s="36" t="str">
        <f t="shared" si="4"/>
        <v/>
      </c>
      <c r="J99" s="37" t="str">
        <f ca="1">IF(OR(A99="",B99="",B99=0),"",60*SUM(INDIRECT(ADDRESS(MATCH(A99,SK!A$88:A$162,0)+87,COLUMN(SK!E$2),1,,"SK")),INDIRECT(ADDRESS(MATCH(A99,SK!Q$88:Q$162,0)+87,COLUMN(SK!U$2),1,,"SK")))/IF(B99&lt;1,B99*1440,B99))</f>
        <v/>
      </c>
    </row>
    <row r="100" spans="1:10" x14ac:dyDescent="0.3">
      <c r="A100" s="38" t="s">
        <v>65</v>
      </c>
      <c r="B100" s="39"/>
      <c r="C100" s="39" t="s">
        <v>473</v>
      </c>
      <c r="D100" s="39"/>
      <c r="E100" s="39"/>
      <c r="F100" s="39"/>
      <c r="G100" s="39"/>
      <c r="H100" s="39"/>
      <c r="I100" s="39"/>
      <c r="J100" s="40"/>
    </row>
    <row r="101" spans="1:10" x14ac:dyDescent="0.3">
      <c r="A101" s="41" t="s">
        <v>66</v>
      </c>
      <c r="B101" s="42"/>
      <c r="C101" s="42" t="s">
        <v>474</v>
      </c>
      <c r="D101" s="42"/>
      <c r="E101" s="42"/>
      <c r="F101" s="42"/>
      <c r="G101" s="42"/>
      <c r="H101" s="42"/>
      <c r="I101" s="42"/>
      <c r="J101" s="43"/>
    </row>
    <row r="102" spans="1:10" ht="14.4" thickBot="1" x14ac:dyDescent="0.35">
      <c r="A102" s="44" t="s">
        <v>67</v>
      </c>
      <c r="B102" s="45"/>
      <c r="C102" s="46" t="s">
        <v>251</v>
      </c>
      <c r="D102" s="45"/>
      <c r="E102" s="45"/>
      <c r="F102" s="45"/>
      <c r="G102" s="45"/>
      <c r="H102" s="456"/>
      <c r="I102" s="45"/>
      <c r="J102" s="47"/>
    </row>
  </sheetData>
  <sheetProtection selectLockedCells="1" selectUnlockedCells="1"/>
  <mergeCells count="136">
    <mergeCell ref="B58:C58"/>
    <mergeCell ref="D58:D59"/>
    <mergeCell ref="E58:E59"/>
    <mergeCell ref="F58:F59"/>
    <mergeCell ref="G58:G59"/>
    <mergeCell ref="I58:J59"/>
    <mergeCell ref="B59:C59"/>
    <mergeCell ref="A60:J60"/>
    <mergeCell ref="E61:G61"/>
    <mergeCell ref="I7:J8"/>
    <mergeCell ref="B8:C8"/>
    <mergeCell ref="B55:C55"/>
    <mergeCell ref="D55:F55"/>
    <mergeCell ref="I55:J55"/>
    <mergeCell ref="B56:C56"/>
    <mergeCell ref="D56:D57"/>
    <mergeCell ref="E56:E57"/>
    <mergeCell ref="F56:F57"/>
    <mergeCell ref="G56:G57"/>
    <mergeCell ref="I56:J57"/>
    <mergeCell ref="B57:C57"/>
    <mergeCell ref="E33:H33"/>
    <mergeCell ref="H7:H8"/>
    <mergeCell ref="E16:H16"/>
    <mergeCell ref="E17:H17"/>
    <mergeCell ref="E18:H18"/>
    <mergeCell ref="E19:H19"/>
    <mergeCell ref="E20:H20"/>
    <mergeCell ref="E21:H21"/>
    <mergeCell ref="E22:H22"/>
    <mergeCell ref="E23:H23"/>
    <mergeCell ref="E24:H24"/>
    <mergeCell ref="E25:H25"/>
    <mergeCell ref="B1:D1"/>
    <mergeCell ref="I1:I2"/>
    <mergeCell ref="B2:D3"/>
    <mergeCell ref="A2:A3"/>
    <mergeCell ref="B52:D52"/>
    <mergeCell ref="I52:I53"/>
    <mergeCell ref="A53:A54"/>
    <mergeCell ref="B53:D54"/>
    <mergeCell ref="A9:J9"/>
    <mergeCell ref="E10:G10"/>
    <mergeCell ref="B7:C7"/>
    <mergeCell ref="D7:D8"/>
    <mergeCell ref="J1:J2"/>
    <mergeCell ref="J52:J53"/>
    <mergeCell ref="I4:J4"/>
    <mergeCell ref="B5:C5"/>
    <mergeCell ref="D5:D6"/>
    <mergeCell ref="E5:E6"/>
    <mergeCell ref="F5:F6"/>
    <mergeCell ref="G5:G6"/>
    <mergeCell ref="I5:J6"/>
    <mergeCell ref="B6:C6"/>
    <mergeCell ref="B4:C4"/>
    <mergeCell ref="D4:F4"/>
    <mergeCell ref="G4:H4"/>
    <mergeCell ref="F1:H2"/>
    <mergeCell ref="F3:H3"/>
    <mergeCell ref="E2:E3"/>
    <mergeCell ref="E26:H26"/>
    <mergeCell ref="E27:H27"/>
    <mergeCell ref="E28:H28"/>
    <mergeCell ref="E29:H29"/>
    <mergeCell ref="E30:H30"/>
    <mergeCell ref="E11:H11"/>
    <mergeCell ref="E12:H12"/>
    <mergeCell ref="E13:H13"/>
    <mergeCell ref="E14:H14"/>
    <mergeCell ref="F7:F8"/>
    <mergeCell ref="G7:G8"/>
    <mergeCell ref="E15:H15"/>
    <mergeCell ref="E7:E8"/>
    <mergeCell ref="H5:H6"/>
    <mergeCell ref="E31:H31"/>
    <mergeCell ref="E32:H32"/>
    <mergeCell ref="E34:H34"/>
    <mergeCell ref="E35:H35"/>
    <mergeCell ref="E36:H36"/>
    <mergeCell ref="E37:H37"/>
    <mergeCell ref="E38:H38"/>
    <mergeCell ref="E39:H39"/>
    <mergeCell ref="E40:H40"/>
    <mergeCell ref="E41:H41"/>
    <mergeCell ref="E42:H42"/>
    <mergeCell ref="E43:H43"/>
    <mergeCell ref="E44:H44"/>
    <mergeCell ref="E45:H45"/>
    <mergeCell ref="E46:H46"/>
    <mergeCell ref="E47:H47"/>
    <mergeCell ref="E48:H48"/>
    <mergeCell ref="G55:H55"/>
    <mergeCell ref="H56:H57"/>
    <mergeCell ref="H58:H59"/>
    <mergeCell ref="E62:H62"/>
    <mergeCell ref="E63:H63"/>
    <mergeCell ref="F52:H53"/>
    <mergeCell ref="F54:H54"/>
    <mergeCell ref="E53:E54"/>
    <mergeCell ref="E64:H64"/>
    <mergeCell ref="E65:H65"/>
    <mergeCell ref="E66:H66"/>
    <mergeCell ref="E67:H67"/>
    <mergeCell ref="E85:H85"/>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6:H86"/>
    <mergeCell ref="E87:H87"/>
    <mergeCell ref="E88:H88"/>
    <mergeCell ref="E98:H98"/>
    <mergeCell ref="E99:H99"/>
    <mergeCell ref="E89:H89"/>
    <mergeCell ref="E90:H90"/>
    <mergeCell ref="E91:H91"/>
    <mergeCell ref="E92:H92"/>
    <mergeCell ref="E93:H93"/>
    <mergeCell ref="E94:H94"/>
    <mergeCell ref="E95:H95"/>
    <mergeCell ref="E96:H96"/>
    <mergeCell ref="E97:H97"/>
  </mergeCells>
  <phoneticPr fontId="8" type="noConversion"/>
  <printOptions horizontalCentered="1"/>
  <pageMargins left="0.75" right="0.75" top="1.2" bottom="0.4" header="0.75" footer="0.4"/>
  <pageSetup scale="62" firstPageNumber="0" fitToHeight="2" orientation="portrait" horizontalDpi="4294967294" verticalDpi="4294967294" r:id="rId1"/>
  <headerFooter alignWithMargins="0">
    <oddHeader>&amp;L&amp;"Calibri,Regular"&amp;36&amp;K000000&amp;G&amp;34&amp;A&amp;R&amp;"Calibri,Regular"&amp;K000000_x000D_‘&amp;A’ revision 150103_x000D_StatsBook © 2008–2015 WFTDA</oddHeader>
  </headerFooter>
  <rowBreaks count="1" manualBreakCount="1">
    <brk id="51" max="9" man="1"/>
  </rowBreaks>
  <ignoredErrors>
    <ignoredError sqref="A13" formula="1"/>
  </ignoredErrors>
  <legacyDrawingHF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00FFFF"/>
  </sheetPr>
  <dimension ref="A1:AH86"/>
  <sheetViews>
    <sheetView zoomScaleNormal="100" workbookViewId="0">
      <selection activeCell="R1" sqref="R1:X2"/>
    </sheetView>
  </sheetViews>
  <sheetFormatPr defaultColWidth="8.6640625" defaultRowHeight="21" customHeight="1" x14ac:dyDescent="0.3"/>
  <cols>
    <col min="1" max="3" width="6.6640625" style="3" customWidth="1"/>
    <col min="4" max="4" width="6.88671875" style="3" customWidth="1"/>
    <col min="5" max="5" width="10.6640625" style="3" customWidth="1"/>
    <col min="6" max="6" width="4.88671875" style="3" customWidth="1"/>
    <col min="7" max="12" width="8.6640625" style="3"/>
    <col min="13" max="13" width="2.44140625" style="3" customWidth="1"/>
    <col min="14" max="15" width="3.6640625" style="3" customWidth="1"/>
    <col min="16" max="16" width="2.44140625" style="3" customWidth="1"/>
    <col min="17" max="17" width="12.109375" style="78" customWidth="1"/>
    <col min="18" max="20" width="6.6640625" style="3" customWidth="1"/>
    <col min="21" max="21" width="6.88671875" style="3" customWidth="1"/>
    <col min="22" max="22" width="10.6640625" style="3" customWidth="1"/>
    <col min="23" max="23" width="4.88671875" style="3" customWidth="1"/>
    <col min="24" max="29" width="8.6640625" style="3"/>
    <col min="30" max="30" width="2.44140625" style="3" customWidth="1"/>
    <col min="31" max="32" width="3.6640625" style="3" customWidth="1"/>
    <col min="33" max="33" width="2.44140625" style="3" customWidth="1"/>
    <col min="34" max="34" width="12.109375" style="78" customWidth="1"/>
    <col min="35" max="16384" width="8.6640625" style="3"/>
  </cols>
  <sheetData>
    <row r="1" spans="1:34" ht="30" customHeight="1" x14ac:dyDescent="0.45">
      <c r="A1" s="1143" t="str">
        <f>Score!$A$1</f>
        <v>Tri-City Roller Derby / Plan B</v>
      </c>
      <c r="B1" s="1143"/>
      <c r="C1" s="1143"/>
      <c r="D1" s="1143"/>
      <c r="E1" s="1143"/>
      <c r="F1" s="1143"/>
      <c r="G1" s="1143"/>
      <c r="H1" s="1146" t="str">
        <f>IF(ISBLANK(IGRF!$B$12), "", IGRF!$B$12)</f>
        <v/>
      </c>
      <c r="I1" s="1146"/>
      <c r="J1" s="1147">
        <f>IF(ISBLANK(IGRF!$B$7), "", IGRF!$B$7)</f>
        <v>42105</v>
      </c>
      <c r="K1" s="1147"/>
      <c r="L1" s="1148"/>
      <c r="M1" s="1148"/>
      <c r="N1" s="1148"/>
      <c r="O1" s="1148"/>
      <c r="P1" s="1148"/>
      <c r="Q1" s="1148"/>
      <c r="R1" s="1143" t="str">
        <f>Score!$T$1</f>
        <v>Hammer City Roller Girls / Harlots</v>
      </c>
      <c r="S1" s="1143"/>
      <c r="T1" s="1143"/>
      <c r="U1" s="1143"/>
      <c r="V1" s="1143"/>
      <c r="W1" s="1143"/>
      <c r="X1" s="1143"/>
      <c r="Y1" s="1146" t="str">
        <f>H1</f>
        <v/>
      </c>
      <c r="Z1" s="1146"/>
      <c r="AA1" s="1147">
        <f>IF(ISBLANK(IGRF!$B$7), "", IGRF!$B$7)</f>
        <v>42105</v>
      </c>
      <c r="AB1" s="1147"/>
      <c r="AC1" s="1148"/>
      <c r="AD1" s="1148"/>
      <c r="AE1" s="1148"/>
      <c r="AF1" s="1148"/>
      <c r="AG1" s="1148"/>
      <c r="AH1" s="1148"/>
    </row>
    <row r="2" spans="1:34" ht="11.25" customHeight="1" thickBot="1" x14ac:dyDescent="0.35">
      <c r="A2" s="1144"/>
      <c r="B2" s="1144"/>
      <c r="C2" s="1145"/>
      <c r="D2" s="1144"/>
      <c r="E2" s="1144"/>
      <c r="F2" s="1144"/>
      <c r="G2" s="1144"/>
      <c r="H2" s="1152" t="s">
        <v>245</v>
      </c>
      <c r="I2" s="1152"/>
      <c r="J2" s="1150" t="s">
        <v>248</v>
      </c>
      <c r="K2" s="1150"/>
      <c r="L2" s="1151" t="s">
        <v>242</v>
      </c>
      <c r="M2" s="1151"/>
      <c r="N2" s="1151"/>
      <c r="O2" s="1151"/>
      <c r="P2" s="1151"/>
      <c r="Q2" s="204" t="str">
        <f>IF(ISBLANK(IGRF!$K$3), "", "GAME " &amp; IGRF!$K$3)</f>
        <v>GAME 2</v>
      </c>
      <c r="R2" s="1144"/>
      <c r="S2" s="1144"/>
      <c r="T2" s="1145"/>
      <c r="U2" s="1144"/>
      <c r="V2" s="1144"/>
      <c r="W2" s="1144"/>
      <c r="X2" s="1144"/>
      <c r="Y2" s="1152" t="s">
        <v>245</v>
      </c>
      <c r="Z2" s="1152"/>
      <c r="AA2" s="1150" t="s">
        <v>248</v>
      </c>
      <c r="AB2" s="1150"/>
      <c r="AC2" s="1151" t="s">
        <v>242</v>
      </c>
      <c r="AD2" s="1151"/>
      <c r="AE2" s="1151"/>
      <c r="AF2" s="1151"/>
      <c r="AG2" s="1151"/>
      <c r="AH2" s="204" t="str">
        <f>Q2</f>
        <v>GAME 2</v>
      </c>
    </row>
    <row r="3" spans="1:34" s="27" customFormat="1" ht="25.5" customHeight="1" thickBot="1" x14ac:dyDescent="0.3">
      <c r="A3" s="651" t="s">
        <v>219</v>
      </c>
      <c r="B3" s="62" t="s">
        <v>8</v>
      </c>
      <c r="C3" s="632" t="s">
        <v>452</v>
      </c>
      <c r="D3" s="62" t="s">
        <v>68</v>
      </c>
      <c r="E3" s="62" t="s">
        <v>176</v>
      </c>
      <c r="F3" s="62" t="s">
        <v>3</v>
      </c>
      <c r="G3" s="62" t="s">
        <v>4</v>
      </c>
      <c r="H3" s="62" t="s">
        <v>5</v>
      </c>
      <c r="I3" s="62" t="s">
        <v>6</v>
      </c>
      <c r="J3" s="1153" t="s">
        <v>7</v>
      </c>
      <c r="K3" s="1153"/>
      <c r="L3" s="1154"/>
      <c r="M3" s="63"/>
      <c r="N3" s="1155" t="s">
        <v>8</v>
      </c>
      <c r="O3" s="1155"/>
      <c r="Q3" s="64" t="s">
        <v>444</v>
      </c>
      <c r="R3" s="61" t="s">
        <v>219</v>
      </c>
      <c r="S3" s="391" t="s">
        <v>8</v>
      </c>
      <c r="T3" s="632" t="s">
        <v>452</v>
      </c>
      <c r="U3" s="391" t="s">
        <v>68</v>
      </c>
      <c r="V3" s="391" t="s">
        <v>176</v>
      </c>
      <c r="W3" s="391" t="s">
        <v>3</v>
      </c>
      <c r="X3" s="391" t="s">
        <v>4</v>
      </c>
      <c r="Y3" s="391" t="s">
        <v>5</v>
      </c>
      <c r="Z3" s="391" t="s">
        <v>6</v>
      </c>
      <c r="AA3" s="1153" t="s">
        <v>7</v>
      </c>
      <c r="AB3" s="1153"/>
      <c r="AC3" s="1154"/>
      <c r="AD3" s="63"/>
      <c r="AE3" s="1155" t="s">
        <v>8</v>
      </c>
      <c r="AF3" s="1155"/>
      <c r="AH3" s="64" t="str">
        <f>Q3</f>
        <v>Total penalties</v>
      </c>
    </row>
    <row r="4" spans="1:34" ht="24" customHeight="1" x14ac:dyDescent="0.3">
      <c r="A4" s="65"/>
      <c r="B4" s="66"/>
      <c r="C4" s="66"/>
      <c r="D4" s="53"/>
      <c r="E4" s="67"/>
      <c r="F4" s="53"/>
      <c r="G4" s="66"/>
      <c r="H4" s="66"/>
      <c r="I4" s="66"/>
      <c r="J4" s="53"/>
      <c r="K4" s="53"/>
      <c r="L4" s="68"/>
      <c r="M4" s="69"/>
      <c r="N4" s="70">
        <v>1</v>
      </c>
      <c r="O4" s="70">
        <f t="shared" ref="O4:O28" si="0">N4</f>
        <v>1</v>
      </c>
      <c r="Q4" s="71" t="str">
        <f>IF(IGRF!B14="","",IGRF!B14)</f>
        <v>0</v>
      </c>
      <c r="R4" s="65"/>
      <c r="S4" s="66"/>
      <c r="T4" s="66"/>
      <c r="U4" s="53"/>
      <c r="V4" s="389"/>
      <c r="W4" s="53"/>
      <c r="X4" s="66"/>
      <c r="Y4" s="66"/>
      <c r="Z4" s="66"/>
      <c r="AA4" s="53"/>
      <c r="AB4" s="53"/>
      <c r="AC4" s="68"/>
      <c r="AD4" s="69"/>
      <c r="AE4" s="390">
        <v>1</v>
      </c>
      <c r="AF4" s="390">
        <f t="shared" ref="AF4:AF28" si="1">AE4</f>
        <v>1</v>
      </c>
      <c r="AH4" s="71" t="str">
        <f>Q4</f>
        <v>0</v>
      </c>
    </row>
    <row r="5" spans="1:34" ht="24" customHeight="1" x14ac:dyDescent="0.3">
      <c r="A5" s="72"/>
      <c r="B5" s="73"/>
      <c r="C5" s="73"/>
      <c r="D5" s="35"/>
      <c r="E5" s="74"/>
      <c r="F5" s="35"/>
      <c r="G5" s="73"/>
      <c r="H5" s="73"/>
      <c r="I5" s="73"/>
      <c r="J5" s="35"/>
      <c r="K5" s="35"/>
      <c r="L5" s="75"/>
      <c r="M5" s="69"/>
      <c r="N5" s="70">
        <f t="shared" ref="N5:N28" si="2">N4+1</f>
        <v>2</v>
      </c>
      <c r="O5" s="70">
        <f t="shared" si="0"/>
        <v>2</v>
      </c>
      <c r="Q5" s="76"/>
      <c r="R5" s="72"/>
      <c r="S5" s="73"/>
      <c r="T5" s="73"/>
      <c r="U5" s="35"/>
      <c r="V5" s="387"/>
      <c r="W5" s="35"/>
      <c r="X5" s="73"/>
      <c r="Y5" s="73"/>
      <c r="Z5" s="73"/>
      <c r="AA5" s="35"/>
      <c r="AB5" s="35"/>
      <c r="AC5" s="75"/>
      <c r="AD5" s="69"/>
      <c r="AE5" s="390">
        <f t="shared" ref="AE5:AE28" si="3">AE4+1</f>
        <v>2</v>
      </c>
      <c r="AF5" s="390">
        <f t="shared" si="1"/>
        <v>2</v>
      </c>
      <c r="AH5" s="76"/>
    </row>
    <row r="6" spans="1:34" ht="24" customHeight="1" x14ac:dyDescent="0.3">
      <c r="A6" s="65"/>
      <c r="B6" s="66"/>
      <c r="C6" s="66"/>
      <c r="D6" s="53"/>
      <c r="E6" s="67"/>
      <c r="F6" s="53"/>
      <c r="G6" s="66"/>
      <c r="H6" s="66"/>
      <c r="I6" s="66"/>
      <c r="J6" s="53"/>
      <c r="K6" s="53"/>
      <c r="L6" s="68"/>
      <c r="M6" s="69"/>
      <c r="N6" s="70">
        <f t="shared" si="2"/>
        <v>3</v>
      </c>
      <c r="O6" s="70">
        <f t="shared" si="0"/>
        <v>3</v>
      </c>
      <c r="Q6" s="71" t="str">
        <f>IF(IGRF!B15="","",IGRF!B15)</f>
        <v>1321</v>
      </c>
      <c r="R6" s="65"/>
      <c r="S6" s="66"/>
      <c r="T6" s="66"/>
      <c r="U6" s="53"/>
      <c r="V6" s="389"/>
      <c r="W6" s="53"/>
      <c r="X6" s="66"/>
      <c r="Y6" s="66"/>
      <c r="Z6" s="66"/>
      <c r="AA6" s="53"/>
      <c r="AB6" s="53"/>
      <c r="AC6" s="68"/>
      <c r="AD6" s="69"/>
      <c r="AE6" s="390">
        <f t="shared" si="3"/>
        <v>3</v>
      </c>
      <c r="AF6" s="390">
        <f t="shared" si="1"/>
        <v>3</v>
      </c>
      <c r="AH6" s="71" t="str">
        <f>Q6</f>
        <v>1321</v>
      </c>
    </row>
    <row r="7" spans="1:34" ht="24" customHeight="1" x14ac:dyDescent="0.3">
      <c r="A7" s="72"/>
      <c r="B7" s="73"/>
      <c r="C7" s="73"/>
      <c r="D7" s="35"/>
      <c r="E7" s="74"/>
      <c r="F7" s="35"/>
      <c r="G7" s="73"/>
      <c r="H7" s="73"/>
      <c r="I7" s="73"/>
      <c r="J7" s="35"/>
      <c r="K7" s="35"/>
      <c r="L7" s="75"/>
      <c r="M7" s="69"/>
      <c r="N7" s="70">
        <f t="shared" si="2"/>
        <v>4</v>
      </c>
      <c r="O7" s="70">
        <f t="shared" si="0"/>
        <v>4</v>
      </c>
      <c r="Q7" s="76"/>
      <c r="R7" s="72"/>
      <c r="S7" s="73"/>
      <c r="T7" s="73"/>
      <c r="U7" s="35"/>
      <c r="V7" s="387"/>
      <c r="W7" s="35"/>
      <c r="X7" s="73"/>
      <c r="Y7" s="73"/>
      <c r="Z7" s="73"/>
      <c r="AA7" s="35"/>
      <c r="AB7" s="35"/>
      <c r="AC7" s="75"/>
      <c r="AD7" s="69"/>
      <c r="AE7" s="390">
        <f t="shared" si="3"/>
        <v>4</v>
      </c>
      <c r="AF7" s="390">
        <f t="shared" si="1"/>
        <v>4</v>
      </c>
      <c r="AH7" s="76"/>
    </row>
    <row r="8" spans="1:34" ht="24" customHeight="1" x14ac:dyDescent="0.3">
      <c r="A8" s="65"/>
      <c r="B8" s="66"/>
      <c r="C8" s="66"/>
      <c r="D8" s="53"/>
      <c r="E8" s="67"/>
      <c r="F8" s="53"/>
      <c r="G8" s="66"/>
      <c r="H8" s="66"/>
      <c r="I8" s="66"/>
      <c r="J8" s="53"/>
      <c r="K8" s="53"/>
      <c r="L8" s="68"/>
      <c r="M8" s="69"/>
      <c r="N8" s="70">
        <f t="shared" si="2"/>
        <v>5</v>
      </c>
      <c r="O8" s="70">
        <f t="shared" si="0"/>
        <v>5</v>
      </c>
      <c r="Q8" s="71" t="str">
        <f>IF(IGRF!B16="","",IGRF!B16)</f>
        <v>17</v>
      </c>
      <c r="R8" s="65"/>
      <c r="S8" s="66"/>
      <c r="T8" s="66"/>
      <c r="U8" s="53"/>
      <c r="V8" s="389"/>
      <c r="W8" s="53"/>
      <c r="X8" s="66"/>
      <c r="Y8" s="66"/>
      <c r="Z8" s="66"/>
      <c r="AA8" s="53"/>
      <c r="AB8" s="53"/>
      <c r="AC8" s="68"/>
      <c r="AD8" s="69"/>
      <c r="AE8" s="390">
        <f t="shared" si="3"/>
        <v>5</v>
      </c>
      <c r="AF8" s="390">
        <f t="shared" si="1"/>
        <v>5</v>
      </c>
      <c r="AH8" s="71" t="str">
        <f>Q8</f>
        <v>17</v>
      </c>
    </row>
    <row r="9" spans="1:34" ht="24" customHeight="1" x14ac:dyDescent="0.3">
      <c r="A9" s="72"/>
      <c r="B9" s="73"/>
      <c r="C9" s="73"/>
      <c r="D9" s="35"/>
      <c r="E9" s="74"/>
      <c r="F9" s="35"/>
      <c r="G9" s="73"/>
      <c r="H9" s="73"/>
      <c r="I9" s="73"/>
      <c r="J9" s="35"/>
      <c r="K9" s="35"/>
      <c r="L9" s="75"/>
      <c r="M9" s="69"/>
      <c r="N9" s="70">
        <f t="shared" si="2"/>
        <v>6</v>
      </c>
      <c r="O9" s="70">
        <f t="shared" si="0"/>
        <v>6</v>
      </c>
      <c r="Q9" s="76"/>
      <c r="R9" s="72"/>
      <c r="S9" s="73"/>
      <c r="T9" s="73"/>
      <c r="U9" s="35"/>
      <c r="V9" s="387"/>
      <c r="W9" s="35"/>
      <c r="X9" s="73"/>
      <c r="Y9" s="73"/>
      <c r="Z9" s="73"/>
      <c r="AA9" s="35"/>
      <c r="AB9" s="35"/>
      <c r="AC9" s="75"/>
      <c r="AD9" s="69"/>
      <c r="AE9" s="390">
        <f t="shared" si="3"/>
        <v>6</v>
      </c>
      <c r="AF9" s="390">
        <f t="shared" si="1"/>
        <v>6</v>
      </c>
      <c r="AH9" s="76"/>
    </row>
    <row r="10" spans="1:34" ht="24" customHeight="1" x14ac:dyDescent="0.3">
      <c r="A10" s="65"/>
      <c r="B10" s="66"/>
      <c r="C10" s="66"/>
      <c r="D10" s="53"/>
      <c r="E10" s="67"/>
      <c r="F10" s="53"/>
      <c r="G10" s="66"/>
      <c r="H10" s="66"/>
      <c r="I10" s="66"/>
      <c r="J10" s="53"/>
      <c r="K10" s="53"/>
      <c r="L10" s="68"/>
      <c r="M10" s="69"/>
      <c r="N10" s="70">
        <f t="shared" si="2"/>
        <v>7</v>
      </c>
      <c r="O10" s="70">
        <f t="shared" si="0"/>
        <v>7</v>
      </c>
      <c r="Q10" s="71" t="str">
        <f>IF(IGRF!B17="","",IGRF!B17)</f>
        <v>19</v>
      </c>
      <c r="R10" s="65"/>
      <c r="S10" s="66"/>
      <c r="T10" s="66"/>
      <c r="U10" s="53"/>
      <c r="V10" s="389"/>
      <c r="W10" s="53"/>
      <c r="X10" s="66"/>
      <c r="Y10" s="66"/>
      <c r="Z10" s="66"/>
      <c r="AA10" s="53"/>
      <c r="AB10" s="53"/>
      <c r="AC10" s="68"/>
      <c r="AD10" s="69"/>
      <c r="AE10" s="390">
        <f t="shared" si="3"/>
        <v>7</v>
      </c>
      <c r="AF10" s="390">
        <f t="shared" si="1"/>
        <v>7</v>
      </c>
      <c r="AH10" s="71" t="str">
        <f>Q10</f>
        <v>19</v>
      </c>
    </row>
    <row r="11" spans="1:34" ht="24" customHeight="1" x14ac:dyDescent="0.3">
      <c r="A11" s="72"/>
      <c r="B11" s="73"/>
      <c r="C11" s="73"/>
      <c r="D11" s="35"/>
      <c r="E11" s="74"/>
      <c r="F11" s="35"/>
      <c r="G11" s="73"/>
      <c r="H11" s="73"/>
      <c r="I11" s="73"/>
      <c r="J11" s="35"/>
      <c r="K11" s="35"/>
      <c r="L11" s="75"/>
      <c r="M11" s="69"/>
      <c r="N11" s="70">
        <f t="shared" si="2"/>
        <v>8</v>
      </c>
      <c r="O11" s="70">
        <f t="shared" si="0"/>
        <v>8</v>
      </c>
      <c r="Q11" s="76"/>
      <c r="R11" s="72"/>
      <c r="S11" s="73"/>
      <c r="T11" s="73"/>
      <c r="U11" s="35"/>
      <c r="V11" s="387"/>
      <c r="W11" s="35"/>
      <c r="X11" s="73"/>
      <c r="Y11" s="73"/>
      <c r="Z11" s="73"/>
      <c r="AA11" s="35"/>
      <c r="AB11" s="35"/>
      <c r="AC11" s="75"/>
      <c r="AD11" s="69"/>
      <c r="AE11" s="390">
        <f t="shared" si="3"/>
        <v>8</v>
      </c>
      <c r="AF11" s="390">
        <f t="shared" si="1"/>
        <v>8</v>
      </c>
      <c r="AH11" s="76"/>
    </row>
    <row r="12" spans="1:34" ht="24" customHeight="1" x14ac:dyDescent="0.3">
      <c r="A12" s="65"/>
      <c r="B12" s="66"/>
      <c r="C12" s="66"/>
      <c r="D12" s="53"/>
      <c r="E12" s="67"/>
      <c r="F12" s="53"/>
      <c r="G12" s="66"/>
      <c r="H12" s="66"/>
      <c r="I12" s="66"/>
      <c r="J12" s="53"/>
      <c r="K12" s="53"/>
      <c r="L12" s="68"/>
      <c r="M12" s="69"/>
      <c r="N12" s="70">
        <f t="shared" si="2"/>
        <v>9</v>
      </c>
      <c r="O12" s="70">
        <f t="shared" si="0"/>
        <v>9</v>
      </c>
      <c r="Q12" s="71" t="str">
        <f>IF(IGRF!B18="","",IGRF!B18)</f>
        <v>20</v>
      </c>
      <c r="R12" s="65"/>
      <c r="S12" s="66"/>
      <c r="T12" s="66"/>
      <c r="U12" s="53"/>
      <c r="V12" s="389"/>
      <c r="W12" s="53"/>
      <c r="X12" s="66"/>
      <c r="Y12" s="66"/>
      <c r="Z12" s="66"/>
      <c r="AA12" s="53"/>
      <c r="AB12" s="53"/>
      <c r="AC12" s="68"/>
      <c r="AD12" s="69"/>
      <c r="AE12" s="390">
        <f t="shared" si="3"/>
        <v>9</v>
      </c>
      <c r="AF12" s="390">
        <f t="shared" si="1"/>
        <v>9</v>
      </c>
      <c r="AH12" s="71" t="str">
        <f>Q12</f>
        <v>20</v>
      </c>
    </row>
    <row r="13" spans="1:34" ht="24" customHeight="1" x14ac:dyDescent="0.3">
      <c r="A13" s="72"/>
      <c r="B13" s="73"/>
      <c r="C13" s="73"/>
      <c r="D13" s="35"/>
      <c r="E13" s="74"/>
      <c r="F13" s="35"/>
      <c r="G13" s="73"/>
      <c r="H13" s="73"/>
      <c r="I13" s="73"/>
      <c r="J13" s="35"/>
      <c r="K13" s="35"/>
      <c r="L13" s="75"/>
      <c r="M13" s="69"/>
      <c r="N13" s="70">
        <f t="shared" si="2"/>
        <v>10</v>
      </c>
      <c r="O13" s="70">
        <f t="shared" si="0"/>
        <v>10</v>
      </c>
      <c r="Q13" s="76"/>
      <c r="R13" s="72"/>
      <c r="S13" s="73"/>
      <c r="T13" s="73"/>
      <c r="U13" s="35"/>
      <c r="V13" s="387"/>
      <c r="W13" s="35"/>
      <c r="X13" s="73"/>
      <c r="Y13" s="73"/>
      <c r="Z13" s="73"/>
      <c r="AA13" s="35"/>
      <c r="AB13" s="35"/>
      <c r="AC13" s="75"/>
      <c r="AD13" s="69"/>
      <c r="AE13" s="390">
        <f t="shared" si="3"/>
        <v>10</v>
      </c>
      <c r="AF13" s="390">
        <f t="shared" si="1"/>
        <v>10</v>
      </c>
      <c r="AH13" s="76"/>
    </row>
    <row r="14" spans="1:34" ht="24" customHeight="1" x14ac:dyDescent="0.3">
      <c r="A14" s="65"/>
      <c r="B14" s="66"/>
      <c r="C14" s="66"/>
      <c r="D14" s="53"/>
      <c r="E14" s="67"/>
      <c r="F14" s="53"/>
      <c r="G14" s="66"/>
      <c r="H14" s="66"/>
      <c r="I14" s="66"/>
      <c r="J14" s="53"/>
      <c r="K14" s="53"/>
      <c r="L14" s="68"/>
      <c r="M14" s="69"/>
      <c r="N14" s="70">
        <f t="shared" si="2"/>
        <v>11</v>
      </c>
      <c r="O14" s="70">
        <f t="shared" si="0"/>
        <v>11</v>
      </c>
      <c r="Q14" s="71" t="str">
        <f>IF(IGRF!B19="","",IGRF!B19)</f>
        <v>303</v>
      </c>
      <c r="R14" s="65"/>
      <c r="S14" s="66"/>
      <c r="T14" s="66"/>
      <c r="U14" s="53"/>
      <c r="V14" s="389"/>
      <c r="W14" s="53"/>
      <c r="X14" s="66"/>
      <c r="Y14" s="66"/>
      <c r="Z14" s="66"/>
      <c r="AA14" s="53"/>
      <c r="AB14" s="53"/>
      <c r="AC14" s="68"/>
      <c r="AD14" s="69"/>
      <c r="AE14" s="390">
        <f t="shared" si="3"/>
        <v>11</v>
      </c>
      <c r="AF14" s="390">
        <f t="shared" si="1"/>
        <v>11</v>
      </c>
      <c r="AH14" s="71" t="str">
        <f>Q14</f>
        <v>303</v>
      </c>
    </row>
    <row r="15" spans="1:34" ht="24" customHeight="1" x14ac:dyDescent="0.3">
      <c r="A15" s="72"/>
      <c r="B15" s="73"/>
      <c r="C15" s="73"/>
      <c r="D15" s="35"/>
      <c r="E15" s="74"/>
      <c r="F15" s="35"/>
      <c r="G15" s="73"/>
      <c r="H15" s="73"/>
      <c r="I15" s="73"/>
      <c r="J15" s="35"/>
      <c r="K15" s="35"/>
      <c r="L15" s="75"/>
      <c r="M15" s="69"/>
      <c r="N15" s="70">
        <f t="shared" si="2"/>
        <v>12</v>
      </c>
      <c r="O15" s="70">
        <f t="shared" si="0"/>
        <v>12</v>
      </c>
      <c r="Q15" s="76"/>
      <c r="R15" s="72"/>
      <c r="S15" s="73"/>
      <c r="T15" s="73"/>
      <c r="U15" s="35"/>
      <c r="V15" s="387"/>
      <c r="W15" s="35"/>
      <c r="X15" s="73"/>
      <c r="Y15" s="73"/>
      <c r="Z15" s="73"/>
      <c r="AA15" s="35"/>
      <c r="AB15" s="35"/>
      <c r="AC15" s="75"/>
      <c r="AD15" s="69"/>
      <c r="AE15" s="390">
        <f t="shared" si="3"/>
        <v>12</v>
      </c>
      <c r="AF15" s="390">
        <f t="shared" si="1"/>
        <v>12</v>
      </c>
      <c r="AH15" s="76"/>
    </row>
    <row r="16" spans="1:34" ht="24" customHeight="1" x14ac:dyDescent="0.3">
      <c r="A16" s="65"/>
      <c r="B16" s="66"/>
      <c r="C16" s="66"/>
      <c r="D16" s="53"/>
      <c r="E16" s="67"/>
      <c r="F16" s="53"/>
      <c r="G16" s="66"/>
      <c r="H16" s="66"/>
      <c r="I16" s="66"/>
      <c r="J16" s="53"/>
      <c r="K16" s="53"/>
      <c r="L16" s="68"/>
      <c r="M16" s="69"/>
      <c r="N16" s="70">
        <f t="shared" si="2"/>
        <v>13</v>
      </c>
      <c r="O16" s="70">
        <f t="shared" si="0"/>
        <v>13</v>
      </c>
      <c r="Q16" s="71" t="str">
        <f>IF(IGRF!B20="","",IGRF!B20)</f>
        <v>33</v>
      </c>
      <c r="R16" s="65"/>
      <c r="S16" s="66"/>
      <c r="T16" s="66"/>
      <c r="U16" s="53"/>
      <c r="V16" s="389"/>
      <c r="W16" s="53"/>
      <c r="X16" s="66"/>
      <c r="Y16" s="66"/>
      <c r="Z16" s="66"/>
      <c r="AA16" s="53"/>
      <c r="AB16" s="53"/>
      <c r="AC16" s="68"/>
      <c r="AD16" s="69"/>
      <c r="AE16" s="390">
        <f t="shared" si="3"/>
        <v>13</v>
      </c>
      <c r="AF16" s="390">
        <f t="shared" si="1"/>
        <v>13</v>
      </c>
      <c r="AH16" s="71" t="str">
        <f>Q16</f>
        <v>33</v>
      </c>
    </row>
    <row r="17" spans="1:34" ht="24" customHeight="1" x14ac:dyDescent="0.3">
      <c r="A17" s="72"/>
      <c r="B17" s="73"/>
      <c r="C17" s="73"/>
      <c r="D17" s="35"/>
      <c r="E17" s="74"/>
      <c r="F17" s="35"/>
      <c r="G17" s="73"/>
      <c r="H17" s="73"/>
      <c r="I17" s="73"/>
      <c r="J17" s="35"/>
      <c r="K17" s="35"/>
      <c r="L17" s="75"/>
      <c r="M17" s="69"/>
      <c r="N17" s="70">
        <f t="shared" si="2"/>
        <v>14</v>
      </c>
      <c r="O17" s="70">
        <f t="shared" si="0"/>
        <v>14</v>
      </c>
      <c r="Q17" s="76"/>
      <c r="R17" s="72"/>
      <c r="S17" s="73"/>
      <c r="T17" s="73"/>
      <c r="U17" s="35"/>
      <c r="V17" s="387"/>
      <c r="W17" s="35"/>
      <c r="X17" s="73"/>
      <c r="Y17" s="73"/>
      <c r="Z17" s="73"/>
      <c r="AA17" s="35"/>
      <c r="AB17" s="35"/>
      <c r="AC17" s="75"/>
      <c r="AD17" s="69"/>
      <c r="AE17" s="390">
        <f t="shared" si="3"/>
        <v>14</v>
      </c>
      <c r="AF17" s="390">
        <f t="shared" si="1"/>
        <v>14</v>
      </c>
      <c r="AH17" s="76"/>
    </row>
    <row r="18" spans="1:34" ht="24" customHeight="1" x14ac:dyDescent="0.3">
      <c r="A18" s="65"/>
      <c r="B18" s="66"/>
      <c r="C18" s="66"/>
      <c r="D18" s="53"/>
      <c r="E18" s="67"/>
      <c r="F18" s="53"/>
      <c r="G18" s="66"/>
      <c r="H18" s="66"/>
      <c r="I18" s="66"/>
      <c r="J18" s="53"/>
      <c r="K18" s="53"/>
      <c r="L18" s="68"/>
      <c r="M18" s="69"/>
      <c r="N18" s="70">
        <f t="shared" si="2"/>
        <v>15</v>
      </c>
      <c r="O18" s="70">
        <f t="shared" si="0"/>
        <v>15</v>
      </c>
      <c r="Q18" s="71" t="str">
        <f>IF(IGRF!B21="","",IGRF!B21)</f>
        <v>4</v>
      </c>
      <c r="R18" s="65"/>
      <c r="S18" s="66"/>
      <c r="T18" s="66"/>
      <c r="U18" s="53"/>
      <c r="V18" s="389"/>
      <c r="W18" s="53"/>
      <c r="X18" s="66"/>
      <c r="Y18" s="66"/>
      <c r="Z18" s="66"/>
      <c r="AA18" s="53"/>
      <c r="AB18" s="53"/>
      <c r="AC18" s="68"/>
      <c r="AD18" s="69"/>
      <c r="AE18" s="390">
        <f t="shared" si="3"/>
        <v>15</v>
      </c>
      <c r="AF18" s="390">
        <f t="shared" si="1"/>
        <v>15</v>
      </c>
      <c r="AH18" s="71" t="str">
        <f>Q18</f>
        <v>4</v>
      </c>
    </row>
    <row r="19" spans="1:34" ht="24" customHeight="1" x14ac:dyDescent="0.3">
      <c r="A19" s="72"/>
      <c r="B19" s="73"/>
      <c r="C19" s="73"/>
      <c r="D19" s="35"/>
      <c r="E19" s="74"/>
      <c r="F19" s="35"/>
      <c r="G19" s="73"/>
      <c r="H19" s="73"/>
      <c r="I19" s="73"/>
      <c r="J19" s="35"/>
      <c r="K19" s="35"/>
      <c r="L19" s="75"/>
      <c r="M19" s="69"/>
      <c r="N19" s="70">
        <f t="shared" si="2"/>
        <v>16</v>
      </c>
      <c r="O19" s="70">
        <f t="shared" si="0"/>
        <v>16</v>
      </c>
      <c r="Q19" s="76"/>
      <c r="R19" s="72"/>
      <c r="S19" s="73"/>
      <c r="T19" s="73"/>
      <c r="U19" s="35"/>
      <c r="V19" s="387"/>
      <c r="W19" s="35"/>
      <c r="X19" s="73"/>
      <c r="Y19" s="73"/>
      <c r="Z19" s="73"/>
      <c r="AA19" s="35"/>
      <c r="AB19" s="35"/>
      <c r="AC19" s="75"/>
      <c r="AD19" s="69"/>
      <c r="AE19" s="390">
        <f t="shared" si="3"/>
        <v>16</v>
      </c>
      <c r="AF19" s="390">
        <f t="shared" si="1"/>
        <v>16</v>
      </c>
      <c r="AH19" s="76"/>
    </row>
    <row r="20" spans="1:34" ht="24" customHeight="1" x14ac:dyDescent="0.3">
      <c r="A20" s="65"/>
      <c r="B20" s="66"/>
      <c r="C20" s="66"/>
      <c r="D20" s="53"/>
      <c r="E20" s="67"/>
      <c r="F20" s="53"/>
      <c r="G20" s="66"/>
      <c r="H20" s="66"/>
      <c r="I20" s="66"/>
      <c r="J20" s="53"/>
      <c r="K20" s="53"/>
      <c r="L20" s="68"/>
      <c r="M20" s="69"/>
      <c r="N20" s="70">
        <f t="shared" si="2"/>
        <v>17</v>
      </c>
      <c r="O20" s="70">
        <f t="shared" si="0"/>
        <v>17</v>
      </c>
      <c r="Q20" s="71" t="str">
        <f>IF(IGRF!B22="","",IGRF!B22)</f>
        <v>42</v>
      </c>
      <c r="R20" s="65"/>
      <c r="S20" s="66"/>
      <c r="T20" s="66"/>
      <c r="U20" s="53"/>
      <c r="V20" s="389"/>
      <c r="W20" s="53"/>
      <c r="X20" s="66"/>
      <c r="Y20" s="66"/>
      <c r="Z20" s="66"/>
      <c r="AA20" s="53"/>
      <c r="AB20" s="53"/>
      <c r="AC20" s="68"/>
      <c r="AD20" s="69"/>
      <c r="AE20" s="390">
        <f t="shared" si="3"/>
        <v>17</v>
      </c>
      <c r="AF20" s="390">
        <f t="shared" si="1"/>
        <v>17</v>
      </c>
      <c r="AH20" s="71" t="str">
        <f>Q20</f>
        <v>42</v>
      </c>
    </row>
    <row r="21" spans="1:34" ht="24" customHeight="1" x14ac:dyDescent="0.3">
      <c r="A21" s="72"/>
      <c r="B21" s="73"/>
      <c r="C21" s="73"/>
      <c r="D21" s="35"/>
      <c r="E21" s="74"/>
      <c r="F21" s="35"/>
      <c r="G21" s="73"/>
      <c r="H21" s="73"/>
      <c r="I21" s="73"/>
      <c r="J21" s="35"/>
      <c r="K21" s="35"/>
      <c r="L21" s="75"/>
      <c r="M21" s="69"/>
      <c r="N21" s="70">
        <f t="shared" si="2"/>
        <v>18</v>
      </c>
      <c r="O21" s="70">
        <f t="shared" si="0"/>
        <v>18</v>
      </c>
      <c r="Q21" s="76"/>
      <c r="R21" s="72"/>
      <c r="S21" s="73"/>
      <c r="T21" s="73"/>
      <c r="U21" s="35"/>
      <c r="V21" s="387"/>
      <c r="W21" s="35"/>
      <c r="X21" s="73"/>
      <c r="Y21" s="73"/>
      <c r="Z21" s="73"/>
      <c r="AA21" s="35"/>
      <c r="AB21" s="35"/>
      <c r="AC21" s="75"/>
      <c r="AD21" s="69"/>
      <c r="AE21" s="390">
        <f t="shared" si="3"/>
        <v>18</v>
      </c>
      <c r="AF21" s="390">
        <f t="shared" si="1"/>
        <v>18</v>
      </c>
      <c r="AH21" s="76"/>
    </row>
    <row r="22" spans="1:34" ht="24" customHeight="1" x14ac:dyDescent="0.3">
      <c r="A22" s="65"/>
      <c r="B22" s="66"/>
      <c r="C22" s="66"/>
      <c r="D22" s="53"/>
      <c r="E22" s="67"/>
      <c r="F22" s="53"/>
      <c r="G22" s="66"/>
      <c r="H22" s="66"/>
      <c r="I22" s="66"/>
      <c r="J22" s="53"/>
      <c r="K22" s="53"/>
      <c r="L22" s="68"/>
      <c r="M22" s="69"/>
      <c r="N22" s="70">
        <f t="shared" si="2"/>
        <v>19</v>
      </c>
      <c r="O22" s="70">
        <f t="shared" si="0"/>
        <v>19</v>
      </c>
      <c r="Q22" s="71" t="str">
        <f>IF(IGRF!B23="","",IGRF!B23)</f>
        <v>44</v>
      </c>
      <c r="R22" s="65"/>
      <c r="S22" s="66"/>
      <c r="T22" s="66"/>
      <c r="U22" s="53"/>
      <c r="V22" s="389"/>
      <c r="W22" s="53"/>
      <c r="X22" s="66"/>
      <c r="Y22" s="66"/>
      <c r="Z22" s="66"/>
      <c r="AA22" s="53"/>
      <c r="AB22" s="53"/>
      <c r="AC22" s="68"/>
      <c r="AD22" s="69"/>
      <c r="AE22" s="390">
        <f t="shared" si="3"/>
        <v>19</v>
      </c>
      <c r="AF22" s="390">
        <f t="shared" si="1"/>
        <v>19</v>
      </c>
      <c r="AH22" s="71" t="str">
        <f>Q22</f>
        <v>44</v>
      </c>
    </row>
    <row r="23" spans="1:34" ht="24" customHeight="1" x14ac:dyDescent="0.3">
      <c r="A23" s="72"/>
      <c r="B23" s="73"/>
      <c r="C23" s="73"/>
      <c r="D23" s="35"/>
      <c r="E23" s="74"/>
      <c r="F23" s="35"/>
      <c r="G23" s="73"/>
      <c r="H23" s="73"/>
      <c r="I23" s="73"/>
      <c r="J23" s="35"/>
      <c r="K23" s="35"/>
      <c r="L23" s="75"/>
      <c r="M23" s="69"/>
      <c r="N23" s="70">
        <f t="shared" si="2"/>
        <v>20</v>
      </c>
      <c r="O23" s="70">
        <f t="shared" si="0"/>
        <v>20</v>
      </c>
      <c r="Q23" s="76"/>
      <c r="R23" s="72"/>
      <c r="S23" s="73"/>
      <c r="T23" s="73"/>
      <c r="U23" s="35"/>
      <c r="V23" s="387"/>
      <c r="W23" s="35"/>
      <c r="X23" s="73"/>
      <c r="Y23" s="73"/>
      <c r="Z23" s="73"/>
      <c r="AA23" s="35"/>
      <c r="AB23" s="35"/>
      <c r="AC23" s="75"/>
      <c r="AD23" s="69"/>
      <c r="AE23" s="390">
        <f t="shared" si="3"/>
        <v>20</v>
      </c>
      <c r="AF23" s="390">
        <f t="shared" si="1"/>
        <v>20</v>
      </c>
      <c r="AH23" s="76"/>
    </row>
    <row r="24" spans="1:34" ht="24" customHeight="1" x14ac:dyDescent="0.3">
      <c r="A24" s="65"/>
      <c r="B24" s="66"/>
      <c r="C24" s="66"/>
      <c r="D24" s="53"/>
      <c r="E24" s="67"/>
      <c r="F24" s="53"/>
      <c r="G24" s="66"/>
      <c r="H24" s="66"/>
      <c r="I24" s="66"/>
      <c r="J24" s="53"/>
      <c r="K24" s="53"/>
      <c r="L24" s="68"/>
      <c r="M24" s="69"/>
      <c r="N24" s="70">
        <f t="shared" si="2"/>
        <v>21</v>
      </c>
      <c r="O24" s="70">
        <f t="shared" si="0"/>
        <v>21</v>
      </c>
      <c r="Q24" s="71" t="str">
        <f>IF(IGRF!B24="","",IGRF!B24)</f>
        <v>480</v>
      </c>
      <c r="R24" s="65"/>
      <c r="S24" s="66"/>
      <c r="T24" s="66"/>
      <c r="U24" s="53"/>
      <c r="V24" s="389"/>
      <c r="W24" s="53"/>
      <c r="X24" s="66"/>
      <c r="Y24" s="66"/>
      <c r="Z24" s="66"/>
      <c r="AA24" s="53"/>
      <c r="AB24" s="53"/>
      <c r="AC24" s="68"/>
      <c r="AD24" s="69"/>
      <c r="AE24" s="390">
        <f t="shared" si="3"/>
        <v>21</v>
      </c>
      <c r="AF24" s="390">
        <f t="shared" si="1"/>
        <v>21</v>
      </c>
      <c r="AH24" s="71" t="str">
        <f>Q24</f>
        <v>480</v>
      </c>
    </row>
    <row r="25" spans="1:34" ht="24" customHeight="1" x14ac:dyDescent="0.3">
      <c r="A25" s="72"/>
      <c r="B25" s="73"/>
      <c r="C25" s="73"/>
      <c r="D25" s="35"/>
      <c r="E25" s="74"/>
      <c r="F25" s="35"/>
      <c r="G25" s="73"/>
      <c r="H25" s="73"/>
      <c r="I25" s="73"/>
      <c r="J25" s="35"/>
      <c r="K25" s="35"/>
      <c r="L25" s="75"/>
      <c r="M25" s="69"/>
      <c r="N25" s="70">
        <f t="shared" si="2"/>
        <v>22</v>
      </c>
      <c r="O25" s="70">
        <f t="shared" si="0"/>
        <v>22</v>
      </c>
      <c r="Q25" s="76"/>
      <c r="R25" s="72"/>
      <c r="S25" s="73"/>
      <c r="T25" s="73"/>
      <c r="U25" s="35"/>
      <c r="V25" s="387"/>
      <c r="W25" s="35"/>
      <c r="X25" s="73"/>
      <c r="Y25" s="73"/>
      <c r="Z25" s="73"/>
      <c r="AA25" s="35"/>
      <c r="AB25" s="35"/>
      <c r="AC25" s="75"/>
      <c r="AD25" s="69"/>
      <c r="AE25" s="390">
        <f t="shared" si="3"/>
        <v>22</v>
      </c>
      <c r="AF25" s="390">
        <f t="shared" si="1"/>
        <v>22</v>
      </c>
      <c r="AH25" s="76"/>
    </row>
    <row r="26" spans="1:34" ht="24" customHeight="1" x14ac:dyDescent="0.3">
      <c r="A26" s="65"/>
      <c r="B26" s="66"/>
      <c r="C26" s="66"/>
      <c r="D26" s="53"/>
      <c r="E26" s="67"/>
      <c r="F26" s="53"/>
      <c r="G26" s="66"/>
      <c r="H26" s="66"/>
      <c r="I26" s="66"/>
      <c r="J26" s="53"/>
      <c r="K26" s="53"/>
      <c r="L26" s="68"/>
      <c r="M26" s="69"/>
      <c r="N26" s="70">
        <f t="shared" si="2"/>
        <v>23</v>
      </c>
      <c r="O26" s="70">
        <f t="shared" si="0"/>
        <v>23</v>
      </c>
      <c r="Q26" s="71" t="str">
        <f>IF(IGRF!B25="","",IGRF!B25)</f>
        <v>64</v>
      </c>
      <c r="R26" s="65"/>
      <c r="S26" s="66"/>
      <c r="T26" s="66"/>
      <c r="U26" s="53"/>
      <c r="V26" s="389"/>
      <c r="W26" s="53"/>
      <c r="X26" s="66"/>
      <c r="Y26" s="66"/>
      <c r="Z26" s="66"/>
      <c r="AA26" s="53"/>
      <c r="AB26" s="53"/>
      <c r="AC26" s="68"/>
      <c r="AD26" s="69"/>
      <c r="AE26" s="390">
        <f t="shared" si="3"/>
        <v>23</v>
      </c>
      <c r="AF26" s="390">
        <f t="shared" si="1"/>
        <v>23</v>
      </c>
      <c r="AH26" s="71" t="str">
        <f>Q26</f>
        <v>64</v>
      </c>
    </row>
    <row r="27" spans="1:34" ht="24" customHeight="1" x14ac:dyDescent="0.3">
      <c r="A27" s="72"/>
      <c r="B27" s="73"/>
      <c r="C27" s="73"/>
      <c r="D27" s="35"/>
      <c r="E27" s="74"/>
      <c r="F27" s="35"/>
      <c r="G27" s="73"/>
      <c r="H27" s="73"/>
      <c r="I27" s="73"/>
      <c r="J27" s="35"/>
      <c r="K27" s="35"/>
      <c r="L27" s="75"/>
      <c r="M27" s="69"/>
      <c r="N27" s="70">
        <f t="shared" si="2"/>
        <v>24</v>
      </c>
      <c r="O27" s="70">
        <f t="shared" si="0"/>
        <v>24</v>
      </c>
      <c r="Q27" s="76"/>
      <c r="R27" s="72"/>
      <c r="S27" s="73"/>
      <c r="T27" s="73"/>
      <c r="U27" s="35"/>
      <c r="V27" s="387"/>
      <c r="W27" s="35"/>
      <c r="X27" s="73"/>
      <c r="Y27" s="73"/>
      <c r="Z27" s="73"/>
      <c r="AA27" s="35"/>
      <c r="AB27" s="35"/>
      <c r="AC27" s="75"/>
      <c r="AD27" s="69"/>
      <c r="AE27" s="390">
        <f t="shared" si="3"/>
        <v>24</v>
      </c>
      <c r="AF27" s="390">
        <f t="shared" si="1"/>
        <v>24</v>
      </c>
      <c r="AH27" s="76"/>
    </row>
    <row r="28" spans="1:34" ht="24" customHeight="1" x14ac:dyDescent="0.3">
      <c r="A28" s="65"/>
      <c r="B28" s="66"/>
      <c r="C28" s="66"/>
      <c r="D28" s="53"/>
      <c r="E28" s="67"/>
      <c r="F28" s="53"/>
      <c r="G28" s="66"/>
      <c r="H28" s="66"/>
      <c r="I28" s="66"/>
      <c r="J28" s="53"/>
      <c r="K28" s="53"/>
      <c r="L28" s="68"/>
      <c r="M28" s="69"/>
      <c r="N28" s="70">
        <f t="shared" si="2"/>
        <v>25</v>
      </c>
      <c r="O28" s="70">
        <f t="shared" si="0"/>
        <v>25</v>
      </c>
      <c r="Q28" s="71" t="str">
        <f>IF(IGRF!B26="","",IGRF!B26)</f>
        <v>84</v>
      </c>
      <c r="R28" s="65"/>
      <c r="S28" s="66"/>
      <c r="T28" s="66"/>
      <c r="U28" s="53"/>
      <c r="V28" s="389"/>
      <c r="W28" s="53"/>
      <c r="X28" s="66"/>
      <c r="Y28" s="66"/>
      <c r="Z28" s="66"/>
      <c r="AA28" s="53"/>
      <c r="AB28" s="53"/>
      <c r="AC28" s="68"/>
      <c r="AD28" s="69"/>
      <c r="AE28" s="390">
        <f t="shared" si="3"/>
        <v>25</v>
      </c>
      <c r="AF28" s="390">
        <f t="shared" si="1"/>
        <v>25</v>
      </c>
      <c r="AH28" s="71" t="str">
        <f>Q28</f>
        <v>84</v>
      </c>
    </row>
    <row r="29" spans="1:34" ht="24" customHeight="1" x14ac:dyDescent="0.3">
      <c r="A29" s="72"/>
      <c r="B29" s="73"/>
      <c r="C29" s="73"/>
      <c r="D29" s="35"/>
      <c r="E29" s="74"/>
      <c r="F29" s="35"/>
      <c r="G29" s="73"/>
      <c r="H29" s="73"/>
      <c r="I29" s="73"/>
      <c r="J29" s="35"/>
      <c r="K29" s="35"/>
      <c r="L29" s="75"/>
      <c r="M29" s="69"/>
      <c r="N29" s="70">
        <v>26</v>
      </c>
      <c r="O29" s="70">
        <v>26</v>
      </c>
      <c r="Q29" s="76"/>
      <c r="R29" s="72"/>
      <c r="S29" s="73"/>
      <c r="T29" s="73"/>
      <c r="U29" s="35"/>
      <c r="V29" s="387"/>
      <c r="W29" s="35"/>
      <c r="X29" s="73"/>
      <c r="Y29" s="73"/>
      <c r="Z29" s="73"/>
      <c r="AA29" s="35"/>
      <c r="AB29" s="35"/>
      <c r="AC29" s="75"/>
      <c r="AD29" s="69"/>
      <c r="AE29" s="390">
        <v>26</v>
      </c>
      <c r="AF29" s="390">
        <v>26</v>
      </c>
      <c r="AH29" s="76"/>
    </row>
    <row r="30" spans="1:34" ht="24" customHeight="1" x14ac:dyDescent="0.3">
      <c r="A30" s="65"/>
      <c r="B30" s="66"/>
      <c r="C30" s="66"/>
      <c r="D30" s="53"/>
      <c r="E30" s="67"/>
      <c r="F30" s="53"/>
      <c r="G30" s="66"/>
      <c r="H30" s="66"/>
      <c r="I30" s="66"/>
      <c r="J30" s="53"/>
      <c r="K30" s="53"/>
      <c r="L30" s="68"/>
      <c r="M30" s="69"/>
      <c r="N30" s="70">
        <v>27</v>
      </c>
      <c r="O30" s="70">
        <v>27</v>
      </c>
      <c r="Q30" s="71" t="str">
        <f>IF(IGRF!B27="","",IGRF!B27)</f>
        <v>N01</v>
      </c>
      <c r="R30" s="65"/>
      <c r="S30" s="66"/>
      <c r="T30" s="66"/>
      <c r="U30" s="53"/>
      <c r="V30" s="389"/>
      <c r="W30" s="53"/>
      <c r="X30" s="66"/>
      <c r="Y30" s="66"/>
      <c r="Z30" s="66"/>
      <c r="AA30" s="53"/>
      <c r="AB30" s="53"/>
      <c r="AC30" s="68"/>
      <c r="AD30" s="69"/>
      <c r="AE30" s="390">
        <v>27</v>
      </c>
      <c r="AF30" s="390">
        <v>27</v>
      </c>
      <c r="AH30" s="71" t="str">
        <f>Q30</f>
        <v>N01</v>
      </c>
    </row>
    <row r="31" spans="1:34" ht="24" customHeight="1" x14ac:dyDescent="0.3">
      <c r="A31" s="72"/>
      <c r="B31" s="73"/>
      <c r="C31" s="73"/>
      <c r="D31" s="35"/>
      <c r="E31" s="74"/>
      <c r="F31" s="35"/>
      <c r="G31" s="73"/>
      <c r="H31" s="73"/>
      <c r="I31" s="73"/>
      <c r="J31" s="35"/>
      <c r="K31" s="35"/>
      <c r="L31" s="75"/>
      <c r="M31" s="69"/>
      <c r="N31" s="70">
        <v>28</v>
      </c>
      <c r="O31" s="70">
        <v>28</v>
      </c>
      <c r="Q31" s="76"/>
      <c r="R31" s="72"/>
      <c r="S31" s="73"/>
      <c r="T31" s="73"/>
      <c r="U31" s="35"/>
      <c r="V31" s="387"/>
      <c r="W31" s="35"/>
      <c r="X31" s="73"/>
      <c r="Y31" s="73"/>
      <c r="Z31" s="73"/>
      <c r="AA31" s="35"/>
      <c r="AB31" s="35"/>
      <c r="AC31" s="75"/>
      <c r="AD31" s="69"/>
      <c r="AE31" s="390">
        <v>28</v>
      </c>
      <c r="AF31" s="390">
        <v>28</v>
      </c>
      <c r="AH31" s="76"/>
    </row>
    <row r="32" spans="1:34" ht="24" customHeight="1" x14ac:dyDescent="0.3">
      <c r="A32" s="65"/>
      <c r="B32" s="66"/>
      <c r="C32" s="66"/>
      <c r="D32" s="53"/>
      <c r="E32" s="67"/>
      <c r="F32" s="53"/>
      <c r="G32" s="66"/>
      <c r="H32" s="66"/>
      <c r="I32" s="66"/>
      <c r="J32" s="53"/>
      <c r="K32" s="53"/>
      <c r="L32" s="68"/>
      <c r="M32" s="69"/>
      <c r="N32" s="70">
        <v>29</v>
      </c>
      <c r="O32" s="70">
        <v>29</v>
      </c>
      <c r="Q32" s="71" t="str">
        <f>IF(IGRF!B28="","",IGRF!B28)</f>
        <v/>
      </c>
      <c r="R32" s="65"/>
      <c r="S32" s="66"/>
      <c r="T32" s="66"/>
      <c r="U32" s="53"/>
      <c r="V32" s="389"/>
      <c r="W32" s="53"/>
      <c r="X32" s="66"/>
      <c r="Y32" s="66"/>
      <c r="Z32" s="66"/>
      <c r="AA32" s="53"/>
      <c r="AB32" s="53"/>
      <c r="AC32" s="68"/>
      <c r="AD32" s="69"/>
      <c r="AE32" s="390">
        <v>29</v>
      </c>
      <c r="AF32" s="390">
        <v>29</v>
      </c>
      <c r="AH32" s="71" t="str">
        <f>Q32</f>
        <v/>
      </c>
    </row>
    <row r="33" spans="1:34" ht="24" customHeight="1" x14ac:dyDescent="0.3">
      <c r="A33" s="72"/>
      <c r="B33" s="73"/>
      <c r="C33" s="73"/>
      <c r="D33" s="35"/>
      <c r="E33" s="74"/>
      <c r="F33" s="35"/>
      <c r="G33" s="73"/>
      <c r="H33" s="73"/>
      <c r="I33" s="73"/>
      <c r="J33" s="35"/>
      <c r="K33" s="35"/>
      <c r="L33" s="75"/>
      <c r="M33" s="69"/>
      <c r="N33" s="70">
        <v>30</v>
      </c>
      <c r="O33" s="70">
        <v>30</v>
      </c>
      <c r="Q33" s="76"/>
      <c r="R33" s="72"/>
      <c r="S33" s="73"/>
      <c r="T33" s="73"/>
      <c r="U33" s="35"/>
      <c r="V33" s="387"/>
      <c r="W33" s="35"/>
      <c r="X33" s="73"/>
      <c r="Y33" s="73"/>
      <c r="Z33" s="73"/>
      <c r="AA33" s="35"/>
      <c r="AB33" s="35"/>
      <c r="AC33" s="75"/>
      <c r="AD33" s="69"/>
      <c r="AE33" s="390">
        <v>30</v>
      </c>
      <c r="AF33" s="390">
        <v>30</v>
      </c>
      <c r="AH33" s="76"/>
    </row>
    <row r="34" spans="1:34" ht="24" customHeight="1" x14ac:dyDescent="0.3">
      <c r="A34" s="65"/>
      <c r="B34" s="66"/>
      <c r="C34" s="66"/>
      <c r="D34" s="53"/>
      <c r="E34" s="67"/>
      <c r="F34" s="53"/>
      <c r="G34" s="66"/>
      <c r="H34" s="66"/>
      <c r="I34" s="66"/>
      <c r="J34" s="53"/>
      <c r="K34" s="53"/>
      <c r="L34" s="68"/>
      <c r="M34" s="69"/>
      <c r="N34" s="70">
        <v>31</v>
      </c>
      <c r="O34" s="70">
        <v>31</v>
      </c>
      <c r="Q34" s="71" t="str">
        <f>IF(IGRF!B29="","",IGRF!B29)</f>
        <v/>
      </c>
      <c r="R34" s="65"/>
      <c r="S34" s="66"/>
      <c r="T34" s="66"/>
      <c r="U34" s="53"/>
      <c r="V34" s="389"/>
      <c r="W34" s="53"/>
      <c r="X34" s="66"/>
      <c r="Y34" s="66"/>
      <c r="Z34" s="66"/>
      <c r="AA34" s="53"/>
      <c r="AB34" s="53"/>
      <c r="AC34" s="68"/>
      <c r="AD34" s="69"/>
      <c r="AE34" s="390">
        <v>31</v>
      </c>
      <c r="AF34" s="390">
        <v>31</v>
      </c>
      <c r="AH34" s="71" t="str">
        <f>Q34</f>
        <v/>
      </c>
    </row>
    <row r="35" spans="1:34" ht="24" customHeight="1" x14ac:dyDescent="0.3">
      <c r="A35" s="72"/>
      <c r="B35" s="73"/>
      <c r="C35" s="73"/>
      <c r="D35" s="35"/>
      <c r="E35" s="74"/>
      <c r="F35" s="35"/>
      <c r="G35" s="73"/>
      <c r="H35" s="73"/>
      <c r="I35" s="73"/>
      <c r="J35" s="35"/>
      <c r="K35" s="35"/>
      <c r="L35" s="75"/>
      <c r="M35" s="69"/>
      <c r="N35" s="70">
        <v>32</v>
      </c>
      <c r="O35" s="70">
        <v>32</v>
      </c>
      <c r="Q35" s="76"/>
      <c r="R35" s="72"/>
      <c r="S35" s="73"/>
      <c r="T35" s="73"/>
      <c r="U35" s="35"/>
      <c r="V35" s="387"/>
      <c r="W35" s="35"/>
      <c r="X35" s="73"/>
      <c r="Y35" s="73"/>
      <c r="Z35" s="73"/>
      <c r="AA35" s="35"/>
      <c r="AB35" s="35"/>
      <c r="AC35" s="75"/>
      <c r="AD35" s="69"/>
      <c r="AE35" s="390">
        <v>32</v>
      </c>
      <c r="AF35" s="390">
        <v>32</v>
      </c>
      <c r="AH35" s="76"/>
    </row>
    <row r="36" spans="1:34" ht="24" customHeight="1" x14ac:dyDescent="0.3">
      <c r="A36" s="65"/>
      <c r="B36" s="66"/>
      <c r="C36" s="66"/>
      <c r="D36" s="53"/>
      <c r="E36" s="67"/>
      <c r="F36" s="53"/>
      <c r="G36" s="66"/>
      <c r="H36" s="66"/>
      <c r="I36" s="66"/>
      <c r="J36" s="53"/>
      <c r="K36" s="53"/>
      <c r="L36" s="68"/>
      <c r="M36" s="69"/>
      <c r="N36" s="70">
        <v>33</v>
      </c>
      <c r="O36" s="70">
        <v>33</v>
      </c>
      <c r="Q36" s="71" t="str">
        <f>IF(IGRF!B30="","",IGRF!B30)</f>
        <v/>
      </c>
      <c r="R36" s="65"/>
      <c r="S36" s="66"/>
      <c r="T36" s="66"/>
      <c r="U36" s="53"/>
      <c r="V36" s="389"/>
      <c r="W36" s="53"/>
      <c r="X36" s="66"/>
      <c r="Y36" s="66"/>
      <c r="Z36" s="66"/>
      <c r="AA36" s="53"/>
      <c r="AB36" s="53"/>
      <c r="AC36" s="68"/>
      <c r="AD36" s="69"/>
      <c r="AE36" s="390">
        <v>33</v>
      </c>
      <c r="AF36" s="390">
        <v>33</v>
      </c>
      <c r="AH36" s="71" t="str">
        <f>Q36</f>
        <v/>
      </c>
    </row>
    <row r="37" spans="1:34" ht="24" customHeight="1" x14ac:dyDescent="0.3">
      <c r="A37" s="72"/>
      <c r="B37" s="73"/>
      <c r="C37" s="73"/>
      <c r="D37" s="35"/>
      <c r="E37" s="74"/>
      <c r="F37" s="35"/>
      <c r="G37" s="73"/>
      <c r="H37" s="73"/>
      <c r="I37" s="73"/>
      <c r="J37" s="35"/>
      <c r="K37" s="35"/>
      <c r="L37" s="75"/>
      <c r="M37" s="69"/>
      <c r="N37" s="70">
        <v>34</v>
      </c>
      <c r="O37" s="70">
        <v>34</v>
      </c>
      <c r="Q37" s="76"/>
      <c r="R37" s="72"/>
      <c r="S37" s="73"/>
      <c r="T37" s="73"/>
      <c r="U37" s="35"/>
      <c r="V37" s="387"/>
      <c r="W37" s="35"/>
      <c r="X37" s="73"/>
      <c r="Y37" s="73"/>
      <c r="Z37" s="73"/>
      <c r="AA37" s="35"/>
      <c r="AB37" s="35"/>
      <c r="AC37" s="75"/>
      <c r="AD37" s="69"/>
      <c r="AE37" s="390">
        <v>34</v>
      </c>
      <c r="AF37" s="390">
        <v>34</v>
      </c>
      <c r="AH37" s="76"/>
    </row>
    <row r="38" spans="1:34" ht="24" customHeight="1" x14ac:dyDescent="0.3">
      <c r="A38" s="65"/>
      <c r="B38" s="66"/>
      <c r="C38" s="66"/>
      <c r="D38" s="53"/>
      <c r="E38" s="67"/>
      <c r="F38" s="53"/>
      <c r="G38" s="66"/>
      <c r="H38" s="66"/>
      <c r="I38" s="66"/>
      <c r="J38" s="53"/>
      <c r="K38" s="53"/>
      <c r="L38" s="68"/>
      <c r="M38" s="69"/>
      <c r="N38" s="70">
        <v>35</v>
      </c>
      <c r="O38" s="70">
        <v>35</v>
      </c>
      <c r="Q38" s="71" t="str">
        <f>IF(IGRF!B31="","",IGRF!B31)</f>
        <v/>
      </c>
      <c r="R38" s="65"/>
      <c r="S38" s="66"/>
      <c r="T38" s="66"/>
      <c r="U38" s="53"/>
      <c r="V38" s="389"/>
      <c r="W38" s="53"/>
      <c r="X38" s="66"/>
      <c r="Y38" s="66"/>
      <c r="Z38" s="66"/>
      <c r="AA38" s="53"/>
      <c r="AB38" s="53"/>
      <c r="AC38" s="68"/>
      <c r="AD38" s="69"/>
      <c r="AE38" s="390">
        <v>35</v>
      </c>
      <c r="AF38" s="390">
        <v>35</v>
      </c>
      <c r="AH38" s="71" t="str">
        <f>Q38</f>
        <v/>
      </c>
    </row>
    <row r="39" spans="1:34" ht="24" customHeight="1" x14ac:dyDescent="0.3">
      <c r="A39" s="72"/>
      <c r="B39" s="73"/>
      <c r="C39" s="73"/>
      <c r="D39" s="35"/>
      <c r="E39" s="74"/>
      <c r="F39" s="35"/>
      <c r="G39" s="73"/>
      <c r="H39" s="73"/>
      <c r="I39" s="73"/>
      <c r="J39" s="35"/>
      <c r="K39" s="35"/>
      <c r="L39" s="75"/>
      <c r="M39" s="69"/>
      <c r="N39" s="70">
        <v>36</v>
      </c>
      <c r="O39" s="70">
        <v>36</v>
      </c>
      <c r="Q39" s="76"/>
      <c r="R39" s="72"/>
      <c r="S39" s="73"/>
      <c r="T39" s="73"/>
      <c r="U39" s="35"/>
      <c r="V39" s="387"/>
      <c r="W39" s="35"/>
      <c r="X39" s="73"/>
      <c r="Y39" s="73"/>
      <c r="Z39" s="73"/>
      <c r="AA39" s="35"/>
      <c r="AB39" s="35"/>
      <c r="AC39" s="75"/>
      <c r="AD39" s="69"/>
      <c r="AE39" s="390">
        <v>36</v>
      </c>
      <c r="AF39" s="390">
        <v>36</v>
      </c>
      <c r="AH39" s="76"/>
    </row>
    <row r="40" spans="1:34" s="77" customFormat="1" ht="24" customHeight="1" x14ac:dyDescent="0.3">
      <c r="A40" s="65"/>
      <c r="B40" s="66"/>
      <c r="C40" s="66"/>
      <c r="D40" s="53"/>
      <c r="E40" s="67"/>
      <c r="F40" s="53"/>
      <c r="G40" s="66"/>
      <c r="H40" s="66"/>
      <c r="I40" s="66"/>
      <c r="J40" s="53"/>
      <c r="K40" s="53"/>
      <c r="L40" s="68"/>
      <c r="M40" s="69"/>
      <c r="N40" s="70">
        <v>37</v>
      </c>
      <c r="O40" s="70">
        <v>37</v>
      </c>
      <c r="Q40" s="71" t="str">
        <f>IF(IGRF!B32="","",IGRF!B32)</f>
        <v/>
      </c>
      <c r="R40" s="65"/>
      <c r="S40" s="66"/>
      <c r="T40" s="66"/>
      <c r="U40" s="53"/>
      <c r="V40" s="389"/>
      <c r="W40" s="53"/>
      <c r="X40" s="66"/>
      <c r="Y40" s="66"/>
      <c r="Z40" s="66"/>
      <c r="AA40" s="53"/>
      <c r="AB40" s="53"/>
      <c r="AC40" s="68"/>
      <c r="AD40" s="69"/>
      <c r="AE40" s="390">
        <v>37</v>
      </c>
      <c r="AF40" s="390">
        <v>37</v>
      </c>
      <c r="AH40" s="71" t="str">
        <f>Q40</f>
        <v/>
      </c>
    </row>
    <row r="41" spans="1:34" s="77" customFormat="1" ht="24" customHeight="1" x14ac:dyDescent="0.3">
      <c r="A41" s="72"/>
      <c r="B41" s="73"/>
      <c r="C41" s="73"/>
      <c r="D41" s="35"/>
      <c r="E41" s="74"/>
      <c r="F41" s="35"/>
      <c r="G41" s="73"/>
      <c r="H41" s="73"/>
      <c r="I41" s="73"/>
      <c r="J41" s="35"/>
      <c r="K41" s="35"/>
      <c r="L41" s="75"/>
      <c r="M41" s="69"/>
      <c r="N41" s="70">
        <v>38</v>
      </c>
      <c r="O41" s="70">
        <v>38</v>
      </c>
      <c r="Q41" s="76"/>
      <c r="R41" s="72"/>
      <c r="S41" s="73"/>
      <c r="T41" s="73"/>
      <c r="U41" s="35"/>
      <c r="V41" s="387"/>
      <c r="W41" s="35"/>
      <c r="X41" s="73"/>
      <c r="Y41" s="73"/>
      <c r="Z41" s="73"/>
      <c r="AA41" s="35"/>
      <c r="AB41" s="35"/>
      <c r="AC41" s="75"/>
      <c r="AD41" s="69"/>
      <c r="AE41" s="390">
        <v>38</v>
      </c>
      <c r="AF41" s="390">
        <v>38</v>
      </c>
      <c r="AH41" s="76"/>
    </row>
    <row r="42" spans="1:34" s="77" customFormat="1" ht="24" customHeight="1" x14ac:dyDescent="0.3">
      <c r="A42" s="65"/>
      <c r="B42" s="66"/>
      <c r="C42" s="66"/>
      <c r="D42" s="53"/>
      <c r="E42" s="67"/>
      <c r="F42" s="53"/>
      <c r="G42" s="66"/>
      <c r="H42" s="66"/>
      <c r="I42" s="66"/>
      <c r="J42" s="53"/>
      <c r="K42" s="53"/>
      <c r="L42" s="68"/>
      <c r="M42" s="69"/>
      <c r="N42" s="63"/>
      <c r="O42" s="63"/>
      <c r="Q42" s="71" t="str">
        <f>IF(IGRF!B33="","",IGRF!B33)</f>
        <v/>
      </c>
      <c r="R42" s="65"/>
      <c r="S42" s="66"/>
      <c r="T42" s="66"/>
      <c r="U42" s="53"/>
      <c r="V42" s="389"/>
      <c r="W42" s="53"/>
      <c r="X42" s="66"/>
      <c r="Y42" s="66"/>
      <c r="Z42" s="66"/>
      <c r="AA42" s="53"/>
      <c r="AB42" s="53"/>
      <c r="AC42" s="68"/>
      <c r="AD42" s="69"/>
      <c r="AE42" s="63"/>
      <c r="AF42" s="63"/>
      <c r="AH42" s="71" t="str">
        <f>Q42</f>
        <v/>
      </c>
    </row>
    <row r="43" spans="1:34" s="77" customFormat="1" ht="24" customHeight="1" thickBot="1" x14ac:dyDescent="0.35">
      <c r="A43" s="645"/>
      <c r="B43" s="646"/>
      <c r="C43" s="646"/>
      <c r="D43" s="647"/>
      <c r="E43" s="648"/>
      <c r="F43" s="647"/>
      <c r="G43" s="646"/>
      <c r="H43" s="646"/>
      <c r="I43" s="646"/>
      <c r="J43" s="647"/>
      <c r="K43" s="647"/>
      <c r="L43" s="649"/>
      <c r="M43" s="658"/>
      <c r="N43" s="63"/>
      <c r="O43" s="63"/>
      <c r="Q43" s="660"/>
      <c r="R43" s="645"/>
      <c r="S43" s="646"/>
      <c r="T43" s="646"/>
      <c r="U43" s="647"/>
      <c r="V43" s="648"/>
      <c r="W43" s="647"/>
      <c r="X43" s="646"/>
      <c r="Y43" s="646"/>
      <c r="Z43" s="646"/>
      <c r="AA43" s="647"/>
      <c r="AB43" s="647"/>
      <c r="AC43" s="649"/>
      <c r="AD43" s="69"/>
      <c r="AE43" s="63"/>
      <c r="AF43" s="63"/>
      <c r="AH43" s="650"/>
    </row>
    <row r="44" spans="1:34" s="77" customFormat="1" ht="30" customHeight="1" x14ac:dyDescent="0.45">
      <c r="A44" s="1143" t="str">
        <f>Score!$A$1</f>
        <v>Tri-City Roller Derby / Plan B</v>
      </c>
      <c r="B44" s="1143"/>
      <c r="C44" s="1143"/>
      <c r="D44" s="1143"/>
      <c r="E44" s="1143"/>
      <c r="F44" s="1143"/>
      <c r="G44" s="1143"/>
      <c r="H44" s="1146" t="str">
        <f>IF(ISBLANK(IGRF!$H$12), "", IGRF!$H$12)</f>
        <v/>
      </c>
      <c r="I44" s="1146"/>
      <c r="J44" s="1156">
        <f>IF(ISBLANK(IGRF!$B$7), "", IGRF!$B$7)</f>
        <v>42105</v>
      </c>
      <c r="K44" s="1156"/>
      <c r="L44" s="1148"/>
      <c r="M44" s="1148"/>
      <c r="N44" s="1148"/>
      <c r="O44" s="1148"/>
      <c r="P44" s="1148"/>
      <c r="Q44" s="1148"/>
      <c r="R44" s="1143" t="str">
        <f>Score!$T$1</f>
        <v>Hammer City Roller Girls / Harlots</v>
      </c>
      <c r="S44" s="1143"/>
      <c r="T44" s="1143"/>
      <c r="U44" s="1143"/>
      <c r="V44" s="1143"/>
      <c r="W44" s="1143"/>
      <c r="X44" s="1143"/>
      <c r="Y44" s="1146" t="str">
        <f>H44</f>
        <v/>
      </c>
      <c r="Z44" s="1146"/>
      <c r="AA44" s="1147">
        <f>IF(ISBLANK(IGRF!$B$7), "", IGRF!$B$7)</f>
        <v>42105</v>
      </c>
      <c r="AB44" s="1147"/>
      <c r="AC44" s="1148"/>
      <c r="AD44" s="1148"/>
      <c r="AE44" s="1148"/>
      <c r="AF44" s="1148"/>
      <c r="AG44" s="1148"/>
      <c r="AH44" s="1148"/>
    </row>
    <row r="45" spans="1:34" ht="11.25" customHeight="1" thickBot="1" x14ac:dyDescent="0.35">
      <c r="A45" s="1144"/>
      <c r="B45" s="1144"/>
      <c r="C45" s="1145"/>
      <c r="D45" s="1144"/>
      <c r="E45" s="1144"/>
      <c r="F45" s="1144"/>
      <c r="G45" s="1144"/>
      <c r="H45" s="1149" t="s">
        <v>245</v>
      </c>
      <c r="I45" s="1149"/>
      <c r="J45" s="1157" t="s">
        <v>248</v>
      </c>
      <c r="K45" s="1157"/>
      <c r="L45" s="1151" t="s">
        <v>242</v>
      </c>
      <c r="M45" s="1151"/>
      <c r="N45" s="1151"/>
      <c r="O45" s="1151"/>
      <c r="P45" s="1151"/>
      <c r="Q45" s="204" t="str">
        <f>Q2</f>
        <v>GAME 2</v>
      </c>
      <c r="R45" s="1144"/>
      <c r="S45" s="1144"/>
      <c r="T45" s="1145"/>
      <c r="U45" s="1144"/>
      <c r="V45" s="1144"/>
      <c r="W45" s="1144"/>
      <c r="X45" s="1144"/>
      <c r="Y45" s="1149" t="s">
        <v>245</v>
      </c>
      <c r="Z45" s="1149"/>
      <c r="AA45" s="1150" t="s">
        <v>248</v>
      </c>
      <c r="AB45" s="1150"/>
      <c r="AC45" s="1151" t="s">
        <v>242</v>
      </c>
      <c r="AD45" s="1151"/>
      <c r="AE45" s="1151"/>
      <c r="AF45" s="1151"/>
      <c r="AG45" s="1151"/>
      <c r="AH45" s="204" t="str">
        <f>Q2</f>
        <v>GAME 2</v>
      </c>
    </row>
    <row r="46" spans="1:34" s="27" customFormat="1" ht="25.5" customHeight="1" thickBot="1" x14ac:dyDescent="0.3">
      <c r="A46" s="61" t="s">
        <v>219</v>
      </c>
      <c r="B46" s="62" t="s">
        <v>8</v>
      </c>
      <c r="C46" s="632" t="s">
        <v>452</v>
      </c>
      <c r="D46" s="62" t="s">
        <v>68</v>
      </c>
      <c r="E46" s="62" t="s">
        <v>176</v>
      </c>
      <c r="F46" s="62" t="s">
        <v>3</v>
      </c>
      <c r="G46" s="62" t="s">
        <v>4</v>
      </c>
      <c r="H46" s="62" t="s">
        <v>5</v>
      </c>
      <c r="I46" s="62" t="s">
        <v>6</v>
      </c>
      <c r="J46" s="1153" t="s">
        <v>7</v>
      </c>
      <c r="K46" s="1153"/>
      <c r="L46" s="1154"/>
      <c r="M46" s="63"/>
      <c r="N46" s="1155" t="s">
        <v>8</v>
      </c>
      <c r="O46" s="1155"/>
      <c r="Q46" s="64" t="str">
        <f>Q3</f>
        <v>Total penalties</v>
      </c>
      <c r="R46" s="61" t="s">
        <v>219</v>
      </c>
      <c r="S46" s="391" t="s">
        <v>8</v>
      </c>
      <c r="T46" s="632" t="s">
        <v>452</v>
      </c>
      <c r="U46" s="391" t="s">
        <v>68</v>
      </c>
      <c r="V46" s="391" t="s">
        <v>176</v>
      </c>
      <c r="W46" s="391" t="s">
        <v>3</v>
      </c>
      <c r="X46" s="391" t="s">
        <v>4</v>
      </c>
      <c r="Y46" s="391" t="s">
        <v>5</v>
      </c>
      <c r="Z46" s="391" t="s">
        <v>6</v>
      </c>
      <c r="AA46" s="1153" t="s">
        <v>7</v>
      </c>
      <c r="AB46" s="1153"/>
      <c r="AC46" s="1154"/>
      <c r="AD46" s="63"/>
      <c r="AE46" s="1155" t="s">
        <v>8</v>
      </c>
      <c r="AF46" s="1155"/>
      <c r="AH46" s="64" t="str">
        <f>AH3</f>
        <v>Total penalties</v>
      </c>
    </row>
    <row r="47" spans="1:34" ht="24" customHeight="1" x14ac:dyDescent="0.3">
      <c r="A47" s="65"/>
      <c r="B47" s="66"/>
      <c r="C47" s="66"/>
      <c r="D47" s="53"/>
      <c r="E47" s="67"/>
      <c r="F47" s="53"/>
      <c r="G47" s="66"/>
      <c r="H47" s="66"/>
      <c r="I47" s="66"/>
      <c r="J47" s="53"/>
      <c r="K47" s="53"/>
      <c r="L47" s="68"/>
      <c r="M47" s="69"/>
      <c r="N47" s="70">
        <v>1</v>
      </c>
      <c r="O47" s="70">
        <f t="shared" ref="O47:O71" si="4">N47</f>
        <v>1</v>
      </c>
      <c r="Q47" s="71" t="str">
        <f>IF(IGRF!H14="","",IGRF!H14)</f>
        <v>11</v>
      </c>
      <c r="R47" s="65"/>
      <c r="S47" s="66"/>
      <c r="T47" s="66"/>
      <c r="U47" s="53"/>
      <c r="V47" s="389"/>
      <c r="W47" s="53"/>
      <c r="X47" s="66"/>
      <c r="Y47" s="66"/>
      <c r="Z47" s="66"/>
      <c r="AA47" s="53"/>
      <c r="AB47" s="53"/>
      <c r="AC47" s="68"/>
      <c r="AD47" s="69"/>
      <c r="AE47" s="390">
        <v>1</v>
      </c>
      <c r="AF47" s="390">
        <f t="shared" ref="AF47:AF71" si="5">AE47</f>
        <v>1</v>
      </c>
      <c r="AH47" s="71" t="str">
        <f>Q47</f>
        <v>11</v>
      </c>
    </row>
    <row r="48" spans="1:34" ht="24" customHeight="1" x14ac:dyDescent="0.3">
      <c r="A48" s="72"/>
      <c r="B48" s="73"/>
      <c r="C48" s="73"/>
      <c r="D48" s="35"/>
      <c r="E48" s="74"/>
      <c r="F48" s="35"/>
      <c r="G48" s="73"/>
      <c r="H48" s="73"/>
      <c r="I48" s="73"/>
      <c r="J48" s="35"/>
      <c r="K48" s="35"/>
      <c r="L48" s="75"/>
      <c r="M48" s="69"/>
      <c r="N48" s="70">
        <f t="shared" ref="N48:N71" si="6">N47+1</f>
        <v>2</v>
      </c>
      <c r="O48" s="70">
        <f t="shared" si="4"/>
        <v>2</v>
      </c>
      <c r="Q48" s="76"/>
      <c r="R48" s="72"/>
      <c r="S48" s="73"/>
      <c r="T48" s="73"/>
      <c r="U48" s="35"/>
      <c r="V48" s="387"/>
      <c r="W48" s="35"/>
      <c r="X48" s="73"/>
      <c r="Y48" s="73"/>
      <c r="Z48" s="73"/>
      <c r="AA48" s="35"/>
      <c r="AB48" s="35"/>
      <c r="AC48" s="75"/>
      <c r="AD48" s="69"/>
      <c r="AE48" s="390">
        <f t="shared" ref="AE48:AE71" si="7">AE47+1</f>
        <v>2</v>
      </c>
      <c r="AF48" s="390">
        <f t="shared" si="5"/>
        <v>2</v>
      </c>
      <c r="AH48" s="76"/>
    </row>
    <row r="49" spans="1:34" ht="24" customHeight="1" x14ac:dyDescent="0.3">
      <c r="A49" s="65"/>
      <c r="B49" s="66"/>
      <c r="C49" s="66"/>
      <c r="D49" s="53"/>
      <c r="E49" s="67"/>
      <c r="F49" s="53"/>
      <c r="G49" s="66"/>
      <c r="H49" s="66"/>
      <c r="I49" s="66"/>
      <c r="J49" s="53"/>
      <c r="K49" s="53"/>
      <c r="L49" s="68"/>
      <c r="M49" s="69"/>
      <c r="N49" s="70">
        <f t="shared" si="6"/>
        <v>3</v>
      </c>
      <c r="O49" s="70">
        <f t="shared" si="4"/>
        <v>3</v>
      </c>
      <c r="Q49" s="71" t="str">
        <f>IF(IGRF!H15="","",IGRF!H15)</f>
        <v>11G6</v>
      </c>
      <c r="R49" s="65"/>
      <c r="S49" s="66"/>
      <c r="T49" s="66"/>
      <c r="U49" s="53"/>
      <c r="V49" s="389"/>
      <c r="W49" s="53"/>
      <c r="X49" s="66"/>
      <c r="Y49" s="66"/>
      <c r="Z49" s="66"/>
      <c r="AA49" s="53"/>
      <c r="AB49" s="53"/>
      <c r="AC49" s="68"/>
      <c r="AD49" s="69"/>
      <c r="AE49" s="390">
        <f t="shared" si="7"/>
        <v>3</v>
      </c>
      <c r="AF49" s="390">
        <f t="shared" si="5"/>
        <v>3</v>
      </c>
      <c r="AH49" s="71" t="str">
        <f>Q49</f>
        <v>11G6</v>
      </c>
    </row>
    <row r="50" spans="1:34" ht="24" customHeight="1" x14ac:dyDescent="0.3">
      <c r="A50" s="72"/>
      <c r="B50" s="73"/>
      <c r="C50" s="73"/>
      <c r="D50" s="35"/>
      <c r="E50" s="74"/>
      <c r="F50" s="35"/>
      <c r="G50" s="73"/>
      <c r="H50" s="73"/>
      <c r="I50" s="73"/>
      <c r="J50" s="35"/>
      <c r="K50" s="35"/>
      <c r="L50" s="75"/>
      <c r="M50" s="69"/>
      <c r="N50" s="70">
        <f t="shared" si="6"/>
        <v>4</v>
      </c>
      <c r="O50" s="70">
        <f t="shared" si="4"/>
        <v>4</v>
      </c>
      <c r="Q50" s="76"/>
      <c r="R50" s="72"/>
      <c r="S50" s="73"/>
      <c r="T50" s="73"/>
      <c r="U50" s="35"/>
      <c r="V50" s="387"/>
      <c r="W50" s="35"/>
      <c r="X50" s="73"/>
      <c r="Y50" s="73"/>
      <c r="Z50" s="73"/>
      <c r="AA50" s="35"/>
      <c r="AB50" s="35"/>
      <c r="AC50" s="75"/>
      <c r="AD50" s="69"/>
      <c r="AE50" s="390">
        <f t="shared" si="7"/>
        <v>4</v>
      </c>
      <c r="AF50" s="390">
        <f t="shared" si="5"/>
        <v>4</v>
      </c>
      <c r="AH50" s="76"/>
    </row>
    <row r="51" spans="1:34" ht="24" customHeight="1" x14ac:dyDescent="0.3">
      <c r="A51" s="65"/>
      <c r="B51" s="66"/>
      <c r="C51" s="66"/>
      <c r="D51" s="53"/>
      <c r="E51" s="67"/>
      <c r="F51" s="53"/>
      <c r="G51" s="66"/>
      <c r="H51" s="66"/>
      <c r="I51" s="66"/>
      <c r="J51" s="53"/>
      <c r="K51" s="53"/>
      <c r="L51" s="68"/>
      <c r="M51" s="69"/>
      <c r="N51" s="70">
        <f t="shared" si="6"/>
        <v>5</v>
      </c>
      <c r="O51" s="70">
        <f t="shared" si="4"/>
        <v>5</v>
      </c>
      <c r="Q51" s="71" t="str">
        <f>IF(IGRF!H16="","",IGRF!H16)</f>
        <v>152</v>
      </c>
      <c r="R51" s="65"/>
      <c r="S51" s="66"/>
      <c r="T51" s="66"/>
      <c r="U51" s="53"/>
      <c r="V51" s="389"/>
      <c r="W51" s="53"/>
      <c r="X51" s="66"/>
      <c r="Y51" s="66"/>
      <c r="Z51" s="66"/>
      <c r="AA51" s="53"/>
      <c r="AB51" s="53"/>
      <c r="AC51" s="68"/>
      <c r="AD51" s="69"/>
      <c r="AE51" s="390">
        <f t="shared" si="7"/>
        <v>5</v>
      </c>
      <c r="AF51" s="390">
        <f t="shared" si="5"/>
        <v>5</v>
      </c>
      <c r="AH51" s="71" t="str">
        <f>Q51</f>
        <v>152</v>
      </c>
    </row>
    <row r="52" spans="1:34" ht="24" customHeight="1" x14ac:dyDescent="0.3">
      <c r="A52" s="72"/>
      <c r="B52" s="73"/>
      <c r="C52" s="73"/>
      <c r="D52" s="35"/>
      <c r="E52" s="74"/>
      <c r="F52" s="35"/>
      <c r="G52" s="73"/>
      <c r="H52" s="73"/>
      <c r="I52" s="73"/>
      <c r="J52" s="35"/>
      <c r="K52" s="35"/>
      <c r="L52" s="75"/>
      <c r="M52" s="69"/>
      <c r="N52" s="70">
        <f t="shared" si="6"/>
        <v>6</v>
      </c>
      <c r="O52" s="70">
        <f t="shared" si="4"/>
        <v>6</v>
      </c>
      <c r="Q52" s="76"/>
      <c r="R52" s="72"/>
      <c r="S52" s="73"/>
      <c r="T52" s="73"/>
      <c r="U52" s="35"/>
      <c r="V52" s="387"/>
      <c r="W52" s="35"/>
      <c r="X52" s="73"/>
      <c r="Y52" s="73"/>
      <c r="Z52" s="73"/>
      <c r="AA52" s="35"/>
      <c r="AB52" s="35"/>
      <c r="AC52" s="75"/>
      <c r="AD52" s="69"/>
      <c r="AE52" s="390">
        <f t="shared" si="7"/>
        <v>6</v>
      </c>
      <c r="AF52" s="390">
        <f t="shared" si="5"/>
        <v>6</v>
      </c>
      <c r="AH52" s="76"/>
    </row>
    <row r="53" spans="1:34" ht="24" customHeight="1" x14ac:dyDescent="0.3">
      <c r="A53" s="65"/>
      <c r="B53" s="66"/>
      <c r="C53" s="66"/>
      <c r="D53" s="53"/>
      <c r="E53" s="67"/>
      <c r="F53" s="53"/>
      <c r="G53" s="66"/>
      <c r="H53" s="66"/>
      <c r="I53" s="66"/>
      <c r="J53" s="53"/>
      <c r="K53" s="53"/>
      <c r="L53" s="68"/>
      <c r="M53" s="69"/>
      <c r="N53" s="70">
        <f t="shared" si="6"/>
        <v>7</v>
      </c>
      <c r="O53" s="70">
        <f t="shared" si="4"/>
        <v>7</v>
      </c>
      <c r="Q53" s="71" t="str">
        <f>IF(IGRF!H17="","",IGRF!H17)</f>
        <v xml:space="preserve">237 </v>
      </c>
      <c r="R53" s="65"/>
      <c r="S53" s="66"/>
      <c r="T53" s="66"/>
      <c r="U53" s="53"/>
      <c r="V53" s="389"/>
      <c r="W53" s="53"/>
      <c r="X53" s="66"/>
      <c r="Y53" s="66"/>
      <c r="Z53" s="66"/>
      <c r="AA53" s="53"/>
      <c r="AB53" s="53"/>
      <c r="AC53" s="68"/>
      <c r="AD53" s="69"/>
      <c r="AE53" s="390">
        <f t="shared" si="7"/>
        <v>7</v>
      </c>
      <c r="AF53" s="390">
        <f t="shared" si="5"/>
        <v>7</v>
      </c>
      <c r="AH53" s="71" t="str">
        <f>Q53</f>
        <v xml:space="preserve">237 </v>
      </c>
    </row>
    <row r="54" spans="1:34" ht="24" customHeight="1" x14ac:dyDescent="0.3">
      <c r="A54" s="72"/>
      <c r="B54" s="73"/>
      <c r="C54" s="73"/>
      <c r="D54" s="35"/>
      <c r="E54" s="74"/>
      <c r="F54" s="35"/>
      <c r="G54" s="73"/>
      <c r="H54" s="73"/>
      <c r="I54" s="73"/>
      <c r="J54" s="35"/>
      <c r="K54" s="35"/>
      <c r="L54" s="75"/>
      <c r="M54" s="69"/>
      <c r="N54" s="70">
        <f t="shared" si="6"/>
        <v>8</v>
      </c>
      <c r="O54" s="70">
        <f t="shared" si="4"/>
        <v>8</v>
      </c>
      <c r="Q54" s="76"/>
      <c r="R54" s="72"/>
      <c r="S54" s="73"/>
      <c r="T54" s="73"/>
      <c r="U54" s="35"/>
      <c r="V54" s="387"/>
      <c r="W54" s="35"/>
      <c r="X54" s="73"/>
      <c r="Y54" s="73"/>
      <c r="Z54" s="73"/>
      <c r="AA54" s="35"/>
      <c r="AB54" s="35"/>
      <c r="AC54" s="75"/>
      <c r="AD54" s="69"/>
      <c r="AE54" s="390">
        <f t="shared" si="7"/>
        <v>8</v>
      </c>
      <c r="AF54" s="390">
        <f t="shared" si="5"/>
        <v>8</v>
      </c>
      <c r="AH54" s="76"/>
    </row>
    <row r="55" spans="1:34" ht="24" customHeight="1" x14ac:dyDescent="0.3">
      <c r="A55" s="65"/>
      <c r="B55" s="66"/>
      <c r="C55" s="66"/>
      <c r="D55" s="53"/>
      <c r="E55" s="67"/>
      <c r="F55" s="53"/>
      <c r="G55" s="66"/>
      <c r="H55" s="66"/>
      <c r="I55" s="66"/>
      <c r="J55" s="53"/>
      <c r="K55" s="53"/>
      <c r="L55" s="68"/>
      <c r="M55" s="69"/>
      <c r="N55" s="70">
        <f t="shared" si="6"/>
        <v>9</v>
      </c>
      <c r="O55" s="70">
        <f t="shared" si="4"/>
        <v>9</v>
      </c>
      <c r="Q55" s="71" t="str">
        <f>IF(IGRF!H18="","",IGRF!H18)</f>
        <v>26</v>
      </c>
      <c r="R55" s="65"/>
      <c r="S55" s="66"/>
      <c r="T55" s="66"/>
      <c r="U55" s="53"/>
      <c r="V55" s="389"/>
      <c r="W55" s="53"/>
      <c r="X55" s="66"/>
      <c r="Y55" s="66"/>
      <c r="Z55" s="66"/>
      <c r="AA55" s="53"/>
      <c r="AB55" s="53"/>
      <c r="AC55" s="68"/>
      <c r="AD55" s="69"/>
      <c r="AE55" s="390">
        <f t="shared" si="7"/>
        <v>9</v>
      </c>
      <c r="AF55" s="390">
        <f t="shared" si="5"/>
        <v>9</v>
      </c>
      <c r="AH55" s="71" t="str">
        <f>Q55</f>
        <v>26</v>
      </c>
    </row>
    <row r="56" spans="1:34" ht="24" customHeight="1" x14ac:dyDescent="0.3">
      <c r="A56" s="72"/>
      <c r="B56" s="73"/>
      <c r="C56" s="73"/>
      <c r="D56" s="35"/>
      <c r="E56" s="74"/>
      <c r="F56" s="35"/>
      <c r="G56" s="73"/>
      <c r="H56" s="73"/>
      <c r="I56" s="73"/>
      <c r="J56" s="35"/>
      <c r="K56" s="35"/>
      <c r="L56" s="75"/>
      <c r="M56" s="69"/>
      <c r="N56" s="70">
        <f t="shared" si="6"/>
        <v>10</v>
      </c>
      <c r="O56" s="70">
        <f t="shared" si="4"/>
        <v>10</v>
      </c>
      <c r="Q56" s="76"/>
      <c r="R56" s="72"/>
      <c r="S56" s="73"/>
      <c r="T56" s="73"/>
      <c r="U56" s="35"/>
      <c r="V56" s="387"/>
      <c r="W56" s="35"/>
      <c r="X56" s="73"/>
      <c r="Y56" s="73"/>
      <c r="Z56" s="73"/>
      <c r="AA56" s="35"/>
      <c r="AB56" s="35"/>
      <c r="AC56" s="75"/>
      <c r="AD56" s="69"/>
      <c r="AE56" s="390">
        <f t="shared" si="7"/>
        <v>10</v>
      </c>
      <c r="AF56" s="390">
        <f t="shared" si="5"/>
        <v>10</v>
      </c>
      <c r="AH56" s="76"/>
    </row>
    <row r="57" spans="1:34" ht="24" customHeight="1" x14ac:dyDescent="0.3">
      <c r="A57" s="65"/>
      <c r="B57" s="66"/>
      <c r="C57" s="66"/>
      <c r="D57" s="53"/>
      <c r="E57" s="67"/>
      <c r="F57" s="53"/>
      <c r="G57" s="66"/>
      <c r="H57" s="66"/>
      <c r="I57" s="66"/>
      <c r="J57" s="53"/>
      <c r="K57" s="53"/>
      <c r="L57" s="68"/>
      <c r="M57" s="69"/>
      <c r="N57" s="70">
        <f t="shared" si="6"/>
        <v>11</v>
      </c>
      <c r="O57" s="70">
        <f t="shared" si="4"/>
        <v>11</v>
      </c>
      <c r="Q57" s="71" t="str">
        <f>IF(IGRF!H19="","",IGRF!H19)</f>
        <v>2611</v>
      </c>
      <c r="R57" s="65"/>
      <c r="S57" s="66"/>
      <c r="T57" s="66"/>
      <c r="U57" s="53"/>
      <c r="V57" s="389"/>
      <c r="W57" s="53"/>
      <c r="X57" s="66"/>
      <c r="Y57" s="66"/>
      <c r="Z57" s="66"/>
      <c r="AA57" s="53"/>
      <c r="AB57" s="53"/>
      <c r="AC57" s="68"/>
      <c r="AD57" s="69"/>
      <c r="AE57" s="390">
        <f t="shared" si="7"/>
        <v>11</v>
      </c>
      <c r="AF57" s="390">
        <f t="shared" si="5"/>
        <v>11</v>
      </c>
      <c r="AH57" s="71" t="str">
        <f>Q57</f>
        <v>2611</v>
      </c>
    </row>
    <row r="58" spans="1:34" ht="24" customHeight="1" x14ac:dyDescent="0.3">
      <c r="A58" s="72"/>
      <c r="B58" s="73"/>
      <c r="C58" s="73"/>
      <c r="D58" s="35"/>
      <c r="E58" s="74"/>
      <c r="F58" s="35"/>
      <c r="G58" s="73"/>
      <c r="H58" s="73"/>
      <c r="I58" s="73"/>
      <c r="J58" s="35"/>
      <c r="K58" s="35"/>
      <c r="L58" s="75"/>
      <c r="M58" s="69"/>
      <c r="N58" s="70">
        <f t="shared" si="6"/>
        <v>12</v>
      </c>
      <c r="O58" s="70">
        <f t="shared" si="4"/>
        <v>12</v>
      </c>
      <c r="Q58" s="76"/>
      <c r="R58" s="72"/>
      <c r="S58" s="73"/>
      <c r="T58" s="73"/>
      <c r="U58" s="35"/>
      <c r="V58" s="387"/>
      <c r="W58" s="35"/>
      <c r="X58" s="73"/>
      <c r="Y58" s="73"/>
      <c r="Z58" s="73"/>
      <c r="AA58" s="35"/>
      <c r="AB58" s="35"/>
      <c r="AC58" s="75"/>
      <c r="AD58" s="69"/>
      <c r="AE58" s="390">
        <f t="shared" si="7"/>
        <v>12</v>
      </c>
      <c r="AF58" s="390">
        <f t="shared" si="5"/>
        <v>12</v>
      </c>
      <c r="AH58" s="76"/>
    </row>
    <row r="59" spans="1:34" ht="24" customHeight="1" x14ac:dyDescent="0.3">
      <c r="A59" s="65"/>
      <c r="B59" s="66"/>
      <c r="C59" s="66"/>
      <c r="D59" s="53"/>
      <c r="E59" s="67"/>
      <c r="F59" s="53"/>
      <c r="G59" s="66"/>
      <c r="H59" s="66"/>
      <c r="I59" s="66"/>
      <c r="J59" s="53"/>
      <c r="K59" s="53"/>
      <c r="L59" s="68"/>
      <c r="M59" s="69"/>
      <c r="N59" s="70">
        <f t="shared" si="6"/>
        <v>13</v>
      </c>
      <c r="O59" s="70">
        <f t="shared" si="4"/>
        <v>13</v>
      </c>
      <c r="Q59" s="71" t="str">
        <f>IF(IGRF!H20="","",IGRF!H20)</f>
        <v>45</v>
      </c>
      <c r="R59" s="65"/>
      <c r="S59" s="66"/>
      <c r="T59" s="66"/>
      <c r="U59" s="53"/>
      <c r="V59" s="389"/>
      <c r="W59" s="53"/>
      <c r="X59" s="66"/>
      <c r="Y59" s="66"/>
      <c r="Z59" s="66"/>
      <c r="AA59" s="53"/>
      <c r="AB59" s="53"/>
      <c r="AC59" s="68"/>
      <c r="AD59" s="69"/>
      <c r="AE59" s="390">
        <f t="shared" si="7"/>
        <v>13</v>
      </c>
      <c r="AF59" s="390">
        <f t="shared" si="5"/>
        <v>13</v>
      </c>
      <c r="AH59" s="71" t="str">
        <f>Q59</f>
        <v>45</v>
      </c>
    </row>
    <row r="60" spans="1:34" ht="24" customHeight="1" x14ac:dyDescent="0.3">
      <c r="A60" s="72"/>
      <c r="B60" s="73"/>
      <c r="C60" s="73"/>
      <c r="D60" s="35"/>
      <c r="E60" s="74"/>
      <c r="F60" s="35"/>
      <c r="G60" s="73"/>
      <c r="H60" s="73"/>
      <c r="I60" s="73"/>
      <c r="J60" s="35"/>
      <c r="K60" s="35"/>
      <c r="L60" s="75"/>
      <c r="M60" s="69"/>
      <c r="N60" s="70">
        <f t="shared" si="6"/>
        <v>14</v>
      </c>
      <c r="O60" s="70">
        <f t="shared" si="4"/>
        <v>14</v>
      </c>
      <c r="Q60" s="76"/>
      <c r="R60" s="72"/>
      <c r="S60" s="73"/>
      <c r="T60" s="73"/>
      <c r="U60" s="35"/>
      <c r="V60" s="387"/>
      <c r="W60" s="35"/>
      <c r="X60" s="73"/>
      <c r="Y60" s="73"/>
      <c r="Z60" s="73"/>
      <c r="AA60" s="35"/>
      <c r="AB60" s="35"/>
      <c r="AC60" s="75"/>
      <c r="AD60" s="69"/>
      <c r="AE60" s="390">
        <f t="shared" si="7"/>
        <v>14</v>
      </c>
      <c r="AF60" s="390">
        <f t="shared" si="5"/>
        <v>14</v>
      </c>
      <c r="AH60" s="76"/>
    </row>
    <row r="61" spans="1:34" ht="24" customHeight="1" x14ac:dyDescent="0.3">
      <c r="A61" s="65"/>
      <c r="B61" s="66"/>
      <c r="C61" s="66"/>
      <c r="D61" s="53"/>
      <c r="E61" s="67"/>
      <c r="F61" s="53"/>
      <c r="G61" s="66"/>
      <c r="H61" s="66"/>
      <c r="I61" s="66"/>
      <c r="J61" s="53"/>
      <c r="K61" s="53"/>
      <c r="L61" s="68"/>
      <c r="M61" s="69"/>
      <c r="N61" s="70">
        <f t="shared" si="6"/>
        <v>15</v>
      </c>
      <c r="O61" s="70">
        <f t="shared" si="4"/>
        <v>15</v>
      </c>
      <c r="Q61" s="71" t="str">
        <f>IF(IGRF!H21="","",IGRF!H21)</f>
        <v>451</v>
      </c>
      <c r="R61" s="65"/>
      <c r="S61" s="66"/>
      <c r="T61" s="66"/>
      <c r="U61" s="53"/>
      <c r="V61" s="389"/>
      <c r="W61" s="53"/>
      <c r="X61" s="66"/>
      <c r="Y61" s="66"/>
      <c r="Z61" s="66"/>
      <c r="AA61" s="53"/>
      <c r="AB61" s="53"/>
      <c r="AC61" s="68"/>
      <c r="AD61" s="69"/>
      <c r="AE61" s="390">
        <f t="shared" si="7"/>
        <v>15</v>
      </c>
      <c r="AF61" s="390">
        <f t="shared" si="5"/>
        <v>15</v>
      </c>
      <c r="AH61" s="71" t="str">
        <f>Q61</f>
        <v>451</v>
      </c>
    </row>
    <row r="62" spans="1:34" ht="24" customHeight="1" x14ac:dyDescent="0.3">
      <c r="A62" s="72"/>
      <c r="B62" s="73"/>
      <c r="C62" s="73"/>
      <c r="D62" s="35"/>
      <c r="E62" s="74"/>
      <c r="F62" s="35"/>
      <c r="G62" s="73"/>
      <c r="H62" s="73"/>
      <c r="I62" s="73"/>
      <c r="J62" s="35"/>
      <c r="K62" s="35"/>
      <c r="L62" s="75"/>
      <c r="M62" s="69"/>
      <c r="N62" s="70">
        <f t="shared" si="6"/>
        <v>16</v>
      </c>
      <c r="O62" s="70">
        <f t="shared" si="4"/>
        <v>16</v>
      </c>
      <c r="Q62" s="76"/>
      <c r="R62" s="72"/>
      <c r="S62" s="73"/>
      <c r="T62" s="73"/>
      <c r="U62" s="35"/>
      <c r="V62" s="387"/>
      <c r="W62" s="35"/>
      <c r="X62" s="73"/>
      <c r="Y62" s="73"/>
      <c r="Z62" s="73"/>
      <c r="AA62" s="35"/>
      <c r="AB62" s="35"/>
      <c r="AC62" s="75"/>
      <c r="AD62" s="69"/>
      <c r="AE62" s="390">
        <f t="shared" si="7"/>
        <v>16</v>
      </c>
      <c r="AF62" s="390">
        <f t="shared" si="5"/>
        <v>16</v>
      </c>
      <c r="AH62" s="76"/>
    </row>
    <row r="63" spans="1:34" ht="24" customHeight="1" x14ac:dyDescent="0.3">
      <c r="A63" s="65"/>
      <c r="B63" s="66"/>
      <c r="C63" s="66"/>
      <c r="D63" s="53"/>
      <c r="E63" s="67"/>
      <c r="F63" s="53"/>
      <c r="G63" s="66"/>
      <c r="H63" s="66"/>
      <c r="I63" s="66"/>
      <c r="J63" s="53"/>
      <c r="K63" s="53"/>
      <c r="L63" s="68"/>
      <c r="M63" s="69"/>
      <c r="N63" s="70">
        <f t="shared" si="6"/>
        <v>17</v>
      </c>
      <c r="O63" s="70">
        <f t="shared" si="4"/>
        <v>17</v>
      </c>
      <c r="Q63" s="71" t="str">
        <f>IF(IGRF!H22="","",IGRF!H22)</f>
        <v>511</v>
      </c>
      <c r="R63" s="65"/>
      <c r="S63" s="66"/>
      <c r="T63" s="66"/>
      <c r="U63" s="53"/>
      <c r="V63" s="389"/>
      <c r="W63" s="53"/>
      <c r="X63" s="66"/>
      <c r="Y63" s="66"/>
      <c r="Z63" s="66"/>
      <c r="AA63" s="53"/>
      <c r="AB63" s="53"/>
      <c r="AC63" s="68"/>
      <c r="AD63" s="69"/>
      <c r="AE63" s="390">
        <f t="shared" si="7"/>
        <v>17</v>
      </c>
      <c r="AF63" s="390">
        <f t="shared" si="5"/>
        <v>17</v>
      </c>
      <c r="AH63" s="71" t="str">
        <f>Q63</f>
        <v>511</v>
      </c>
    </row>
    <row r="64" spans="1:34" ht="24" customHeight="1" x14ac:dyDescent="0.3">
      <c r="A64" s="72"/>
      <c r="B64" s="73"/>
      <c r="C64" s="73"/>
      <c r="D64" s="35"/>
      <c r="E64" s="74"/>
      <c r="F64" s="35"/>
      <c r="G64" s="73"/>
      <c r="H64" s="73"/>
      <c r="I64" s="73"/>
      <c r="J64" s="35"/>
      <c r="K64" s="35"/>
      <c r="L64" s="75"/>
      <c r="M64" s="69"/>
      <c r="N64" s="70">
        <f t="shared" si="6"/>
        <v>18</v>
      </c>
      <c r="O64" s="70">
        <f t="shared" si="4"/>
        <v>18</v>
      </c>
      <c r="Q64" s="76"/>
      <c r="R64" s="72"/>
      <c r="S64" s="73"/>
      <c r="T64" s="73"/>
      <c r="U64" s="35"/>
      <c r="V64" s="387"/>
      <c r="W64" s="35"/>
      <c r="X64" s="73"/>
      <c r="Y64" s="73"/>
      <c r="Z64" s="73"/>
      <c r="AA64" s="35"/>
      <c r="AB64" s="35"/>
      <c r="AC64" s="75"/>
      <c r="AD64" s="69"/>
      <c r="AE64" s="390">
        <f t="shared" si="7"/>
        <v>18</v>
      </c>
      <c r="AF64" s="390">
        <f t="shared" si="5"/>
        <v>18</v>
      </c>
      <c r="AH64" s="76"/>
    </row>
    <row r="65" spans="1:34" ht="24" customHeight="1" x14ac:dyDescent="0.3">
      <c r="A65" s="65"/>
      <c r="B65" s="66"/>
      <c r="C65" s="66"/>
      <c r="D65" s="53"/>
      <c r="E65" s="67"/>
      <c r="F65" s="53"/>
      <c r="G65" s="66"/>
      <c r="H65" s="66"/>
      <c r="I65" s="66"/>
      <c r="J65" s="53"/>
      <c r="K65" s="53"/>
      <c r="L65" s="68"/>
      <c r="M65" s="69"/>
      <c r="N65" s="70">
        <f t="shared" si="6"/>
        <v>19</v>
      </c>
      <c r="O65" s="70">
        <f t="shared" si="4"/>
        <v>19</v>
      </c>
      <c r="Q65" s="71" t="str">
        <f>IF(IGRF!H23="","",IGRF!H23)</f>
        <v>519</v>
      </c>
      <c r="R65" s="65"/>
      <c r="S65" s="66"/>
      <c r="T65" s="66"/>
      <c r="U65" s="53"/>
      <c r="V65" s="389"/>
      <c r="W65" s="53"/>
      <c r="X65" s="66"/>
      <c r="Y65" s="66"/>
      <c r="Z65" s="66"/>
      <c r="AA65" s="53"/>
      <c r="AB65" s="53"/>
      <c r="AC65" s="68"/>
      <c r="AD65" s="69"/>
      <c r="AE65" s="390">
        <f t="shared" si="7"/>
        <v>19</v>
      </c>
      <c r="AF65" s="390">
        <f t="shared" si="5"/>
        <v>19</v>
      </c>
      <c r="AH65" s="71" t="str">
        <f>Q65</f>
        <v>519</v>
      </c>
    </row>
    <row r="66" spans="1:34" ht="24" customHeight="1" x14ac:dyDescent="0.3">
      <c r="A66" s="72"/>
      <c r="B66" s="73"/>
      <c r="C66" s="73"/>
      <c r="D66" s="35"/>
      <c r="E66" s="74"/>
      <c r="F66" s="35"/>
      <c r="G66" s="73"/>
      <c r="H66" s="73"/>
      <c r="I66" s="73"/>
      <c r="J66" s="35"/>
      <c r="K66" s="35"/>
      <c r="L66" s="75"/>
      <c r="M66" s="69"/>
      <c r="N66" s="70">
        <f t="shared" si="6"/>
        <v>20</v>
      </c>
      <c r="O66" s="70">
        <f t="shared" si="4"/>
        <v>20</v>
      </c>
      <c r="Q66" s="76"/>
      <c r="R66" s="72"/>
      <c r="S66" s="73"/>
      <c r="T66" s="73"/>
      <c r="U66" s="35"/>
      <c r="V66" s="387"/>
      <c r="W66" s="35"/>
      <c r="X66" s="73"/>
      <c r="Y66" s="73"/>
      <c r="Z66" s="73"/>
      <c r="AA66" s="35"/>
      <c r="AB66" s="35"/>
      <c r="AC66" s="75"/>
      <c r="AD66" s="69"/>
      <c r="AE66" s="390">
        <f t="shared" si="7"/>
        <v>20</v>
      </c>
      <c r="AF66" s="390">
        <f t="shared" si="5"/>
        <v>20</v>
      </c>
      <c r="AH66" s="76"/>
    </row>
    <row r="67" spans="1:34" ht="24" customHeight="1" x14ac:dyDescent="0.3">
      <c r="A67" s="65"/>
      <c r="B67" s="66"/>
      <c r="C67" s="66"/>
      <c r="D67" s="53"/>
      <c r="E67" s="67"/>
      <c r="F67" s="53"/>
      <c r="G67" s="66"/>
      <c r="H67" s="66"/>
      <c r="I67" s="66"/>
      <c r="J67" s="53"/>
      <c r="K67" s="53"/>
      <c r="L67" s="68"/>
      <c r="M67" s="69"/>
      <c r="N67" s="70">
        <f t="shared" si="6"/>
        <v>21</v>
      </c>
      <c r="O67" s="70">
        <f t="shared" si="4"/>
        <v>21</v>
      </c>
      <c r="Q67" s="71" t="str">
        <f>IF(IGRF!H24="","",IGRF!H24)</f>
        <v>58</v>
      </c>
      <c r="R67" s="65"/>
      <c r="S67" s="66"/>
      <c r="T67" s="66"/>
      <c r="U67" s="53"/>
      <c r="V67" s="389"/>
      <c r="W67" s="53"/>
      <c r="X67" s="66"/>
      <c r="Y67" s="66"/>
      <c r="Z67" s="66"/>
      <c r="AA67" s="53"/>
      <c r="AB67" s="53"/>
      <c r="AC67" s="68"/>
      <c r="AD67" s="69"/>
      <c r="AE67" s="390">
        <f t="shared" si="7"/>
        <v>21</v>
      </c>
      <c r="AF67" s="390">
        <f t="shared" si="5"/>
        <v>21</v>
      </c>
      <c r="AH67" s="71" t="str">
        <f>Q67</f>
        <v>58</v>
      </c>
    </row>
    <row r="68" spans="1:34" ht="24" customHeight="1" x14ac:dyDescent="0.3">
      <c r="A68" s="72"/>
      <c r="B68" s="73"/>
      <c r="C68" s="73"/>
      <c r="D68" s="35"/>
      <c r="E68" s="74"/>
      <c r="F68" s="35"/>
      <c r="G68" s="73"/>
      <c r="H68" s="73"/>
      <c r="I68" s="73"/>
      <c r="J68" s="35"/>
      <c r="K68" s="35"/>
      <c r="L68" s="75"/>
      <c r="M68" s="69"/>
      <c r="N68" s="70">
        <f t="shared" si="6"/>
        <v>22</v>
      </c>
      <c r="O68" s="70">
        <f t="shared" si="4"/>
        <v>22</v>
      </c>
      <c r="Q68" s="76"/>
      <c r="R68" s="72"/>
      <c r="S68" s="73"/>
      <c r="T68" s="73"/>
      <c r="U68" s="35"/>
      <c r="V68" s="387"/>
      <c r="W68" s="35"/>
      <c r="X68" s="73"/>
      <c r="Y68" s="73"/>
      <c r="Z68" s="73"/>
      <c r="AA68" s="35"/>
      <c r="AB68" s="35"/>
      <c r="AC68" s="75"/>
      <c r="AD68" s="69"/>
      <c r="AE68" s="390">
        <f t="shared" si="7"/>
        <v>22</v>
      </c>
      <c r="AF68" s="390">
        <f t="shared" si="5"/>
        <v>22</v>
      </c>
      <c r="AH68" s="76"/>
    </row>
    <row r="69" spans="1:34" ht="24" customHeight="1" x14ac:dyDescent="0.3">
      <c r="A69" s="65"/>
      <c r="B69" s="66"/>
      <c r="C69" s="66"/>
      <c r="D69" s="53"/>
      <c r="E69" s="67"/>
      <c r="F69" s="53"/>
      <c r="G69" s="66"/>
      <c r="H69" s="66"/>
      <c r="I69" s="66"/>
      <c r="J69" s="53"/>
      <c r="K69" s="53"/>
      <c r="L69" s="68"/>
      <c r="M69" s="69"/>
      <c r="N69" s="70">
        <f t="shared" si="6"/>
        <v>23</v>
      </c>
      <c r="O69" s="70">
        <f t="shared" si="4"/>
        <v>23</v>
      </c>
      <c r="Q69" s="71" t="str">
        <f>IF(IGRF!H25="","",IGRF!H25)</f>
        <v>932</v>
      </c>
      <c r="R69" s="65"/>
      <c r="S69" s="66"/>
      <c r="T69" s="66"/>
      <c r="U69" s="53"/>
      <c r="V69" s="389"/>
      <c r="W69" s="53"/>
      <c r="X69" s="66"/>
      <c r="Y69" s="66"/>
      <c r="Z69" s="66"/>
      <c r="AA69" s="53"/>
      <c r="AB69" s="53"/>
      <c r="AC69" s="68"/>
      <c r="AD69" s="69"/>
      <c r="AE69" s="390">
        <f t="shared" si="7"/>
        <v>23</v>
      </c>
      <c r="AF69" s="390">
        <f t="shared" si="5"/>
        <v>23</v>
      </c>
      <c r="AH69" s="71" t="str">
        <f>Q69</f>
        <v>932</v>
      </c>
    </row>
    <row r="70" spans="1:34" ht="24" customHeight="1" x14ac:dyDescent="0.3">
      <c r="A70" s="72"/>
      <c r="B70" s="73"/>
      <c r="C70" s="73"/>
      <c r="D70" s="35"/>
      <c r="E70" s="74"/>
      <c r="F70" s="35"/>
      <c r="G70" s="73"/>
      <c r="H70" s="73"/>
      <c r="I70" s="73"/>
      <c r="J70" s="35"/>
      <c r="K70" s="35"/>
      <c r="L70" s="75"/>
      <c r="M70" s="69"/>
      <c r="N70" s="70">
        <f t="shared" si="6"/>
        <v>24</v>
      </c>
      <c r="O70" s="70">
        <f t="shared" si="4"/>
        <v>24</v>
      </c>
      <c r="Q70" s="76"/>
      <c r="R70" s="72"/>
      <c r="S70" s="73"/>
      <c r="T70" s="73"/>
      <c r="U70" s="35"/>
      <c r="V70" s="387"/>
      <c r="W70" s="35"/>
      <c r="X70" s="73"/>
      <c r="Y70" s="73"/>
      <c r="Z70" s="73"/>
      <c r="AA70" s="35"/>
      <c r="AB70" s="35"/>
      <c r="AC70" s="75"/>
      <c r="AD70" s="69"/>
      <c r="AE70" s="390">
        <f t="shared" si="7"/>
        <v>24</v>
      </c>
      <c r="AF70" s="390">
        <f t="shared" si="5"/>
        <v>24</v>
      </c>
      <c r="AH70" s="76"/>
    </row>
    <row r="71" spans="1:34" ht="24" customHeight="1" x14ac:dyDescent="0.3">
      <c r="A71" s="65"/>
      <c r="B71" s="66"/>
      <c r="C71" s="66"/>
      <c r="D71" s="53"/>
      <c r="E71" s="67"/>
      <c r="F71" s="53"/>
      <c r="G71" s="66"/>
      <c r="H71" s="66"/>
      <c r="I71" s="66"/>
      <c r="J71" s="53"/>
      <c r="K71" s="53"/>
      <c r="L71" s="68"/>
      <c r="M71" s="69"/>
      <c r="N71" s="70">
        <f t="shared" si="6"/>
        <v>25</v>
      </c>
      <c r="O71" s="70">
        <f t="shared" si="4"/>
        <v>25</v>
      </c>
      <c r="Q71" s="71" t="str">
        <f>IF(IGRF!H26="","",IGRF!H26)</f>
        <v>H20</v>
      </c>
      <c r="R71" s="65"/>
      <c r="S71" s="66"/>
      <c r="T71" s="66"/>
      <c r="U71" s="53"/>
      <c r="V71" s="389"/>
      <c r="W71" s="53"/>
      <c r="X71" s="66"/>
      <c r="Y71" s="66"/>
      <c r="Z71" s="66"/>
      <c r="AA71" s="53"/>
      <c r="AB71" s="53"/>
      <c r="AC71" s="68"/>
      <c r="AD71" s="69"/>
      <c r="AE71" s="390">
        <f t="shared" si="7"/>
        <v>25</v>
      </c>
      <c r="AF71" s="390">
        <f t="shared" si="5"/>
        <v>25</v>
      </c>
      <c r="AH71" s="71" t="str">
        <f>Q71</f>
        <v>H20</v>
      </c>
    </row>
    <row r="72" spans="1:34" ht="24" customHeight="1" x14ac:dyDescent="0.3">
      <c r="A72" s="72"/>
      <c r="B72" s="73"/>
      <c r="C72" s="73"/>
      <c r="D72" s="35"/>
      <c r="E72" s="74"/>
      <c r="F72" s="35"/>
      <c r="G72" s="73"/>
      <c r="H72" s="73"/>
      <c r="I72" s="73"/>
      <c r="J72" s="35"/>
      <c r="K72" s="35"/>
      <c r="L72" s="75"/>
      <c r="M72" s="69"/>
      <c r="N72" s="70">
        <v>26</v>
      </c>
      <c r="O72" s="70">
        <v>26</v>
      </c>
      <c r="Q72" s="76"/>
      <c r="R72" s="72"/>
      <c r="S72" s="73"/>
      <c r="T72" s="73"/>
      <c r="U72" s="35"/>
      <c r="V72" s="387"/>
      <c r="W72" s="35"/>
      <c r="X72" s="73"/>
      <c r="Y72" s="73"/>
      <c r="Z72" s="73"/>
      <c r="AA72" s="35"/>
      <c r="AB72" s="35"/>
      <c r="AC72" s="75"/>
      <c r="AD72" s="69"/>
      <c r="AE72" s="390">
        <v>26</v>
      </c>
      <c r="AF72" s="390">
        <v>26</v>
      </c>
      <c r="AH72" s="76"/>
    </row>
    <row r="73" spans="1:34" ht="24" customHeight="1" x14ac:dyDescent="0.3">
      <c r="A73" s="65"/>
      <c r="B73" s="66"/>
      <c r="C73" s="66"/>
      <c r="D73" s="53"/>
      <c r="E73" s="67"/>
      <c r="F73" s="53"/>
      <c r="G73" s="66"/>
      <c r="H73" s="66"/>
      <c r="I73" s="66"/>
      <c r="J73" s="53"/>
      <c r="K73" s="53"/>
      <c r="L73" s="68"/>
      <c r="M73" s="69"/>
      <c r="N73" s="70">
        <v>27</v>
      </c>
      <c r="O73" s="70">
        <v>27</v>
      </c>
      <c r="Q73" s="71" t="str">
        <f>IF(IGRF!H27="","",IGRF!H27)</f>
        <v>K9</v>
      </c>
      <c r="R73" s="65"/>
      <c r="S73" s="66"/>
      <c r="T73" s="66"/>
      <c r="U73" s="53"/>
      <c r="V73" s="389"/>
      <c r="W73" s="53"/>
      <c r="X73" s="66"/>
      <c r="Y73" s="66"/>
      <c r="Z73" s="66"/>
      <c r="AA73" s="53"/>
      <c r="AB73" s="53"/>
      <c r="AC73" s="68"/>
      <c r="AD73" s="69"/>
      <c r="AE73" s="390">
        <v>27</v>
      </c>
      <c r="AF73" s="390">
        <v>27</v>
      </c>
      <c r="AH73" s="71" t="str">
        <f>Q73</f>
        <v>K9</v>
      </c>
    </row>
    <row r="74" spans="1:34" ht="24" customHeight="1" x14ac:dyDescent="0.3">
      <c r="A74" s="72"/>
      <c r="B74" s="73"/>
      <c r="C74" s="73"/>
      <c r="D74" s="35"/>
      <c r="E74" s="74"/>
      <c r="F74" s="35"/>
      <c r="G74" s="73"/>
      <c r="H74" s="73"/>
      <c r="I74" s="73"/>
      <c r="J74" s="35"/>
      <c r="K74" s="35"/>
      <c r="L74" s="75"/>
      <c r="M74" s="69"/>
      <c r="N74" s="70">
        <v>28</v>
      </c>
      <c r="O74" s="70">
        <v>28</v>
      </c>
      <c r="Q74" s="76"/>
      <c r="R74" s="72"/>
      <c r="S74" s="73"/>
      <c r="T74" s="73"/>
      <c r="U74" s="35"/>
      <c r="V74" s="387"/>
      <c r="W74" s="35"/>
      <c r="X74" s="73"/>
      <c r="Y74" s="73"/>
      <c r="Z74" s="73"/>
      <c r="AA74" s="35"/>
      <c r="AB74" s="35"/>
      <c r="AC74" s="75"/>
      <c r="AD74" s="69"/>
      <c r="AE74" s="390">
        <v>28</v>
      </c>
      <c r="AF74" s="390">
        <v>28</v>
      </c>
      <c r="AH74" s="76"/>
    </row>
    <row r="75" spans="1:34" ht="24" customHeight="1" x14ac:dyDescent="0.3">
      <c r="A75" s="65"/>
      <c r="B75" s="66"/>
      <c r="C75" s="66"/>
      <c r="D75" s="53"/>
      <c r="E75" s="67"/>
      <c r="F75" s="53"/>
      <c r="G75" s="66"/>
      <c r="H75" s="66"/>
      <c r="I75" s="66"/>
      <c r="J75" s="53"/>
      <c r="K75" s="53"/>
      <c r="L75" s="68"/>
      <c r="M75" s="69"/>
      <c r="N75" s="70">
        <v>29</v>
      </c>
      <c r="O75" s="70">
        <v>29</v>
      </c>
      <c r="Q75" s="71" t="str">
        <f>IF(IGRF!H28="","",IGRF!H28)</f>
        <v/>
      </c>
      <c r="R75" s="65"/>
      <c r="S75" s="66"/>
      <c r="T75" s="66"/>
      <c r="U75" s="53"/>
      <c r="V75" s="389"/>
      <c r="W75" s="53"/>
      <c r="X75" s="66"/>
      <c r="Y75" s="66"/>
      <c r="Z75" s="66"/>
      <c r="AA75" s="53"/>
      <c r="AB75" s="53"/>
      <c r="AC75" s="68"/>
      <c r="AD75" s="69"/>
      <c r="AE75" s="390">
        <v>29</v>
      </c>
      <c r="AF75" s="390">
        <v>29</v>
      </c>
      <c r="AH75" s="71" t="str">
        <f>Q75</f>
        <v/>
      </c>
    </row>
    <row r="76" spans="1:34" ht="24" customHeight="1" x14ac:dyDescent="0.3">
      <c r="A76" s="72"/>
      <c r="B76" s="73"/>
      <c r="C76" s="73"/>
      <c r="D76" s="35"/>
      <c r="E76" s="74"/>
      <c r="F76" s="35"/>
      <c r="G76" s="73"/>
      <c r="H76" s="73"/>
      <c r="I76" s="73"/>
      <c r="J76" s="35"/>
      <c r="K76" s="35"/>
      <c r="L76" s="75"/>
      <c r="M76" s="69"/>
      <c r="N76" s="70">
        <v>30</v>
      </c>
      <c r="O76" s="70">
        <v>30</v>
      </c>
      <c r="Q76" s="76"/>
      <c r="R76" s="72"/>
      <c r="S76" s="73"/>
      <c r="T76" s="73"/>
      <c r="U76" s="35"/>
      <c r="V76" s="387"/>
      <c r="W76" s="35"/>
      <c r="X76" s="73"/>
      <c r="Y76" s="73"/>
      <c r="Z76" s="73"/>
      <c r="AA76" s="35"/>
      <c r="AB76" s="35"/>
      <c r="AC76" s="75"/>
      <c r="AD76" s="69"/>
      <c r="AE76" s="390">
        <v>30</v>
      </c>
      <c r="AF76" s="390">
        <v>30</v>
      </c>
      <c r="AH76" s="76"/>
    </row>
    <row r="77" spans="1:34" ht="24" customHeight="1" x14ac:dyDescent="0.3">
      <c r="A77" s="65"/>
      <c r="B77" s="66"/>
      <c r="C77" s="66"/>
      <c r="D77" s="53"/>
      <c r="E77" s="67"/>
      <c r="F77" s="53"/>
      <c r="G77" s="66"/>
      <c r="H77" s="66"/>
      <c r="I77" s="66"/>
      <c r="J77" s="53"/>
      <c r="K77" s="53"/>
      <c r="L77" s="68"/>
      <c r="M77" s="69"/>
      <c r="N77" s="70">
        <v>31</v>
      </c>
      <c r="O77" s="70">
        <v>31</v>
      </c>
      <c r="Q77" s="71" t="str">
        <f>IF(IGRF!H29="","",IGRF!H29)</f>
        <v/>
      </c>
      <c r="R77" s="65"/>
      <c r="S77" s="66"/>
      <c r="T77" s="66"/>
      <c r="U77" s="53"/>
      <c r="V77" s="389"/>
      <c r="W77" s="53"/>
      <c r="X77" s="66"/>
      <c r="Y77" s="66"/>
      <c r="Z77" s="66"/>
      <c r="AA77" s="53"/>
      <c r="AB77" s="53"/>
      <c r="AC77" s="68"/>
      <c r="AD77" s="69"/>
      <c r="AE77" s="390">
        <v>31</v>
      </c>
      <c r="AF77" s="390">
        <v>31</v>
      </c>
      <c r="AH77" s="71" t="str">
        <f>Q77</f>
        <v/>
      </c>
    </row>
    <row r="78" spans="1:34" ht="24" customHeight="1" x14ac:dyDescent="0.3">
      <c r="A78" s="72"/>
      <c r="B78" s="73"/>
      <c r="C78" s="73"/>
      <c r="D78" s="35"/>
      <c r="E78" s="74"/>
      <c r="F78" s="35"/>
      <c r="G78" s="73"/>
      <c r="H78" s="73"/>
      <c r="I78" s="73"/>
      <c r="J78" s="35"/>
      <c r="K78" s="35"/>
      <c r="L78" s="75"/>
      <c r="M78" s="69"/>
      <c r="N78" s="70">
        <v>32</v>
      </c>
      <c r="O78" s="70">
        <v>32</v>
      </c>
      <c r="Q78" s="76"/>
      <c r="R78" s="72"/>
      <c r="S78" s="73"/>
      <c r="T78" s="73"/>
      <c r="U78" s="35"/>
      <c r="V78" s="387"/>
      <c r="W78" s="35"/>
      <c r="X78" s="73"/>
      <c r="Y78" s="73"/>
      <c r="Z78" s="73"/>
      <c r="AA78" s="35"/>
      <c r="AB78" s="35"/>
      <c r="AC78" s="75"/>
      <c r="AD78" s="69"/>
      <c r="AE78" s="390">
        <v>32</v>
      </c>
      <c r="AF78" s="390">
        <v>32</v>
      </c>
      <c r="AH78" s="76"/>
    </row>
    <row r="79" spans="1:34" ht="24" customHeight="1" x14ac:dyDescent="0.3">
      <c r="A79" s="65"/>
      <c r="B79" s="66"/>
      <c r="C79" s="66"/>
      <c r="D79" s="53"/>
      <c r="E79" s="67"/>
      <c r="F79" s="53"/>
      <c r="G79" s="66"/>
      <c r="H79" s="66"/>
      <c r="I79" s="66"/>
      <c r="J79" s="53"/>
      <c r="K79" s="53"/>
      <c r="L79" s="68"/>
      <c r="M79" s="69"/>
      <c r="N79" s="70">
        <v>33</v>
      </c>
      <c r="O79" s="70">
        <v>33</v>
      </c>
      <c r="Q79" s="71" t="str">
        <f>IF(IGRF!H30="","",IGRF!H30)</f>
        <v/>
      </c>
      <c r="R79" s="65"/>
      <c r="S79" s="66"/>
      <c r="T79" s="66"/>
      <c r="U79" s="53"/>
      <c r="V79" s="389"/>
      <c r="W79" s="53"/>
      <c r="X79" s="66"/>
      <c r="Y79" s="66"/>
      <c r="Z79" s="66"/>
      <c r="AA79" s="53"/>
      <c r="AB79" s="53"/>
      <c r="AC79" s="68"/>
      <c r="AD79" s="69"/>
      <c r="AE79" s="390">
        <v>33</v>
      </c>
      <c r="AF79" s="390">
        <v>33</v>
      </c>
      <c r="AH79" s="71" t="str">
        <f>Q79</f>
        <v/>
      </c>
    </row>
    <row r="80" spans="1:34" ht="24" customHeight="1" x14ac:dyDescent="0.3">
      <c r="A80" s="72"/>
      <c r="B80" s="73"/>
      <c r="C80" s="73"/>
      <c r="D80" s="35"/>
      <c r="E80" s="74"/>
      <c r="F80" s="35"/>
      <c r="G80" s="73"/>
      <c r="H80" s="73"/>
      <c r="I80" s="73"/>
      <c r="J80" s="35"/>
      <c r="K80" s="35"/>
      <c r="L80" s="75"/>
      <c r="M80" s="69"/>
      <c r="N80" s="70">
        <v>34</v>
      </c>
      <c r="O80" s="70">
        <v>34</v>
      </c>
      <c r="Q80" s="76"/>
      <c r="R80" s="72"/>
      <c r="S80" s="73"/>
      <c r="T80" s="73"/>
      <c r="U80" s="35"/>
      <c r="V80" s="387"/>
      <c r="W80" s="35"/>
      <c r="X80" s="73"/>
      <c r="Y80" s="73"/>
      <c r="Z80" s="73"/>
      <c r="AA80" s="35"/>
      <c r="AB80" s="35"/>
      <c r="AC80" s="75"/>
      <c r="AD80" s="69"/>
      <c r="AE80" s="390">
        <v>34</v>
      </c>
      <c r="AF80" s="390">
        <v>34</v>
      </c>
      <c r="AH80" s="76"/>
    </row>
    <row r="81" spans="1:34" ht="24" customHeight="1" x14ac:dyDescent="0.3">
      <c r="A81" s="65"/>
      <c r="B81" s="66"/>
      <c r="C81" s="66"/>
      <c r="D81" s="53"/>
      <c r="E81" s="67"/>
      <c r="F81" s="53"/>
      <c r="G81" s="66"/>
      <c r="H81" s="66"/>
      <c r="I81" s="66"/>
      <c r="J81" s="53"/>
      <c r="K81" s="53"/>
      <c r="L81" s="68"/>
      <c r="M81" s="69"/>
      <c r="N81" s="70">
        <v>35</v>
      </c>
      <c r="O81" s="70">
        <v>35</v>
      </c>
      <c r="Q81" s="71" t="str">
        <f>IF(IGRF!H31="","",IGRF!H31)</f>
        <v/>
      </c>
      <c r="R81" s="65"/>
      <c r="S81" s="66"/>
      <c r="T81" s="66"/>
      <c r="U81" s="53"/>
      <c r="V81" s="389"/>
      <c r="W81" s="53"/>
      <c r="X81" s="66"/>
      <c r="Y81" s="66"/>
      <c r="Z81" s="66"/>
      <c r="AA81" s="53"/>
      <c r="AB81" s="53"/>
      <c r="AC81" s="68"/>
      <c r="AD81" s="69"/>
      <c r="AE81" s="390">
        <v>35</v>
      </c>
      <c r="AF81" s="390">
        <v>35</v>
      </c>
      <c r="AH81" s="71" t="str">
        <f>Q81</f>
        <v/>
      </c>
    </row>
    <row r="82" spans="1:34" ht="24" customHeight="1" x14ac:dyDescent="0.3">
      <c r="A82" s="72"/>
      <c r="B82" s="73"/>
      <c r="C82" s="73"/>
      <c r="D82" s="35"/>
      <c r="E82" s="74"/>
      <c r="F82" s="35"/>
      <c r="G82" s="73"/>
      <c r="H82" s="73"/>
      <c r="I82" s="73"/>
      <c r="J82" s="35"/>
      <c r="K82" s="35"/>
      <c r="L82" s="75"/>
      <c r="M82" s="69"/>
      <c r="N82" s="70">
        <v>36</v>
      </c>
      <c r="O82" s="70">
        <v>36</v>
      </c>
      <c r="Q82" s="76"/>
      <c r="R82" s="72"/>
      <c r="S82" s="73"/>
      <c r="T82" s="73"/>
      <c r="U82" s="35"/>
      <c r="V82" s="387"/>
      <c r="W82" s="35"/>
      <c r="X82" s="73"/>
      <c r="Y82" s="73"/>
      <c r="Z82" s="73"/>
      <c r="AA82" s="35"/>
      <c r="AB82" s="35"/>
      <c r="AC82" s="75"/>
      <c r="AD82" s="69"/>
      <c r="AE82" s="390">
        <v>36</v>
      </c>
      <c r="AF82" s="390">
        <v>36</v>
      </c>
      <c r="AH82" s="76"/>
    </row>
    <row r="83" spans="1:34" ht="24" customHeight="1" x14ac:dyDescent="0.3">
      <c r="A83" s="65"/>
      <c r="B83" s="66"/>
      <c r="C83" s="66"/>
      <c r="D83" s="53"/>
      <c r="E83" s="67"/>
      <c r="F83" s="53"/>
      <c r="G83" s="66"/>
      <c r="H83" s="66"/>
      <c r="I83" s="66"/>
      <c r="J83" s="53"/>
      <c r="K83" s="53"/>
      <c r="L83" s="68"/>
      <c r="M83" s="69"/>
      <c r="N83" s="70">
        <v>37</v>
      </c>
      <c r="O83" s="70">
        <v>37</v>
      </c>
      <c r="P83" s="77"/>
      <c r="Q83" s="71" t="str">
        <f>IF(IGRF!H32="","",IGRF!H32)</f>
        <v/>
      </c>
      <c r="R83" s="65"/>
      <c r="S83" s="66"/>
      <c r="T83" s="66"/>
      <c r="U83" s="53"/>
      <c r="V83" s="389"/>
      <c r="W83" s="53"/>
      <c r="X83" s="66"/>
      <c r="Y83" s="66"/>
      <c r="Z83" s="66"/>
      <c r="AA83" s="53"/>
      <c r="AB83" s="53"/>
      <c r="AC83" s="68"/>
      <c r="AD83" s="69"/>
      <c r="AE83" s="390">
        <v>37</v>
      </c>
      <c r="AF83" s="390">
        <v>37</v>
      </c>
      <c r="AG83" s="77"/>
      <c r="AH83" s="71" t="str">
        <f>Q83</f>
        <v/>
      </c>
    </row>
    <row r="84" spans="1:34" ht="24" customHeight="1" x14ac:dyDescent="0.3">
      <c r="A84" s="72"/>
      <c r="B84" s="73"/>
      <c r="C84" s="73"/>
      <c r="D84" s="35"/>
      <c r="E84" s="74"/>
      <c r="F84" s="35"/>
      <c r="G84" s="73"/>
      <c r="H84" s="73"/>
      <c r="I84" s="73"/>
      <c r="J84" s="35"/>
      <c r="K84" s="35"/>
      <c r="L84" s="75"/>
      <c r="M84" s="69"/>
      <c r="N84" s="70">
        <v>38</v>
      </c>
      <c r="O84" s="70">
        <v>38</v>
      </c>
      <c r="P84" s="77"/>
      <c r="Q84" s="76"/>
      <c r="R84" s="72"/>
      <c r="S84" s="73"/>
      <c r="T84" s="73"/>
      <c r="U84" s="35"/>
      <c r="V84" s="387"/>
      <c r="W84" s="35"/>
      <c r="X84" s="73"/>
      <c r="Y84" s="73"/>
      <c r="Z84" s="73"/>
      <c r="AA84" s="35"/>
      <c r="AB84" s="35"/>
      <c r="AC84" s="75"/>
      <c r="AD84" s="69"/>
      <c r="AE84" s="390">
        <v>38</v>
      </c>
      <c r="AF84" s="390">
        <v>38</v>
      </c>
      <c r="AG84" s="77"/>
      <c r="AH84" s="76"/>
    </row>
    <row r="85" spans="1:34" ht="24" customHeight="1" x14ac:dyDescent="0.3">
      <c r="A85" s="659"/>
      <c r="B85" s="66"/>
      <c r="C85" s="66"/>
      <c r="D85" s="53"/>
      <c r="E85" s="67"/>
      <c r="F85" s="53"/>
      <c r="G85" s="66"/>
      <c r="H85" s="66"/>
      <c r="I85" s="66"/>
      <c r="J85" s="53"/>
      <c r="K85" s="53"/>
      <c r="L85" s="68"/>
      <c r="M85" s="69"/>
      <c r="N85" s="63"/>
      <c r="O85" s="63"/>
      <c r="P85" s="77"/>
      <c r="Q85" s="71" t="str">
        <f>IF(IGRF!H33="","",IGRF!H33)</f>
        <v/>
      </c>
      <c r="R85" s="65"/>
      <c r="S85" s="66"/>
      <c r="T85" s="66"/>
      <c r="U85" s="53"/>
      <c r="V85" s="389"/>
      <c r="W85" s="53"/>
      <c r="X85" s="66"/>
      <c r="Y85" s="66"/>
      <c r="Z85" s="66"/>
      <c r="AA85" s="53"/>
      <c r="AB85" s="53"/>
      <c r="AC85" s="68"/>
      <c r="AD85" s="69"/>
      <c r="AE85" s="63"/>
      <c r="AF85" s="63"/>
      <c r="AG85" s="77"/>
      <c r="AH85" s="71" t="str">
        <f>Q85</f>
        <v/>
      </c>
    </row>
    <row r="86" spans="1:34" ht="24" customHeight="1" thickBot="1" x14ac:dyDescent="0.35">
      <c r="A86" s="645"/>
      <c r="B86" s="646"/>
      <c r="C86" s="646"/>
      <c r="D86" s="647"/>
      <c r="E86" s="648"/>
      <c r="F86" s="647"/>
      <c r="G86" s="646"/>
      <c r="H86" s="646"/>
      <c r="I86" s="646"/>
      <c r="J86" s="647"/>
      <c r="K86" s="647"/>
      <c r="L86" s="649"/>
      <c r="M86" s="69"/>
      <c r="N86" s="63"/>
      <c r="O86" s="63"/>
      <c r="P86" s="77"/>
      <c r="Q86" s="650"/>
      <c r="R86" s="645"/>
      <c r="S86" s="646"/>
      <c r="T86" s="646"/>
      <c r="U86" s="647"/>
      <c r="V86" s="648"/>
      <c r="W86" s="647"/>
      <c r="X86" s="646"/>
      <c r="Y86" s="646"/>
      <c r="Z86" s="646"/>
      <c r="AA86" s="647"/>
      <c r="AB86" s="647"/>
      <c r="AC86" s="649"/>
      <c r="AD86" s="69"/>
      <c r="AE86" s="63"/>
      <c r="AF86" s="63"/>
      <c r="AG86" s="77"/>
      <c r="AH86" s="650"/>
    </row>
  </sheetData>
  <sheetProtection selectLockedCells="1" selectUnlockedCells="1"/>
  <mergeCells count="36">
    <mergeCell ref="J46:L46"/>
    <mergeCell ref="N46:O46"/>
    <mergeCell ref="L1:Q1"/>
    <mergeCell ref="L2:P2"/>
    <mergeCell ref="A44:G45"/>
    <mergeCell ref="H44:I44"/>
    <mergeCell ref="J44:K44"/>
    <mergeCell ref="L44:Q44"/>
    <mergeCell ref="H45:I45"/>
    <mergeCell ref="J45:K45"/>
    <mergeCell ref="L45:P45"/>
    <mergeCell ref="A1:G2"/>
    <mergeCell ref="H2:I2"/>
    <mergeCell ref="H1:I1"/>
    <mergeCell ref="J1:K1"/>
    <mergeCell ref="J2:K2"/>
    <mergeCell ref="N3:O3"/>
    <mergeCell ref="J3:L3"/>
    <mergeCell ref="R1:X2"/>
    <mergeCell ref="Y1:Z1"/>
    <mergeCell ref="AA1:AB1"/>
    <mergeCell ref="AC1:AH1"/>
    <mergeCell ref="Y2:Z2"/>
    <mergeCell ref="AA2:AB2"/>
    <mergeCell ref="AC2:AG2"/>
    <mergeCell ref="AA46:AC46"/>
    <mergeCell ref="AE46:AF46"/>
    <mergeCell ref="AA3:AC3"/>
    <mergeCell ref="AE3:AF3"/>
    <mergeCell ref="R44:X45"/>
    <mergeCell ref="Y44:Z44"/>
    <mergeCell ref="AA44:AB44"/>
    <mergeCell ref="AC44:AH44"/>
    <mergeCell ref="Y45:Z45"/>
    <mergeCell ref="AA45:AB45"/>
    <mergeCell ref="AC45:AG45"/>
  </mergeCells>
  <phoneticPr fontId="8" type="noConversion"/>
  <printOptions horizontalCentered="1"/>
  <pageMargins left="0.5" right="0.5" top="0.93" bottom="0.3" header="0.49" footer="0.3"/>
  <pageSetup scale="66" firstPageNumber="0" fitToHeight="2" orientation="portrait" r:id="rId1"/>
  <headerFooter alignWithMargins="0">
    <oddHeader>&amp;L&amp;"Calibri,Regular"&amp;34&amp;K000000&amp;G&amp;A&amp;R&amp;"Calibri,Regular"&amp;K000000_x000D_‘&amp;A’ revision 150103_x000D_StatsBook © 2008–2015 WFTDA</oddHeader>
  </headerFooter>
  <rowBreaks count="1" manualBreakCount="1">
    <brk id="43" max="31" man="1"/>
  </rowBreaks>
  <colBreaks count="1" manualBreakCount="1">
    <brk id="17" max="87" man="1"/>
  </colBreaks>
  <legacyDrawingHF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12"/>
  </sheetPr>
  <dimension ref="A1:L48"/>
  <sheetViews>
    <sheetView workbookViewId="0"/>
  </sheetViews>
  <sheetFormatPr defaultColWidth="8.88671875" defaultRowHeight="18" x14ac:dyDescent="0.35"/>
  <cols>
    <col min="1" max="1" width="2.109375" style="133" customWidth="1"/>
    <col min="2" max="2" width="10" style="133" customWidth="1"/>
    <col min="3" max="3" width="21.6640625" style="133" customWidth="1"/>
    <col min="4" max="4" width="2.109375" style="133" customWidth="1"/>
    <col min="5" max="5" width="4.33203125" style="133" customWidth="1"/>
    <col min="6" max="6" width="2.109375" style="133" customWidth="1"/>
    <col min="7" max="7" width="10" style="133" customWidth="1"/>
    <col min="8" max="8" width="21.6640625" style="133" customWidth="1"/>
    <col min="9" max="9" width="2.109375" style="133" customWidth="1"/>
    <col min="10" max="10" width="4.88671875" style="133" customWidth="1"/>
    <col min="11" max="11" width="28.44140625" style="133" customWidth="1"/>
    <col min="12" max="12" width="6.88671875" style="133" customWidth="1"/>
    <col min="13" max="256" width="11.44140625" style="133" customWidth="1"/>
    <col min="257" max="16384" width="8.88671875" style="133"/>
  </cols>
  <sheetData>
    <row r="1" spans="1:12" ht="21" customHeight="1" x14ac:dyDescent="0.35">
      <c r="A1" s="131"/>
      <c r="B1" s="1160" t="str">
        <f>IF(ISBLANK(IGRF!$B$12), "", IGRF!$B$12)</f>
        <v/>
      </c>
      <c r="C1" s="1160"/>
      <c r="D1" s="132"/>
      <c r="F1" s="131"/>
      <c r="G1" s="1160" t="str">
        <f>IF(ISBLANK(IGRF!$H$12), "", IGRF!$H$12)</f>
        <v/>
      </c>
      <c r="H1" s="1160"/>
      <c r="I1" s="132"/>
    </row>
    <row r="2" spans="1:12" ht="21" customHeight="1" x14ac:dyDescent="0.35">
      <c r="A2" s="134"/>
      <c r="B2" s="1158" t="str">
        <f>Score!$A$1</f>
        <v>Tri-City Roller Derby / Plan B</v>
      </c>
      <c r="C2" s="1158"/>
      <c r="D2" s="135"/>
      <c r="F2" s="134"/>
      <c r="G2" s="1158" t="str">
        <f>Score!$T$1</f>
        <v>Hammer City Roller Girls / Harlots</v>
      </c>
      <c r="H2" s="1158"/>
      <c r="I2" s="135"/>
      <c r="K2" s="1159" t="s">
        <v>9</v>
      </c>
      <c r="L2" s="1159"/>
    </row>
    <row r="3" spans="1:12" ht="11.25" customHeight="1" x14ac:dyDescent="0.35">
      <c r="A3" s="134"/>
      <c r="B3" s="136"/>
      <c r="C3" s="136"/>
      <c r="D3" s="135"/>
      <c r="F3" s="134"/>
      <c r="G3" s="136"/>
      <c r="H3" s="136"/>
      <c r="I3" s="135"/>
    </row>
    <row r="4" spans="1:12" ht="21" customHeight="1" x14ac:dyDescent="0.35">
      <c r="A4" s="134"/>
      <c r="B4" s="137" t="str">
        <f>IF(ISBLANK(IGRF!B14),"",IGRF!B14)</f>
        <v>0</v>
      </c>
      <c r="C4" s="138" t="str">
        <f>IF(ISBLANK(IGRF!C14),"",IGRF!C14)</f>
        <v>Andi Slamberg</v>
      </c>
      <c r="D4" s="135"/>
      <c r="F4" s="134"/>
      <c r="G4" s="137" t="str">
        <f>IF(ISBLANK(IGRF!H14),"",IGRF!H14)</f>
        <v>11</v>
      </c>
      <c r="H4" s="138" t="str">
        <f>IF(ISBLANK(IGRF!I14),"",IGRF!I14)</f>
        <v>Typhoid Maggie</v>
      </c>
      <c r="I4" s="135"/>
      <c r="K4" s="133" t="s">
        <v>10</v>
      </c>
      <c r="L4" s="139" t="s">
        <v>136</v>
      </c>
    </row>
    <row r="5" spans="1:12" ht="21" customHeight="1" x14ac:dyDescent="0.35">
      <c r="A5" s="134"/>
      <c r="B5" s="137" t="str">
        <f>IF(ISBLANK(IGRF!B15),"",IGRF!B15)</f>
        <v>1321</v>
      </c>
      <c r="C5" s="138" t="str">
        <f>IF(ISBLANK(IGRF!C15),"",IGRF!C15)</f>
        <v>Kristy Skelton</v>
      </c>
      <c r="D5" s="135"/>
      <c r="F5" s="134"/>
      <c r="G5" s="137" t="str">
        <f>IF(ISBLANK(IGRF!H15),"",IGRF!H15)</f>
        <v>11G6</v>
      </c>
      <c r="H5" s="138" t="str">
        <f>IF(ISBLANK(IGRF!I15),"",IGRF!I15)</f>
        <v>Fista Krusher</v>
      </c>
      <c r="I5" s="135"/>
      <c r="K5" s="133" t="s">
        <v>149</v>
      </c>
      <c r="L5" s="139" t="s">
        <v>148</v>
      </c>
    </row>
    <row r="6" spans="1:12" ht="21" customHeight="1" x14ac:dyDescent="0.35">
      <c r="A6" s="134"/>
      <c r="B6" s="137" t="str">
        <f>IF(ISBLANK(IGRF!B16),"",IGRF!B16)</f>
        <v>17</v>
      </c>
      <c r="C6" s="138" t="str">
        <f>IF(ISBLANK(IGRF!C16),"",IGRF!C16)</f>
        <v>Justine Sane</v>
      </c>
      <c r="D6" s="135"/>
      <c r="F6" s="134"/>
      <c r="G6" s="137" t="str">
        <f>IF(ISBLANK(IGRF!H16),"",IGRF!H16)</f>
        <v>152</v>
      </c>
      <c r="H6" s="138" t="str">
        <f>IF(ISBLANK(IGRF!I16),"",IGRF!I16)</f>
        <v>Hitty Pryde</v>
      </c>
      <c r="I6" s="135"/>
      <c r="K6" s="133" t="s">
        <v>152</v>
      </c>
      <c r="L6" s="139" t="s">
        <v>151</v>
      </c>
    </row>
    <row r="7" spans="1:12" ht="21" customHeight="1" x14ac:dyDescent="0.35">
      <c r="A7" s="134"/>
      <c r="B7" s="137" t="str">
        <f>IF(ISBLANK(IGRF!B17),"",IGRF!B17)</f>
        <v>19</v>
      </c>
      <c r="C7" s="138" t="str">
        <f>IF(ISBLANK(IGRF!C17),"",IGRF!C17)</f>
        <v>Lippy Wrongstockings</v>
      </c>
      <c r="D7" s="135"/>
      <c r="F7" s="134"/>
      <c r="G7" s="137" t="str">
        <f>IF(ISBLANK(IGRF!H17),"",IGRF!H17)</f>
        <v xml:space="preserve">237 </v>
      </c>
      <c r="H7" s="138" t="str">
        <f>IF(ISBLANK(IGRF!I17),"",IGRF!I17)</f>
        <v>GuilloTina</v>
      </c>
      <c r="I7" s="135"/>
      <c r="K7" s="133" t="s">
        <v>145</v>
      </c>
      <c r="L7" s="139" t="s">
        <v>144</v>
      </c>
    </row>
    <row r="8" spans="1:12" ht="21" customHeight="1" x14ac:dyDescent="0.35">
      <c r="A8" s="134"/>
      <c r="B8" s="137" t="str">
        <f>IF(ISBLANK(IGRF!B18),"",IGRF!B18)</f>
        <v>20</v>
      </c>
      <c r="C8" s="138" t="str">
        <f>IF(ISBLANK(IGRF!C18),"",IGRF!C18)</f>
        <v>Zooks</v>
      </c>
      <c r="D8" s="135"/>
      <c r="F8" s="134"/>
      <c r="G8" s="137" t="str">
        <f>IF(ISBLANK(IGRF!H18),"",IGRF!H18)</f>
        <v>26</v>
      </c>
      <c r="H8" s="138" t="str">
        <f>IF(ISBLANK(IGRF!I18),"",IGRF!I18)</f>
        <v>Bam Bam Bigelow</v>
      </c>
      <c r="I8" s="135"/>
      <c r="K8" s="133" t="s">
        <v>13</v>
      </c>
      <c r="L8" s="139" t="s">
        <v>146</v>
      </c>
    </row>
    <row r="9" spans="1:12" ht="21" customHeight="1" x14ac:dyDescent="0.35">
      <c r="A9" s="134"/>
      <c r="B9" s="137" t="str">
        <f>IF(ISBLANK(IGRF!B19),"",IGRF!B19)</f>
        <v>303</v>
      </c>
      <c r="C9" s="138" t="str">
        <f>IF(ISBLANK(IGRF!C19),"",IGRF!C19)</f>
        <v>Violent NoRegard</v>
      </c>
      <c r="D9" s="135"/>
      <c r="F9" s="134"/>
      <c r="G9" s="137" t="str">
        <f>IF(ISBLANK(IGRF!H19),"",IGRF!H19)</f>
        <v>2611</v>
      </c>
      <c r="H9" s="138" t="str">
        <f>IF(ISBLANK(IGRF!I19),"",IGRF!I19)</f>
        <v>Va Va BOOM</v>
      </c>
      <c r="I9" s="135"/>
      <c r="K9" s="133" t="s">
        <v>11</v>
      </c>
      <c r="L9" s="139" t="s">
        <v>138</v>
      </c>
    </row>
    <row r="10" spans="1:12" ht="21" customHeight="1" x14ac:dyDescent="0.35">
      <c r="A10" s="134"/>
      <c r="B10" s="137" t="str">
        <f>IF(ISBLANK(IGRF!B20),"",IGRF!B20)</f>
        <v>33</v>
      </c>
      <c r="C10" s="138" t="str">
        <f>IF(ISBLANK(IGRF!C20),"",IGRF!C20)</f>
        <v>Suzy Slam</v>
      </c>
      <c r="D10" s="135"/>
      <c r="F10" s="134"/>
      <c r="G10" s="137" t="str">
        <f>IF(ISBLANK(IGRF!H20),"",IGRF!H20)</f>
        <v>45</v>
      </c>
      <c r="H10" s="138" t="str">
        <f>IF(ISBLANK(IGRF!I20),"",IGRF!I20)</f>
        <v>Miss Carriage</v>
      </c>
      <c r="I10" s="135"/>
      <c r="K10" s="133" t="s">
        <v>14</v>
      </c>
      <c r="L10" s="139" t="s">
        <v>153</v>
      </c>
    </row>
    <row r="11" spans="1:12" ht="21" customHeight="1" x14ac:dyDescent="0.35">
      <c r="A11" s="134"/>
      <c r="B11" s="137" t="str">
        <f>IF(ISBLANK(IGRF!B21),"",IGRF!B21)</f>
        <v>4</v>
      </c>
      <c r="C11" s="138" t="str">
        <f>IF(ISBLANK(IGRF!C21),"",IGRF!C21)</f>
        <v>Psykosonic</v>
      </c>
      <c r="D11" s="135"/>
      <c r="F11" s="134"/>
      <c r="G11" s="137" t="str">
        <f>IF(ISBLANK(IGRF!H21),"",IGRF!H21)</f>
        <v>451</v>
      </c>
      <c r="H11" s="138" t="str">
        <f>IF(ISBLANK(IGRF!I21),"",IGRF!I21)</f>
        <v>fErinheit</v>
      </c>
      <c r="I11" s="135"/>
      <c r="K11" s="133" t="s">
        <v>15</v>
      </c>
      <c r="L11" s="139" t="s">
        <v>155</v>
      </c>
    </row>
    <row r="12" spans="1:12" ht="21" customHeight="1" x14ac:dyDescent="0.35">
      <c r="A12" s="134"/>
      <c r="B12" s="137" t="str">
        <f>IF(ISBLANK(IGRF!B22),"",IGRF!B22)</f>
        <v>42</v>
      </c>
      <c r="C12" s="138" t="str">
        <f>IF(ISBLANK(IGRF!C22),"",IGRF!C22)</f>
        <v>Meg N' Plead</v>
      </c>
      <c r="D12" s="135"/>
      <c r="F12" s="134"/>
      <c r="G12" s="137" t="str">
        <f>IF(ISBLANK(IGRF!H22),"",IGRF!H22)</f>
        <v>511</v>
      </c>
      <c r="H12" s="138" t="str">
        <f>IF(ISBLANK(IGRF!I22),"",IGRF!I22)</f>
        <v>Bean Stalker</v>
      </c>
      <c r="I12" s="135"/>
      <c r="K12" s="133" t="s">
        <v>72</v>
      </c>
      <c r="L12" s="139" t="s">
        <v>142</v>
      </c>
    </row>
    <row r="13" spans="1:12" ht="21" customHeight="1" x14ac:dyDescent="0.35">
      <c r="A13" s="134"/>
      <c r="B13" s="137" t="str">
        <f>IF(ISBLANK(IGRF!B23),"",IGRF!B23)</f>
        <v>44</v>
      </c>
      <c r="C13" s="138" t="str">
        <f>IF(ISBLANK(IGRF!C23),"",IGRF!C23)</f>
        <v>Brunt Force Bunny</v>
      </c>
      <c r="D13" s="135"/>
      <c r="F13" s="134"/>
      <c r="G13" s="137" t="str">
        <f>IF(ISBLANK(IGRF!H23),"",IGRF!H23)</f>
        <v>519</v>
      </c>
      <c r="H13" s="138" t="str">
        <f>IF(ISBLANK(IGRF!I23),"",IGRF!I23)</f>
        <v>Smashin' Good Time</v>
      </c>
      <c r="I13" s="135"/>
      <c r="K13" s="133" t="s">
        <v>158</v>
      </c>
      <c r="L13" s="139" t="s">
        <v>157</v>
      </c>
    </row>
    <row r="14" spans="1:12" ht="21" customHeight="1" x14ac:dyDescent="0.35">
      <c r="A14" s="134"/>
      <c r="B14" s="137" t="str">
        <f>IF(ISBLANK(IGRF!B24),"",IGRF!B24)</f>
        <v>480</v>
      </c>
      <c r="C14" s="138" t="str">
        <f>IF(ISBLANK(IGRF!C24),"",IGRF!C24)</f>
        <v>Slaughterhouse Streeter</v>
      </c>
      <c r="D14" s="135"/>
      <c r="F14" s="134"/>
      <c r="G14" s="137" t="str">
        <f>IF(ISBLANK(IGRF!H24),"",IGRF!H24)</f>
        <v>58</v>
      </c>
      <c r="H14" s="138" t="str">
        <f>IF(ISBLANK(IGRF!I24),"",IGRF!I24)</f>
        <v>Natty B</v>
      </c>
      <c r="I14" s="135"/>
      <c r="K14" s="133" t="s">
        <v>12</v>
      </c>
      <c r="L14" s="139" t="s">
        <v>140</v>
      </c>
    </row>
    <row r="15" spans="1:12" ht="21" customHeight="1" x14ac:dyDescent="0.35">
      <c r="A15" s="134"/>
      <c r="B15" s="137" t="str">
        <f>IF(ISBLANK(IGRF!B25),"",IGRF!B25)</f>
        <v>64</v>
      </c>
      <c r="C15" s="138" t="str">
        <f>IF(ISBLANK(IGRF!C25),"",IGRF!C25)</f>
        <v>Cannonball Doll</v>
      </c>
      <c r="D15" s="135"/>
      <c r="F15" s="134"/>
      <c r="G15" s="137" t="str">
        <f>IF(ISBLANK(IGRF!H25),"",IGRF!H25)</f>
        <v>932</v>
      </c>
      <c r="H15" s="138" t="str">
        <f>IF(ISBLANK(IGRF!I25),"",IGRF!I25)</f>
        <v>Heaven Lee Bash</v>
      </c>
      <c r="I15" s="135"/>
      <c r="K15" s="133" t="s">
        <v>16</v>
      </c>
      <c r="L15" s="139" t="s">
        <v>159</v>
      </c>
    </row>
    <row r="16" spans="1:12" ht="21" customHeight="1" x14ac:dyDescent="0.35">
      <c r="A16" s="134"/>
      <c r="B16" s="137" t="str">
        <f>IF(ISBLANK(IGRF!B26),"",IGRF!B26)</f>
        <v>84</v>
      </c>
      <c r="C16" s="138" t="str">
        <f>IF(ISBLANK(IGRF!C26),"",IGRF!C26)</f>
        <v>MEGAnTRON</v>
      </c>
      <c r="D16" s="135"/>
      <c r="F16" s="134"/>
      <c r="G16" s="137" t="str">
        <f>IF(ISBLANK(IGRF!H26),"",IGRF!H26)</f>
        <v>H20</v>
      </c>
      <c r="H16" s="138" t="str">
        <f>IF(ISBLANK(IGRF!I26),"",IGRF!I26)</f>
        <v>Lethal Mermaid</v>
      </c>
      <c r="I16" s="135"/>
      <c r="K16" s="133" t="s">
        <v>74</v>
      </c>
      <c r="L16" s="139" t="s">
        <v>150</v>
      </c>
    </row>
    <row r="17" spans="1:12" ht="21" customHeight="1" x14ac:dyDescent="0.35">
      <c r="A17" s="134"/>
      <c r="B17" s="137" t="str">
        <f>IF(ISBLANK(IGRF!B27),"",IGRF!B27)</f>
        <v>N01</v>
      </c>
      <c r="C17" s="138" t="str">
        <f>IF(ISBLANK(IGRF!C27),"",IGRF!C27)</f>
        <v>Commander Will Wrecker</v>
      </c>
      <c r="D17" s="135"/>
      <c r="F17" s="134"/>
      <c r="G17" s="137" t="str">
        <f>IF(ISBLANK(IGRF!H27),"",IGRF!H27)</f>
        <v>K9</v>
      </c>
      <c r="H17" s="138" t="str">
        <f>IF(ISBLANK(IGRF!I27),"",IGRF!I27)</f>
        <v>Scooby Doom</v>
      </c>
      <c r="I17" s="135"/>
      <c r="K17" s="133" t="s">
        <v>75</v>
      </c>
      <c r="L17" s="139" t="s">
        <v>162</v>
      </c>
    </row>
    <row r="18" spans="1:12" ht="21" customHeight="1" x14ac:dyDescent="0.35">
      <c r="A18" s="134"/>
      <c r="B18" s="137" t="str">
        <f>IF(ISBLANK(IGRF!B28),"",IGRF!B28)</f>
        <v/>
      </c>
      <c r="C18" s="138" t="str">
        <f>IF(ISBLANK(IGRF!C28),"",IGRF!C28)</f>
        <v/>
      </c>
      <c r="D18" s="135"/>
      <c r="F18" s="134"/>
      <c r="G18" s="137" t="str">
        <f>IF(ISBLANK(IGRF!H28),"",IGRF!H28)</f>
        <v/>
      </c>
      <c r="H18" s="138" t="str">
        <f>IF(ISBLANK(IGRF!I28),"",IGRF!I28)</f>
        <v/>
      </c>
      <c r="I18" s="135"/>
      <c r="K18" s="133" t="s">
        <v>233</v>
      </c>
      <c r="L18" s="139" t="s">
        <v>234</v>
      </c>
    </row>
    <row r="19" spans="1:12" ht="21" customHeight="1" x14ac:dyDescent="0.35">
      <c r="A19" s="134"/>
      <c r="B19" s="137" t="str">
        <f>IF(ISBLANK(IGRF!B29),"",IGRF!B29)</f>
        <v/>
      </c>
      <c r="C19" s="138" t="str">
        <f>IF(ISBLANK(IGRF!C29),"",IGRF!C29)</f>
        <v/>
      </c>
      <c r="D19" s="135"/>
      <c r="F19" s="134"/>
      <c r="G19" s="137" t="str">
        <f>IF(ISBLANK(IGRF!H29),"",IGRF!H29)</f>
        <v/>
      </c>
      <c r="H19" s="138" t="str">
        <f>IF(ISBLANK(IGRF!I29),"",IGRF!I29)</f>
        <v/>
      </c>
      <c r="I19" s="135"/>
      <c r="K19" s="133" t="s">
        <v>120</v>
      </c>
      <c r="L19" s="139" t="s">
        <v>164</v>
      </c>
    </row>
    <row r="20" spans="1:12" ht="21" customHeight="1" x14ac:dyDescent="0.35">
      <c r="A20" s="134"/>
      <c r="B20" s="137" t="str">
        <f>IF(ISBLANK(IGRF!B30),"",IGRF!B30)</f>
        <v/>
      </c>
      <c r="C20" s="138" t="str">
        <f>IF(ISBLANK(IGRF!C30),"",IGRF!C30)</f>
        <v/>
      </c>
      <c r="D20" s="135"/>
      <c r="F20" s="134"/>
      <c r="G20" s="137" t="str">
        <f>IF(ISBLANK(IGRF!H30),"",IGRF!H30)</f>
        <v/>
      </c>
      <c r="H20" s="138" t="str">
        <f>IF(ISBLANK(IGRF!I30),"",IGRF!I30)</f>
        <v/>
      </c>
      <c r="I20" s="135"/>
    </row>
    <row r="21" spans="1:12" ht="21" customHeight="1" x14ac:dyDescent="0.35">
      <c r="A21" s="134"/>
      <c r="B21" s="137" t="str">
        <f>IF(ISBLANK(IGRF!B31),"",IGRF!B31)</f>
        <v/>
      </c>
      <c r="C21" s="138" t="str">
        <f>IF(ISBLANK(IGRF!C31),"",IGRF!C31)</f>
        <v/>
      </c>
      <c r="D21" s="135"/>
      <c r="F21" s="134"/>
      <c r="G21" s="137" t="str">
        <f>IF(ISBLANK(IGRF!H31),"",IGRF!H31)</f>
        <v/>
      </c>
      <c r="H21" s="138" t="str">
        <f>IF(ISBLANK(IGRF!I31),"",IGRF!I31)</f>
        <v/>
      </c>
      <c r="I21" s="135"/>
    </row>
    <row r="22" spans="1:12" ht="21" customHeight="1" x14ac:dyDescent="0.35">
      <c r="A22" s="134"/>
      <c r="B22" s="137" t="str">
        <f>IF(ISBLANK(IGRF!B32),"",IGRF!B32)</f>
        <v/>
      </c>
      <c r="C22" s="138" t="str">
        <f>IF(ISBLANK(IGRF!C32),"",IGRF!C32)</f>
        <v/>
      </c>
      <c r="D22" s="135"/>
      <c r="F22" s="134"/>
      <c r="G22" s="137" t="str">
        <f>IF(ISBLANK(IGRF!H32),"",IGRF!H32)</f>
        <v/>
      </c>
      <c r="H22" s="138" t="str">
        <f>IF(ISBLANK(IGRF!I32),"",IGRF!I32)</f>
        <v/>
      </c>
      <c r="I22" s="135"/>
    </row>
    <row r="23" spans="1:12" ht="21" customHeight="1" x14ac:dyDescent="0.35">
      <c r="A23" s="134"/>
      <c r="B23" s="137" t="str">
        <f>IF(ISBLANK(IGRF!B33),"",IGRF!B33)</f>
        <v/>
      </c>
      <c r="C23" s="138" t="str">
        <f>IF(ISBLANK(IGRF!C33),"",IGRF!C33)</f>
        <v/>
      </c>
      <c r="D23" s="135"/>
      <c r="F23" s="134"/>
      <c r="G23" s="137" t="str">
        <f>IF(ISBLANK(IGRF!H33),"",IGRF!H33)</f>
        <v/>
      </c>
      <c r="H23" s="138" t="str">
        <f>IF(ISBLANK(IGRF!I33),"",IGRF!I33)</f>
        <v/>
      </c>
      <c r="I23" s="135"/>
    </row>
    <row r="24" spans="1:12" ht="21" customHeight="1" thickBot="1" x14ac:dyDescent="0.4">
      <c r="A24" s="141"/>
      <c r="B24" s="142"/>
      <c r="C24" s="142"/>
      <c r="D24" s="143"/>
      <c r="F24" s="141"/>
      <c r="G24" s="142"/>
      <c r="H24" s="142"/>
      <c r="I24" s="143"/>
    </row>
    <row r="25" spans="1:12" ht="21" customHeight="1" x14ac:dyDescent="0.35">
      <c r="A25" s="131"/>
      <c r="B25" s="1161" t="str">
        <f>B1</f>
        <v/>
      </c>
      <c r="C25" s="1161"/>
      <c r="D25" s="132"/>
      <c r="F25" s="131"/>
      <c r="G25" s="1161" t="str">
        <f>G1</f>
        <v/>
      </c>
      <c r="H25" s="1161"/>
      <c r="I25" s="132"/>
    </row>
    <row r="26" spans="1:12" ht="21" customHeight="1" x14ac:dyDescent="0.35">
      <c r="A26" s="134"/>
      <c r="B26" s="1158" t="str">
        <f>B2</f>
        <v>Tri-City Roller Derby / Plan B</v>
      </c>
      <c r="C26" s="1158"/>
      <c r="D26" s="135"/>
      <c r="F26" s="134"/>
      <c r="G26" s="1158" t="str">
        <f>G2</f>
        <v>Hammer City Roller Girls / Harlots</v>
      </c>
      <c r="H26" s="1158"/>
      <c r="I26" s="135"/>
      <c r="K26" s="1159" t="s">
        <v>9</v>
      </c>
      <c r="L26" s="1159"/>
    </row>
    <row r="27" spans="1:12" ht="11.25" customHeight="1" x14ac:dyDescent="0.35">
      <c r="A27" s="134"/>
      <c r="B27" s="136"/>
      <c r="C27" s="136"/>
      <c r="D27" s="135"/>
      <c r="F27" s="134"/>
      <c r="G27" s="136"/>
      <c r="H27" s="136"/>
      <c r="I27" s="135"/>
    </row>
    <row r="28" spans="1:12" ht="21" customHeight="1" x14ac:dyDescent="0.35">
      <c r="A28" s="134"/>
      <c r="B28" s="137" t="str">
        <f t="shared" ref="B28:C47" si="0">B4</f>
        <v>0</v>
      </c>
      <c r="C28" s="138" t="str">
        <f t="shared" si="0"/>
        <v>Andi Slamberg</v>
      </c>
      <c r="D28" s="135"/>
      <c r="F28" s="134"/>
      <c r="G28" s="137" t="str">
        <f t="shared" ref="G28:H47" si="1">G4</f>
        <v>11</v>
      </c>
      <c r="H28" s="138" t="str">
        <f t="shared" si="1"/>
        <v>Typhoid Maggie</v>
      </c>
      <c r="I28" s="135"/>
      <c r="K28" s="133" t="str">
        <f t="shared" ref="K28:L43" si="2">K4</f>
        <v>Blocking to the Back</v>
      </c>
      <c r="L28" s="139" t="str">
        <f t="shared" si="2"/>
        <v>B</v>
      </c>
    </row>
    <row r="29" spans="1:12" ht="21" customHeight="1" x14ac:dyDescent="0.35">
      <c r="A29" s="134"/>
      <c r="B29" s="137" t="str">
        <f t="shared" si="0"/>
        <v>1321</v>
      </c>
      <c r="C29" s="138" t="str">
        <f t="shared" si="0"/>
        <v>Kristy Skelton</v>
      </c>
      <c r="D29" s="135"/>
      <c r="F29" s="134"/>
      <c r="G29" s="137" t="str">
        <f t="shared" si="1"/>
        <v>11G6</v>
      </c>
      <c r="H29" s="138" t="str">
        <f t="shared" si="1"/>
        <v>Fista Krusher</v>
      </c>
      <c r="I29" s="135"/>
      <c r="K29" s="133" t="str">
        <f t="shared" si="2"/>
        <v>High Block</v>
      </c>
      <c r="L29" s="139" t="str">
        <f t="shared" si="2"/>
        <v>A</v>
      </c>
    </row>
    <row r="30" spans="1:12" ht="21" customHeight="1" x14ac:dyDescent="0.35">
      <c r="A30" s="134"/>
      <c r="B30" s="137" t="str">
        <f t="shared" si="0"/>
        <v>17</v>
      </c>
      <c r="C30" s="138" t="str">
        <f t="shared" si="0"/>
        <v>Justine Sane</v>
      </c>
      <c r="D30" s="135"/>
      <c r="F30" s="134"/>
      <c r="G30" s="137" t="str">
        <f t="shared" si="1"/>
        <v>152</v>
      </c>
      <c r="H30" s="138" t="str">
        <f t="shared" si="1"/>
        <v>Hitty Pryde</v>
      </c>
      <c r="I30" s="135"/>
      <c r="K30" s="133" t="str">
        <f t="shared" si="2"/>
        <v>Low Block</v>
      </c>
      <c r="L30" s="139" t="str">
        <f t="shared" si="2"/>
        <v>L</v>
      </c>
    </row>
    <row r="31" spans="1:12" ht="21" customHeight="1" x14ac:dyDescent="0.35">
      <c r="A31" s="134"/>
      <c r="B31" s="137" t="str">
        <f t="shared" si="0"/>
        <v>19</v>
      </c>
      <c r="C31" s="138" t="str">
        <f t="shared" si="0"/>
        <v>Lippy Wrongstockings</v>
      </c>
      <c r="D31" s="135"/>
      <c r="F31" s="134"/>
      <c r="G31" s="137" t="str">
        <f t="shared" si="1"/>
        <v xml:space="preserve">237 </v>
      </c>
      <c r="H31" s="138" t="str">
        <f t="shared" si="1"/>
        <v>GuilloTina</v>
      </c>
      <c r="I31" s="135"/>
      <c r="K31" s="133" t="str">
        <f t="shared" si="2"/>
        <v>Elbows</v>
      </c>
      <c r="L31" s="139" t="str">
        <f t="shared" si="2"/>
        <v>E</v>
      </c>
    </row>
    <row r="32" spans="1:12" ht="21" customHeight="1" x14ac:dyDescent="0.35">
      <c r="A32" s="134"/>
      <c r="B32" s="137" t="str">
        <f t="shared" si="0"/>
        <v>20</v>
      </c>
      <c r="C32" s="138" t="str">
        <f t="shared" si="0"/>
        <v>Zooks</v>
      </c>
      <c r="D32" s="135"/>
      <c r="F32" s="134"/>
      <c r="G32" s="137" t="str">
        <f t="shared" si="1"/>
        <v>26</v>
      </c>
      <c r="H32" s="138" t="str">
        <f t="shared" si="1"/>
        <v>Bam Bam Bigelow</v>
      </c>
      <c r="I32" s="135"/>
      <c r="K32" s="133" t="str">
        <f t="shared" si="2"/>
        <v>Forearms / Hands</v>
      </c>
      <c r="L32" s="139" t="str">
        <f t="shared" si="2"/>
        <v>F</v>
      </c>
    </row>
    <row r="33" spans="1:12" ht="21" customHeight="1" x14ac:dyDescent="0.35">
      <c r="A33" s="134"/>
      <c r="B33" s="137" t="str">
        <f t="shared" si="0"/>
        <v>303</v>
      </c>
      <c r="C33" s="138" t="str">
        <f t="shared" si="0"/>
        <v>Violent NoRegard</v>
      </c>
      <c r="D33" s="135"/>
      <c r="F33" s="134"/>
      <c r="G33" s="137" t="str">
        <f t="shared" si="1"/>
        <v>2611</v>
      </c>
      <c r="H33" s="138" t="str">
        <f t="shared" si="1"/>
        <v>Va Va BOOM</v>
      </c>
      <c r="I33" s="135"/>
      <c r="K33" s="133" t="str">
        <f t="shared" si="2"/>
        <v>Block with the Head</v>
      </c>
      <c r="L33" s="139" t="str">
        <f t="shared" si="2"/>
        <v>H</v>
      </c>
    </row>
    <row r="34" spans="1:12" ht="21" customHeight="1" x14ac:dyDescent="0.35">
      <c r="A34" s="134"/>
      <c r="B34" s="137" t="str">
        <f t="shared" si="0"/>
        <v>33</v>
      </c>
      <c r="C34" s="138" t="str">
        <f t="shared" si="0"/>
        <v>Suzy Slam</v>
      </c>
      <c r="D34" s="135"/>
      <c r="F34" s="134"/>
      <c r="G34" s="137" t="str">
        <f t="shared" si="1"/>
        <v>45</v>
      </c>
      <c r="H34" s="138" t="str">
        <f t="shared" si="1"/>
        <v>Miss Carriage</v>
      </c>
      <c r="I34" s="135"/>
      <c r="K34" s="133" t="str">
        <f t="shared" si="2"/>
        <v>Multi-Player Block</v>
      </c>
      <c r="L34" s="139" t="str">
        <f t="shared" si="2"/>
        <v>M</v>
      </c>
    </row>
    <row r="35" spans="1:12" ht="21" customHeight="1" x14ac:dyDescent="0.35">
      <c r="A35" s="134"/>
      <c r="B35" s="137" t="str">
        <f t="shared" si="0"/>
        <v>4</v>
      </c>
      <c r="C35" s="138" t="str">
        <f t="shared" si="0"/>
        <v>Psykosonic</v>
      </c>
      <c r="D35" s="135"/>
      <c r="F35" s="134"/>
      <c r="G35" s="137" t="str">
        <f t="shared" si="1"/>
        <v>451</v>
      </c>
      <c r="H35" s="138" t="str">
        <f t="shared" si="1"/>
        <v>fErinheit</v>
      </c>
      <c r="I35" s="135"/>
      <c r="K35" s="133" t="str">
        <f t="shared" si="2"/>
        <v>Out of Bounds Blocking</v>
      </c>
      <c r="L35" s="139" t="str">
        <f t="shared" si="2"/>
        <v>O</v>
      </c>
    </row>
    <row r="36" spans="1:12" ht="21" customHeight="1" x14ac:dyDescent="0.35">
      <c r="A36" s="134"/>
      <c r="B36" s="137" t="str">
        <f t="shared" si="0"/>
        <v>42</v>
      </c>
      <c r="C36" s="138" t="str">
        <f t="shared" si="0"/>
        <v>Meg N' Plead</v>
      </c>
      <c r="D36" s="135"/>
      <c r="F36" s="134"/>
      <c r="G36" s="137" t="str">
        <f t="shared" si="1"/>
        <v>511</v>
      </c>
      <c r="H36" s="138" t="str">
        <f t="shared" si="1"/>
        <v>Bean Stalker</v>
      </c>
      <c r="I36" s="135"/>
      <c r="K36" s="133" t="str">
        <f t="shared" si="2"/>
        <v>Direction of Gameplay</v>
      </c>
      <c r="L36" s="139" t="str">
        <f t="shared" si="2"/>
        <v>C</v>
      </c>
    </row>
    <row r="37" spans="1:12" ht="21" customHeight="1" x14ac:dyDescent="0.35">
      <c r="A37" s="134"/>
      <c r="B37" s="137" t="str">
        <f t="shared" si="0"/>
        <v>44</v>
      </c>
      <c r="C37" s="138" t="str">
        <f t="shared" si="0"/>
        <v>Brunt Force Bunny</v>
      </c>
      <c r="D37" s="135"/>
      <c r="F37" s="134"/>
      <c r="G37" s="137" t="str">
        <f t="shared" si="1"/>
        <v>519</v>
      </c>
      <c r="H37" s="138" t="str">
        <f t="shared" si="1"/>
        <v>Smashin' Good Time</v>
      </c>
      <c r="I37" s="135"/>
      <c r="K37" s="133" t="str">
        <f t="shared" si="2"/>
        <v>Out of Play</v>
      </c>
      <c r="L37" s="139" t="str">
        <f t="shared" si="2"/>
        <v>P</v>
      </c>
    </row>
    <row r="38" spans="1:12" ht="21" customHeight="1" x14ac:dyDescent="0.35">
      <c r="A38" s="134"/>
      <c r="B38" s="137" t="str">
        <f t="shared" si="0"/>
        <v>480</v>
      </c>
      <c r="C38" s="138" t="str">
        <f t="shared" si="0"/>
        <v>Slaughterhouse Streeter</v>
      </c>
      <c r="D38" s="135"/>
      <c r="F38" s="134"/>
      <c r="G38" s="137" t="str">
        <f t="shared" si="1"/>
        <v>58</v>
      </c>
      <c r="H38" s="138" t="str">
        <f t="shared" si="1"/>
        <v>Natty B</v>
      </c>
      <c r="I38" s="135"/>
      <c r="K38" s="133" t="str">
        <f t="shared" si="2"/>
        <v>Cutting the Track</v>
      </c>
      <c r="L38" s="139" t="str">
        <f t="shared" si="2"/>
        <v>X</v>
      </c>
    </row>
    <row r="39" spans="1:12" ht="21" customHeight="1" x14ac:dyDescent="0.35">
      <c r="A39" s="134"/>
      <c r="B39" s="137" t="str">
        <f t="shared" si="0"/>
        <v>64</v>
      </c>
      <c r="C39" s="138" t="str">
        <f t="shared" si="0"/>
        <v>Cannonball Doll</v>
      </c>
      <c r="D39" s="135"/>
      <c r="F39" s="134"/>
      <c r="G39" s="137" t="str">
        <f t="shared" si="1"/>
        <v>932</v>
      </c>
      <c r="H39" s="138" t="str">
        <f t="shared" si="1"/>
        <v>Heaven Lee Bash</v>
      </c>
      <c r="I39" s="135"/>
      <c r="K39" s="133" t="str">
        <f t="shared" si="2"/>
        <v>Skating out of Bounds</v>
      </c>
      <c r="L39" s="139" t="str">
        <f t="shared" si="2"/>
        <v>S</v>
      </c>
    </row>
    <row r="40" spans="1:12" ht="21" customHeight="1" x14ac:dyDescent="0.35">
      <c r="A40" s="134"/>
      <c r="B40" s="137" t="str">
        <f t="shared" si="0"/>
        <v>84</v>
      </c>
      <c r="C40" s="138" t="str">
        <f t="shared" si="0"/>
        <v>MEGAnTRON</v>
      </c>
      <c r="D40" s="135"/>
      <c r="F40" s="134"/>
      <c r="G40" s="137" t="str">
        <f t="shared" si="1"/>
        <v>H20</v>
      </c>
      <c r="H40" s="138" t="str">
        <f t="shared" si="1"/>
        <v>Lethal Mermaid</v>
      </c>
      <c r="I40" s="135"/>
      <c r="K40" s="133" t="str">
        <f t="shared" si="2"/>
        <v>Illegal Procedure</v>
      </c>
      <c r="L40" s="139" t="str">
        <f t="shared" si="2"/>
        <v>I</v>
      </c>
    </row>
    <row r="41" spans="1:12" ht="21" customHeight="1" x14ac:dyDescent="0.35">
      <c r="A41" s="134"/>
      <c r="B41" s="137" t="str">
        <f t="shared" si="0"/>
        <v>N01</v>
      </c>
      <c r="C41" s="138" t="str">
        <f t="shared" si="0"/>
        <v>Commander Will Wrecker</v>
      </c>
      <c r="D41" s="135"/>
      <c r="F41" s="134"/>
      <c r="G41" s="137" t="str">
        <f t="shared" si="1"/>
        <v>K9</v>
      </c>
      <c r="H41" s="138" t="str">
        <f t="shared" si="1"/>
        <v>Scooby Doom</v>
      </c>
      <c r="I41" s="135"/>
      <c r="K41" s="133" t="str">
        <f t="shared" si="2"/>
        <v>Insubordination</v>
      </c>
      <c r="L41" s="139" t="str">
        <f t="shared" si="2"/>
        <v>N</v>
      </c>
    </row>
    <row r="42" spans="1:12" ht="21" customHeight="1" x14ac:dyDescent="0.35">
      <c r="A42" s="134"/>
      <c r="B42" s="137" t="str">
        <f t="shared" si="0"/>
        <v/>
      </c>
      <c r="C42" s="138" t="str">
        <f t="shared" si="0"/>
        <v/>
      </c>
      <c r="D42" s="135"/>
      <c r="F42" s="134"/>
      <c r="G42" s="137" t="str">
        <f t="shared" si="1"/>
        <v/>
      </c>
      <c r="H42" s="138" t="str">
        <f t="shared" si="1"/>
        <v/>
      </c>
      <c r="I42" s="135"/>
      <c r="K42" s="133" t="str">
        <f t="shared" si="2"/>
        <v>Delay of Game</v>
      </c>
      <c r="L42" s="139" t="str">
        <f t="shared" si="2"/>
        <v>Z</v>
      </c>
    </row>
    <row r="43" spans="1:12" ht="21" customHeight="1" x14ac:dyDescent="0.35">
      <c r="A43" s="134"/>
      <c r="B43" s="137" t="str">
        <f t="shared" si="0"/>
        <v/>
      </c>
      <c r="C43" s="138" t="str">
        <f t="shared" si="0"/>
        <v/>
      </c>
      <c r="D43" s="135"/>
      <c r="F43" s="134"/>
      <c r="G43" s="137" t="str">
        <f t="shared" si="1"/>
        <v/>
      </c>
      <c r="H43" s="138" t="str">
        <f t="shared" si="1"/>
        <v/>
      </c>
      <c r="I43" s="135"/>
      <c r="K43" s="133" t="str">
        <f t="shared" si="2"/>
        <v>Misconduct</v>
      </c>
      <c r="L43" s="139" t="str">
        <f t="shared" si="2"/>
        <v>G</v>
      </c>
    </row>
    <row r="44" spans="1:12" ht="21" customHeight="1" x14ac:dyDescent="0.35">
      <c r="A44" s="134"/>
      <c r="B44" s="137" t="str">
        <f t="shared" si="0"/>
        <v/>
      </c>
      <c r="C44" s="138" t="str">
        <f t="shared" si="0"/>
        <v/>
      </c>
      <c r="D44" s="135"/>
      <c r="F44" s="134"/>
      <c r="G44" s="137" t="str">
        <f t="shared" si="1"/>
        <v/>
      </c>
      <c r="H44" s="138" t="str">
        <f t="shared" si="1"/>
        <v/>
      </c>
      <c r="I44" s="135"/>
      <c r="K44" s="140"/>
      <c r="L44" s="140"/>
    </row>
    <row r="45" spans="1:12" x14ac:dyDescent="0.35">
      <c r="A45" s="134"/>
      <c r="B45" s="137" t="str">
        <f t="shared" si="0"/>
        <v/>
      </c>
      <c r="C45" s="138" t="str">
        <f t="shared" si="0"/>
        <v/>
      </c>
      <c r="D45" s="135"/>
      <c r="F45" s="134"/>
      <c r="G45" s="137" t="str">
        <f t="shared" si="1"/>
        <v/>
      </c>
      <c r="H45" s="138" t="str">
        <f t="shared" si="1"/>
        <v/>
      </c>
      <c r="I45" s="135"/>
    </row>
    <row r="46" spans="1:12" x14ac:dyDescent="0.35">
      <c r="A46" s="134"/>
      <c r="B46" s="137" t="str">
        <f t="shared" si="0"/>
        <v/>
      </c>
      <c r="C46" s="138" t="str">
        <f t="shared" si="0"/>
        <v/>
      </c>
      <c r="D46" s="135"/>
      <c r="F46" s="134"/>
      <c r="G46" s="137" t="str">
        <f t="shared" si="1"/>
        <v/>
      </c>
      <c r="H46" s="138" t="str">
        <f t="shared" si="1"/>
        <v/>
      </c>
      <c r="I46" s="135"/>
    </row>
    <row r="47" spans="1:12" x14ac:dyDescent="0.35">
      <c r="A47" s="134"/>
      <c r="B47" s="137" t="str">
        <f t="shared" si="0"/>
        <v/>
      </c>
      <c r="C47" s="138" t="str">
        <f t="shared" si="0"/>
        <v/>
      </c>
      <c r="D47" s="135"/>
      <c r="F47" s="134"/>
      <c r="G47" s="137" t="str">
        <f t="shared" si="1"/>
        <v/>
      </c>
      <c r="H47" s="138" t="str">
        <f t="shared" si="1"/>
        <v/>
      </c>
      <c r="I47" s="135"/>
    </row>
    <row r="48" spans="1:12" x14ac:dyDescent="0.35">
      <c r="A48" s="141"/>
      <c r="B48" s="142"/>
      <c r="C48" s="142"/>
      <c r="D48" s="143"/>
      <c r="F48" s="141"/>
      <c r="G48" s="142"/>
      <c r="H48" s="142"/>
      <c r="I48" s="143"/>
    </row>
  </sheetData>
  <sheetProtection selectLockedCells="1" selectUnlockedCells="1"/>
  <mergeCells count="10">
    <mergeCell ref="B26:C26"/>
    <mergeCell ref="G26:H26"/>
    <mergeCell ref="K26:L26"/>
    <mergeCell ref="B1:C1"/>
    <mergeCell ref="G1:H1"/>
    <mergeCell ref="B2:C2"/>
    <mergeCell ref="G2:H2"/>
    <mergeCell ref="K2:L2"/>
    <mergeCell ref="B25:C25"/>
    <mergeCell ref="G25:H25"/>
  </mergeCells>
  <phoneticPr fontId="8" type="noConversion"/>
  <printOptions horizontalCentered="1" verticalCentered="1"/>
  <pageMargins left="0.7" right="0.7" top="0.75" bottom="0.75" header="0.51180555555555551" footer="0.51180555555555551"/>
  <pageSetup scale="97" firstPageNumber="0" orientation="landscape" r:id="rId1"/>
  <headerFooter alignWithMargins="0">
    <oddFooter>&amp;RForm Printed: &amp;D</oddFooter>
  </headerFooter>
  <rowBreaks count="1" manualBreakCount="1">
    <brk id="24" max="16383" man="1"/>
  </rowBreaks>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indexed="13"/>
  </sheetPr>
  <dimension ref="A2:AK196"/>
  <sheetViews>
    <sheetView zoomScaleSheetLayoutView="40" workbookViewId="0"/>
  </sheetViews>
  <sheetFormatPr defaultColWidth="8.88671875" defaultRowHeight="13.8" x14ac:dyDescent="0.3"/>
  <cols>
    <col min="1" max="1" width="4.6640625" style="23" customWidth="1"/>
    <col min="2" max="2" width="11.44140625" style="3" customWidth="1"/>
    <col min="3" max="3" width="20.6640625" style="3" customWidth="1"/>
    <col min="4" max="18" width="11.44140625" style="3" customWidth="1"/>
    <col min="19" max="19" width="11.44140625" style="77" customWidth="1"/>
    <col min="20" max="20" width="4.6640625" style="23" customWidth="1"/>
    <col min="21" max="21" width="11.44140625" style="3" customWidth="1"/>
    <col min="22" max="22" width="20.6640625" style="3" customWidth="1"/>
    <col min="23" max="258" width="11.44140625" style="3" customWidth="1"/>
    <col min="259" max="16384" width="8.88671875" style="3"/>
  </cols>
  <sheetData>
    <row r="2" spans="1:37" x14ac:dyDescent="0.3">
      <c r="C2" s="150" t="s">
        <v>179</v>
      </c>
      <c r="V2" s="150" t="s">
        <v>179</v>
      </c>
    </row>
    <row r="3" spans="1:37" x14ac:dyDescent="0.3">
      <c r="C3" s="3" t="s">
        <v>39</v>
      </c>
      <c r="D3" s="3">
        <f>MAX(Score!A42,Score!T42)</f>
        <v>19</v>
      </c>
      <c r="V3" s="3" t="s">
        <v>39</v>
      </c>
      <c r="W3" s="3">
        <f>D3</f>
        <v>19</v>
      </c>
    </row>
    <row r="4" spans="1:37" x14ac:dyDescent="0.3">
      <c r="C4" s="3" t="s">
        <v>40</v>
      </c>
      <c r="D4" s="3">
        <f ca="1">SK!H79</f>
        <v>14</v>
      </c>
      <c r="V4" s="3" t="s">
        <v>41</v>
      </c>
      <c r="W4" s="3">
        <f ca="1">SK!X79</f>
        <v>5</v>
      </c>
    </row>
    <row r="5" spans="1:37" x14ac:dyDescent="0.3">
      <c r="C5" s="3" t="s">
        <v>42</v>
      </c>
      <c r="D5" s="3">
        <f>COUNTIF(Q9:Q24,"&gt;0")</f>
        <v>14</v>
      </c>
      <c r="V5" s="3" t="s">
        <v>43</v>
      </c>
      <c r="W5" s="3">
        <f>COUNTIF(AJ9:AJ24,"&gt;0")</f>
        <v>13</v>
      </c>
    </row>
    <row r="7" spans="1:37" x14ac:dyDescent="0.3">
      <c r="A7" s="1162" t="s">
        <v>44</v>
      </c>
      <c r="B7" s="1162"/>
      <c r="C7" s="1162"/>
      <c r="D7" s="151"/>
      <c r="E7" s="151"/>
      <c r="F7" s="151"/>
      <c r="G7" s="151"/>
      <c r="H7" s="151"/>
      <c r="I7" s="151"/>
      <c r="J7" s="151"/>
      <c r="K7" s="151"/>
      <c r="L7" s="151"/>
      <c r="M7" s="151"/>
      <c r="N7" s="151"/>
      <c r="O7" s="151"/>
      <c r="P7" s="151"/>
      <c r="Q7" s="151"/>
      <c r="R7" s="151"/>
      <c r="T7" s="1162" t="s">
        <v>44</v>
      </c>
      <c r="U7" s="1162"/>
      <c r="V7" s="1162"/>
      <c r="W7" s="151"/>
      <c r="X7" s="151"/>
      <c r="Y7" s="151"/>
      <c r="Z7" s="151"/>
      <c r="AA7" s="151"/>
      <c r="AB7" s="151"/>
      <c r="AC7" s="151"/>
      <c r="AD7" s="151"/>
      <c r="AE7" s="151"/>
      <c r="AF7" s="151"/>
      <c r="AG7" s="151"/>
      <c r="AH7" s="151"/>
      <c r="AI7" s="151"/>
      <c r="AJ7" s="151"/>
      <c r="AK7" s="151"/>
    </row>
    <row r="8" spans="1:37" s="23" customFormat="1" x14ac:dyDescent="0.3">
      <c r="A8" s="210">
        <v>0</v>
      </c>
      <c r="B8" s="210" t="s">
        <v>36</v>
      </c>
      <c r="C8" s="210" t="s">
        <v>37</v>
      </c>
      <c r="D8" s="210" t="s">
        <v>122</v>
      </c>
      <c r="E8" s="211" t="s">
        <v>45</v>
      </c>
      <c r="F8" s="215" t="s">
        <v>123</v>
      </c>
      <c r="G8" s="215" t="s">
        <v>123</v>
      </c>
      <c r="H8" s="215" t="s">
        <v>123</v>
      </c>
      <c r="I8" s="215" t="s">
        <v>123</v>
      </c>
      <c r="J8" s="210" t="s">
        <v>46</v>
      </c>
      <c r="K8" s="211" t="s">
        <v>47</v>
      </c>
      <c r="L8" s="210" t="s">
        <v>48</v>
      </c>
      <c r="M8" s="211" t="s">
        <v>49</v>
      </c>
      <c r="N8" s="212" t="s">
        <v>25</v>
      </c>
      <c r="O8" s="210" t="s">
        <v>124</v>
      </c>
      <c r="P8" s="211" t="s">
        <v>50</v>
      </c>
      <c r="Q8" s="210" t="s">
        <v>19</v>
      </c>
      <c r="R8" s="211" t="s">
        <v>51</v>
      </c>
      <c r="S8" s="149"/>
      <c r="T8" s="210">
        <v>0</v>
      </c>
      <c r="U8" s="210" t="s">
        <v>36</v>
      </c>
      <c r="V8" s="210" t="s">
        <v>37</v>
      </c>
      <c r="W8" s="210" t="s">
        <v>122</v>
      </c>
      <c r="X8" s="211" t="s">
        <v>45</v>
      </c>
      <c r="Y8" s="215" t="s">
        <v>123</v>
      </c>
      <c r="Z8" s="215" t="s">
        <v>123</v>
      </c>
      <c r="AA8" s="215" t="s">
        <v>123</v>
      </c>
      <c r="AB8" s="215" t="s">
        <v>123</v>
      </c>
      <c r="AC8" s="210" t="s">
        <v>46</v>
      </c>
      <c r="AD8" s="211" t="s">
        <v>47</v>
      </c>
      <c r="AE8" s="210" t="s">
        <v>48</v>
      </c>
      <c r="AF8" s="211" t="s">
        <v>49</v>
      </c>
      <c r="AG8" s="212" t="s">
        <v>25</v>
      </c>
      <c r="AH8" s="210" t="s">
        <v>124</v>
      </c>
      <c r="AI8" s="211" t="s">
        <v>50</v>
      </c>
      <c r="AJ8" s="210" t="s">
        <v>19</v>
      </c>
      <c r="AK8" s="211" t="s">
        <v>51</v>
      </c>
    </row>
    <row r="9" spans="1:37" x14ac:dyDescent="0.3">
      <c r="A9" s="23">
        <f t="shared" ref="A9:A28" si="0">A8+1</f>
        <v>1</v>
      </c>
      <c r="B9" s="129" t="str">
        <f>IF(ISBLANK(IGRF!B14),"",IGRF!B14)</f>
        <v>0</v>
      </c>
      <c r="C9" s="129" t="str">
        <f>IF(ISBLANK(IGRF!C14),"",IGRF!C14)</f>
        <v>Andi Slamberg</v>
      </c>
      <c r="D9" s="3">
        <f>IF($B9="","",SUMPRODUCT(--(Lineups!$G$4:$G$41=$B9),--(Lineups!$B$4:$B$41="")))</f>
        <v>10</v>
      </c>
      <c r="E9" s="208">
        <f t="shared" ref="E9:E28" si="1">IF($B9="","",IF($D$3=0,"",D9/$D$3))</f>
        <v>0.52631578947368418</v>
      </c>
      <c r="F9" s="216">
        <f>IF($B9="","",SUMPRODUCT(--(Lineups!$G$4:$G$41=$B9),--(Lineups!$B$4:$B$41="X")))</f>
        <v>0</v>
      </c>
      <c r="G9" s="216">
        <f>IF($B9="","",SUMPRODUCT(--(Lineups!K$4:K$41=$B9),--(Lineups!A$4:A$41&lt;&gt;"SP")))</f>
        <v>0</v>
      </c>
      <c r="H9" s="216">
        <f>IF($B9="","",SUMPRODUCT(--(Lineups!O$4:O$41=$B9),--(Lineups!A$4:A$41&lt;&gt;"SP")))</f>
        <v>1</v>
      </c>
      <c r="I9" s="216">
        <f>IF($B9="","",SUMPRODUCT(--(Lineups!S$4:S$41=$B9),--(Lineups!A$4:A$41&lt;&gt;"SP")))</f>
        <v>0</v>
      </c>
      <c r="J9" s="3">
        <f t="shared" ref="J9:J28" si="2">IF(B9="","",SUM(F9:I9))</f>
        <v>1</v>
      </c>
      <c r="K9" s="208">
        <f t="shared" ref="K9:K28" si="3">IF($B9="","",IF($D$3=0,"",J9/$D$3))</f>
        <v>5.2631578947368418E-2</v>
      </c>
      <c r="L9" s="3">
        <f t="shared" ref="L9:L28" si="4">IF(B9="","",SUM(D9,J9))</f>
        <v>11</v>
      </c>
      <c r="M9" s="208">
        <f t="shared" ref="M9:M28" si="5">IF($B9="","",IF($D$3=0,"",L9/$D$3))</f>
        <v>0.57894736842105265</v>
      </c>
      <c r="N9" s="213" t="str">
        <f ca="1">IF(B9="","",IF(OR(SK!E172="",SK!E172=0),"",SK!H172))</f>
        <v/>
      </c>
      <c r="O9" s="3">
        <f>IF($B9="","",SUMPRODUCT(--(Lineups!C$4:C$41=$B9)))</f>
        <v>0</v>
      </c>
      <c r="P9" s="208">
        <f t="shared" ref="P9:P28" si="6">IF($B9="","",IF($D$3=0,"",O9/$D$3))</f>
        <v>0</v>
      </c>
      <c r="Q9" s="3">
        <f t="shared" ref="Q9:Q28" si="7">IF(B9="","",SUM(L9,O9))</f>
        <v>11</v>
      </c>
      <c r="R9" s="208">
        <f t="shared" ref="R9:R28" si="8">IF($B9="","",IF($D$3=0,"",Q9/$D$3))</f>
        <v>0.57894736842105265</v>
      </c>
      <c r="T9" s="23">
        <f t="shared" ref="T9:T28" si="9">T8+1</f>
        <v>1</v>
      </c>
      <c r="U9" s="129" t="str">
        <f>IF(ISBLANK(IGRF!H14),"",IGRF!H14)</f>
        <v>11</v>
      </c>
      <c r="V9" s="129" t="str">
        <f>IF(ISBLANK(IGRF!I14),"",IGRF!I14)</f>
        <v>Typhoid Maggie</v>
      </c>
      <c r="W9" s="3">
        <f>IF($U9="","",SUMPRODUCT(--(Lineups!$AG$4:$AG$41=$U9),--(Lineups!$AB$4:$AB$41="")))</f>
        <v>0</v>
      </c>
      <c r="X9" s="208">
        <f t="shared" ref="X9:X28" si="10">IF($U9="","",IF($W$3=0,"",W9/$W$3))</f>
        <v>0</v>
      </c>
      <c r="Y9" s="216">
        <f>IF($U9="","",SUMPRODUCT(--(Lineups!$AG$4:$AG$41=$U9),--(Lineups!$AB$4:$AB$41="X")))</f>
        <v>0</v>
      </c>
      <c r="Z9" s="216">
        <f>IF($U9="","",SUMPRODUCT(--(Lineups!AK$4:AK$41=$U9),--(Lineups!AA$4:AA$41&lt;&gt;"SP")))</f>
        <v>8</v>
      </c>
      <c r="AA9" s="216">
        <f>IF($U9="","",SUMPRODUCT(--(Lineups!AO$4:AO$41=$U9),--(Lineups!AA$4:AA$41&lt;&gt;"SP")))</f>
        <v>2</v>
      </c>
      <c r="AB9" s="216">
        <f>IF($U9="","",SUMPRODUCT(--(Lineups!AS$4:AS$41=$U9),--(Lineups!AA$4:AA$41&lt;&gt;"SP")))</f>
        <v>0</v>
      </c>
      <c r="AC9" s="3">
        <f t="shared" ref="AC9:AC28" si="11">IF(U9="","",SUM(Y9:AB9))</f>
        <v>10</v>
      </c>
      <c r="AD9" s="208">
        <f t="shared" ref="AD9:AD28" si="12">IF($U9="","",IF($W$3=0,"",AC9/$W$3))</f>
        <v>0.52631578947368418</v>
      </c>
      <c r="AE9" s="3">
        <f t="shared" ref="AE9:AE28" si="13">IF(U9="","",SUM(W9,AC9))</f>
        <v>10</v>
      </c>
      <c r="AF9" s="208">
        <f t="shared" ref="AF9:AF28" si="14">IF($U9="","",IF($W$3=0,"",AE9/$W$3))</f>
        <v>0.52631578947368418</v>
      </c>
      <c r="AG9" s="213" t="str">
        <f ca="1">IF(U9="","",IF(OR(SK!U172="",SK!U172=0),"",SK!X172))</f>
        <v/>
      </c>
      <c r="AH9" s="3">
        <f>IF($U9="","",SUMPRODUCT(--(Lineups!AC$4:AC$41=$U9)))</f>
        <v>0</v>
      </c>
      <c r="AI9" s="208">
        <f t="shared" ref="AI9:AI28" si="15">IF($U9="","",IF($W$3=0,"",AH9/$W$3))</f>
        <v>0</v>
      </c>
      <c r="AJ9" s="3">
        <f t="shared" ref="AJ9:AJ28" si="16">IF(U9="","",SUM(AE9,AH9))</f>
        <v>10</v>
      </c>
      <c r="AK9" s="208">
        <f t="shared" ref="AK9:AK28" si="17">IF($U9="","",IF($W$3=0,"",AJ9/$W$3))</f>
        <v>0.52631578947368418</v>
      </c>
    </row>
    <row r="10" spans="1:37" x14ac:dyDescent="0.3">
      <c r="A10" s="205">
        <f t="shared" si="0"/>
        <v>2</v>
      </c>
      <c r="B10" s="206" t="str">
        <f>IF(ISBLANK(IGRF!B15),"",IGRF!B15)</f>
        <v>1321</v>
      </c>
      <c r="C10" s="206" t="str">
        <f>IF(ISBLANK(IGRF!C15),"",IGRF!C15)</f>
        <v>Kristy Skelton</v>
      </c>
      <c r="D10" s="207">
        <f>IF($B10="","",SUMPRODUCT(--(Lineups!$G$4:$G$41=$B10),--(Lineups!$B$4:$B$41="")))</f>
        <v>0</v>
      </c>
      <c r="E10" s="209">
        <f t="shared" si="1"/>
        <v>0</v>
      </c>
      <c r="F10" s="216">
        <f>IF($B10="","",SUMPRODUCT(--(Lineups!$G$4:$G$41=$B10),--(Lineups!$B$4:$B$41="X")))</f>
        <v>0</v>
      </c>
      <c r="G10" s="216">
        <f>IF($B10="","",SUMPRODUCT(--(Lineups!K$4:K$41=$B10),--(Lineups!A$4:A$41&lt;&gt;"SP")))</f>
        <v>0</v>
      </c>
      <c r="H10" s="216">
        <f>IF($B10="","",SUMPRODUCT(--(Lineups!O$4:O$41=$B10),--(Lineups!A$4:A$41&lt;&gt;"SP")))</f>
        <v>0</v>
      </c>
      <c r="I10" s="216">
        <f>IF($B10="","",SUMPRODUCT(--(Lineups!S$4:S$41=$B10),--(Lineups!A$4:A$41&lt;&gt;"SP")))</f>
        <v>1</v>
      </c>
      <c r="J10" s="207">
        <f t="shared" si="2"/>
        <v>1</v>
      </c>
      <c r="K10" s="209">
        <f t="shared" si="3"/>
        <v>5.2631578947368418E-2</v>
      </c>
      <c r="L10" s="207">
        <f t="shared" si="4"/>
        <v>1</v>
      </c>
      <c r="M10" s="209">
        <f t="shared" si="5"/>
        <v>5.2631578947368418E-2</v>
      </c>
      <c r="N10" s="214">
        <f ca="1">IF(B10="","",IF(OR(SK!E175="",SK!E175=0),"",SK!H175))</f>
        <v>2</v>
      </c>
      <c r="O10" s="207">
        <f>IF($B10="","",SUMPRODUCT(--(Lineups!C$4:C$41=$B10)))</f>
        <v>3</v>
      </c>
      <c r="P10" s="209">
        <f t="shared" si="6"/>
        <v>0.15789473684210525</v>
      </c>
      <c r="Q10" s="207">
        <f t="shared" si="7"/>
        <v>4</v>
      </c>
      <c r="R10" s="209">
        <f t="shared" si="8"/>
        <v>0.21052631578947367</v>
      </c>
      <c r="T10" s="205">
        <f t="shared" si="9"/>
        <v>2</v>
      </c>
      <c r="U10" s="206" t="str">
        <f>IF(ISBLANK(IGRF!H15),"",IGRF!H15)</f>
        <v>11G6</v>
      </c>
      <c r="V10" s="206" t="str">
        <f>IF(ISBLANK(IGRF!I15),"",IGRF!I15)</f>
        <v>Fista Krusher</v>
      </c>
      <c r="W10" s="207">
        <f>IF($U10="","",SUMPRODUCT(--(Lineups!$AG$4:$AG$41=$U10),--(Lineups!$AB$4:$AB$41="")))</f>
        <v>1</v>
      </c>
      <c r="X10" s="209">
        <f t="shared" si="10"/>
        <v>5.2631578947368418E-2</v>
      </c>
      <c r="Y10" s="216">
        <f>IF($U10="","",SUMPRODUCT(--(Lineups!$AG$4:$AG$41=$U10),--(Lineups!$AB$4:$AB$41="X")))</f>
        <v>0</v>
      </c>
      <c r="Z10" s="216">
        <f>IF($U10="","",SUMPRODUCT(--(Lineups!AK$4:AK$41=$U10),--(Lineups!AA$4:AA$41&lt;&gt;"SP")))</f>
        <v>0</v>
      </c>
      <c r="AA10" s="216">
        <f>IF($U10="","",SUMPRODUCT(--(Lineups!AO$4:AO$41=$U10),--(Lineups!AA$4:AA$41&lt;&gt;"SP")))</f>
        <v>0</v>
      </c>
      <c r="AB10" s="216">
        <f>IF($U10="","",SUMPRODUCT(--(Lineups!AS$4:AS$41=$U10),--(Lineups!AA$4:AA$41&lt;&gt;"SP")))</f>
        <v>0</v>
      </c>
      <c r="AC10" s="207">
        <f t="shared" si="11"/>
        <v>0</v>
      </c>
      <c r="AD10" s="209">
        <f t="shared" si="12"/>
        <v>0</v>
      </c>
      <c r="AE10" s="207">
        <f t="shared" si="13"/>
        <v>1</v>
      </c>
      <c r="AF10" s="209">
        <f t="shared" si="14"/>
        <v>5.2631578947368418E-2</v>
      </c>
      <c r="AG10" s="214">
        <f ca="1">IF(U10="","",IF(OR(SK!U175="",SK!U175=0),"",SK!X175))</f>
        <v>1</v>
      </c>
      <c r="AH10" s="207">
        <f>IF($U10="","",SUMPRODUCT(--(Lineups!AC$4:AC$41=$U10)))</f>
        <v>4</v>
      </c>
      <c r="AI10" s="209">
        <f t="shared" si="15"/>
        <v>0.21052631578947367</v>
      </c>
      <c r="AJ10" s="207">
        <f t="shared" si="16"/>
        <v>5</v>
      </c>
      <c r="AK10" s="209">
        <f t="shared" si="17"/>
        <v>0.26315789473684209</v>
      </c>
    </row>
    <row r="11" spans="1:37" x14ac:dyDescent="0.3">
      <c r="A11" s="23">
        <f t="shared" si="0"/>
        <v>3</v>
      </c>
      <c r="B11" s="129" t="str">
        <f>IF(ISBLANK(IGRF!B16),"",IGRF!B16)</f>
        <v>17</v>
      </c>
      <c r="C11" s="129" t="str">
        <f>IF(ISBLANK(IGRF!C16),"",IGRF!C16)</f>
        <v>Justine Sane</v>
      </c>
      <c r="D11" s="3">
        <f>IF($B11="","",SUMPRODUCT(--(Lineups!$G$4:$G$41=$B11),--(Lineups!$B$4:$B$41="")))</f>
        <v>0</v>
      </c>
      <c r="E11" s="208">
        <f t="shared" si="1"/>
        <v>0</v>
      </c>
      <c r="F11" s="216">
        <f>IF($B11="","",SUMPRODUCT(--(Lineups!$G$4:$G$41=$B11),--(Lineups!$B$4:$B$41="X")))</f>
        <v>0</v>
      </c>
      <c r="G11" s="216">
        <f>IF($B11="","",SUMPRODUCT(--(Lineups!K$4:K$41=$B11),--(Lineups!A$4:A$41&lt;&gt;"SP")))</f>
        <v>1</v>
      </c>
      <c r="H11" s="216">
        <f>IF($B11="","",SUMPRODUCT(--(Lineups!O$4:O$41=$B11),--(Lineups!A$4:A$41&lt;&gt;"SP")))</f>
        <v>2</v>
      </c>
      <c r="I11" s="216">
        <f>IF($B11="","",SUMPRODUCT(--(Lineups!S$4:S$41=$B11),--(Lineups!A$4:A$41&lt;&gt;"SP")))</f>
        <v>1</v>
      </c>
      <c r="J11" s="3">
        <f t="shared" si="2"/>
        <v>4</v>
      </c>
      <c r="K11" s="208">
        <f t="shared" si="3"/>
        <v>0.21052631578947367</v>
      </c>
      <c r="L11" s="3">
        <f t="shared" si="4"/>
        <v>4</v>
      </c>
      <c r="M11" s="208">
        <f t="shared" si="5"/>
        <v>0.21052631578947367</v>
      </c>
      <c r="N11" s="213" t="str">
        <f ca="1">IF(B11="","",IF(OR(SK!E178="",SK!E178=0),"",SK!H178))</f>
        <v/>
      </c>
      <c r="O11" s="3">
        <f>IF($B11="","",SUMPRODUCT(--(Lineups!C$4:C$41=$B11)))</f>
        <v>0</v>
      </c>
      <c r="P11" s="208">
        <f t="shared" si="6"/>
        <v>0</v>
      </c>
      <c r="Q11" s="3">
        <f t="shared" si="7"/>
        <v>4</v>
      </c>
      <c r="R11" s="208">
        <f t="shared" si="8"/>
        <v>0.21052631578947367</v>
      </c>
      <c r="T11" s="23">
        <f t="shared" si="9"/>
        <v>3</v>
      </c>
      <c r="U11" s="129" t="str">
        <f>IF(ISBLANK(IGRF!H16),"",IGRF!H16)</f>
        <v>152</v>
      </c>
      <c r="V11" s="129" t="str">
        <f>IF(ISBLANK(IGRF!I16),"",IGRF!I16)</f>
        <v>Hitty Pryde</v>
      </c>
      <c r="W11" s="3">
        <f>IF($U11="","",SUMPRODUCT(--(Lineups!$AG$4:$AG$41=$U11),--(Lineups!$AB$4:$AB$41="")))</f>
        <v>0</v>
      </c>
      <c r="X11" s="208">
        <f t="shared" si="10"/>
        <v>0</v>
      </c>
      <c r="Y11" s="216">
        <f>IF($U11="","",SUMPRODUCT(--(Lineups!$AG$4:$AG$41=$U11),--(Lineups!$AB$4:$AB$41="X")))</f>
        <v>0</v>
      </c>
      <c r="Z11" s="216">
        <f>IF($U11="","",SUMPRODUCT(--(Lineups!AK$4:AK$41=$U11),--(Lineups!AA$4:AA$41&lt;&gt;"SP")))</f>
        <v>2</v>
      </c>
      <c r="AA11" s="216">
        <f>IF($U11="","",SUMPRODUCT(--(Lineups!AO$4:AO$41=$U11),--(Lineups!AA$4:AA$41&lt;&gt;"SP")))</f>
        <v>1</v>
      </c>
      <c r="AB11" s="216">
        <f>IF($U11="","",SUMPRODUCT(--(Lineups!AS$4:AS$41=$U11),--(Lineups!AA$4:AA$41&lt;&gt;"SP")))</f>
        <v>2</v>
      </c>
      <c r="AC11" s="3">
        <f t="shared" si="11"/>
        <v>5</v>
      </c>
      <c r="AD11" s="208">
        <f t="shared" si="12"/>
        <v>0.26315789473684209</v>
      </c>
      <c r="AE11" s="3">
        <f t="shared" si="13"/>
        <v>5</v>
      </c>
      <c r="AF11" s="208">
        <f t="shared" si="14"/>
        <v>0.26315789473684209</v>
      </c>
      <c r="AG11" s="213" t="str">
        <f ca="1">IF(U11="","",IF(OR(SK!U178="",SK!U178=0),"",SK!X178))</f>
        <v/>
      </c>
      <c r="AH11" s="3">
        <f>IF($U11="","",SUMPRODUCT(--(Lineups!AC$4:AC$41=$U11)))</f>
        <v>0</v>
      </c>
      <c r="AI11" s="208">
        <f t="shared" si="15"/>
        <v>0</v>
      </c>
      <c r="AJ11" s="3">
        <f t="shared" si="16"/>
        <v>5</v>
      </c>
      <c r="AK11" s="208">
        <f t="shared" si="17"/>
        <v>0.26315789473684209</v>
      </c>
    </row>
    <row r="12" spans="1:37" x14ac:dyDescent="0.3">
      <c r="A12" s="205">
        <f t="shared" si="0"/>
        <v>4</v>
      </c>
      <c r="B12" s="206" t="str">
        <f>IF(ISBLANK(IGRF!B17),"",IGRF!B17)</f>
        <v>19</v>
      </c>
      <c r="C12" s="206" t="str">
        <f>IF(ISBLANK(IGRF!C17),"",IGRF!C17)</f>
        <v>Lippy Wrongstockings</v>
      </c>
      <c r="D12" s="207">
        <f>IF($B12="","",SUMPRODUCT(--(Lineups!$G$4:$G$41=$B12),--(Lineups!$B$4:$B$41="")))</f>
        <v>0</v>
      </c>
      <c r="E12" s="209">
        <f t="shared" si="1"/>
        <v>0</v>
      </c>
      <c r="F12" s="216">
        <f>IF($B12="","",SUMPRODUCT(--(Lineups!$G$4:$G$41=$B12),--(Lineups!$B$4:$B$41="X")))</f>
        <v>0</v>
      </c>
      <c r="G12" s="216">
        <f>IF($B12="","",SUMPRODUCT(--(Lineups!K$4:K$41=$B12),--(Lineups!A$4:A$41&lt;&gt;"SP")))</f>
        <v>0</v>
      </c>
      <c r="H12" s="216">
        <f>IF($B12="","",SUMPRODUCT(--(Lineups!O$4:O$41=$B12),--(Lineups!A$4:A$41&lt;&gt;"SP")))</f>
        <v>0</v>
      </c>
      <c r="I12" s="216">
        <f>IF($B12="","",SUMPRODUCT(--(Lineups!S$4:S$41=$B12),--(Lineups!A$4:A$41&lt;&gt;"SP")))</f>
        <v>0</v>
      </c>
      <c r="J12" s="207">
        <f t="shared" si="2"/>
        <v>0</v>
      </c>
      <c r="K12" s="209">
        <f t="shared" si="3"/>
        <v>0</v>
      </c>
      <c r="L12" s="207">
        <f t="shared" si="4"/>
        <v>0</v>
      </c>
      <c r="M12" s="209">
        <f t="shared" si="5"/>
        <v>0</v>
      </c>
      <c r="N12" s="214">
        <f ca="1">IF(B12="","",IF(OR(SK!E181="",SK!E181=0),"",SK!H181))</f>
        <v>3</v>
      </c>
      <c r="O12" s="207">
        <f>IF($B12="","",SUMPRODUCT(--(Lineups!C$4:C$41=$B12)))</f>
        <v>4</v>
      </c>
      <c r="P12" s="209">
        <f t="shared" si="6"/>
        <v>0.21052631578947367</v>
      </c>
      <c r="Q12" s="207">
        <f t="shared" si="7"/>
        <v>4</v>
      </c>
      <c r="R12" s="209">
        <f t="shared" si="8"/>
        <v>0.21052631578947367</v>
      </c>
      <c r="T12" s="205">
        <f t="shared" si="9"/>
        <v>4</v>
      </c>
      <c r="U12" s="206" t="str">
        <f>IF(ISBLANK(IGRF!H17),"",IGRF!H17)</f>
        <v xml:space="preserve">237 </v>
      </c>
      <c r="V12" s="206" t="str">
        <f>IF(ISBLANK(IGRF!I17),"",IGRF!I17)</f>
        <v>GuilloTina</v>
      </c>
      <c r="W12" s="207">
        <f>IF($U12="","",SUMPRODUCT(--(Lineups!$AG$4:$AG$41=$U12),--(Lineups!$AB$4:$AB$41="")))</f>
        <v>0</v>
      </c>
      <c r="X12" s="209">
        <f t="shared" si="10"/>
        <v>0</v>
      </c>
      <c r="Y12" s="216">
        <f>IF($U12="","",SUMPRODUCT(--(Lineups!$AG$4:$AG$41=$U12),--(Lineups!$AB$4:$AB$41="X")))</f>
        <v>0</v>
      </c>
      <c r="Z12" s="216">
        <f>IF($U12="","",SUMPRODUCT(--(Lineups!AK$4:AK$41=$U12),--(Lineups!AA$4:AA$41&lt;&gt;"SP")))</f>
        <v>0</v>
      </c>
      <c r="AA12" s="216">
        <f>IF($U12="","",SUMPRODUCT(--(Lineups!AO$4:AO$41=$U12),--(Lineups!AA$4:AA$41&lt;&gt;"SP")))</f>
        <v>0</v>
      </c>
      <c r="AB12" s="216">
        <f>IF($U12="","",SUMPRODUCT(--(Lineups!AS$4:AS$41=$U12),--(Lineups!AA$4:AA$41&lt;&gt;"SP")))</f>
        <v>0</v>
      </c>
      <c r="AC12" s="207">
        <f t="shared" si="11"/>
        <v>0</v>
      </c>
      <c r="AD12" s="209">
        <f t="shared" si="12"/>
        <v>0</v>
      </c>
      <c r="AE12" s="207">
        <f t="shared" si="13"/>
        <v>0</v>
      </c>
      <c r="AF12" s="209">
        <f t="shared" si="14"/>
        <v>0</v>
      </c>
      <c r="AG12" s="214" t="str">
        <f ca="1">IF(U12="","",IF(OR(SK!U181="",SK!U181=0),"",SK!X181))</f>
        <v/>
      </c>
      <c r="AH12" s="207">
        <f>IF($U12="","",SUMPRODUCT(--(Lineups!AC$4:AC$41=$U12)))</f>
        <v>0</v>
      </c>
      <c r="AI12" s="209">
        <f t="shared" si="15"/>
        <v>0</v>
      </c>
      <c r="AJ12" s="207">
        <f t="shared" si="16"/>
        <v>0</v>
      </c>
      <c r="AK12" s="209">
        <f t="shared" si="17"/>
        <v>0</v>
      </c>
    </row>
    <row r="13" spans="1:37" x14ac:dyDescent="0.3">
      <c r="A13" s="23">
        <f t="shared" si="0"/>
        <v>5</v>
      </c>
      <c r="B13" s="129" t="str">
        <f>IF(ISBLANK(IGRF!B18),"",IGRF!B18)</f>
        <v>20</v>
      </c>
      <c r="C13" s="129" t="str">
        <f>IF(ISBLANK(IGRF!C18),"",IGRF!C18)</f>
        <v>Zooks</v>
      </c>
      <c r="D13" s="3">
        <f>IF($B13="","",SUMPRODUCT(--(Lineups!$G$4:$G$41=$B13),--(Lineups!$B$4:$B$41="")))</f>
        <v>0</v>
      </c>
      <c r="E13" s="208">
        <f t="shared" si="1"/>
        <v>0</v>
      </c>
      <c r="F13" s="216">
        <f>IF($B13="","",SUMPRODUCT(--(Lineups!$G$4:$G$41=$B13),--(Lineups!$B$4:$B$41="X")))</f>
        <v>0</v>
      </c>
      <c r="G13" s="216">
        <f>IF($B13="","",SUMPRODUCT(--(Lineups!K$4:K$41=$B13),--(Lineups!A$4:A$41&lt;&gt;"SP")))</f>
        <v>2</v>
      </c>
      <c r="H13" s="216">
        <f>IF($B13="","",SUMPRODUCT(--(Lineups!O$4:O$41=$B13),--(Lineups!A$4:A$41&lt;&gt;"SP")))</f>
        <v>2</v>
      </c>
      <c r="I13" s="216">
        <f>IF($B13="","",SUMPRODUCT(--(Lineups!S$4:S$41=$B13),--(Lineups!A$4:A$41&lt;&gt;"SP")))</f>
        <v>4</v>
      </c>
      <c r="J13" s="3">
        <f t="shared" si="2"/>
        <v>8</v>
      </c>
      <c r="K13" s="208">
        <f t="shared" si="3"/>
        <v>0.42105263157894735</v>
      </c>
      <c r="L13" s="3">
        <f t="shared" si="4"/>
        <v>8</v>
      </c>
      <c r="M13" s="208">
        <f t="shared" si="5"/>
        <v>0.42105263157894735</v>
      </c>
      <c r="N13" s="213">
        <f ca="1">IF(B13="","",IF(OR(SK!E184="",SK!E184=0),"",SK!H184))</f>
        <v>0</v>
      </c>
      <c r="O13" s="3">
        <f>IF($B13="","",SUMPRODUCT(--(Lineups!C$4:C$41=$B13)))</f>
        <v>1</v>
      </c>
      <c r="P13" s="208">
        <f t="shared" si="6"/>
        <v>5.2631578947368418E-2</v>
      </c>
      <c r="Q13" s="3">
        <f t="shared" si="7"/>
        <v>9</v>
      </c>
      <c r="R13" s="208">
        <f t="shared" si="8"/>
        <v>0.47368421052631576</v>
      </c>
      <c r="T13" s="23">
        <f t="shared" si="9"/>
        <v>5</v>
      </c>
      <c r="U13" s="129" t="str">
        <f>IF(ISBLANK(IGRF!H18),"",IGRF!H18)</f>
        <v>26</v>
      </c>
      <c r="V13" s="129" t="str">
        <f>IF(ISBLANK(IGRF!I18),"",IGRF!I18)</f>
        <v>Bam Bam Bigelow</v>
      </c>
      <c r="W13" s="3">
        <f>IF($U13="","",SUMPRODUCT(--(Lineups!$AG$4:$AG$41=$U13),--(Lineups!$AB$4:$AB$41="")))</f>
        <v>9</v>
      </c>
      <c r="X13" s="208">
        <f t="shared" si="10"/>
        <v>0.47368421052631576</v>
      </c>
      <c r="Y13" s="216">
        <f>IF($U13="","",SUMPRODUCT(--(Lineups!$AG$4:$AG$41=$U13),--(Lineups!$AB$4:$AB$41="X")))</f>
        <v>0</v>
      </c>
      <c r="Z13" s="216">
        <f>IF($U13="","",SUMPRODUCT(--(Lineups!AK$4:AK$41=$U13),--(Lineups!AA$4:AA$41&lt;&gt;"SP")))</f>
        <v>0</v>
      </c>
      <c r="AA13" s="216">
        <f>IF($U13="","",SUMPRODUCT(--(Lineups!AO$4:AO$41=$U13),--(Lineups!AA$4:AA$41&lt;&gt;"SP")))</f>
        <v>0</v>
      </c>
      <c r="AB13" s="216">
        <f>IF($U13="","",SUMPRODUCT(--(Lineups!AS$4:AS$41=$U13),--(Lineups!AA$4:AA$41&lt;&gt;"SP")))</f>
        <v>0</v>
      </c>
      <c r="AC13" s="3">
        <f t="shared" si="11"/>
        <v>0</v>
      </c>
      <c r="AD13" s="208">
        <f t="shared" si="12"/>
        <v>0</v>
      </c>
      <c r="AE13" s="3">
        <f t="shared" si="13"/>
        <v>9</v>
      </c>
      <c r="AF13" s="208">
        <f t="shared" si="14"/>
        <v>0.47368421052631576</v>
      </c>
      <c r="AG13" s="213">
        <f ca="1">IF(U13="","",IF(OR(SK!U184="",SK!U184=0),"",SK!X184))</f>
        <v>0</v>
      </c>
      <c r="AH13" s="3">
        <f>IF($U13="","",SUMPRODUCT(--(Lineups!AC$4:AC$41=$U13)))</f>
        <v>2</v>
      </c>
      <c r="AI13" s="208">
        <f t="shared" si="15"/>
        <v>0.10526315789473684</v>
      </c>
      <c r="AJ13" s="3">
        <f t="shared" si="16"/>
        <v>11</v>
      </c>
      <c r="AK13" s="208">
        <f t="shared" si="17"/>
        <v>0.57894736842105265</v>
      </c>
    </row>
    <row r="14" spans="1:37" x14ac:dyDescent="0.3">
      <c r="A14" s="205">
        <f t="shared" si="0"/>
        <v>6</v>
      </c>
      <c r="B14" s="206" t="str">
        <f>IF(ISBLANK(IGRF!B19),"",IGRF!B19)</f>
        <v>303</v>
      </c>
      <c r="C14" s="206" t="str">
        <f>IF(ISBLANK(IGRF!C19),"",IGRF!C19)</f>
        <v>Violent NoRegard</v>
      </c>
      <c r="D14" s="207">
        <f>IF($B14="","",SUMPRODUCT(--(Lineups!$G$4:$G$41=$B14),--(Lineups!$B$4:$B$41="")))</f>
        <v>0</v>
      </c>
      <c r="E14" s="209">
        <f t="shared" si="1"/>
        <v>0</v>
      </c>
      <c r="F14" s="216">
        <f>IF($B14="","",SUMPRODUCT(--(Lineups!$G$4:$G$41=$B14),--(Lineups!$B$4:$B$41="X")))</f>
        <v>0</v>
      </c>
      <c r="G14" s="216">
        <f>IF($B14="","",SUMPRODUCT(--(Lineups!K$4:K$41=$B14),--(Lineups!A$4:A$41&lt;&gt;"SP")))</f>
        <v>1</v>
      </c>
      <c r="H14" s="216">
        <f>IF($B14="","",SUMPRODUCT(--(Lineups!O$4:O$41=$B14),--(Lineups!A$4:A$41&lt;&gt;"SP")))</f>
        <v>5</v>
      </c>
      <c r="I14" s="216">
        <f>IF($B14="","",SUMPRODUCT(--(Lineups!S$4:S$41=$B14),--(Lineups!A$4:A$41&lt;&gt;"SP")))</f>
        <v>1</v>
      </c>
      <c r="J14" s="207">
        <f t="shared" si="2"/>
        <v>7</v>
      </c>
      <c r="K14" s="209">
        <f t="shared" si="3"/>
        <v>0.36842105263157893</v>
      </c>
      <c r="L14" s="207">
        <f t="shared" si="4"/>
        <v>7</v>
      </c>
      <c r="M14" s="209">
        <f t="shared" si="5"/>
        <v>0.36842105263157893</v>
      </c>
      <c r="N14" s="214" t="str">
        <f ca="1">IF(B14="","",IF(OR(SK!E187="",SK!E187=0),"",SK!H187))</f>
        <v/>
      </c>
      <c r="O14" s="207">
        <f>IF($B14="","",SUMPRODUCT(--(Lineups!C$4:C$41=$B14)))</f>
        <v>0</v>
      </c>
      <c r="P14" s="209">
        <f t="shared" si="6"/>
        <v>0</v>
      </c>
      <c r="Q14" s="207">
        <f t="shared" si="7"/>
        <v>7</v>
      </c>
      <c r="R14" s="209">
        <f t="shared" si="8"/>
        <v>0.36842105263157893</v>
      </c>
      <c r="T14" s="205">
        <f t="shared" si="9"/>
        <v>6</v>
      </c>
      <c r="U14" s="206" t="str">
        <f>IF(ISBLANK(IGRF!H19),"",IGRF!H19)</f>
        <v>2611</v>
      </c>
      <c r="V14" s="206" t="str">
        <f>IF(ISBLANK(IGRF!I19),"",IGRF!I19)</f>
        <v>Va Va BOOM</v>
      </c>
      <c r="W14" s="207">
        <f>IF($U14="","",SUMPRODUCT(--(Lineups!$AG$4:$AG$41=$U14),--(Lineups!$AB$4:$AB$41="")))</f>
        <v>0</v>
      </c>
      <c r="X14" s="209">
        <f t="shared" si="10"/>
        <v>0</v>
      </c>
      <c r="Y14" s="216">
        <f>IF($U14="","",SUMPRODUCT(--(Lineups!$AG$4:$AG$41=$U14),--(Lineups!$AB$4:$AB$41="X")))</f>
        <v>0</v>
      </c>
      <c r="Z14" s="216">
        <f>IF($U14="","",SUMPRODUCT(--(Lineups!AK$4:AK$41=$U14),--(Lineups!AA$4:AA$41&lt;&gt;"SP")))</f>
        <v>2</v>
      </c>
      <c r="AA14" s="216">
        <f>IF($U14="","",SUMPRODUCT(--(Lineups!AO$4:AO$41=$U14),--(Lineups!AA$4:AA$41&lt;&gt;"SP")))</f>
        <v>3</v>
      </c>
      <c r="AB14" s="216">
        <f>IF($U14="","",SUMPRODUCT(--(Lineups!AS$4:AS$41=$U14),--(Lineups!AA$4:AA$41&lt;&gt;"SP")))</f>
        <v>6</v>
      </c>
      <c r="AC14" s="207">
        <f t="shared" si="11"/>
        <v>11</v>
      </c>
      <c r="AD14" s="209">
        <f t="shared" si="12"/>
        <v>0.57894736842105265</v>
      </c>
      <c r="AE14" s="207">
        <f t="shared" si="13"/>
        <v>11</v>
      </c>
      <c r="AF14" s="209">
        <f t="shared" si="14"/>
        <v>0.57894736842105265</v>
      </c>
      <c r="AG14" s="214" t="str">
        <f ca="1">IF(U14="","",IF(OR(SK!U187="",SK!U187=0),"",SK!X187))</f>
        <v/>
      </c>
      <c r="AH14" s="207">
        <f>IF($U14="","",SUMPRODUCT(--(Lineups!AC$4:AC$41=$U14)))</f>
        <v>0</v>
      </c>
      <c r="AI14" s="209">
        <f t="shared" si="15"/>
        <v>0</v>
      </c>
      <c r="AJ14" s="207">
        <f t="shared" si="16"/>
        <v>11</v>
      </c>
      <c r="AK14" s="209">
        <f t="shared" si="17"/>
        <v>0.57894736842105265</v>
      </c>
    </row>
    <row r="15" spans="1:37" x14ac:dyDescent="0.3">
      <c r="A15" s="23">
        <f t="shared" si="0"/>
        <v>7</v>
      </c>
      <c r="B15" s="129" t="str">
        <f>IF(ISBLANK(IGRF!B20),"",IGRF!B20)</f>
        <v>33</v>
      </c>
      <c r="C15" s="129" t="str">
        <f>IF(ISBLANK(IGRF!C20),"",IGRF!C20)</f>
        <v>Suzy Slam</v>
      </c>
      <c r="D15" s="3">
        <f>IF($B15="","",SUMPRODUCT(--(Lineups!$G$4:$G$41=$B15),--(Lineups!$B$4:$B$41="")))</f>
        <v>0</v>
      </c>
      <c r="E15" s="208">
        <f t="shared" si="1"/>
        <v>0</v>
      </c>
      <c r="F15" s="216">
        <f>IF($B15="","",SUMPRODUCT(--(Lineups!$G$4:$G$41=$B15),--(Lineups!$B$4:$B$41="X")))</f>
        <v>0</v>
      </c>
      <c r="G15" s="216">
        <f>IF($B15="","",SUMPRODUCT(--(Lineups!K$4:K$41=$B15),--(Lineups!A$4:A$41&lt;&gt;"SP")))</f>
        <v>4</v>
      </c>
      <c r="H15" s="216">
        <f>IF($B15="","",SUMPRODUCT(--(Lineups!O$4:O$41=$B15),--(Lineups!A$4:A$41&lt;&gt;"SP")))</f>
        <v>2</v>
      </c>
      <c r="I15" s="216">
        <f>IF($B15="","",SUMPRODUCT(--(Lineups!S$4:S$41=$B15),--(Lineups!A$4:A$41&lt;&gt;"SP")))</f>
        <v>0</v>
      </c>
      <c r="J15" s="3">
        <f t="shared" si="2"/>
        <v>6</v>
      </c>
      <c r="K15" s="208">
        <f t="shared" si="3"/>
        <v>0.31578947368421051</v>
      </c>
      <c r="L15" s="3">
        <f t="shared" si="4"/>
        <v>6</v>
      </c>
      <c r="M15" s="208">
        <f t="shared" si="5"/>
        <v>0.31578947368421051</v>
      </c>
      <c r="N15" s="213" t="str">
        <f ca="1">IF(B15="","",IF(OR(SK!E190="",SK!E190=0),"",SK!H190))</f>
        <v/>
      </c>
      <c r="O15" s="3">
        <f>IF($B15="","",SUMPRODUCT(--(Lineups!C$4:C$41=$B15)))</f>
        <v>0</v>
      </c>
      <c r="P15" s="208">
        <f t="shared" si="6"/>
        <v>0</v>
      </c>
      <c r="Q15" s="3">
        <f t="shared" si="7"/>
        <v>6</v>
      </c>
      <c r="R15" s="208">
        <f t="shared" si="8"/>
        <v>0.31578947368421051</v>
      </c>
      <c r="T15" s="23">
        <f t="shared" si="9"/>
        <v>7</v>
      </c>
      <c r="U15" s="129" t="str">
        <f>IF(ISBLANK(IGRF!H20),"",IGRF!H20)</f>
        <v>45</v>
      </c>
      <c r="V15" s="129" t="str">
        <f>IF(ISBLANK(IGRF!I20),"",IGRF!I20)</f>
        <v>Miss Carriage</v>
      </c>
      <c r="W15" s="3">
        <f>IF($U15="","",SUMPRODUCT(--(Lineups!$AG$4:$AG$41=$U15),--(Lineups!$AB$4:$AB$41="")))</f>
        <v>9</v>
      </c>
      <c r="X15" s="208">
        <f t="shared" si="10"/>
        <v>0.47368421052631576</v>
      </c>
      <c r="Y15" s="216">
        <f>IF($U15="","",SUMPRODUCT(--(Lineups!$AG$4:$AG$41=$U15),--(Lineups!$AB$4:$AB$41="X")))</f>
        <v>0</v>
      </c>
      <c r="Z15" s="216">
        <f>IF($U15="","",SUMPRODUCT(--(Lineups!AK$4:AK$41=$U15),--(Lineups!AA$4:AA$41&lt;&gt;"SP")))</f>
        <v>0</v>
      </c>
      <c r="AA15" s="216">
        <f>IF($U15="","",SUMPRODUCT(--(Lineups!AO$4:AO$41=$U15),--(Lineups!AA$4:AA$41&lt;&gt;"SP")))</f>
        <v>0</v>
      </c>
      <c r="AB15" s="216">
        <f>IF($U15="","",SUMPRODUCT(--(Lineups!AS$4:AS$41=$U15),--(Lineups!AA$4:AA$41&lt;&gt;"SP")))</f>
        <v>0</v>
      </c>
      <c r="AC15" s="3">
        <f t="shared" si="11"/>
        <v>0</v>
      </c>
      <c r="AD15" s="208">
        <f t="shared" si="12"/>
        <v>0</v>
      </c>
      <c r="AE15" s="3">
        <f t="shared" si="13"/>
        <v>9</v>
      </c>
      <c r="AF15" s="208">
        <f t="shared" si="14"/>
        <v>0.47368421052631576</v>
      </c>
      <c r="AG15" s="213" t="str">
        <f ca="1">IF(U15="","",IF(OR(SK!U190="",SK!U190=0),"",SK!X190))</f>
        <v/>
      </c>
      <c r="AH15" s="3">
        <f>IF($U15="","",SUMPRODUCT(--(Lineups!AC$4:AC$41=$U15)))</f>
        <v>0</v>
      </c>
      <c r="AI15" s="208">
        <f t="shared" si="15"/>
        <v>0</v>
      </c>
      <c r="AJ15" s="3">
        <f t="shared" si="16"/>
        <v>9</v>
      </c>
      <c r="AK15" s="208">
        <f t="shared" si="17"/>
        <v>0.47368421052631576</v>
      </c>
    </row>
    <row r="16" spans="1:37" x14ac:dyDescent="0.3">
      <c r="A16" s="205">
        <f t="shared" si="0"/>
        <v>8</v>
      </c>
      <c r="B16" s="206" t="str">
        <f>IF(ISBLANK(IGRF!B21),"",IGRF!B21)</f>
        <v>4</v>
      </c>
      <c r="C16" s="206" t="str">
        <f>IF(ISBLANK(IGRF!C21),"",IGRF!C21)</f>
        <v>Psykosonic</v>
      </c>
      <c r="D16" s="207">
        <f>IF($B16="","",SUMPRODUCT(--(Lineups!$G$4:$G$41=$B16),--(Lineups!$B$4:$B$41="")))</f>
        <v>0</v>
      </c>
      <c r="E16" s="209">
        <f t="shared" si="1"/>
        <v>0</v>
      </c>
      <c r="F16" s="216">
        <f>IF($B16="","",SUMPRODUCT(--(Lineups!$G$4:$G$41=$B16),--(Lineups!$B$4:$B$41="X")))</f>
        <v>0</v>
      </c>
      <c r="G16" s="216">
        <f>IF($B16="","",SUMPRODUCT(--(Lineups!K$4:K$41=$B16),--(Lineups!A$4:A$41&lt;&gt;"SP")))</f>
        <v>0</v>
      </c>
      <c r="H16" s="216">
        <f>IF($B16="","",SUMPRODUCT(--(Lineups!O$4:O$41=$B16),--(Lineups!A$4:A$41&lt;&gt;"SP")))</f>
        <v>0</v>
      </c>
      <c r="I16" s="216">
        <f>IF($B16="","",SUMPRODUCT(--(Lineups!S$4:S$41=$B16),--(Lineups!A$4:A$41&lt;&gt;"SP")))</f>
        <v>0</v>
      </c>
      <c r="J16" s="207">
        <f t="shared" si="2"/>
        <v>0</v>
      </c>
      <c r="K16" s="209">
        <f t="shared" si="3"/>
        <v>0</v>
      </c>
      <c r="L16" s="207">
        <f t="shared" si="4"/>
        <v>0</v>
      </c>
      <c r="M16" s="209">
        <f t="shared" si="5"/>
        <v>0</v>
      </c>
      <c r="N16" s="214">
        <f ca="1">IF(B16="","",IF(OR(SK!E193="",SK!E193=0),"",SK!H193))</f>
        <v>5</v>
      </c>
      <c r="O16" s="207">
        <f>IF($B16="","",SUMPRODUCT(--(Lineups!C$4:C$41=$B16)))</f>
        <v>5</v>
      </c>
      <c r="P16" s="209">
        <f t="shared" si="6"/>
        <v>0.26315789473684209</v>
      </c>
      <c r="Q16" s="207">
        <f t="shared" si="7"/>
        <v>5</v>
      </c>
      <c r="R16" s="209">
        <f t="shared" si="8"/>
        <v>0.26315789473684209</v>
      </c>
      <c r="T16" s="205">
        <f t="shared" si="9"/>
        <v>8</v>
      </c>
      <c r="U16" s="206" t="str">
        <f>IF(ISBLANK(IGRF!H21),"",IGRF!H21)</f>
        <v>451</v>
      </c>
      <c r="V16" s="206" t="str">
        <f>IF(ISBLANK(IGRF!I21),"",IGRF!I21)</f>
        <v>fErinheit</v>
      </c>
      <c r="W16" s="207">
        <f>IF($U16="","",SUMPRODUCT(--(Lineups!$AG$4:$AG$41=$U16),--(Lineups!$AB$4:$AB$41="")))</f>
        <v>0</v>
      </c>
      <c r="X16" s="209">
        <f t="shared" si="10"/>
        <v>0</v>
      </c>
      <c r="Y16" s="216">
        <f>IF($U16="","",SUMPRODUCT(--(Lineups!$AG$4:$AG$41=$U16),--(Lineups!$AB$4:$AB$41="X")))</f>
        <v>0</v>
      </c>
      <c r="Z16" s="216">
        <f>IF($U16="","",SUMPRODUCT(--(Lineups!AK$4:AK$41=$U16),--(Lineups!AA$4:AA$41&lt;&gt;"SP")))</f>
        <v>0</v>
      </c>
      <c r="AA16" s="216">
        <f>IF($U16="","",SUMPRODUCT(--(Lineups!AO$4:AO$41=$U16),--(Lineups!AA$4:AA$41&lt;&gt;"SP")))</f>
        <v>0</v>
      </c>
      <c r="AB16" s="216">
        <f>IF($U16="","",SUMPRODUCT(--(Lineups!AS$4:AS$41=$U16),--(Lineups!AA$4:AA$41&lt;&gt;"SP")))</f>
        <v>0</v>
      </c>
      <c r="AC16" s="207">
        <f t="shared" si="11"/>
        <v>0</v>
      </c>
      <c r="AD16" s="209">
        <f t="shared" si="12"/>
        <v>0</v>
      </c>
      <c r="AE16" s="207">
        <f t="shared" si="13"/>
        <v>0</v>
      </c>
      <c r="AF16" s="209">
        <f t="shared" si="14"/>
        <v>0</v>
      </c>
      <c r="AG16" s="214">
        <f ca="1">IF(U16="","",IF(OR(SK!U193="",SK!U193=0),"",SK!X193))</f>
        <v>1</v>
      </c>
      <c r="AH16" s="207">
        <f>IF($U16="","",SUMPRODUCT(--(Lineups!AC$4:AC$41=$U16)))</f>
        <v>4</v>
      </c>
      <c r="AI16" s="209">
        <f t="shared" si="15"/>
        <v>0.21052631578947367</v>
      </c>
      <c r="AJ16" s="207">
        <f t="shared" si="16"/>
        <v>4</v>
      </c>
      <c r="AK16" s="209">
        <f t="shared" si="17"/>
        <v>0.21052631578947367</v>
      </c>
    </row>
    <row r="17" spans="1:37" x14ac:dyDescent="0.3">
      <c r="A17" s="23">
        <f t="shared" si="0"/>
        <v>9</v>
      </c>
      <c r="B17" s="129" t="str">
        <f>IF(ISBLANK(IGRF!B22),"",IGRF!B22)</f>
        <v>42</v>
      </c>
      <c r="C17" s="129" t="str">
        <f>IF(ISBLANK(IGRF!C22),"",IGRF!C22)</f>
        <v>Meg N' Plead</v>
      </c>
      <c r="D17" s="3">
        <f>IF($B17="","",SUMPRODUCT(--(Lineups!$G$4:$G$41=$B17),--(Lineups!$B$4:$B$41="")))</f>
        <v>0</v>
      </c>
      <c r="E17" s="208">
        <f t="shared" si="1"/>
        <v>0</v>
      </c>
      <c r="F17" s="216">
        <f>IF($B17="","",SUMPRODUCT(--(Lineups!$G$4:$G$41=$B17),--(Lineups!$B$4:$B$41="X")))</f>
        <v>0</v>
      </c>
      <c r="G17" s="216">
        <f>IF($B17="","",SUMPRODUCT(--(Lineups!K$4:K$41=$B17),--(Lineups!A$4:A$41&lt;&gt;"SP")))</f>
        <v>1</v>
      </c>
      <c r="H17" s="216">
        <f>IF($B17="","",SUMPRODUCT(--(Lineups!O$4:O$41=$B17),--(Lineups!A$4:A$41&lt;&gt;"SP")))</f>
        <v>2</v>
      </c>
      <c r="I17" s="216">
        <f>IF($B17="","",SUMPRODUCT(--(Lineups!S$4:S$41=$B17),--(Lineups!A$4:A$41&lt;&gt;"SP")))</f>
        <v>2</v>
      </c>
      <c r="J17" s="3">
        <f t="shared" si="2"/>
        <v>5</v>
      </c>
      <c r="K17" s="208">
        <f t="shared" si="3"/>
        <v>0.26315789473684209</v>
      </c>
      <c r="L17" s="3">
        <f t="shared" si="4"/>
        <v>5</v>
      </c>
      <c r="M17" s="208">
        <f t="shared" si="5"/>
        <v>0.26315789473684209</v>
      </c>
      <c r="N17" s="213" t="str">
        <f ca="1">IF(B17="","",IF(OR(SK!E196="",SK!E196=0),"",SK!H196))</f>
        <v/>
      </c>
      <c r="O17" s="3">
        <f>IF($B17="","",SUMPRODUCT(--(Lineups!C$4:C$41=$B17)))</f>
        <v>0</v>
      </c>
      <c r="P17" s="208">
        <f t="shared" si="6"/>
        <v>0</v>
      </c>
      <c r="Q17" s="3">
        <f t="shared" si="7"/>
        <v>5</v>
      </c>
      <c r="R17" s="208">
        <f t="shared" si="8"/>
        <v>0.26315789473684209</v>
      </c>
      <c r="T17" s="23">
        <f t="shared" si="9"/>
        <v>9</v>
      </c>
      <c r="U17" s="129" t="str">
        <f>IF(ISBLANK(IGRF!H22),"",IGRF!H22)</f>
        <v>511</v>
      </c>
      <c r="V17" s="129" t="str">
        <f>IF(ISBLANK(IGRF!I22),"",IGRF!I22)</f>
        <v>Bean Stalker</v>
      </c>
      <c r="W17" s="3">
        <f>IF($U17="","",SUMPRODUCT(--(Lineups!$AG$4:$AG$41=$U17),--(Lineups!$AB$4:$AB$41="")))</f>
        <v>0</v>
      </c>
      <c r="X17" s="208">
        <f t="shared" si="10"/>
        <v>0</v>
      </c>
      <c r="Y17" s="216">
        <f>IF($U17="","",SUMPRODUCT(--(Lineups!$AG$4:$AG$41=$U17),--(Lineups!$AB$4:$AB$41="X")))</f>
        <v>0</v>
      </c>
      <c r="Z17" s="216">
        <f>IF($U17="","",SUMPRODUCT(--(Lineups!AK$4:AK$41=$U17),--(Lineups!AA$4:AA$41&lt;&gt;"SP")))</f>
        <v>0</v>
      </c>
      <c r="AA17" s="216">
        <f>IF($U17="","",SUMPRODUCT(--(Lineups!AO$4:AO$41=$U17),--(Lineups!AA$4:AA$41&lt;&gt;"SP")))</f>
        <v>1</v>
      </c>
      <c r="AB17" s="216">
        <f>IF($U17="","",SUMPRODUCT(--(Lineups!AS$4:AS$41=$U17),--(Lineups!AA$4:AA$41&lt;&gt;"SP")))</f>
        <v>0</v>
      </c>
      <c r="AC17" s="3">
        <f t="shared" si="11"/>
        <v>1</v>
      </c>
      <c r="AD17" s="208">
        <f t="shared" si="12"/>
        <v>5.2631578947368418E-2</v>
      </c>
      <c r="AE17" s="3">
        <f t="shared" si="13"/>
        <v>1</v>
      </c>
      <c r="AF17" s="208">
        <f t="shared" si="14"/>
        <v>5.2631578947368418E-2</v>
      </c>
      <c r="AG17" s="213">
        <f ca="1">IF(U17="","",IF(OR(SK!U196="",SK!U196=0),"",SK!X196))</f>
        <v>0</v>
      </c>
      <c r="AH17" s="3">
        <f>IF($U17="","",SUMPRODUCT(--(Lineups!AC$4:AC$41=$U17)))</f>
        <v>1</v>
      </c>
      <c r="AI17" s="208">
        <f t="shared" si="15"/>
        <v>5.2631578947368418E-2</v>
      </c>
      <c r="AJ17" s="3">
        <f t="shared" si="16"/>
        <v>2</v>
      </c>
      <c r="AK17" s="208">
        <f t="shared" si="17"/>
        <v>0.10526315789473684</v>
      </c>
    </row>
    <row r="18" spans="1:37" x14ac:dyDescent="0.3">
      <c r="A18" s="205">
        <f t="shared" si="0"/>
        <v>10</v>
      </c>
      <c r="B18" s="206" t="str">
        <f>IF(ISBLANK(IGRF!B23),"",IGRF!B23)</f>
        <v>44</v>
      </c>
      <c r="C18" s="206" t="str">
        <f>IF(ISBLANK(IGRF!C23),"",IGRF!C23)</f>
        <v>Brunt Force Bunny</v>
      </c>
      <c r="D18" s="207">
        <f>IF($B18="","",SUMPRODUCT(--(Lineups!$G$4:$G$41=$B18),--(Lineups!$B$4:$B$41="")))</f>
        <v>0</v>
      </c>
      <c r="E18" s="209">
        <f t="shared" si="1"/>
        <v>0</v>
      </c>
      <c r="F18" s="216">
        <f>IF($B18="","",SUMPRODUCT(--(Lineups!$G$4:$G$41=$B18),--(Lineups!$B$4:$B$41="X")))</f>
        <v>0</v>
      </c>
      <c r="G18" s="216">
        <f>IF($B18="","",SUMPRODUCT(--(Lineups!K$4:K$41=$B18),--(Lineups!A$4:A$41&lt;&gt;"SP")))</f>
        <v>3</v>
      </c>
      <c r="H18" s="216">
        <f>IF($B18="","",SUMPRODUCT(--(Lineups!O$4:O$41=$B18),--(Lineups!A$4:A$41&lt;&gt;"SP")))</f>
        <v>2</v>
      </c>
      <c r="I18" s="216">
        <f>IF($B18="","",SUMPRODUCT(--(Lineups!S$4:S$41=$B18),--(Lineups!A$4:A$41&lt;&gt;"SP")))</f>
        <v>0</v>
      </c>
      <c r="J18" s="207">
        <f t="shared" si="2"/>
        <v>5</v>
      </c>
      <c r="K18" s="209">
        <f t="shared" si="3"/>
        <v>0.26315789473684209</v>
      </c>
      <c r="L18" s="207">
        <f t="shared" si="4"/>
        <v>5</v>
      </c>
      <c r="M18" s="209">
        <f t="shared" si="5"/>
        <v>0.26315789473684209</v>
      </c>
      <c r="N18" s="214" t="str">
        <f ca="1">IF(B18="","",IF(OR(SK!E199="",SK!E199=0),"",SK!H199))</f>
        <v/>
      </c>
      <c r="O18" s="207">
        <f>IF($B18="","",SUMPRODUCT(--(Lineups!C$4:C$41=$B18)))</f>
        <v>0</v>
      </c>
      <c r="P18" s="209">
        <f t="shared" si="6"/>
        <v>0</v>
      </c>
      <c r="Q18" s="207">
        <f t="shared" si="7"/>
        <v>5</v>
      </c>
      <c r="R18" s="209">
        <f t="shared" si="8"/>
        <v>0.26315789473684209</v>
      </c>
      <c r="T18" s="205">
        <f t="shared" si="9"/>
        <v>10</v>
      </c>
      <c r="U18" s="206" t="str">
        <f>IF(ISBLANK(IGRF!H23),"",IGRF!H23)</f>
        <v>519</v>
      </c>
      <c r="V18" s="206" t="str">
        <f>IF(ISBLANK(IGRF!I23),"",IGRF!I23)</f>
        <v>Smashin' Good Time</v>
      </c>
      <c r="W18" s="207">
        <f>IF($U18="","",SUMPRODUCT(--(Lineups!$AG$4:$AG$41=$U18),--(Lineups!$AB$4:$AB$41="")))</f>
        <v>0</v>
      </c>
      <c r="X18" s="209">
        <f t="shared" si="10"/>
        <v>0</v>
      </c>
      <c r="Y18" s="216">
        <f>IF($U18="","",SUMPRODUCT(--(Lineups!$AG$4:$AG$41=$U18),--(Lineups!$AB$4:$AB$41="X")))</f>
        <v>0</v>
      </c>
      <c r="Z18" s="216">
        <f>IF($U18="","",SUMPRODUCT(--(Lineups!AK$4:AK$41=$U18),--(Lineups!AA$4:AA$41&lt;&gt;"SP")))</f>
        <v>1</v>
      </c>
      <c r="AA18" s="216">
        <f>IF($U18="","",SUMPRODUCT(--(Lineups!AO$4:AO$41=$U18),--(Lineups!AA$4:AA$41&lt;&gt;"SP")))</f>
        <v>2</v>
      </c>
      <c r="AB18" s="216">
        <f>IF($U18="","",SUMPRODUCT(--(Lineups!AS$4:AS$41=$U18),--(Lineups!AA$4:AA$41&lt;&gt;"SP")))</f>
        <v>6</v>
      </c>
      <c r="AC18" s="207">
        <f t="shared" si="11"/>
        <v>9</v>
      </c>
      <c r="AD18" s="209">
        <f t="shared" si="12"/>
        <v>0.47368421052631576</v>
      </c>
      <c r="AE18" s="207">
        <f t="shared" si="13"/>
        <v>9</v>
      </c>
      <c r="AF18" s="209">
        <f t="shared" si="14"/>
        <v>0.47368421052631576</v>
      </c>
      <c r="AG18" s="214" t="str">
        <f ca="1">IF(U18="","",IF(OR(SK!U199="",SK!U199=0),"",SK!X199))</f>
        <v/>
      </c>
      <c r="AH18" s="207">
        <f>IF($U18="","",SUMPRODUCT(--(Lineups!AC$4:AC$41=$U18)))</f>
        <v>0</v>
      </c>
      <c r="AI18" s="209">
        <f t="shared" si="15"/>
        <v>0</v>
      </c>
      <c r="AJ18" s="207">
        <f t="shared" si="16"/>
        <v>9</v>
      </c>
      <c r="AK18" s="209">
        <f t="shared" si="17"/>
        <v>0.47368421052631576</v>
      </c>
    </row>
    <row r="19" spans="1:37" x14ac:dyDescent="0.3">
      <c r="A19" s="23">
        <f t="shared" si="0"/>
        <v>11</v>
      </c>
      <c r="B19" s="129" t="str">
        <f>IF(ISBLANK(IGRF!B24),"",IGRF!B24)</f>
        <v>480</v>
      </c>
      <c r="C19" s="129" t="str">
        <f>IF(ISBLANK(IGRF!C24),"",IGRF!C24)</f>
        <v>Slaughterhouse Streeter</v>
      </c>
      <c r="D19" s="3">
        <f>IF($B19="","",SUMPRODUCT(--(Lineups!$G$4:$G$41=$B19),--(Lineups!$B$4:$B$41="")))</f>
        <v>0</v>
      </c>
      <c r="E19" s="208">
        <f t="shared" si="1"/>
        <v>0</v>
      </c>
      <c r="F19" s="216">
        <f>IF($B19="","",SUMPRODUCT(--(Lineups!$G$4:$G$41=$B19),--(Lineups!$B$4:$B$41="X")))</f>
        <v>0</v>
      </c>
      <c r="G19" s="216">
        <f>IF($B19="","",SUMPRODUCT(--(Lineups!K$4:K$41=$B19),--(Lineups!A$4:A$41&lt;&gt;"SP")))</f>
        <v>2</v>
      </c>
      <c r="H19" s="216">
        <f>IF($B19="","",SUMPRODUCT(--(Lineups!O$4:O$41=$B19),--(Lineups!A$4:A$41&lt;&gt;"SP")))</f>
        <v>1</v>
      </c>
      <c r="I19" s="216">
        <f>IF($B19="","",SUMPRODUCT(--(Lineups!S$4:S$41=$B19),--(Lineups!A$4:A$41&lt;&gt;"SP")))</f>
        <v>4</v>
      </c>
      <c r="J19" s="3">
        <f t="shared" si="2"/>
        <v>7</v>
      </c>
      <c r="K19" s="208">
        <f t="shared" si="3"/>
        <v>0.36842105263157893</v>
      </c>
      <c r="L19" s="3">
        <f t="shared" si="4"/>
        <v>7</v>
      </c>
      <c r="M19" s="208">
        <f t="shared" si="5"/>
        <v>0.36842105263157893</v>
      </c>
      <c r="N19" s="213">
        <f ca="1">IF(B19="","",IF(OR(SK!E202="",SK!E202=0),"",SK!H202))</f>
        <v>0</v>
      </c>
      <c r="O19" s="3">
        <f>IF($B19="","",SUMPRODUCT(--(Lineups!C$4:C$41=$B19)))</f>
        <v>1</v>
      </c>
      <c r="P19" s="208">
        <f t="shared" si="6"/>
        <v>5.2631578947368418E-2</v>
      </c>
      <c r="Q19" s="3">
        <f t="shared" si="7"/>
        <v>8</v>
      </c>
      <c r="R19" s="208">
        <f t="shared" si="8"/>
        <v>0.42105263157894735</v>
      </c>
      <c r="T19" s="23">
        <f t="shared" si="9"/>
        <v>11</v>
      </c>
      <c r="U19" s="129" t="str">
        <f>IF(ISBLANK(IGRF!H24),"",IGRF!H24)</f>
        <v>58</v>
      </c>
      <c r="V19" s="129" t="str">
        <f>IF(ISBLANK(IGRF!I24),"",IGRF!I24)</f>
        <v>Natty B</v>
      </c>
      <c r="W19" s="3">
        <f>IF($U19="","",SUMPRODUCT(--(Lineups!$AG$4:$AG$41=$U19),--(Lineups!$AB$4:$AB$41="")))</f>
        <v>0</v>
      </c>
      <c r="X19" s="208">
        <f t="shared" si="10"/>
        <v>0</v>
      </c>
      <c r="Y19" s="216">
        <f>IF($U19="","",SUMPRODUCT(--(Lineups!$AG$4:$AG$41=$U19),--(Lineups!$AB$4:$AB$41="X")))</f>
        <v>0</v>
      </c>
      <c r="Z19" s="216">
        <f>IF($U19="","",SUMPRODUCT(--(Lineups!AK$4:AK$41=$U19),--(Lineups!AA$4:AA$41&lt;&gt;"SP")))</f>
        <v>0</v>
      </c>
      <c r="AA19" s="216">
        <f>IF($U19="","",SUMPRODUCT(--(Lineups!AO$4:AO$41=$U19),--(Lineups!AA$4:AA$41&lt;&gt;"SP")))</f>
        <v>0</v>
      </c>
      <c r="AB19" s="216">
        <f>IF($U19="","",SUMPRODUCT(--(Lineups!AS$4:AS$41=$U19),--(Lineups!AA$4:AA$41&lt;&gt;"SP")))</f>
        <v>0</v>
      </c>
      <c r="AC19" s="3">
        <f t="shared" si="11"/>
        <v>0</v>
      </c>
      <c r="AD19" s="208">
        <f t="shared" si="12"/>
        <v>0</v>
      </c>
      <c r="AE19" s="3">
        <f t="shared" si="13"/>
        <v>0</v>
      </c>
      <c r="AF19" s="208">
        <f t="shared" si="14"/>
        <v>0</v>
      </c>
      <c r="AG19" s="213">
        <f ca="1">IF(U19="","",IF(OR(SK!U202="",SK!U202=0),"",SK!X202))</f>
        <v>1</v>
      </c>
      <c r="AH19" s="3">
        <f>IF($U19="","",SUMPRODUCT(--(Lineups!AC$4:AC$41=$U19)))</f>
        <v>5</v>
      </c>
      <c r="AI19" s="208">
        <f t="shared" si="15"/>
        <v>0.26315789473684209</v>
      </c>
      <c r="AJ19" s="3">
        <f t="shared" si="16"/>
        <v>5</v>
      </c>
      <c r="AK19" s="208">
        <f t="shared" si="17"/>
        <v>0.26315789473684209</v>
      </c>
    </row>
    <row r="20" spans="1:37" x14ac:dyDescent="0.3">
      <c r="A20" s="205">
        <f t="shared" si="0"/>
        <v>12</v>
      </c>
      <c r="B20" s="206" t="str">
        <f>IF(ISBLANK(IGRF!B25),"",IGRF!B25)</f>
        <v>64</v>
      </c>
      <c r="C20" s="206" t="str">
        <f>IF(ISBLANK(IGRF!C25),"",IGRF!C25)</f>
        <v>Cannonball Doll</v>
      </c>
      <c r="D20" s="207">
        <f>IF($B20="","",SUMPRODUCT(--(Lineups!$G$4:$G$41=$B20),--(Lineups!$B$4:$B$41="")))</f>
        <v>0</v>
      </c>
      <c r="E20" s="209">
        <f t="shared" si="1"/>
        <v>0</v>
      </c>
      <c r="F20" s="216">
        <f>IF($B20="","",SUMPRODUCT(--(Lineups!$G$4:$G$41=$B20),--(Lineups!$B$4:$B$41="X")))</f>
        <v>0</v>
      </c>
      <c r="G20" s="216">
        <f>IF($B20="","",SUMPRODUCT(--(Lineups!K$4:K$41=$B20),--(Lineups!A$4:A$41&lt;&gt;"SP")))</f>
        <v>5</v>
      </c>
      <c r="H20" s="216">
        <f>IF($B20="","",SUMPRODUCT(--(Lineups!O$4:O$41=$B20),--(Lineups!A$4:A$41&lt;&gt;"SP")))</f>
        <v>1</v>
      </c>
      <c r="I20" s="216">
        <f>IF($B20="","",SUMPRODUCT(--(Lineups!S$4:S$41=$B20),--(Lineups!A$4:A$41&lt;&gt;"SP")))</f>
        <v>6</v>
      </c>
      <c r="J20" s="207">
        <f t="shared" si="2"/>
        <v>12</v>
      </c>
      <c r="K20" s="209">
        <f t="shared" si="3"/>
        <v>0.63157894736842102</v>
      </c>
      <c r="L20" s="207">
        <f t="shared" si="4"/>
        <v>12</v>
      </c>
      <c r="M20" s="209">
        <f t="shared" si="5"/>
        <v>0.63157894736842102</v>
      </c>
      <c r="N20" s="214" t="str">
        <f ca="1">IF(B20="","",IF(OR(SK!E205="",SK!E205=0),"",SK!H205))</f>
        <v/>
      </c>
      <c r="O20" s="207">
        <f>IF($B20="","",SUMPRODUCT(--(Lineups!C$4:C$41=$B20)))</f>
        <v>0</v>
      </c>
      <c r="P20" s="209">
        <f t="shared" si="6"/>
        <v>0</v>
      </c>
      <c r="Q20" s="207">
        <f t="shared" si="7"/>
        <v>12</v>
      </c>
      <c r="R20" s="209">
        <f t="shared" si="8"/>
        <v>0.63157894736842102</v>
      </c>
      <c r="T20" s="205">
        <f t="shared" si="9"/>
        <v>12</v>
      </c>
      <c r="U20" s="206" t="str">
        <f>IF(ISBLANK(IGRF!H25),"",IGRF!H25)</f>
        <v>932</v>
      </c>
      <c r="V20" s="206" t="str">
        <f>IF(ISBLANK(IGRF!I25),"",IGRF!I25)</f>
        <v>Heaven Lee Bash</v>
      </c>
      <c r="W20" s="207">
        <f>IF($U20="","",SUMPRODUCT(--(Lineups!$AG$4:$AG$41=$U20),--(Lineups!$AB$4:$AB$41="")))</f>
        <v>0</v>
      </c>
      <c r="X20" s="209">
        <f t="shared" si="10"/>
        <v>0</v>
      </c>
      <c r="Y20" s="216">
        <f>IF($U20="","",SUMPRODUCT(--(Lineups!$AG$4:$AG$41=$U20),--(Lineups!$AB$4:$AB$41="X")))</f>
        <v>0</v>
      </c>
      <c r="Z20" s="216">
        <f>IF($U20="","",SUMPRODUCT(--(Lineups!AK$4:AK$41=$U20),--(Lineups!AA$4:AA$41&lt;&gt;"SP")))</f>
        <v>1</v>
      </c>
      <c r="AA20" s="216">
        <f>IF($U20="","",SUMPRODUCT(--(Lineups!AO$4:AO$41=$U20),--(Lineups!AA$4:AA$41&lt;&gt;"SP")))</f>
        <v>4</v>
      </c>
      <c r="AB20" s="216">
        <f>IF($U20="","",SUMPRODUCT(--(Lineups!AS$4:AS$41=$U20),--(Lineups!AA$4:AA$41&lt;&gt;"SP")))</f>
        <v>1</v>
      </c>
      <c r="AC20" s="207">
        <f t="shared" si="11"/>
        <v>6</v>
      </c>
      <c r="AD20" s="209">
        <f t="shared" si="12"/>
        <v>0.31578947368421051</v>
      </c>
      <c r="AE20" s="207">
        <f t="shared" si="13"/>
        <v>6</v>
      </c>
      <c r="AF20" s="209">
        <f t="shared" si="14"/>
        <v>0.31578947368421051</v>
      </c>
      <c r="AG20" s="214" t="str">
        <f ca="1">IF(U20="","",IF(OR(SK!U205="",SK!U205=0),"",SK!X205))</f>
        <v/>
      </c>
      <c r="AH20" s="207">
        <f>IF($U20="","",SUMPRODUCT(--(Lineups!AC$4:AC$41=$U20)))</f>
        <v>0</v>
      </c>
      <c r="AI20" s="209">
        <f t="shared" si="15"/>
        <v>0</v>
      </c>
      <c r="AJ20" s="207">
        <f t="shared" si="16"/>
        <v>6</v>
      </c>
      <c r="AK20" s="209">
        <f t="shared" si="17"/>
        <v>0.31578947368421051</v>
      </c>
    </row>
    <row r="21" spans="1:37" x14ac:dyDescent="0.3">
      <c r="A21" s="23">
        <f t="shared" si="0"/>
        <v>13</v>
      </c>
      <c r="B21" s="129" t="str">
        <f>IF(ISBLANK(IGRF!B26),"",IGRF!B26)</f>
        <v>84</v>
      </c>
      <c r="C21" s="129" t="str">
        <f>IF(ISBLANK(IGRF!C26),"",IGRF!C26)</f>
        <v>MEGAnTRON</v>
      </c>
      <c r="D21" s="3">
        <f>IF($B21="","",SUMPRODUCT(--(Lineups!$G$4:$G$41=$B21),--(Lineups!$B$4:$B$41="")))</f>
        <v>0</v>
      </c>
      <c r="E21" s="208">
        <f t="shared" si="1"/>
        <v>0</v>
      </c>
      <c r="F21" s="216">
        <f>IF($B21="","",SUMPRODUCT(--(Lineups!$G$4:$G$41=$B21),--(Lineups!$B$4:$B$41="X")))</f>
        <v>0</v>
      </c>
      <c r="G21" s="216">
        <f>IF($B21="","",SUMPRODUCT(--(Lineups!K$4:K$41=$B21),--(Lineups!A$4:A$41&lt;&gt;"SP")))</f>
        <v>0</v>
      </c>
      <c r="H21" s="216">
        <f>IF($B21="","",SUMPRODUCT(--(Lineups!O$4:O$41=$B21),--(Lineups!A$4:A$41&lt;&gt;"SP")))</f>
        <v>0</v>
      </c>
      <c r="I21" s="216">
        <f>IF($B21="","",SUMPRODUCT(--(Lineups!S$4:S$41=$B21),--(Lineups!A$4:A$41&lt;&gt;"SP")))</f>
        <v>0</v>
      </c>
      <c r="J21" s="3">
        <f t="shared" si="2"/>
        <v>0</v>
      </c>
      <c r="K21" s="208">
        <f t="shared" si="3"/>
        <v>0</v>
      </c>
      <c r="L21" s="3">
        <f t="shared" si="4"/>
        <v>0</v>
      </c>
      <c r="M21" s="208">
        <f t="shared" si="5"/>
        <v>0</v>
      </c>
      <c r="N21" s="213">
        <f ca="1">IF(B21="","",IF(OR(SK!E208="",SK!E208=0),"",SK!H208))</f>
        <v>4</v>
      </c>
      <c r="O21" s="3">
        <f>IF($B21="","",SUMPRODUCT(--(Lineups!C$4:C$41=$B21)))</f>
        <v>5</v>
      </c>
      <c r="P21" s="208">
        <f t="shared" si="6"/>
        <v>0.26315789473684209</v>
      </c>
      <c r="Q21" s="3">
        <f t="shared" si="7"/>
        <v>5</v>
      </c>
      <c r="R21" s="208">
        <f t="shared" si="8"/>
        <v>0.26315789473684209</v>
      </c>
      <c r="T21" s="23">
        <f t="shared" si="9"/>
        <v>13</v>
      </c>
      <c r="U21" s="129" t="str">
        <f>IF(ISBLANK(IGRF!H26),"",IGRF!H26)</f>
        <v>H20</v>
      </c>
      <c r="V21" s="129" t="str">
        <f>IF(ISBLANK(IGRF!I26),"",IGRF!I26)</f>
        <v>Lethal Mermaid</v>
      </c>
      <c r="W21" s="3">
        <f>IF($U21="","",SUMPRODUCT(--(Lineups!$AG$4:$AG$41=$U21),--(Lineups!$AB$4:$AB$41="")))</f>
        <v>0</v>
      </c>
      <c r="X21" s="208">
        <f t="shared" si="10"/>
        <v>0</v>
      </c>
      <c r="Y21" s="216">
        <f>IF($U21="","",SUMPRODUCT(--(Lineups!$AG$4:$AG$41=$U21),--(Lineups!$AB$4:$AB$41="X")))</f>
        <v>0</v>
      </c>
      <c r="Z21" s="216">
        <f>IF($U21="","",SUMPRODUCT(--(Lineups!AK$4:AK$41=$U21),--(Lineups!AA$4:AA$41&lt;&gt;"SP")))</f>
        <v>1</v>
      </c>
      <c r="AA21" s="216">
        <f>IF($U21="","",SUMPRODUCT(--(Lineups!AO$4:AO$41=$U21),--(Lineups!AA$4:AA$41&lt;&gt;"SP")))</f>
        <v>3</v>
      </c>
      <c r="AB21" s="216">
        <f>IF($U21="","",SUMPRODUCT(--(Lineups!AS$4:AS$41=$U21),--(Lineups!AA$4:AA$41&lt;&gt;"SP")))</f>
        <v>1</v>
      </c>
      <c r="AC21" s="3">
        <f t="shared" si="11"/>
        <v>5</v>
      </c>
      <c r="AD21" s="208">
        <f t="shared" si="12"/>
        <v>0.26315789473684209</v>
      </c>
      <c r="AE21" s="3">
        <f t="shared" si="13"/>
        <v>5</v>
      </c>
      <c r="AF21" s="208">
        <f t="shared" si="14"/>
        <v>0.26315789473684209</v>
      </c>
      <c r="AG21" s="213" t="str">
        <f ca="1">IF(U21="","",IF(OR(SK!U208="",SK!U208=0),"",SK!X208))</f>
        <v/>
      </c>
      <c r="AH21" s="3">
        <f>IF($U21="","",SUMPRODUCT(--(Lineups!AC$4:AC$41=$U21)))</f>
        <v>0</v>
      </c>
      <c r="AI21" s="208">
        <f t="shared" si="15"/>
        <v>0</v>
      </c>
      <c r="AJ21" s="3">
        <f t="shared" si="16"/>
        <v>5</v>
      </c>
      <c r="AK21" s="208">
        <f t="shared" si="17"/>
        <v>0.26315789473684209</v>
      </c>
    </row>
    <row r="22" spans="1:37" x14ac:dyDescent="0.3">
      <c r="A22" s="205">
        <f t="shared" si="0"/>
        <v>14</v>
      </c>
      <c r="B22" s="206" t="str">
        <f>IF(ISBLANK(IGRF!B27),"",IGRF!B27)</f>
        <v>N01</v>
      </c>
      <c r="C22" s="206" t="str">
        <f>IF(ISBLANK(IGRF!C27),"",IGRF!C27)</f>
        <v>Commander Will Wrecker</v>
      </c>
      <c r="D22" s="207">
        <f>IF($B22="","",SUMPRODUCT(--(Lineups!$G$4:$G$41=$B22),--(Lineups!$B$4:$B$41="")))</f>
        <v>9</v>
      </c>
      <c r="E22" s="209">
        <f t="shared" si="1"/>
        <v>0.47368421052631576</v>
      </c>
      <c r="F22" s="216">
        <f>IF($B22="","",SUMPRODUCT(--(Lineups!$G$4:$G$41=$B22),--(Lineups!$B$4:$B$41="X")))</f>
        <v>0</v>
      </c>
      <c r="G22" s="216">
        <f>IF($B22="","",SUMPRODUCT(--(Lineups!K$4:K$41=$B22),--(Lineups!A$4:A$41&lt;&gt;"SP")))</f>
        <v>0</v>
      </c>
      <c r="H22" s="216">
        <f>IF($B22="","",SUMPRODUCT(--(Lineups!O$4:O$41=$B22),--(Lineups!A$4:A$41&lt;&gt;"SP")))</f>
        <v>1</v>
      </c>
      <c r="I22" s="216">
        <f>IF($B22="","",SUMPRODUCT(--(Lineups!S$4:S$41=$B22),--(Lineups!A$4:A$41&lt;&gt;"SP")))</f>
        <v>0</v>
      </c>
      <c r="J22" s="207">
        <f t="shared" si="2"/>
        <v>1</v>
      </c>
      <c r="K22" s="209">
        <f t="shared" si="3"/>
        <v>5.2631578947368418E-2</v>
      </c>
      <c r="L22" s="207">
        <f t="shared" si="4"/>
        <v>10</v>
      </c>
      <c r="M22" s="209">
        <f t="shared" si="5"/>
        <v>0.52631578947368418</v>
      </c>
      <c r="N22" s="214" t="str">
        <f ca="1">IF(B22="","",IF(OR(SK!E211="",SK!E211=0),"",SK!H211))</f>
        <v/>
      </c>
      <c r="O22" s="207">
        <f>IF($B22="","",SUMPRODUCT(--(Lineups!C$4:C$41=$B22)))</f>
        <v>0</v>
      </c>
      <c r="P22" s="209">
        <f t="shared" si="6"/>
        <v>0</v>
      </c>
      <c r="Q22" s="207">
        <f t="shared" si="7"/>
        <v>10</v>
      </c>
      <c r="R22" s="209">
        <f t="shared" si="8"/>
        <v>0.52631578947368418</v>
      </c>
      <c r="T22" s="205">
        <f t="shared" si="9"/>
        <v>14</v>
      </c>
      <c r="U22" s="206" t="str">
        <f>IF(ISBLANK(IGRF!H27),"",IGRF!H27)</f>
        <v>K9</v>
      </c>
      <c r="V22" s="206" t="str">
        <f>IF(ISBLANK(IGRF!I27),"",IGRF!I27)</f>
        <v>Scooby Doom</v>
      </c>
      <c r="W22" s="207">
        <f>IF($U22="","",SUMPRODUCT(--(Lineups!$AG$4:$AG$41=$U22),--(Lineups!$AB$4:$AB$41="")))</f>
        <v>0</v>
      </c>
      <c r="X22" s="209">
        <f t="shared" si="10"/>
        <v>0</v>
      </c>
      <c r="Y22" s="216">
        <f>IF($U22="","",SUMPRODUCT(--(Lineups!$AG$4:$AG$41=$U22),--(Lineups!$AB$4:$AB$41="X")))</f>
        <v>0</v>
      </c>
      <c r="Z22" s="216">
        <f>IF($U22="","",SUMPRODUCT(--(Lineups!AK$4:AK$41=$U22),--(Lineups!AA$4:AA$41&lt;&gt;"SP")))</f>
        <v>0</v>
      </c>
      <c r="AA22" s="216">
        <f>IF($U22="","",SUMPRODUCT(--(Lineups!AO$4:AO$41=$U22),--(Lineups!AA$4:AA$41&lt;&gt;"SP")))</f>
        <v>0</v>
      </c>
      <c r="AB22" s="216">
        <f>IF($U22="","",SUMPRODUCT(--(Lineups!AS$4:AS$41=$U22),--(Lineups!AA$4:AA$41&lt;&gt;"SP")))</f>
        <v>0</v>
      </c>
      <c r="AC22" s="207">
        <f t="shared" si="11"/>
        <v>0</v>
      </c>
      <c r="AD22" s="209">
        <f t="shared" si="12"/>
        <v>0</v>
      </c>
      <c r="AE22" s="207">
        <f t="shared" si="13"/>
        <v>0</v>
      </c>
      <c r="AF22" s="209">
        <f t="shared" si="14"/>
        <v>0</v>
      </c>
      <c r="AG22" s="214">
        <f ca="1">IF(U22="","",IF(OR(SK!U211="",SK!U211=0),"",SK!X211))</f>
        <v>2</v>
      </c>
      <c r="AH22" s="207">
        <f>IF($U22="","",SUMPRODUCT(--(Lineups!AC$4:AC$41=$U22)))</f>
        <v>5</v>
      </c>
      <c r="AI22" s="209">
        <f t="shared" si="15"/>
        <v>0.26315789473684209</v>
      </c>
      <c r="AJ22" s="207">
        <f t="shared" si="16"/>
        <v>5</v>
      </c>
      <c r="AK22" s="209">
        <f t="shared" si="17"/>
        <v>0.26315789473684209</v>
      </c>
    </row>
    <row r="23" spans="1:37" x14ac:dyDescent="0.3">
      <c r="A23" s="23">
        <f t="shared" si="0"/>
        <v>15</v>
      </c>
      <c r="B23" s="129" t="str">
        <f>IF(ISBLANK(IGRF!B28),"",IGRF!B28)</f>
        <v/>
      </c>
      <c r="C23" s="129" t="str">
        <f>IF(ISBLANK(IGRF!C28),"",IGRF!C28)</f>
        <v/>
      </c>
      <c r="D23" s="3" t="str">
        <f>IF($B23="","",SUMPRODUCT(--(Lineups!$G$4:$G$41=$B23),--(Lineups!$B$4:$B$41="")))</f>
        <v/>
      </c>
      <c r="E23" s="208" t="str">
        <f t="shared" si="1"/>
        <v/>
      </c>
      <c r="F23" s="216" t="str">
        <f>IF($B23="","",SUMPRODUCT(--(Lineups!$G$4:$G$41=$B23),--(Lineups!$B$4:$B$41="X")))</f>
        <v/>
      </c>
      <c r="G23" s="216" t="str">
        <f>IF($B23="","",SUMPRODUCT(--(Lineups!K$4:K$41=$B23),--(Lineups!A$4:A$41&lt;&gt;"SP")))</f>
        <v/>
      </c>
      <c r="H23" s="216" t="str">
        <f>IF($B23="","",SUMPRODUCT(--(Lineups!O$4:O$41=$B23),--(Lineups!A$4:A$41&lt;&gt;"SP")))</f>
        <v/>
      </c>
      <c r="I23" s="216" t="str">
        <f>IF($B23="","",SUMPRODUCT(--(Lineups!S$4:S$41=$B23),--(Lineups!A$4:A$41&lt;&gt;"SP")))</f>
        <v/>
      </c>
      <c r="J23" s="3" t="str">
        <f t="shared" si="2"/>
        <v/>
      </c>
      <c r="K23" s="208" t="str">
        <f t="shared" si="3"/>
        <v/>
      </c>
      <c r="L23" s="3" t="str">
        <f t="shared" si="4"/>
        <v/>
      </c>
      <c r="M23" s="208" t="str">
        <f t="shared" si="5"/>
        <v/>
      </c>
      <c r="N23" s="213" t="str">
        <f>IF(B23="","",IF(OR(SK!E214="",SK!E214=0),"",SK!H214))</f>
        <v/>
      </c>
      <c r="O23" s="3" t="str">
        <f>IF($B23="","",SUMPRODUCT(--(Lineups!C$4:C$41=$B23)))</f>
        <v/>
      </c>
      <c r="P23" s="208" t="str">
        <f t="shared" si="6"/>
        <v/>
      </c>
      <c r="Q23" s="3" t="str">
        <f t="shared" si="7"/>
        <v/>
      </c>
      <c r="R23" s="208" t="str">
        <f t="shared" si="8"/>
        <v/>
      </c>
      <c r="T23" s="23">
        <f t="shared" si="9"/>
        <v>15</v>
      </c>
      <c r="U23" s="129" t="str">
        <f>IF(ISBLANK(IGRF!H28),"",IGRF!H28)</f>
        <v/>
      </c>
      <c r="V23" s="129" t="str">
        <f>IF(ISBLANK(IGRF!I28),"",IGRF!I28)</f>
        <v/>
      </c>
      <c r="W23" s="3" t="str">
        <f>IF($U23="","",SUMPRODUCT(--(Lineups!$AG$4:$AG$41=$U23),--(Lineups!$AB$4:$AB$41="")))</f>
        <v/>
      </c>
      <c r="X23" s="208" t="str">
        <f t="shared" si="10"/>
        <v/>
      </c>
      <c r="Y23" s="216" t="str">
        <f>IF($U23="","",SUMPRODUCT(--(Lineups!$AG$4:$AG$41=$U23),--(Lineups!$AB$4:$AB$41="X")))</f>
        <v/>
      </c>
      <c r="Z23" s="216" t="str">
        <f>IF($U23="","",SUMPRODUCT(--(Lineups!AK$4:AK$41=$U23),--(Lineups!AA$4:AA$41&lt;&gt;"SP")))</f>
        <v/>
      </c>
      <c r="AA23" s="216" t="str">
        <f>IF($U23="","",SUMPRODUCT(--(Lineups!AO$4:AO$41=$U23),--(Lineups!AA$4:AA$41&lt;&gt;"SP")))</f>
        <v/>
      </c>
      <c r="AB23" s="216" t="str">
        <f>IF($U23="","",SUMPRODUCT(--(Lineups!AS$4:AS$41=$U23),--(Lineups!AA$4:AA$41&lt;&gt;"SP")))</f>
        <v/>
      </c>
      <c r="AC23" s="3" t="str">
        <f t="shared" si="11"/>
        <v/>
      </c>
      <c r="AD23" s="208" t="str">
        <f t="shared" si="12"/>
        <v/>
      </c>
      <c r="AE23" s="3" t="str">
        <f t="shared" si="13"/>
        <v/>
      </c>
      <c r="AF23" s="208" t="str">
        <f t="shared" si="14"/>
        <v/>
      </c>
      <c r="AG23" s="213" t="str">
        <f>IF(U23="","",IF(OR(SK!U214="",SK!U214=0),"",SK!X214))</f>
        <v/>
      </c>
      <c r="AH23" s="3" t="str">
        <f>IF($U23="","",SUMPRODUCT(--(Lineups!AC$4:AC$41=$U23)))</f>
        <v/>
      </c>
      <c r="AI23" s="208" t="str">
        <f t="shared" si="15"/>
        <v/>
      </c>
      <c r="AJ23" s="3" t="str">
        <f t="shared" si="16"/>
        <v/>
      </c>
      <c r="AK23" s="208" t="str">
        <f t="shared" si="17"/>
        <v/>
      </c>
    </row>
    <row r="24" spans="1:37" x14ac:dyDescent="0.3">
      <c r="A24" s="205">
        <f t="shared" si="0"/>
        <v>16</v>
      </c>
      <c r="B24" s="206" t="str">
        <f>IF(ISBLANK(IGRF!B29),"",IGRF!B29)</f>
        <v/>
      </c>
      <c r="C24" s="206" t="str">
        <f>IF(ISBLANK(IGRF!C29),"",IGRF!C29)</f>
        <v/>
      </c>
      <c r="D24" s="207" t="str">
        <f>IF($B24="","",SUMPRODUCT(--(Lineups!$G$4:$G$41=$B24),--(Lineups!$B$4:$B$41="")))</f>
        <v/>
      </c>
      <c r="E24" s="209" t="str">
        <f t="shared" si="1"/>
        <v/>
      </c>
      <c r="F24" s="216" t="str">
        <f>IF($B24="","",SUMPRODUCT(--(Lineups!$G$4:$G$41=$B24),--(Lineups!$B$4:$B$41="X")))</f>
        <v/>
      </c>
      <c r="G24" s="216" t="str">
        <f>IF($B24="","",SUMPRODUCT(--(Lineups!K$4:K$41=$B24),--(Lineups!A$4:A$41&lt;&gt;"SP")))</f>
        <v/>
      </c>
      <c r="H24" s="216" t="str">
        <f>IF($B24="","",SUMPRODUCT(--(Lineups!O$4:O$41=$B24),--(Lineups!A$4:A$41&lt;&gt;"SP")))</f>
        <v/>
      </c>
      <c r="I24" s="216" t="str">
        <f>IF($B24="","",SUMPRODUCT(--(Lineups!S$4:S$41=$B24),--(Lineups!A$4:A$41&lt;&gt;"SP")))</f>
        <v/>
      </c>
      <c r="J24" s="207" t="str">
        <f t="shared" si="2"/>
        <v/>
      </c>
      <c r="K24" s="209" t="str">
        <f t="shared" si="3"/>
        <v/>
      </c>
      <c r="L24" s="207" t="str">
        <f t="shared" si="4"/>
        <v/>
      </c>
      <c r="M24" s="209" t="str">
        <f t="shared" si="5"/>
        <v/>
      </c>
      <c r="N24" s="214" t="str">
        <f>IF(B24="","",IF(OR(SK!E217="",SK!E217=0),"",SK!H217))</f>
        <v/>
      </c>
      <c r="O24" s="207" t="str">
        <f>IF($B24="","",SUMPRODUCT(--(Lineups!C$4:C$41=$B24)))</f>
        <v/>
      </c>
      <c r="P24" s="209" t="str">
        <f t="shared" si="6"/>
        <v/>
      </c>
      <c r="Q24" s="207" t="str">
        <f t="shared" si="7"/>
        <v/>
      </c>
      <c r="R24" s="209" t="str">
        <f t="shared" si="8"/>
        <v/>
      </c>
      <c r="T24" s="205">
        <f t="shared" si="9"/>
        <v>16</v>
      </c>
      <c r="U24" s="206" t="str">
        <f>IF(ISBLANK(IGRF!H29),"",IGRF!H29)</f>
        <v/>
      </c>
      <c r="V24" s="206" t="str">
        <f>IF(ISBLANK(IGRF!I29),"",IGRF!I29)</f>
        <v/>
      </c>
      <c r="W24" s="207" t="str">
        <f>IF($U24="","",SUMPRODUCT(--(Lineups!$AG$4:$AG$41=$U24),--(Lineups!$AB$4:$AB$41="")))</f>
        <v/>
      </c>
      <c r="X24" s="209" t="str">
        <f t="shared" si="10"/>
        <v/>
      </c>
      <c r="Y24" s="216" t="str">
        <f>IF($U24="","",SUMPRODUCT(--(Lineups!$AG$4:$AG$41=$U24),--(Lineups!$AB$4:$AB$41="X")))</f>
        <v/>
      </c>
      <c r="Z24" s="216" t="str">
        <f>IF($U24="","",SUMPRODUCT(--(Lineups!AK$4:AK$41=$U24),--(Lineups!AA$4:AA$41&lt;&gt;"SP")))</f>
        <v/>
      </c>
      <c r="AA24" s="216" t="str">
        <f>IF($U24="","",SUMPRODUCT(--(Lineups!AO$4:AO$41=$U24),--(Lineups!AA$4:AA$41&lt;&gt;"SP")))</f>
        <v/>
      </c>
      <c r="AB24" s="216" t="str">
        <f>IF($U24="","",SUMPRODUCT(--(Lineups!AS$4:AS$41=$U24),--(Lineups!AA$4:AA$41&lt;&gt;"SP")))</f>
        <v/>
      </c>
      <c r="AC24" s="207" t="str">
        <f t="shared" si="11"/>
        <v/>
      </c>
      <c r="AD24" s="209" t="str">
        <f t="shared" si="12"/>
        <v/>
      </c>
      <c r="AE24" s="207" t="str">
        <f t="shared" si="13"/>
        <v/>
      </c>
      <c r="AF24" s="209" t="str">
        <f t="shared" si="14"/>
        <v/>
      </c>
      <c r="AG24" s="214" t="str">
        <f>IF(U24="","",IF(OR(SK!U217="",SK!U217=0),"",SK!X217))</f>
        <v/>
      </c>
      <c r="AH24" s="207" t="str">
        <f>IF($U24="","",SUMPRODUCT(--(Lineups!AC$4:AC$41=$U24)))</f>
        <v/>
      </c>
      <c r="AI24" s="209" t="str">
        <f t="shared" si="15"/>
        <v/>
      </c>
      <c r="AJ24" s="207" t="str">
        <f t="shared" si="16"/>
        <v/>
      </c>
      <c r="AK24" s="209" t="str">
        <f t="shared" si="17"/>
        <v/>
      </c>
    </row>
    <row r="25" spans="1:37" x14ac:dyDescent="0.3">
      <c r="A25" s="23">
        <f t="shared" si="0"/>
        <v>17</v>
      </c>
      <c r="B25" s="129" t="str">
        <f>IF(ISBLANK(IGRF!B30),"",IGRF!B30)</f>
        <v/>
      </c>
      <c r="C25" s="129" t="str">
        <f>IF(ISBLANK(IGRF!C30),"",IGRF!C30)</f>
        <v/>
      </c>
      <c r="D25" s="3" t="str">
        <f>IF($B25="","",SUMPRODUCT(--(Lineups!$G$4:$G$41=$B25),--(Lineups!$B$4:$B$41="")))</f>
        <v/>
      </c>
      <c r="E25" s="208" t="str">
        <f t="shared" si="1"/>
        <v/>
      </c>
      <c r="F25" s="216" t="str">
        <f>IF($B25="","",SUMPRODUCT(--(Lineups!$G$4:$G$41=$B25),--(Lineups!$B$4:$B$41="X")))</f>
        <v/>
      </c>
      <c r="G25" s="216" t="str">
        <f>IF($B25="","",SUMPRODUCT(--(Lineups!K$4:K$41=$B25),--(Lineups!A$4:A$41&lt;&gt;"SP")))</f>
        <v/>
      </c>
      <c r="H25" s="216" t="str">
        <f>IF($B25="","",SUMPRODUCT(--(Lineups!O$4:O$41=$B25),--(Lineups!A$4:A$41&lt;&gt;"SP")))</f>
        <v/>
      </c>
      <c r="I25" s="216" t="str">
        <f>IF($B25="","",SUMPRODUCT(--(Lineups!S$4:S$41=$B25),--(Lineups!A$4:A$41&lt;&gt;"SP")))</f>
        <v/>
      </c>
      <c r="J25" s="3" t="str">
        <f t="shared" si="2"/>
        <v/>
      </c>
      <c r="K25" s="208" t="str">
        <f t="shared" si="3"/>
        <v/>
      </c>
      <c r="L25" s="3" t="str">
        <f t="shared" si="4"/>
        <v/>
      </c>
      <c r="M25" s="208" t="str">
        <f t="shared" si="5"/>
        <v/>
      </c>
      <c r="N25" s="213" t="str">
        <f>IF(B25="","",IF(OR(SK!E220="",SK!E220=0),"",SK!H220))</f>
        <v/>
      </c>
      <c r="O25" s="3" t="str">
        <f>IF($B25="","",SUMPRODUCT(--(Lineups!C$4:C$41=$B25)))</f>
        <v/>
      </c>
      <c r="P25" s="208" t="str">
        <f t="shared" si="6"/>
        <v/>
      </c>
      <c r="Q25" s="3" t="str">
        <f t="shared" si="7"/>
        <v/>
      </c>
      <c r="R25" s="208" t="str">
        <f t="shared" si="8"/>
        <v/>
      </c>
      <c r="T25" s="23">
        <f t="shared" si="9"/>
        <v>17</v>
      </c>
      <c r="U25" s="129" t="str">
        <f>IF(ISBLANK(IGRF!H30),"",IGRF!H30)</f>
        <v/>
      </c>
      <c r="V25" s="129" t="str">
        <f>IF(ISBLANK(IGRF!I30),"",IGRF!I30)</f>
        <v/>
      </c>
      <c r="W25" s="3" t="str">
        <f>IF($U25="","",SUMPRODUCT(--(Lineups!$AG$4:$AG$41=$U25),--(Lineups!$AB$4:$AB$41="")))</f>
        <v/>
      </c>
      <c r="X25" s="208" t="str">
        <f t="shared" si="10"/>
        <v/>
      </c>
      <c r="Y25" s="216" t="str">
        <f>IF($U25="","",SUMPRODUCT(--(Lineups!$AG$4:$AG$41=$U25),--(Lineups!$AB$4:$AB$41="X")))</f>
        <v/>
      </c>
      <c r="Z25" s="216" t="str">
        <f>IF($U25="","",SUMPRODUCT(--(Lineups!AK$4:AK$41=$U25),--(Lineups!AA$4:AA$41&lt;&gt;"SP")))</f>
        <v/>
      </c>
      <c r="AA25" s="216" t="str">
        <f>IF($U25="","",SUMPRODUCT(--(Lineups!AO$4:AO$41=$U25),--(Lineups!AA$4:AA$41&lt;&gt;"SP")))</f>
        <v/>
      </c>
      <c r="AB25" s="216" t="str">
        <f>IF($U25="","",SUMPRODUCT(--(Lineups!AS$4:AS$41=$U25),--(Lineups!AA$4:AA$41&lt;&gt;"SP")))</f>
        <v/>
      </c>
      <c r="AC25" s="3" t="str">
        <f t="shared" si="11"/>
        <v/>
      </c>
      <c r="AD25" s="208" t="str">
        <f t="shared" si="12"/>
        <v/>
      </c>
      <c r="AE25" s="3" t="str">
        <f t="shared" si="13"/>
        <v/>
      </c>
      <c r="AF25" s="208" t="str">
        <f t="shared" si="14"/>
        <v/>
      </c>
      <c r="AG25" s="213" t="str">
        <f>IF(U25="","",IF(OR(SK!U220="",SK!U220=0),"",SK!X220))</f>
        <v/>
      </c>
      <c r="AH25" s="3" t="str">
        <f>IF($U25="","",SUMPRODUCT(--(Lineups!AC$4:AC$41=$U25)))</f>
        <v/>
      </c>
      <c r="AI25" s="208" t="str">
        <f t="shared" si="15"/>
        <v/>
      </c>
      <c r="AJ25" s="3" t="str">
        <f t="shared" si="16"/>
        <v/>
      </c>
      <c r="AK25" s="208" t="str">
        <f t="shared" si="17"/>
        <v/>
      </c>
    </row>
    <row r="26" spans="1:37" x14ac:dyDescent="0.3">
      <c r="A26" s="205">
        <f t="shared" si="0"/>
        <v>18</v>
      </c>
      <c r="B26" s="206" t="str">
        <f>IF(ISBLANK(IGRF!B31),"",IGRF!B31)</f>
        <v/>
      </c>
      <c r="C26" s="206" t="str">
        <f>IF(ISBLANK(IGRF!C31),"",IGRF!C31)</f>
        <v/>
      </c>
      <c r="D26" s="207" t="str">
        <f>IF($B26="","",SUMPRODUCT(--(Lineups!$G$4:$G$41=$B26),--(Lineups!$B$4:$B$41="")))</f>
        <v/>
      </c>
      <c r="E26" s="209" t="str">
        <f t="shared" si="1"/>
        <v/>
      </c>
      <c r="F26" s="216" t="str">
        <f>IF($B26="","",SUMPRODUCT(--(Lineups!$G$4:$G$41=$B26),--(Lineups!$B$4:$B$41="X")))</f>
        <v/>
      </c>
      <c r="G26" s="216" t="str">
        <f>IF($B26="","",SUMPRODUCT(--(Lineups!K$4:K$41=$B26),--(Lineups!A$4:A$41&lt;&gt;"SP")))</f>
        <v/>
      </c>
      <c r="H26" s="216" t="str">
        <f>IF($B26="","",SUMPRODUCT(--(Lineups!O$4:O$41=$B26),--(Lineups!A$4:A$41&lt;&gt;"SP")))</f>
        <v/>
      </c>
      <c r="I26" s="216" t="str">
        <f>IF($B26="","",SUMPRODUCT(--(Lineups!S$4:S$41=$B26),--(Lineups!A$4:A$41&lt;&gt;"SP")))</f>
        <v/>
      </c>
      <c r="J26" s="207" t="str">
        <f t="shared" si="2"/>
        <v/>
      </c>
      <c r="K26" s="209" t="str">
        <f t="shared" si="3"/>
        <v/>
      </c>
      <c r="L26" s="207" t="str">
        <f t="shared" si="4"/>
        <v/>
      </c>
      <c r="M26" s="209" t="str">
        <f t="shared" si="5"/>
        <v/>
      </c>
      <c r="N26" s="214" t="str">
        <f>IF(B26="","",IF(OR(SK!E223="",SK!E223=0),"",SK!H223))</f>
        <v/>
      </c>
      <c r="O26" s="207" t="str">
        <f>IF($B26="","",SUMPRODUCT(--(Lineups!C$4:C$41=$B26)))</f>
        <v/>
      </c>
      <c r="P26" s="209" t="str">
        <f t="shared" si="6"/>
        <v/>
      </c>
      <c r="Q26" s="207" t="str">
        <f t="shared" si="7"/>
        <v/>
      </c>
      <c r="R26" s="209" t="str">
        <f t="shared" si="8"/>
        <v/>
      </c>
      <c r="T26" s="205">
        <f t="shared" si="9"/>
        <v>18</v>
      </c>
      <c r="U26" s="206" t="str">
        <f>IF(ISBLANK(IGRF!H31),"",IGRF!H31)</f>
        <v/>
      </c>
      <c r="V26" s="206" t="str">
        <f>IF(ISBLANK(IGRF!I31),"",IGRF!I31)</f>
        <v/>
      </c>
      <c r="W26" s="207" t="str">
        <f>IF($U26="","",SUMPRODUCT(--(Lineups!$AG$4:$AG$41=$U26),--(Lineups!$AB$4:$AB$41="")))</f>
        <v/>
      </c>
      <c r="X26" s="209" t="str">
        <f t="shared" si="10"/>
        <v/>
      </c>
      <c r="Y26" s="216" t="str">
        <f>IF($U26="","",SUMPRODUCT(--(Lineups!$AG$4:$AG$41=$U26),--(Lineups!$AB$4:$AB$41="X")))</f>
        <v/>
      </c>
      <c r="Z26" s="216" t="str">
        <f>IF($U26="","",SUMPRODUCT(--(Lineups!AK$4:AK$41=$U26),--(Lineups!AA$4:AA$41&lt;&gt;"SP")))</f>
        <v/>
      </c>
      <c r="AA26" s="216" t="str">
        <f>IF($U26="","",SUMPRODUCT(--(Lineups!AO$4:AO$41=$U26),--(Lineups!AA$4:AA$41&lt;&gt;"SP")))</f>
        <v/>
      </c>
      <c r="AB26" s="216" t="str">
        <f>IF($U26="","",SUMPRODUCT(--(Lineups!AS$4:AS$41=$U26),--(Lineups!AA$4:AA$41&lt;&gt;"SP")))</f>
        <v/>
      </c>
      <c r="AC26" s="207" t="str">
        <f t="shared" si="11"/>
        <v/>
      </c>
      <c r="AD26" s="209" t="str">
        <f t="shared" si="12"/>
        <v/>
      </c>
      <c r="AE26" s="207" t="str">
        <f t="shared" si="13"/>
        <v/>
      </c>
      <c r="AF26" s="209" t="str">
        <f t="shared" si="14"/>
        <v/>
      </c>
      <c r="AG26" s="214" t="str">
        <f>IF(U26="","",IF(OR(SK!U223="",SK!U223=0),"",SK!X223))</f>
        <v/>
      </c>
      <c r="AH26" s="207" t="str">
        <f>IF($U26="","",SUMPRODUCT(--(Lineups!AC$4:AC$41=$U26)))</f>
        <v/>
      </c>
      <c r="AI26" s="209" t="str">
        <f t="shared" si="15"/>
        <v/>
      </c>
      <c r="AJ26" s="207" t="str">
        <f t="shared" si="16"/>
        <v/>
      </c>
      <c r="AK26" s="209" t="str">
        <f t="shared" si="17"/>
        <v/>
      </c>
    </row>
    <row r="27" spans="1:37" x14ac:dyDescent="0.3">
      <c r="A27" s="23">
        <f t="shared" si="0"/>
        <v>19</v>
      </c>
      <c r="B27" s="129" t="str">
        <f>IF(ISBLANK(IGRF!B32),"",IGRF!B32)</f>
        <v/>
      </c>
      <c r="C27" s="129" t="str">
        <f>IF(ISBLANK(IGRF!C32),"",IGRF!C32)</f>
        <v/>
      </c>
      <c r="D27" s="3" t="str">
        <f>IF($B27="","",SUMPRODUCT(--(Lineups!$G$4:$G$41=$B27),--(Lineups!$B$4:$B$41="")))</f>
        <v/>
      </c>
      <c r="E27" s="208" t="str">
        <f t="shared" si="1"/>
        <v/>
      </c>
      <c r="F27" s="216" t="str">
        <f>IF($B27="","",SUMPRODUCT(--(Lineups!$G$4:$G$41=$B27),--(Lineups!$B$4:$B$41="X")))</f>
        <v/>
      </c>
      <c r="G27" s="216" t="str">
        <f>IF($B27="","",SUMPRODUCT(--(Lineups!K$4:K$41=$B27),--(Lineups!A$4:A$41&lt;&gt;"SP")))</f>
        <v/>
      </c>
      <c r="H27" s="216" t="str">
        <f>IF($B27="","",SUMPRODUCT(--(Lineups!O$4:O$41=$B27),--(Lineups!A$4:A$41&lt;&gt;"SP")))</f>
        <v/>
      </c>
      <c r="I27" s="216" t="str">
        <f>IF($B27="","",SUMPRODUCT(--(Lineups!S$4:S$41=$B27),--(Lineups!A$4:A$41&lt;&gt;"SP")))</f>
        <v/>
      </c>
      <c r="J27" s="3" t="str">
        <f t="shared" si="2"/>
        <v/>
      </c>
      <c r="K27" s="208" t="str">
        <f t="shared" si="3"/>
        <v/>
      </c>
      <c r="L27" s="3" t="str">
        <f t="shared" si="4"/>
        <v/>
      </c>
      <c r="M27" s="208" t="str">
        <f t="shared" si="5"/>
        <v/>
      </c>
      <c r="N27" s="213" t="str">
        <f>IF(B27="","",IF(OR(SK!E226="",SK!E226=0),"",SK!H226))</f>
        <v/>
      </c>
      <c r="O27" s="3" t="str">
        <f>IF($B27="","",SUMPRODUCT(--(Lineups!C$4:C$41=$B27)))</f>
        <v/>
      </c>
      <c r="P27" s="208" t="str">
        <f t="shared" si="6"/>
        <v/>
      </c>
      <c r="Q27" s="3" t="str">
        <f t="shared" si="7"/>
        <v/>
      </c>
      <c r="R27" s="208" t="str">
        <f t="shared" si="8"/>
        <v/>
      </c>
      <c r="T27" s="23">
        <f t="shared" si="9"/>
        <v>19</v>
      </c>
      <c r="U27" s="129" t="str">
        <f>IF(ISBLANK(IGRF!H32),"",IGRF!H32)</f>
        <v/>
      </c>
      <c r="V27" s="129" t="str">
        <f>IF(ISBLANK(IGRF!I32),"",IGRF!I32)</f>
        <v/>
      </c>
      <c r="W27" s="3" t="str">
        <f>IF($U27="","",SUMPRODUCT(--(Lineups!$AG$4:$AG$41=$U27),--(Lineups!$AB$4:$AB$41="")))</f>
        <v/>
      </c>
      <c r="X27" s="208" t="str">
        <f t="shared" si="10"/>
        <v/>
      </c>
      <c r="Y27" s="216" t="str">
        <f>IF($U27="","",SUMPRODUCT(--(Lineups!$AG$4:$AG$41=$U27),--(Lineups!$AB$4:$AB$41="X")))</f>
        <v/>
      </c>
      <c r="Z27" s="216" t="str">
        <f>IF($U27="","",SUMPRODUCT(--(Lineups!AK$4:AK$41=$U27),--(Lineups!AA$4:AA$41&lt;&gt;"SP")))</f>
        <v/>
      </c>
      <c r="AA27" s="216" t="str">
        <f>IF($U27="","",SUMPRODUCT(--(Lineups!AO$4:AO$41=$U27),--(Lineups!AA$4:AA$41&lt;&gt;"SP")))</f>
        <v/>
      </c>
      <c r="AB27" s="216" t="str">
        <f>IF($U27="","",SUMPRODUCT(--(Lineups!AS$4:AS$41=$U27),--(Lineups!AA$4:AA$41&lt;&gt;"SP")))</f>
        <v/>
      </c>
      <c r="AC27" s="3" t="str">
        <f t="shared" si="11"/>
        <v/>
      </c>
      <c r="AD27" s="208" t="str">
        <f t="shared" si="12"/>
        <v/>
      </c>
      <c r="AE27" s="3" t="str">
        <f t="shared" si="13"/>
        <v/>
      </c>
      <c r="AF27" s="208" t="str">
        <f t="shared" si="14"/>
        <v/>
      </c>
      <c r="AG27" s="213" t="str">
        <f>IF(U27="","",IF(OR(SK!U226="",SK!U226=0),"",SK!X226))</f>
        <v/>
      </c>
      <c r="AH27" s="3" t="str">
        <f>IF($U27="","",SUMPRODUCT(--(Lineups!AC$4:AC$41=$U27)))</f>
        <v/>
      </c>
      <c r="AI27" s="208" t="str">
        <f t="shared" si="15"/>
        <v/>
      </c>
      <c r="AJ27" s="3" t="str">
        <f t="shared" si="16"/>
        <v/>
      </c>
      <c r="AK27" s="208" t="str">
        <f t="shared" si="17"/>
        <v/>
      </c>
    </row>
    <row r="28" spans="1:37" x14ac:dyDescent="0.3">
      <c r="A28" s="205">
        <f t="shared" si="0"/>
        <v>20</v>
      </c>
      <c r="B28" s="206" t="str">
        <f>IF(ISBLANK(IGRF!B33),"",IGRF!B33)</f>
        <v/>
      </c>
      <c r="C28" s="206" t="str">
        <f>IF(ISBLANK(IGRF!C33),"",IGRF!C33)</f>
        <v/>
      </c>
      <c r="D28" s="207" t="str">
        <f>IF($B28="","",SUMPRODUCT(--(Lineups!$G$4:$G$41=$B28),--(Lineups!$B$4:$B$41="")))</f>
        <v/>
      </c>
      <c r="E28" s="209" t="str">
        <f t="shared" si="1"/>
        <v/>
      </c>
      <c r="F28" s="216" t="str">
        <f>IF($B28="","",SUMPRODUCT(--(Lineups!$G$4:$G$41=$B28),--(Lineups!$B$4:$B$41="X")))</f>
        <v/>
      </c>
      <c r="G28" s="216" t="str">
        <f>IF($B28="","",SUMPRODUCT(--(Lineups!K$4:K$41=$B28),--(Lineups!A$4:A$41&lt;&gt;"SP")))</f>
        <v/>
      </c>
      <c r="H28" s="216" t="str">
        <f>IF($B28="","",SUMPRODUCT(--(Lineups!O$4:O$41=$B28),--(Lineups!A$4:A$41&lt;&gt;"SP")))</f>
        <v/>
      </c>
      <c r="I28" s="216" t="str">
        <f>IF($B28="","",SUMPRODUCT(--(Lineups!S$4:S$41=$B28),--(Lineups!A$4:A$41&lt;&gt;"SP")))</f>
        <v/>
      </c>
      <c r="J28" s="207" t="str">
        <f t="shared" si="2"/>
        <v/>
      </c>
      <c r="K28" s="209" t="str">
        <f t="shared" si="3"/>
        <v/>
      </c>
      <c r="L28" s="207" t="str">
        <f t="shared" si="4"/>
        <v/>
      </c>
      <c r="M28" s="209" t="str">
        <f t="shared" si="5"/>
        <v/>
      </c>
      <c r="N28" s="214" t="str">
        <f>IF(B28="","",IF(OR(SK!E229="",SK!E229=0),"",SK!H229))</f>
        <v/>
      </c>
      <c r="O28" s="207" t="str">
        <f>IF($B28="","",SUMPRODUCT(--(Lineups!C$4:C$41=$B28)))</f>
        <v/>
      </c>
      <c r="P28" s="209" t="str">
        <f t="shared" si="6"/>
        <v/>
      </c>
      <c r="Q28" s="207" t="str">
        <f t="shared" si="7"/>
        <v/>
      </c>
      <c r="R28" s="209" t="str">
        <f t="shared" si="8"/>
        <v/>
      </c>
      <c r="T28" s="205">
        <f t="shared" si="9"/>
        <v>20</v>
      </c>
      <c r="U28" s="206" t="str">
        <f>IF(ISBLANK(IGRF!H33),"",IGRF!H33)</f>
        <v/>
      </c>
      <c r="V28" s="206" t="str">
        <f>IF(ISBLANK(IGRF!I33),"",IGRF!I33)</f>
        <v/>
      </c>
      <c r="W28" s="207" t="str">
        <f>IF($U28="","",SUMPRODUCT(--(Lineups!$AG$4:$AG$41=$U28),--(Lineups!$AB$4:$AB$41="")))</f>
        <v/>
      </c>
      <c r="X28" s="209" t="str">
        <f t="shared" si="10"/>
        <v/>
      </c>
      <c r="Y28" s="216" t="str">
        <f>IF($U28="","",SUMPRODUCT(--(Lineups!$AG$4:$AG$41=$U28),--(Lineups!$AB$4:$AB$41="X")))</f>
        <v/>
      </c>
      <c r="Z28" s="216" t="str">
        <f>IF($U28="","",SUMPRODUCT(--(Lineups!AK$4:AK$41=$U28),--(Lineups!AA$4:AA$41&lt;&gt;"SP")))</f>
        <v/>
      </c>
      <c r="AA28" s="216" t="str">
        <f>IF($U28="","",SUMPRODUCT(--(Lineups!AO$4:AO$41=$U28),--(Lineups!AA$4:AA$41&lt;&gt;"SP")))</f>
        <v/>
      </c>
      <c r="AB28" s="216" t="str">
        <f>IF($U28="","",SUMPRODUCT(--(Lineups!AS$4:AS$41=$U28),--(Lineups!AA$4:AA$41&lt;&gt;"SP")))</f>
        <v/>
      </c>
      <c r="AC28" s="207" t="str">
        <f t="shared" si="11"/>
        <v/>
      </c>
      <c r="AD28" s="209" t="str">
        <f t="shared" si="12"/>
        <v/>
      </c>
      <c r="AE28" s="207" t="str">
        <f t="shared" si="13"/>
        <v/>
      </c>
      <c r="AF28" s="209" t="str">
        <f t="shared" si="14"/>
        <v/>
      </c>
      <c r="AG28" s="214" t="str">
        <f>IF(U28="","",IF(OR(SK!U229="",SK!U229=0),"",SK!X229))</f>
        <v/>
      </c>
      <c r="AH28" s="207" t="str">
        <f>IF($U28="","",SUMPRODUCT(--(Lineups!AC$4:AC$41=$U28)))</f>
        <v/>
      </c>
      <c r="AI28" s="209" t="str">
        <f t="shared" si="15"/>
        <v/>
      </c>
      <c r="AJ28" s="207" t="str">
        <f t="shared" si="16"/>
        <v/>
      </c>
      <c r="AK28" s="209" t="str">
        <f t="shared" si="17"/>
        <v/>
      </c>
    </row>
    <row r="30" spans="1:37" x14ac:dyDescent="0.3">
      <c r="A30" s="1162" t="s">
        <v>52</v>
      </c>
      <c r="B30" s="1162"/>
      <c r="C30" s="1162"/>
      <c r="D30" s="151"/>
      <c r="E30" s="151"/>
      <c r="F30" s="151"/>
      <c r="G30" s="151"/>
      <c r="H30" s="151"/>
      <c r="I30" s="151"/>
      <c r="J30" s="151"/>
      <c r="K30" s="151"/>
      <c r="L30" s="151"/>
      <c r="M30" s="151"/>
      <c r="N30" s="151"/>
      <c r="O30" s="151"/>
      <c r="P30" s="151"/>
      <c r="Q30" s="151"/>
      <c r="R30" s="151"/>
      <c r="T30" s="1162" t="s">
        <v>52</v>
      </c>
      <c r="U30" s="1162"/>
      <c r="V30" s="1162"/>
      <c r="W30" s="151"/>
      <c r="X30" s="151"/>
      <c r="Y30" s="151"/>
      <c r="Z30" s="151"/>
      <c r="AA30" s="151"/>
      <c r="AB30" s="151"/>
      <c r="AC30" s="151"/>
      <c r="AD30" s="151"/>
      <c r="AE30" s="151"/>
      <c r="AF30" s="151"/>
      <c r="AG30" s="151"/>
      <c r="AH30" s="151"/>
      <c r="AI30" s="151"/>
      <c r="AJ30" s="151"/>
      <c r="AK30" s="151"/>
    </row>
    <row r="31" spans="1:37" x14ac:dyDescent="0.3">
      <c r="A31" s="210">
        <v>0</v>
      </c>
      <c r="B31" s="210" t="s">
        <v>36</v>
      </c>
      <c r="C31" s="210" t="s">
        <v>37</v>
      </c>
      <c r="D31" s="210" t="s">
        <v>122</v>
      </c>
      <c r="E31" s="149"/>
      <c r="F31" s="215" t="s">
        <v>123</v>
      </c>
      <c r="G31" s="215" t="s">
        <v>123</v>
      </c>
      <c r="H31" s="215" t="s">
        <v>123</v>
      </c>
      <c r="I31" s="215" t="s">
        <v>123</v>
      </c>
      <c r="J31" s="210" t="s">
        <v>46</v>
      </c>
      <c r="K31" s="149"/>
      <c r="L31" s="210" t="s">
        <v>48</v>
      </c>
      <c r="M31" s="149"/>
      <c r="N31" s="212" t="s">
        <v>25</v>
      </c>
      <c r="O31" s="210" t="s">
        <v>124</v>
      </c>
      <c r="P31" s="149"/>
      <c r="Q31" s="210" t="s">
        <v>19</v>
      </c>
      <c r="R31" s="149"/>
      <c r="S31" s="149"/>
      <c r="T31" s="210">
        <v>0</v>
      </c>
      <c r="U31" s="210" t="s">
        <v>36</v>
      </c>
      <c r="V31" s="210" t="s">
        <v>37</v>
      </c>
      <c r="W31" s="210" t="s">
        <v>122</v>
      </c>
      <c r="X31" s="149"/>
      <c r="Y31" s="215" t="s">
        <v>123</v>
      </c>
      <c r="Z31" s="215" t="s">
        <v>123</v>
      </c>
      <c r="AA31" s="215" t="s">
        <v>123</v>
      </c>
      <c r="AB31" s="215" t="s">
        <v>123</v>
      </c>
      <c r="AC31" s="210" t="s">
        <v>46</v>
      </c>
      <c r="AD31" s="149"/>
      <c r="AE31" s="210" t="s">
        <v>48</v>
      </c>
      <c r="AF31" s="149"/>
      <c r="AG31" s="212" t="s">
        <v>25</v>
      </c>
      <c r="AH31" s="210" t="s">
        <v>124</v>
      </c>
      <c r="AI31" s="149"/>
      <c r="AJ31" s="210" t="s">
        <v>19</v>
      </c>
      <c r="AK31" s="149"/>
    </row>
    <row r="32" spans="1:37" x14ac:dyDescent="0.3">
      <c r="A32" s="23">
        <f t="shared" ref="A32:A51" si="18">A31+1</f>
        <v>1</v>
      </c>
      <c r="B32" s="23" t="str">
        <f t="shared" ref="B32:C51" si="19">B9</f>
        <v>0</v>
      </c>
      <c r="C32" s="23" t="str">
        <f t="shared" si="19"/>
        <v>Andi Slamberg</v>
      </c>
      <c r="D32" s="23">
        <f t="shared" ref="D32:D51" ca="1" si="20">IF($B32="","",D55-D78)</f>
        <v>41</v>
      </c>
      <c r="F32" s="216">
        <f t="shared" ref="F32:I51" ca="1" si="21">IF($B32="","",F55-F78)</f>
        <v>0</v>
      </c>
      <c r="G32" s="216">
        <f t="shared" ref="G32:G51" ca="1" si="22">IF($B32="","",G55-G78)</f>
        <v>0</v>
      </c>
      <c r="H32" s="216">
        <f t="shared" ca="1" si="21"/>
        <v>4</v>
      </c>
      <c r="I32" s="216">
        <f t="shared" ca="1" si="21"/>
        <v>0</v>
      </c>
      <c r="J32" s="23">
        <f t="shared" ref="J32:J51" ca="1" si="23">IF(B32="","",SUM(F32:I32))</f>
        <v>4</v>
      </c>
      <c r="L32" s="23">
        <f t="shared" ref="L32:L51" ca="1" si="24">IF(B32="","",SUM(D32,J32))</f>
        <v>45</v>
      </c>
      <c r="O32" s="23">
        <f t="shared" ref="O32:O51" ca="1" si="25">IF($B32="","",O55-O78)</f>
        <v>0</v>
      </c>
      <c r="Q32" s="23">
        <f t="shared" ref="Q32:Q51" ca="1" si="26">IF(B32="","",SUM(L32,O32))</f>
        <v>45</v>
      </c>
      <c r="T32" s="23">
        <f t="shared" ref="T32:T51" si="27">T31+1</f>
        <v>1</v>
      </c>
      <c r="U32" s="23" t="str">
        <f t="shared" ref="U32:V51" si="28">U9</f>
        <v>11</v>
      </c>
      <c r="V32" s="23" t="str">
        <f t="shared" si="28"/>
        <v>Typhoid Maggie</v>
      </c>
      <c r="W32" s="23">
        <f t="shared" ref="W32:W51" ca="1" si="29">IF($U32="","",W55-W78)</f>
        <v>0</v>
      </c>
      <c r="Y32" s="216">
        <f t="shared" ref="Y32:AB51" ca="1" si="30">IF($U32="","",Y55-Y78)</f>
        <v>0</v>
      </c>
      <c r="Z32" s="216">
        <f t="shared" ref="Z32:Z51" ca="1" si="31">IF($U32="","",Z55-Z78)</f>
        <v>-44</v>
      </c>
      <c r="AA32" s="216">
        <f t="shared" ca="1" si="30"/>
        <v>-8</v>
      </c>
      <c r="AB32" s="216">
        <f t="shared" ca="1" si="30"/>
        <v>0</v>
      </c>
      <c r="AC32" s="23">
        <f t="shared" ref="AC32:AC51" ca="1" si="32">IF(U32="","",SUM(Y32:AB32))</f>
        <v>-52</v>
      </c>
      <c r="AE32" s="23">
        <f t="shared" ref="AE32:AE51" ca="1" si="33">IF(U32="","",SUM(W32,AC32))</f>
        <v>-52</v>
      </c>
      <c r="AH32" s="23">
        <f t="shared" ref="AH32:AH51" ca="1" si="34">IF($U32="","",AH55-AH78)</f>
        <v>0</v>
      </c>
      <c r="AJ32" s="23">
        <f t="shared" ref="AJ32:AJ51" ca="1" si="35">IF(U32="","",SUM(AE32,AH32))</f>
        <v>-52</v>
      </c>
    </row>
    <row r="33" spans="1:36" x14ac:dyDescent="0.3">
      <c r="A33" s="205">
        <f t="shared" si="18"/>
        <v>2</v>
      </c>
      <c r="B33" s="205" t="str">
        <f t="shared" si="19"/>
        <v>1321</v>
      </c>
      <c r="C33" s="205" t="str">
        <f t="shared" si="19"/>
        <v>Kristy Skelton</v>
      </c>
      <c r="D33" s="205">
        <f t="shared" ca="1" si="20"/>
        <v>0</v>
      </c>
      <c r="F33" s="216">
        <f t="shared" ca="1" si="21"/>
        <v>0</v>
      </c>
      <c r="G33" s="216">
        <f t="shared" ca="1" si="22"/>
        <v>0</v>
      </c>
      <c r="H33" s="216">
        <f t="shared" ca="1" si="21"/>
        <v>0</v>
      </c>
      <c r="I33" s="216">
        <f t="shared" ca="1" si="21"/>
        <v>0</v>
      </c>
      <c r="J33" s="205">
        <f t="shared" ca="1" si="23"/>
        <v>0</v>
      </c>
      <c r="L33" s="205">
        <f t="shared" ca="1" si="24"/>
        <v>0</v>
      </c>
      <c r="O33" s="205">
        <f t="shared" ca="1" si="25"/>
        <v>8</v>
      </c>
      <c r="Q33" s="205">
        <f t="shared" ca="1" si="26"/>
        <v>8</v>
      </c>
      <c r="T33" s="205">
        <f t="shared" si="27"/>
        <v>2</v>
      </c>
      <c r="U33" s="205" t="str">
        <f t="shared" si="28"/>
        <v>11G6</v>
      </c>
      <c r="V33" s="205" t="str">
        <f t="shared" si="28"/>
        <v>Fista Krusher</v>
      </c>
      <c r="W33" s="205">
        <f t="shared" ca="1" si="29"/>
        <v>-12</v>
      </c>
      <c r="Y33" s="216">
        <f t="shared" ca="1" si="30"/>
        <v>0</v>
      </c>
      <c r="Z33" s="216">
        <f t="shared" ca="1" si="31"/>
        <v>0</v>
      </c>
      <c r="AA33" s="216">
        <f t="shared" ca="1" si="30"/>
        <v>0</v>
      </c>
      <c r="AB33" s="216">
        <f t="shared" ca="1" si="30"/>
        <v>0</v>
      </c>
      <c r="AC33" s="205">
        <f t="shared" ca="1" si="32"/>
        <v>0</v>
      </c>
      <c r="AE33" s="205">
        <f t="shared" ca="1" si="33"/>
        <v>-12</v>
      </c>
      <c r="AH33" s="205">
        <f t="shared" ca="1" si="34"/>
        <v>-25</v>
      </c>
      <c r="AJ33" s="205">
        <f t="shared" ca="1" si="35"/>
        <v>-37</v>
      </c>
    </row>
    <row r="34" spans="1:36" x14ac:dyDescent="0.3">
      <c r="A34" s="23">
        <f t="shared" si="18"/>
        <v>3</v>
      </c>
      <c r="B34" s="23" t="str">
        <f t="shared" si="19"/>
        <v>17</v>
      </c>
      <c r="C34" s="23" t="str">
        <f t="shared" si="19"/>
        <v>Justine Sane</v>
      </c>
      <c r="D34" s="23">
        <f t="shared" ca="1" si="20"/>
        <v>0</v>
      </c>
      <c r="F34" s="216">
        <f t="shared" ca="1" si="21"/>
        <v>0</v>
      </c>
      <c r="G34" s="216">
        <f t="shared" ca="1" si="22"/>
        <v>20</v>
      </c>
      <c r="H34" s="216">
        <f t="shared" ca="1" si="21"/>
        <v>14</v>
      </c>
      <c r="I34" s="216">
        <f t="shared" ca="1" si="21"/>
        <v>4</v>
      </c>
      <c r="J34" s="23">
        <f t="shared" ca="1" si="23"/>
        <v>38</v>
      </c>
      <c r="L34" s="23">
        <f t="shared" ca="1" si="24"/>
        <v>38</v>
      </c>
      <c r="O34" s="23">
        <f t="shared" ca="1" si="25"/>
        <v>0</v>
      </c>
      <c r="Q34" s="23">
        <f t="shared" ca="1" si="26"/>
        <v>38</v>
      </c>
      <c r="T34" s="23">
        <f t="shared" si="27"/>
        <v>3</v>
      </c>
      <c r="U34" s="23" t="str">
        <f t="shared" si="28"/>
        <v>152</v>
      </c>
      <c r="V34" s="23" t="str">
        <f t="shared" si="28"/>
        <v>Hitty Pryde</v>
      </c>
      <c r="W34" s="23">
        <f t="shared" ca="1" si="29"/>
        <v>0</v>
      </c>
      <c r="Y34" s="216">
        <f t="shared" ca="1" si="30"/>
        <v>0</v>
      </c>
      <c r="Z34" s="216">
        <f t="shared" ca="1" si="31"/>
        <v>-9</v>
      </c>
      <c r="AA34" s="216">
        <f t="shared" ca="1" si="30"/>
        <v>-15</v>
      </c>
      <c r="AB34" s="216">
        <f t="shared" ca="1" si="30"/>
        <v>-24</v>
      </c>
      <c r="AC34" s="23">
        <f t="shared" ca="1" si="32"/>
        <v>-48</v>
      </c>
      <c r="AE34" s="23">
        <f t="shared" ca="1" si="33"/>
        <v>-48</v>
      </c>
      <c r="AH34" s="23">
        <f t="shared" ca="1" si="34"/>
        <v>0</v>
      </c>
      <c r="AJ34" s="23">
        <f t="shared" ca="1" si="35"/>
        <v>-48</v>
      </c>
    </row>
    <row r="35" spans="1:36" x14ac:dyDescent="0.3">
      <c r="A35" s="205">
        <f t="shared" si="18"/>
        <v>4</v>
      </c>
      <c r="B35" s="205" t="str">
        <f t="shared" si="19"/>
        <v>19</v>
      </c>
      <c r="C35" s="205" t="str">
        <f t="shared" si="19"/>
        <v>Lippy Wrongstockings</v>
      </c>
      <c r="D35" s="205">
        <f t="shared" ca="1" si="20"/>
        <v>0</v>
      </c>
      <c r="F35" s="216">
        <f t="shared" ca="1" si="21"/>
        <v>0</v>
      </c>
      <c r="G35" s="216">
        <f t="shared" ca="1" si="22"/>
        <v>0</v>
      </c>
      <c r="H35" s="216">
        <f t="shared" ca="1" si="21"/>
        <v>0</v>
      </c>
      <c r="I35" s="216">
        <f t="shared" ca="1" si="21"/>
        <v>0</v>
      </c>
      <c r="J35" s="205">
        <f t="shared" ca="1" si="23"/>
        <v>0</v>
      </c>
      <c r="L35" s="205">
        <f t="shared" ca="1" si="24"/>
        <v>0</v>
      </c>
      <c r="O35" s="205">
        <f t="shared" ca="1" si="25"/>
        <v>34</v>
      </c>
      <c r="Q35" s="205">
        <f t="shared" ca="1" si="26"/>
        <v>34</v>
      </c>
      <c r="T35" s="205">
        <f t="shared" si="27"/>
        <v>4</v>
      </c>
      <c r="U35" s="205" t="str">
        <f t="shared" si="28"/>
        <v xml:space="preserve">237 </v>
      </c>
      <c r="V35" s="205" t="str">
        <f t="shared" si="28"/>
        <v>GuilloTina</v>
      </c>
      <c r="W35" s="205">
        <f t="shared" ca="1" si="29"/>
        <v>0</v>
      </c>
      <c r="Y35" s="216">
        <f t="shared" ca="1" si="30"/>
        <v>0</v>
      </c>
      <c r="Z35" s="216">
        <f t="shared" ca="1" si="31"/>
        <v>0</v>
      </c>
      <c r="AA35" s="216">
        <f t="shared" ca="1" si="30"/>
        <v>0</v>
      </c>
      <c r="AB35" s="216">
        <f t="shared" ca="1" si="30"/>
        <v>0</v>
      </c>
      <c r="AC35" s="205">
        <f t="shared" ca="1" si="32"/>
        <v>0</v>
      </c>
      <c r="AE35" s="205">
        <f t="shared" ca="1" si="33"/>
        <v>0</v>
      </c>
      <c r="AH35" s="205">
        <f t="shared" ca="1" si="34"/>
        <v>0</v>
      </c>
      <c r="AJ35" s="205">
        <f t="shared" ca="1" si="35"/>
        <v>0</v>
      </c>
    </row>
    <row r="36" spans="1:36" x14ac:dyDescent="0.3">
      <c r="A36" s="23">
        <f t="shared" si="18"/>
        <v>5</v>
      </c>
      <c r="B36" s="23" t="str">
        <f t="shared" si="19"/>
        <v>20</v>
      </c>
      <c r="C36" s="23" t="str">
        <f t="shared" si="19"/>
        <v>Zooks</v>
      </c>
      <c r="D36" s="23">
        <f t="shared" ca="1" si="20"/>
        <v>0</v>
      </c>
      <c r="F36" s="216">
        <f t="shared" ca="1" si="21"/>
        <v>0</v>
      </c>
      <c r="G36" s="216">
        <f t="shared" ca="1" si="22"/>
        <v>13</v>
      </c>
      <c r="H36" s="216">
        <f t="shared" ca="1" si="21"/>
        <v>13</v>
      </c>
      <c r="I36" s="216">
        <f t="shared" ca="1" si="21"/>
        <v>26</v>
      </c>
      <c r="J36" s="23">
        <f t="shared" ca="1" si="23"/>
        <v>52</v>
      </c>
      <c r="L36" s="23">
        <f t="shared" ca="1" si="24"/>
        <v>52</v>
      </c>
      <c r="O36" s="23">
        <f t="shared" ca="1" si="25"/>
        <v>0</v>
      </c>
      <c r="Q36" s="23">
        <f t="shared" ca="1" si="26"/>
        <v>52</v>
      </c>
      <c r="T36" s="23">
        <f t="shared" si="27"/>
        <v>5</v>
      </c>
      <c r="U36" s="23" t="str">
        <f t="shared" si="28"/>
        <v>26</v>
      </c>
      <c r="V36" s="23" t="str">
        <f t="shared" si="28"/>
        <v>Bam Bam Bigelow</v>
      </c>
      <c r="W36" s="23">
        <f t="shared" ca="1" si="29"/>
        <v>-52</v>
      </c>
      <c r="Y36" s="216">
        <f t="shared" ca="1" si="30"/>
        <v>0</v>
      </c>
      <c r="Z36" s="216">
        <f t="shared" ca="1" si="31"/>
        <v>0</v>
      </c>
      <c r="AA36" s="216">
        <f t="shared" ca="1" si="30"/>
        <v>0</v>
      </c>
      <c r="AB36" s="216">
        <f t="shared" ca="1" si="30"/>
        <v>0</v>
      </c>
      <c r="AC36" s="23">
        <f t="shared" ca="1" si="32"/>
        <v>0</v>
      </c>
      <c r="AE36" s="23">
        <f t="shared" ca="1" si="33"/>
        <v>-52</v>
      </c>
      <c r="AH36" s="23">
        <f t="shared" ca="1" si="34"/>
        <v>0</v>
      </c>
      <c r="AJ36" s="23">
        <f t="shared" ca="1" si="35"/>
        <v>-52</v>
      </c>
    </row>
    <row r="37" spans="1:36" x14ac:dyDescent="0.3">
      <c r="A37" s="205">
        <f t="shared" si="18"/>
        <v>6</v>
      </c>
      <c r="B37" s="205" t="str">
        <f t="shared" si="19"/>
        <v>303</v>
      </c>
      <c r="C37" s="205" t="str">
        <f t="shared" si="19"/>
        <v>Violent NoRegard</v>
      </c>
      <c r="D37" s="205">
        <f t="shared" ca="1" si="20"/>
        <v>0</v>
      </c>
      <c r="F37" s="216">
        <f t="shared" ca="1" si="21"/>
        <v>0</v>
      </c>
      <c r="G37" s="216">
        <f t="shared" ca="1" si="22"/>
        <v>12</v>
      </c>
      <c r="H37" s="216">
        <f t="shared" ca="1" si="21"/>
        <v>31</v>
      </c>
      <c r="I37" s="216">
        <f t="shared" ca="1" si="21"/>
        <v>4</v>
      </c>
      <c r="J37" s="205">
        <f t="shared" ca="1" si="23"/>
        <v>47</v>
      </c>
      <c r="L37" s="205">
        <f t="shared" ca="1" si="24"/>
        <v>47</v>
      </c>
      <c r="O37" s="205">
        <f t="shared" ca="1" si="25"/>
        <v>0</v>
      </c>
      <c r="Q37" s="205">
        <f t="shared" ca="1" si="26"/>
        <v>47</v>
      </c>
      <c r="T37" s="205">
        <f t="shared" si="27"/>
        <v>6</v>
      </c>
      <c r="U37" s="205" t="str">
        <f t="shared" si="28"/>
        <v>2611</v>
      </c>
      <c r="V37" s="205" t="str">
        <f t="shared" si="28"/>
        <v>Va Va BOOM</v>
      </c>
      <c r="W37" s="205">
        <f t="shared" ca="1" si="29"/>
        <v>0</v>
      </c>
      <c r="Y37" s="216">
        <f t="shared" ca="1" si="30"/>
        <v>0</v>
      </c>
      <c r="Z37" s="216">
        <f t="shared" ca="1" si="31"/>
        <v>-13</v>
      </c>
      <c r="AA37" s="216">
        <f t="shared" ca="1" si="30"/>
        <v>-20</v>
      </c>
      <c r="AB37" s="216">
        <f t="shared" ca="1" si="30"/>
        <v>-30</v>
      </c>
      <c r="AC37" s="205">
        <f t="shared" ca="1" si="32"/>
        <v>-63</v>
      </c>
      <c r="AE37" s="205">
        <f t="shared" ca="1" si="33"/>
        <v>-63</v>
      </c>
      <c r="AH37" s="205">
        <f t="shared" ca="1" si="34"/>
        <v>0</v>
      </c>
      <c r="AJ37" s="205">
        <f t="shared" ca="1" si="35"/>
        <v>-63</v>
      </c>
    </row>
    <row r="38" spans="1:36" x14ac:dyDescent="0.3">
      <c r="A38" s="23">
        <f t="shared" si="18"/>
        <v>7</v>
      </c>
      <c r="B38" s="23" t="str">
        <f t="shared" si="19"/>
        <v>33</v>
      </c>
      <c r="C38" s="23" t="str">
        <f t="shared" si="19"/>
        <v>Suzy Slam</v>
      </c>
      <c r="D38" s="23">
        <f t="shared" ca="1" si="20"/>
        <v>0</v>
      </c>
      <c r="F38" s="216">
        <f t="shared" ca="1" si="21"/>
        <v>0</v>
      </c>
      <c r="G38" s="216">
        <f t="shared" ca="1" si="22"/>
        <v>29</v>
      </c>
      <c r="H38" s="216">
        <f t="shared" ca="1" si="21"/>
        <v>24</v>
      </c>
      <c r="I38" s="216">
        <f t="shared" ca="1" si="21"/>
        <v>0</v>
      </c>
      <c r="J38" s="23">
        <f t="shared" ca="1" si="23"/>
        <v>53</v>
      </c>
      <c r="L38" s="23">
        <f t="shared" ca="1" si="24"/>
        <v>53</v>
      </c>
      <c r="O38" s="23">
        <f t="shared" ca="1" si="25"/>
        <v>0</v>
      </c>
      <c r="Q38" s="23">
        <f t="shared" ca="1" si="26"/>
        <v>53</v>
      </c>
      <c r="T38" s="23">
        <f t="shared" si="27"/>
        <v>7</v>
      </c>
      <c r="U38" s="23" t="str">
        <f t="shared" si="28"/>
        <v>45</v>
      </c>
      <c r="V38" s="23" t="str">
        <f t="shared" si="28"/>
        <v>Miss Carriage</v>
      </c>
      <c r="W38" s="23">
        <f t="shared" ca="1" si="29"/>
        <v>-37</v>
      </c>
      <c r="Y38" s="216">
        <f t="shared" ca="1" si="30"/>
        <v>0</v>
      </c>
      <c r="Z38" s="216">
        <f t="shared" ca="1" si="31"/>
        <v>0</v>
      </c>
      <c r="AA38" s="216">
        <f t="shared" ca="1" si="30"/>
        <v>0</v>
      </c>
      <c r="AB38" s="216">
        <f t="shared" ca="1" si="30"/>
        <v>0</v>
      </c>
      <c r="AC38" s="23">
        <f t="shared" ca="1" si="32"/>
        <v>0</v>
      </c>
      <c r="AE38" s="23">
        <f t="shared" ca="1" si="33"/>
        <v>-37</v>
      </c>
      <c r="AH38" s="23">
        <f t="shared" ca="1" si="34"/>
        <v>0</v>
      </c>
      <c r="AJ38" s="23">
        <f t="shared" ca="1" si="35"/>
        <v>-37</v>
      </c>
    </row>
    <row r="39" spans="1:36" x14ac:dyDescent="0.3">
      <c r="A39" s="205">
        <f t="shared" si="18"/>
        <v>8</v>
      </c>
      <c r="B39" s="205" t="str">
        <f t="shared" si="19"/>
        <v>4</v>
      </c>
      <c r="C39" s="205" t="str">
        <f t="shared" si="19"/>
        <v>Psykosonic</v>
      </c>
      <c r="D39" s="205">
        <f t="shared" ca="1" si="20"/>
        <v>0</v>
      </c>
      <c r="F39" s="216">
        <f t="shared" ca="1" si="21"/>
        <v>0</v>
      </c>
      <c r="G39" s="216">
        <f t="shared" ca="1" si="22"/>
        <v>0</v>
      </c>
      <c r="H39" s="216">
        <f t="shared" ca="1" si="21"/>
        <v>0</v>
      </c>
      <c r="I39" s="216">
        <f t="shared" ca="1" si="21"/>
        <v>0</v>
      </c>
      <c r="J39" s="205">
        <f t="shared" ca="1" si="23"/>
        <v>0</v>
      </c>
      <c r="L39" s="205">
        <f t="shared" ca="1" si="24"/>
        <v>0</v>
      </c>
      <c r="O39" s="205">
        <f t="shared" ca="1" si="25"/>
        <v>44</v>
      </c>
      <c r="Q39" s="205">
        <f t="shared" ca="1" si="26"/>
        <v>44</v>
      </c>
      <c r="T39" s="205">
        <f t="shared" si="27"/>
        <v>8</v>
      </c>
      <c r="U39" s="205" t="str">
        <f t="shared" si="28"/>
        <v>451</v>
      </c>
      <c r="V39" s="205" t="str">
        <f t="shared" si="28"/>
        <v>fErinheit</v>
      </c>
      <c r="W39" s="205">
        <f t="shared" ca="1" si="29"/>
        <v>0</v>
      </c>
      <c r="Y39" s="216">
        <f t="shared" ca="1" si="30"/>
        <v>0</v>
      </c>
      <c r="Z39" s="216">
        <f t="shared" ca="1" si="31"/>
        <v>0</v>
      </c>
      <c r="AA39" s="216">
        <f t="shared" ca="1" si="30"/>
        <v>0</v>
      </c>
      <c r="AB39" s="216">
        <f t="shared" ca="1" si="30"/>
        <v>0</v>
      </c>
      <c r="AC39" s="205">
        <f t="shared" ca="1" si="32"/>
        <v>0</v>
      </c>
      <c r="AE39" s="205">
        <f t="shared" ca="1" si="33"/>
        <v>0</v>
      </c>
      <c r="AH39" s="205">
        <f t="shared" ca="1" si="34"/>
        <v>-14</v>
      </c>
      <c r="AJ39" s="205">
        <f t="shared" ca="1" si="35"/>
        <v>-14</v>
      </c>
    </row>
    <row r="40" spans="1:36" x14ac:dyDescent="0.3">
      <c r="A40" s="23">
        <f t="shared" si="18"/>
        <v>9</v>
      </c>
      <c r="B40" s="23" t="str">
        <f t="shared" si="19"/>
        <v>42</v>
      </c>
      <c r="C40" s="23" t="str">
        <f t="shared" si="19"/>
        <v>Meg N' Plead</v>
      </c>
      <c r="D40" s="23">
        <f t="shared" ca="1" si="20"/>
        <v>0</v>
      </c>
      <c r="F40" s="216">
        <f t="shared" ca="1" si="21"/>
        <v>0</v>
      </c>
      <c r="G40" s="216">
        <f t="shared" ca="1" si="22"/>
        <v>-1</v>
      </c>
      <c r="H40" s="216">
        <f t="shared" ca="1" si="21"/>
        <v>8</v>
      </c>
      <c r="I40" s="216">
        <f t="shared" ca="1" si="21"/>
        <v>-4</v>
      </c>
      <c r="J40" s="23">
        <f t="shared" ca="1" si="23"/>
        <v>3</v>
      </c>
      <c r="L40" s="23">
        <f t="shared" ca="1" si="24"/>
        <v>3</v>
      </c>
      <c r="O40" s="23">
        <f t="shared" ca="1" si="25"/>
        <v>0</v>
      </c>
      <c r="Q40" s="23">
        <f t="shared" ca="1" si="26"/>
        <v>3</v>
      </c>
      <c r="T40" s="23">
        <f t="shared" si="27"/>
        <v>9</v>
      </c>
      <c r="U40" s="23" t="str">
        <f t="shared" si="28"/>
        <v>511</v>
      </c>
      <c r="V40" s="23" t="str">
        <f t="shared" si="28"/>
        <v>Bean Stalker</v>
      </c>
      <c r="W40" s="23">
        <f t="shared" ca="1" si="29"/>
        <v>0</v>
      </c>
      <c r="Y40" s="216">
        <f t="shared" ca="1" si="30"/>
        <v>0</v>
      </c>
      <c r="Z40" s="216">
        <f t="shared" ca="1" si="31"/>
        <v>0</v>
      </c>
      <c r="AA40" s="216">
        <f t="shared" ca="1" si="30"/>
        <v>0</v>
      </c>
      <c r="AB40" s="216">
        <f t="shared" ca="1" si="30"/>
        <v>0</v>
      </c>
      <c r="AC40" s="23">
        <f t="shared" ca="1" si="32"/>
        <v>0</v>
      </c>
      <c r="AE40" s="23">
        <f t="shared" ca="1" si="33"/>
        <v>0</v>
      </c>
      <c r="AH40" s="23">
        <f t="shared" ca="1" si="34"/>
        <v>-12</v>
      </c>
      <c r="AJ40" s="23">
        <f t="shared" ca="1" si="35"/>
        <v>-12</v>
      </c>
    </row>
    <row r="41" spans="1:36" x14ac:dyDescent="0.3">
      <c r="A41" s="205">
        <f t="shared" si="18"/>
        <v>10</v>
      </c>
      <c r="B41" s="205" t="str">
        <f t="shared" si="19"/>
        <v>44</v>
      </c>
      <c r="C41" s="205" t="str">
        <f t="shared" si="19"/>
        <v>Brunt Force Bunny</v>
      </c>
      <c r="D41" s="205">
        <f t="shared" ca="1" si="20"/>
        <v>0</v>
      </c>
      <c r="F41" s="216">
        <f t="shared" ca="1" si="21"/>
        <v>0</v>
      </c>
      <c r="G41" s="216">
        <f t="shared" ca="1" si="22"/>
        <v>1</v>
      </c>
      <c r="H41" s="216">
        <f t="shared" ca="1" si="21"/>
        <v>4</v>
      </c>
      <c r="I41" s="216">
        <f t="shared" ca="1" si="21"/>
        <v>0</v>
      </c>
      <c r="J41" s="205">
        <f t="shared" ca="1" si="23"/>
        <v>5</v>
      </c>
      <c r="L41" s="205">
        <f t="shared" ca="1" si="24"/>
        <v>5</v>
      </c>
      <c r="O41" s="205">
        <f t="shared" ca="1" si="25"/>
        <v>0</v>
      </c>
      <c r="Q41" s="205">
        <f t="shared" ca="1" si="26"/>
        <v>5</v>
      </c>
      <c r="T41" s="205">
        <f t="shared" si="27"/>
        <v>10</v>
      </c>
      <c r="U41" s="205" t="str">
        <f t="shared" si="28"/>
        <v>519</v>
      </c>
      <c r="V41" s="205" t="str">
        <f t="shared" si="28"/>
        <v>Smashin' Good Time</v>
      </c>
      <c r="W41" s="205">
        <f t="shared" ca="1" si="29"/>
        <v>0</v>
      </c>
      <c r="Y41" s="216">
        <f t="shared" ca="1" si="30"/>
        <v>0</v>
      </c>
      <c r="Z41" s="216">
        <f t="shared" ca="1" si="31"/>
        <v>-4</v>
      </c>
      <c r="AA41" s="216">
        <f t="shared" ca="1" si="30"/>
        <v>-19</v>
      </c>
      <c r="AB41" s="216">
        <f t="shared" ca="1" si="30"/>
        <v>-29</v>
      </c>
      <c r="AC41" s="205">
        <f t="shared" ca="1" si="32"/>
        <v>-52</v>
      </c>
      <c r="AE41" s="205">
        <f t="shared" ca="1" si="33"/>
        <v>-52</v>
      </c>
      <c r="AH41" s="205">
        <f t="shared" ca="1" si="34"/>
        <v>0</v>
      </c>
      <c r="AJ41" s="205">
        <f t="shared" ca="1" si="35"/>
        <v>-52</v>
      </c>
    </row>
    <row r="42" spans="1:36" x14ac:dyDescent="0.3">
      <c r="A42" s="23">
        <f t="shared" si="18"/>
        <v>11</v>
      </c>
      <c r="B42" s="23" t="str">
        <f t="shared" si="19"/>
        <v>480</v>
      </c>
      <c r="C42" s="23" t="str">
        <f t="shared" si="19"/>
        <v>Slaughterhouse Streeter</v>
      </c>
      <c r="D42" s="23">
        <f t="shared" ca="1" si="20"/>
        <v>0</v>
      </c>
      <c r="F42" s="216">
        <f t="shared" ca="1" si="21"/>
        <v>0</v>
      </c>
      <c r="G42" s="216">
        <f t="shared" ca="1" si="22"/>
        <v>8</v>
      </c>
      <c r="H42" s="216">
        <f t="shared" ca="1" si="21"/>
        <v>10</v>
      </c>
      <c r="I42" s="216">
        <f t="shared" ca="1" si="21"/>
        <v>38</v>
      </c>
      <c r="J42" s="23">
        <f t="shared" ca="1" si="23"/>
        <v>56</v>
      </c>
      <c r="L42" s="23">
        <f t="shared" ca="1" si="24"/>
        <v>56</v>
      </c>
      <c r="O42" s="23">
        <f t="shared" ca="1" si="25"/>
        <v>-4</v>
      </c>
      <c r="Q42" s="23">
        <f t="shared" ca="1" si="26"/>
        <v>52</v>
      </c>
      <c r="T42" s="23">
        <f t="shared" si="27"/>
        <v>11</v>
      </c>
      <c r="U42" s="23" t="str">
        <f t="shared" si="28"/>
        <v>58</v>
      </c>
      <c r="V42" s="23" t="str">
        <f t="shared" si="28"/>
        <v>Natty B</v>
      </c>
      <c r="W42" s="23">
        <f t="shared" ca="1" si="29"/>
        <v>0</v>
      </c>
      <c r="Y42" s="216">
        <f t="shared" ca="1" si="30"/>
        <v>0</v>
      </c>
      <c r="Z42" s="216">
        <f t="shared" ca="1" si="31"/>
        <v>0</v>
      </c>
      <c r="AA42" s="216">
        <f t="shared" ca="1" si="30"/>
        <v>0</v>
      </c>
      <c r="AB42" s="216">
        <f t="shared" ca="1" si="30"/>
        <v>0</v>
      </c>
      <c r="AC42" s="23">
        <f t="shared" ca="1" si="32"/>
        <v>0</v>
      </c>
      <c r="AE42" s="23">
        <f t="shared" ca="1" si="33"/>
        <v>0</v>
      </c>
      <c r="AH42" s="23">
        <f t="shared" ca="1" si="34"/>
        <v>-38</v>
      </c>
      <c r="AJ42" s="23">
        <f t="shared" ca="1" si="35"/>
        <v>-38</v>
      </c>
    </row>
    <row r="43" spans="1:36" x14ac:dyDescent="0.3">
      <c r="A43" s="205">
        <f t="shared" si="18"/>
        <v>12</v>
      </c>
      <c r="B43" s="205" t="str">
        <f t="shared" si="19"/>
        <v>64</v>
      </c>
      <c r="C43" s="205" t="str">
        <f t="shared" si="19"/>
        <v>Cannonball Doll</v>
      </c>
      <c r="D43" s="205">
        <f t="shared" ca="1" si="20"/>
        <v>0</v>
      </c>
      <c r="F43" s="216">
        <f t="shared" ca="1" si="21"/>
        <v>0</v>
      </c>
      <c r="G43" s="216">
        <f t="shared" ca="1" si="22"/>
        <v>19</v>
      </c>
      <c r="H43" s="216">
        <f t="shared" ca="1" si="21"/>
        <v>-3</v>
      </c>
      <c r="I43" s="216">
        <f t="shared" ca="1" si="21"/>
        <v>33</v>
      </c>
      <c r="J43" s="205">
        <f t="shared" ca="1" si="23"/>
        <v>49</v>
      </c>
      <c r="L43" s="205">
        <f t="shared" ca="1" si="24"/>
        <v>49</v>
      </c>
      <c r="O43" s="205">
        <f t="shared" ca="1" si="25"/>
        <v>0</v>
      </c>
      <c r="Q43" s="205">
        <f t="shared" ca="1" si="26"/>
        <v>49</v>
      </c>
      <c r="T43" s="205">
        <f t="shared" si="27"/>
        <v>12</v>
      </c>
      <c r="U43" s="205" t="str">
        <f t="shared" si="28"/>
        <v>932</v>
      </c>
      <c r="V43" s="205" t="str">
        <f t="shared" si="28"/>
        <v>Heaven Lee Bash</v>
      </c>
      <c r="W43" s="205">
        <f t="shared" ca="1" si="29"/>
        <v>0</v>
      </c>
      <c r="Y43" s="216">
        <f t="shared" ca="1" si="30"/>
        <v>0</v>
      </c>
      <c r="Z43" s="216">
        <f t="shared" ca="1" si="31"/>
        <v>-4</v>
      </c>
      <c r="AA43" s="216">
        <f t="shared" ca="1" si="30"/>
        <v>-12</v>
      </c>
      <c r="AB43" s="216">
        <f t="shared" ca="1" si="30"/>
        <v>-4</v>
      </c>
      <c r="AC43" s="205">
        <f t="shared" ca="1" si="32"/>
        <v>-20</v>
      </c>
      <c r="AE43" s="205">
        <f t="shared" ca="1" si="33"/>
        <v>-20</v>
      </c>
      <c r="AH43" s="205">
        <f t="shared" ca="1" si="34"/>
        <v>0</v>
      </c>
      <c r="AJ43" s="205">
        <f t="shared" ca="1" si="35"/>
        <v>-20</v>
      </c>
    </row>
    <row r="44" spans="1:36" x14ac:dyDescent="0.3">
      <c r="A44" s="23">
        <f t="shared" si="18"/>
        <v>13</v>
      </c>
      <c r="B44" s="23" t="str">
        <f t="shared" si="19"/>
        <v>84</v>
      </c>
      <c r="C44" s="23" t="str">
        <f t="shared" si="19"/>
        <v>MEGAnTRON</v>
      </c>
      <c r="D44" s="23">
        <f t="shared" ca="1" si="20"/>
        <v>0</v>
      </c>
      <c r="F44" s="216">
        <f t="shared" ca="1" si="21"/>
        <v>0</v>
      </c>
      <c r="G44" s="216">
        <f t="shared" ca="1" si="22"/>
        <v>0</v>
      </c>
      <c r="H44" s="216">
        <f t="shared" ca="1" si="21"/>
        <v>0</v>
      </c>
      <c r="I44" s="216">
        <f t="shared" ca="1" si="21"/>
        <v>0</v>
      </c>
      <c r="J44" s="23">
        <f t="shared" ca="1" si="23"/>
        <v>0</v>
      </c>
      <c r="L44" s="23">
        <f t="shared" ca="1" si="24"/>
        <v>0</v>
      </c>
      <c r="O44" s="23">
        <f t="shared" ca="1" si="25"/>
        <v>19</v>
      </c>
      <c r="Q44" s="23">
        <f t="shared" ca="1" si="26"/>
        <v>19</v>
      </c>
      <c r="T44" s="23">
        <f t="shared" si="27"/>
        <v>13</v>
      </c>
      <c r="U44" s="23" t="str">
        <f t="shared" si="28"/>
        <v>H20</v>
      </c>
      <c r="V44" s="23" t="str">
        <f t="shared" si="28"/>
        <v>Lethal Mermaid</v>
      </c>
      <c r="W44" s="23">
        <f t="shared" ca="1" si="29"/>
        <v>0</v>
      </c>
      <c r="Y44" s="216">
        <f t="shared" ca="1" si="30"/>
        <v>0</v>
      </c>
      <c r="Z44" s="216">
        <f t="shared" ca="1" si="31"/>
        <v>-1</v>
      </c>
      <c r="AA44" s="216">
        <f t="shared" ca="1" si="30"/>
        <v>-14</v>
      </c>
      <c r="AB44" s="216">
        <f t="shared" ca="1" si="30"/>
        <v>-4</v>
      </c>
      <c r="AC44" s="23">
        <f t="shared" ca="1" si="32"/>
        <v>-19</v>
      </c>
      <c r="AE44" s="23">
        <f t="shared" ca="1" si="33"/>
        <v>-19</v>
      </c>
      <c r="AH44" s="23">
        <f t="shared" ca="1" si="34"/>
        <v>0</v>
      </c>
      <c r="AJ44" s="23">
        <f t="shared" ca="1" si="35"/>
        <v>-19</v>
      </c>
    </row>
    <row r="45" spans="1:36" x14ac:dyDescent="0.3">
      <c r="A45" s="205">
        <f t="shared" si="18"/>
        <v>14</v>
      </c>
      <c r="B45" s="205" t="str">
        <f t="shared" si="19"/>
        <v>N01</v>
      </c>
      <c r="C45" s="205" t="str">
        <f t="shared" si="19"/>
        <v>Commander Will Wrecker</v>
      </c>
      <c r="D45" s="205">
        <f t="shared" ca="1" si="20"/>
        <v>60</v>
      </c>
      <c r="F45" s="216">
        <f t="shared" ca="1" si="21"/>
        <v>0</v>
      </c>
      <c r="G45" s="216">
        <f t="shared" ca="1" si="22"/>
        <v>0</v>
      </c>
      <c r="H45" s="216">
        <f t="shared" ca="1" si="21"/>
        <v>-4</v>
      </c>
      <c r="I45" s="216">
        <f t="shared" ca="1" si="21"/>
        <v>0</v>
      </c>
      <c r="J45" s="205">
        <f t="shared" ca="1" si="23"/>
        <v>-4</v>
      </c>
      <c r="L45" s="205">
        <f t="shared" ca="1" si="24"/>
        <v>56</v>
      </c>
      <c r="O45" s="205">
        <f t="shared" ca="1" si="25"/>
        <v>0</v>
      </c>
      <c r="Q45" s="205">
        <f t="shared" ca="1" si="26"/>
        <v>56</v>
      </c>
      <c r="T45" s="205">
        <f t="shared" si="27"/>
        <v>14</v>
      </c>
      <c r="U45" s="205" t="str">
        <f t="shared" si="28"/>
        <v>K9</v>
      </c>
      <c r="V45" s="205" t="str">
        <f t="shared" si="28"/>
        <v>Scooby Doom</v>
      </c>
      <c r="W45" s="205">
        <f t="shared" ca="1" si="29"/>
        <v>0</v>
      </c>
      <c r="Y45" s="216">
        <f t="shared" ca="1" si="30"/>
        <v>0</v>
      </c>
      <c r="Z45" s="216">
        <f t="shared" ca="1" si="31"/>
        <v>0</v>
      </c>
      <c r="AA45" s="216">
        <f t="shared" ca="1" si="30"/>
        <v>0</v>
      </c>
      <c r="AB45" s="216">
        <f t="shared" ca="1" si="30"/>
        <v>0</v>
      </c>
      <c r="AC45" s="205">
        <f t="shared" ca="1" si="32"/>
        <v>0</v>
      </c>
      <c r="AE45" s="205">
        <f t="shared" ca="1" si="33"/>
        <v>0</v>
      </c>
      <c r="AH45" s="205">
        <f t="shared" ca="1" si="34"/>
        <v>-12</v>
      </c>
      <c r="AJ45" s="205">
        <f t="shared" ca="1" si="35"/>
        <v>-12</v>
      </c>
    </row>
    <row r="46" spans="1:36" x14ac:dyDescent="0.3">
      <c r="A46" s="23">
        <f t="shared" si="18"/>
        <v>15</v>
      </c>
      <c r="B46" s="23" t="str">
        <f t="shared" si="19"/>
        <v/>
      </c>
      <c r="C46" s="23" t="str">
        <f t="shared" si="19"/>
        <v/>
      </c>
      <c r="D46" s="23" t="str">
        <f t="shared" si="20"/>
        <v/>
      </c>
      <c r="F46" s="216" t="str">
        <f t="shared" si="21"/>
        <v/>
      </c>
      <c r="G46" s="216" t="str">
        <f t="shared" si="22"/>
        <v/>
      </c>
      <c r="H46" s="216" t="str">
        <f t="shared" si="21"/>
        <v/>
      </c>
      <c r="I46" s="216" t="str">
        <f t="shared" si="21"/>
        <v/>
      </c>
      <c r="J46" s="23" t="str">
        <f t="shared" si="23"/>
        <v/>
      </c>
      <c r="L46" s="23" t="str">
        <f t="shared" si="24"/>
        <v/>
      </c>
      <c r="O46" s="23" t="str">
        <f t="shared" si="25"/>
        <v/>
      </c>
      <c r="Q46" s="23" t="str">
        <f t="shared" si="26"/>
        <v/>
      </c>
      <c r="T46" s="23">
        <f t="shared" si="27"/>
        <v>15</v>
      </c>
      <c r="U46" s="23" t="str">
        <f t="shared" si="28"/>
        <v/>
      </c>
      <c r="V46" s="23" t="str">
        <f t="shared" si="28"/>
        <v/>
      </c>
      <c r="W46" s="23" t="str">
        <f t="shared" si="29"/>
        <v/>
      </c>
      <c r="Y46" s="216" t="str">
        <f t="shared" si="30"/>
        <v/>
      </c>
      <c r="Z46" s="216" t="str">
        <f t="shared" si="31"/>
        <v/>
      </c>
      <c r="AA46" s="216" t="str">
        <f t="shared" si="30"/>
        <v/>
      </c>
      <c r="AB46" s="216" t="str">
        <f t="shared" si="30"/>
        <v/>
      </c>
      <c r="AC46" s="23" t="str">
        <f t="shared" si="32"/>
        <v/>
      </c>
      <c r="AE46" s="23" t="str">
        <f t="shared" si="33"/>
        <v/>
      </c>
      <c r="AH46" s="23" t="str">
        <f t="shared" si="34"/>
        <v/>
      </c>
      <c r="AJ46" s="23" t="str">
        <f t="shared" si="35"/>
        <v/>
      </c>
    </row>
    <row r="47" spans="1:36" x14ac:dyDescent="0.3">
      <c r="A47" s="205">
        <f t="shared" si="18"/>
        <v>16</v>
      </c>
      <c r="B47" s="205" t="str">
        <f t="shared" si="19"/>
        <v/>
      </c>
      <c r="C47" s="205" t="str">
        <f t="shared" si="19"/>
        <v/>
      </c>
      <c r="D47" s="205" t="str">
        <f t="shared" si="20"/>
        <v/>
      </c>
      <c r="F47" s="216" t="str">
        <f t="shared" si="21"/>
        <v/>
      </c>
      <c r="G47" s="216" t="str">
        <f t="shared" si="22"/>
        <v/>
      </c>
      <c r="H47" s="216" t="str">
        <f t="shared" si="21"/>
        <v/>
      </c>
      <c r="I47" s="216" t="str">
        <f t="shared" si="21"/>
        <v/>
      </c>
      <c r="J47" s="205" t="str">
        <f t="shared" si="23"/>
        <v/>
      </c>
      <c r="L47" s="205" t="str">
        <f t="shared" si="24"/>
        <v/>
      </c>
      <c r="O47" s="205" t="str">
        <f t="shared" si="25"/>
        <v/>
      </c>
      <c r="Q47" s="205" t="str">
        <f t="shared" si="26"/>
        <v/>
      </c>
      <c r="T47" s="205">
        <f t="shared" si="27"/>
        <v>16</v>
      </c>
      <c r="U47" s="205" t="str">
        <f t="shared" si="28"/>
        <v/>
      </c>
      <c r="V47" s="205" t="str">
        <f t="shared" si="28"/>
        <v/>
      </c>
      <c r="W47" s="205" t="str">
        <f t="shared" si="29"/>
        <v/>
      </c>
      <c r="Y47" s="216" t="str">
        <f t="shared" si="30"/>
        <v/>
      </c>
      <c r="Z47" s="216" t="str">
        <f t="shared" si="31"/>
        <v/>
      </c>
      <c r="AA47" s="216" t="str">
        <f t="shared" si="30"/>
        <v/>
      </c>
      <c r="AB47" s="216" t="str">
        <f t="shared" si="30"/>
        <v/>
      </c>
      <c r="AC47" s="205" t="str">
        <f t="shared" si="32"/>
        <v/>
      </c>
      <c r="AE47" s="205" t="str">
        <f t="shared" si="33"/>
        <v/>
      </c>
      <c r="AH47" s="205" t="str">
        <f t="shared" si="34"/>
        <v/>
      </c>
      <c r="AJ47" s="205" t="str">
        <f t="shared" si="35"/>
        <v/>
      </c>
    </row>
    <row r="48" spans="1:36" x14ac:dyDescent="0.3">
      <c r="A48" s="23">
        <f t="shared" si="18"/>
        <v>17</v>
      </c>
      <c r="B48" s="23" t="str">
        <f t="shared" si="19"/>
        <v/>
      </c>
      <c r="C48" s="23" t="str">
        <f t="shared" si="19"/>
        <v/>
      </c>
      <c r="D48" s="23" t="str">
        <f t="shared" si="20"/>
        <v/>
      </c>
      <c r="F48" s="216" t="str">
        <f t="shared" si="21"/>
        <v/>
      </c>
      <c r="G48" s="216" t="str">
        <f t="shared" si="22"/>
        <v/>
      </c>
      <c r="H48" s="216" t="str">
        <f t="shared" si="21"/>
        <v/>
      </c>
      <c r="I48" s="216" t="str">
        <f t="shared" si="21"/>
        <v/>
      </c>
      <c r="J48" s="23" t="str">
        <f t="shared" si="23"/>
        <v/>
      </c>
      <c r="L48" s="23" t="str">
        <f t="shared" si="24"/>
        <v/>
      </c>
      <c r="O48" s="23" t="str">
        <f t="shared" si="25"/>
        <v/>
      </c>
      <c r="Q48" s="23" t="str">
        <f t="shared" si="26"/>
        <v/>
      </c>
      <c r="T48" s="23">
        <f t="shared" si="27"/>
        <v>17</v>
      </c>
      <c r="U48" s="23" t="str">
        <f t="shared" si="28"/>
        <v/>
      </c>
      <c r="V48" s="23" t="str">
        <f t="shared" si="28"/>
        <v/>
      </c>
      <c r="W48" s="23" t="str">
        <f t="shared" si="29"/>
        <v/>
      </c>
      <c r="Y48" s="216" t="str">
        <f t="shared" si="30"/>
        <v/>
      </c>
      <c r="Z48" s="216" t="str">
        <f t="shared" si="31"/>
        <v/>
      </c>
      <c r="AA48" s="216" t="str">
        <f t="shared" si="30"/>
        <v/>
      </c>
      <c r="AB48" s="216" t="str">
        <f t="shared" si="30"/>
        <v/>
      </c>
      <c r="AC48" s="23" t="str">
        <f t="shared" si="32"/>
        <v/>
      </c>
      <c r="AE48" s="23" t="str">
        <f t="shared" si="33"/>
        <v/>
      </c>
      <c r="AH48" s="23" t="str">
        <f t="shared" si="34"/>
        <v/>
      </c>
      <c r="AJ48" s="23" t="str">
        <f t="shared" si="35"/>
        <v/>
      </c>
    </row>
    <row r="49" spans="1:37" x14ac:dyDescent="0.3">
      <c r="A49" s="205">
        <f t="shared" si="18"/>
        <v>18</v>
      </c>
      <c r="B49" s="205" t="str">
        <f t="shared" si="19"/>
        <v/>
      </c>
      <c r="C49" s="205" t="str">
        <f t="shared" si="19"/>
        <v/>
      </c>
      <c r="D49" s="205" t="str">
        <f t="shared" si="20"/>
        <v/>
      </c>
      <c r="F49" s="216" t="str">
        <f t="shared" si="21"/>
        <v/>
      </c>
      <c r="G49" s="216" t="str">
        <f t="shared" si="22"/>
        <v/>
      </c>
      <c r="H49" s="216" t="str">
        <f t="shared" si="21"/>
        <v/>
      </c>
      <c r="I49" s="216" t="str">
        <f t="shared" si="21"/>
        <v/>
      </c>
      <c r="J49" s="205" t="str">
        <f t="shared" si="23"/>
        <v/>
      </c>
      <c r="L49" s="205" t="str">
        <f t="shared" si="24"/>
        <v/>
      </c>
      <c r="O49" s="205" t="str">
        <f t="shared" si="25"/>
        <v/>
      </c>
      <c r="Q49" s="205" t="str">
        <f t="shared" si="26"/>
        <v/>
      </c>
      <c r="T49" s="205">
        <f t="shared" si="27"/>
        <v>18</v>
      </c>
      <c r="U49" s="205" t="str">
        <f t="shared" si="28"/>
        <v/>
      </c>
      <c r="V49" s="205" t="str">
        <f t="shared" si="28"/>
        <v/>
      </c>
      <c r="W49" s="205" t="str">
        <f t="shared" si="29"/>
        <v/>
      </c>
      <c r="Y49" s="216" t="str">
        <f t="shared" si="30"/>
        <v/>
      </c>
      <c r="Z49" s="216" t="str">
        <f t="shared" si="31"/>
        <v/>
      </c>
      <c r="AA49" s="216" t="str">
        <f t="shared" si="30"/>
        <v/>
      </c>
      <c r="AB49" s="216" t="str">
        <f t="shared" si="30"/>
        <v/>
      </c>
      <c r="AC49" s="205" t="str">
        <f t="shared" si="32"/>
        <v/>
      </c>
      <c r="AE49" s="205" t="str">
        <f t="shared" si="33"/>
        <v/>
      </c>
      <c r="AH49" s="205" t="str">
        <f t="shared" si="34"/>
        <v/>
      </c>
      <c r="AJ49" s="205" t="str">
        <f t="shared" si="35"/>
        <v/>
      </c>
    </row>
    <row r="50" spans="1:37" x14ac:dyDescent="0.3">
      <c r="A50" s="23">
        <f t="shared" si="18"/>
        <v>19</v>
      </c>
      <c r="B50" s="23" t="str">
        <f t="shared" si="19"/>
        <v/>
      </c>
      <c r="C50" s="23" t="str">
        <f t="shared" si="19"/>
        <v/>
      </c>
      <c r="D50" s="23" t="str">
        <f t="shared" si="20"/>
        <v/>
      </c>
      <c r="F50" s="216" t="str">
        <f t="shared" si="21"/>
        <v/>
      </c>
      <c r="G50" s="216" t="str">
        <f t="shared" si="22"/>
        <v/>
      </c>
      <c r="H50" s="216" t="str">
        <f t="shared" si="21"/>
        <v/>
      </c>
      <c r="I50" s="216" t="str">
        <f t="shared" si="21"/>
        <v/>
      </c>
      <c r="J50" s="23" t="str">
        <f t="shared" si="23"/>
        <v/>
      </c>
      <c r="L50" s="23" t="str">
        <f t="shared" si="24"/>
        <v/>
      </c>
      <c r="O50" s="23" t="str">
        <f t="shared" si="25"/>
        <v/>
      </c>
      <c r="Q50" s="23" t="str">
        <f t="shared" si="26"/>
        <v/>
      </c>
      <c r="T50" s="23">
        <f t="shared" si="27"/>
        <v>19</v>
      </c>
      <c r="U50" s="23" t="str">
        <f t="shared" si="28"/>
        <v/>
      </c>
      <c r="V50" s="23" t="str">
        <f t="shared" si="28"/>
        <v/>
      </c>
      <c r="W50" s="23" t="str">
        <f t="shared" si="29"/>
        <v/>
      </c>
      <c r="Y50" s="216" t="str">
        <f t="shared" si="30"/>
        <v/>
      </c>
      <c r="Z50" s="216" t="str">
        <f t="shared" si="31"/>
        <v/>
      </c>
      <c r="AA50" s="216" t="str">
        <f t="shared" si="30"/>
        <v/>
      </c>
      <c r="AB50" s="216" t="str">
        <f t="shared" si="30"/>
        <v/>
      </c>
      <c r="AC50" s="23" t="str">
        <f t="shared" si="32"/>
        <v/>
      </c>
      <c r="AE50" s="23" t="str">
        <f t="shared" si="33"/>
        <v/>
      </c>
      <c r="AH50" s="23" t="str">
        <f t="shared" si="34"/>
        <v/>
      </c>
      <c r="AJ50" s="23" t="str">
        <f t="shared" si="35"/>
        <v/>
      </c>
    </row>
    <row r="51" spans="1:37" x14ac:dyDescent="0.3">
      <c r="A51" s="205">
        <f t="shared" si="18"/>
        <v>20</v>
      </c>
      <c r="B51" s="205" t="str">
        <f t="shared" si="19"/>
        <v/>
      </c>
      <c r="C51" s="205" t="str">
        <f t="shared" si="19"/>
        <v/>
      </c>
      <c r="D51" s="205" t="str">
        <f t="shared" si="20"/>
        <v/>
      </c>
      <c r="F51" s="216" t="str">
        <f t="shared" si="21"/>
        <v/>
      </c>
      <c r="G51" s="216" t="str">
        <f t="shared" si="22"/>
        <v/>
      </c>
      <c r="H51" s="216" t="str">
        <f t="shared" si="21"/>
        <v/>
      </c>
      <c r="I51" s="216" t="str">
        <f t="shared" si="21"/>
        <v/>
      </c>
      <c r="J51" s="205" t="str">
        <f t="shared" si="23"/>
        <v/>
      </c>
      <c r="L51" s="205" t="str">
        <f t="shared" si="24"/>
        <v/>
      </c>
      <c r="O51" s="205" t="str">
        <f t="shared" si="25"/>
        <v/>
      </c>
      <c r="Q51" s="205" t="str">
        <f t="shared" si="26"/>
        <v/>
      </c>
      <c r="T51" s="205">
        <f t="shared" si="27"/>
        <v>20</v>
      </c>
      <c r="U51" s="205" t="str">
        <f t="shared" si="28"/>
        <v/>
      </c>
      <c r="V51" s="205" t="str">
        <f t="shared" si="28"/>
        <v/>
      </c>
      <c r="W51" s="205" t="str">
        <f t="shared" si="29"/>
        <v/>
      </c>
      <c r="Y51" s="216" t="str">
        <f t="shared" si="30"/>
        <v/>
      </c>
      <c r="Z51" s="216" t="str">
        <f t="shared" si="31"/>
        <v/>
      </c>
      <c r="AA51" s="216" t="str">
        <f t="shared" si="30"/>
        <v/>
      </c>
      <c r="AB51" s="216" t="str">
        <f t="shared" si="30"/>
        <v/>
      </c>
      <c r="AC51" s="205" t="str">
        <f t="shared" si="32"/>
        <v/>
      </c>
      <c r="AE51" s="205" t="str">
        <f t="shared" si="33"/>
        <v/>
      </c>
      <c r="AH51" s="205" t="str">
        <f t="shared" si="34"/>
        <v/>
      </c>
      <c r="AJ51" s="205" t="str">
        <f t="shared" si="35"/>
        <v/>
      </c>
    </row>
    <row r="53" spans="1:37" x14ac:dyDescent="0.3">
      <c r="A53" s="1162" t="s">
        <v>53</v>
      </c>
      <c r="B53" s="1162"/>
      <c r="C53" s="1162"/>
      <c r="D53" s="151"/>
      <c r="E53" s="151"/>
      <c r="F53" s="151"/>
      <c r="G53" s="151"/>
      <c r="H53" s="151"/>
      <c r="I53" s="151"/>
      <c r="J53" s="151"/>
      <c r="K53" s="151"/>
      <c r="L53" s="151"/>
      <c r="M53" s="151"/>
      <c r="N53" s="151"/>
      <c r="O53" s="151"/>
      <c r="P53" s="151"/>
      <c r="Q53" s="151"/>
      <c r="R53" s="151"/>
      <c r="T53" s="1162" t="s">
        <v>53</v>
      </c>
      <c r="U53" s="1162"/>
      <c r="V53" s="1162"/>
      <c r="W53" s="151"/>
      <c r="X53" s="151"/>
      <c r="Y53" s="151"/>
      <c r="Z53" s="151"/>
      <c r="AA53" s="151"/>
      <c r="AB53" s="151"/>
      <c r="AC53" s="151"/>
      <c r="AD53" s="151"/>
      <c r="AE53" s="151"/>
      <c r="AF53" s="151"/>
      <c r="AG53" s="151"/>
      <c r="AH53" s="151"/>
      <c r="AI53" s="151"/>
      <c r="AJ53" s="151"/>
      <c r="AK53" s="151"/>
    </row>
    <row r="54" spans="1:37" x14ac:dyDescent="0.3">
      <c r="A54" s="210">
        <v>0</v>
      </c>
      <c r="B54" s="210" t="s">
        <v>36</v>
      </c>
      <c r="C54" s="210" t="s">
        <v>37</v>
      </c>
      <c r="D54" s="210" t="s">
        <v>122</v>
      </c>
      <c r="E54" s="149"/>
      <c r="F54" s="215" t="s">
        <v>123</v>
      </c>
      <c r="G54" s="215" t="s">
        <v>123</v>
      </c>
      <c r="H54" s="215" t="s">
        <v>123</v>
      </c>
      <c r="I54" s="215" t="s">
        <v>123</v>
      </c>
      <c r="J54" s="210" t="s">
        <v>46</v>
      </c>
      <c r="K54" s="149"/>
      <c r="L54" s="210" t="s">
        <v>48</v>
      </c>
      <c r="M54" s="149"/>
      <c r="N54" s="212" t="s">
        <v>25</v>
      </c>
      <c r="O54" s="210" t="s">
        <v>124</v>
      </c>
      <c r="P54" s="149"/>
      <c r="Q54" s="210" t="s">
        <v>19</v>
      </c>
      <c r="R54" s="149"/>
      <c r="S54" s="149"/>
      <c r="T54" s="210">
        <v>0</v>
      </c>
      <c r="U54" s="210" t="s">
        <v>36</v>
      </c>
      <c r="V54" s="210" t="s">
        <v>37</v>
      </c>
      <c r="W54" s="210" t="s">
        <v>122</v>
      </c>
      <c r="X54" s="149"/>
      <c r="Y54" s="215" t="s">
        <v>123</v>
      </c>
      <c r="Z54" s="215" t="s">
        <v>123</v>
      </c>
      <c r="AA54" s="215" t="s">
        <v>123</v>
      </c>
      <c r="AB54" s="215" t="s">
        <v>123</v>
      </c>
      <c r="AC54" s="210" t="s">
        <v>46</v>
      </c>
      <c r="AD54" s="149"/>
      <c r="AE54" s="210" t="s">
        <v>48</v>
      </c>
      <c r="AF54" s="149"/>
      <c r="AG54" s="212" t="s">
        <v>25</v>
      </c>
      <c r="AH54" s="210" t="s">
        <v>124</v>
      </c>
      <c r="AI54" s="149"/>
      <c r="AJ54" s="210" t="s">
        <v>19</v>
      </c>
      <c r="AK54" s="149"/>
    </row>
    <row r="55" spans="1:37" x14ac:dyDescent="0.3">
      <c r="A55" s="23">
        <f t="shared" ref="A55:A74" si="36">A54+1</f>
        <v>1</v>
      </c>
      <c r="B55" s="23" t="str">
        <f t="shared" ref="B55:C74" si="37">B9</f>
        <v>0</v>
      </c>
      <c r="C55" s="23" t="str">
        <f t="shared" si="37"/>
        <v>Andi Slamberg</v>
      </c>
      <c r="D55" s="23">
        <f ca="1">IF($B55="","",SUMPRODUCT(--(Lineups!$G$4:$G$41=$B55),--(Lineups!$B$4:$B$41=""),Lineups!$W$4:$W$41))</f>
        <v>52</v>
      </c>
      <c r="F55" s="216">
        <f ca="1">IF($B55="","",SUMPRODUCT(--(Lineups!$G$4:$G$41=$B55),--(Lineups!$B$4:$B$41="X"),Lineups!$W$4:$W$41))</f>
        <v>0</v>
      </c>
      <c r="G55" s="216">
        <f ca="1">IF($B55="","",SUMPRODUCT(--(Lineups!$K$4:$K$41=$B55),Lineups!$W$4:$W$41))</f>
        <v>0</v>
      </c>
      <c r="H55" s="216">
        <f ca="1">IF($B55="","",SUMPRODUCT(--(Lineups!$O$4:$O$41=$B55),Lineups!$W$4:$W$41))</f>
        <v>8</v>
      </c>
      <c r="I55" s="216">
        <f ca="1">IF($B55="","",SUMPRODUCT(--(Lineups!$S$4:$S$41=$B55),Lineups!$W$4:$W$41))</f>
        <v>0</v>
      </c>
      <c r="J55" s="23">
        <f t="shared" ref="J55:J74" ca="1" si="38">IF(B55="","",SUM(F55:I55))</f>
        <v>8</v>
      </c>
      <c r="L55" s="23">
        <f t="shared" ref="L55:L74" ca="1" si="39">IF(B55="","",SUM(D55,J55))</f>
        <v>60</v>
      </c>
      <c r="O55" s="23">
        <f ca="1">IF($B55="","",SUMPRODUCT(--(Lineups!$C$4:$C$41=$B55),Lineups!$W$4:$W$41))</f>
        <v>0</v>
      </c>
      <c r="Q55" s="23">
        <f t="shared" ref="Q55:Q74" ca="1" si="40">IF(B55="","",SUM(L55,O55))</f>
        <v>60</v>
      </c>
      <c r="T55" s="23">
        <f t="shared" ref="T55:T74" si="41">T54+1</f>
        <v>1</v>
      </c>
      <c r="U55" s="23" t="str">
        <f t="shared" ref="U55:V74" si="42">U9</f>
        <v>11</v>
      </c>
      <c r="V55" s="23" t="str">
        <f t="shared" si="42"/>
        <v>Typhoid Maggie</v>
      </c>
      <c r="W55" s="23">
        <f ca="1">IF($U55="","",SUMPRODUCT(--(Lineups!$AG$4:$AG$41=$U55),--(Lineups!$AB$4:$AB$41=""),Lineups!$AW$4:$AW$41))</f>
        <v>0</v>
      </c>
      <c r="Y55" s="216">
        <f ca="1">IF($U55="","",SUMPRODUCT(--(Lineups!$AG$4:$AG$41=$U55),--(Lineups!$AB$4:$AB$41="X"),Lineups!$AW$4:$AW$41))</f>
        <v>0</v>
      </c>
      <c r="Z55" s="216">
        <f ca="1">IF($U55="","",SUMPRODUCT(--(Lineups!$AK$4:$AK$41=$U55),Lineups!$AW$4:$AW$41))</f>
        <v>14</v>
      </c>
      <c r="AA55" s="216">
        <f ca="1">IF($U55="","",SUMPRODUCT(--(Lineups!$AO$4:$AO$41=$U55),Lineups!$AW$4:$AW$41))</f>
        <v>0</v>
      </c>
      <c r="AB55" s="216">
        <f ca="1">IF($U55="","",SUMPRODUCT(--(Lineups!$AS$4:$AS$41=$U55),Lineups!$AW$4:$AW$41))</f>
        <v>0</v>
      </c>
      <c r="AC55" s="23">
        <f t="shared" ref="AC55:AC74" ca="1" si="43">IF(U55="","",SUM(Y55:AB55))</f>
        <v>14</v>
      </c>
      <c r="AE55" s="23">
        <f t="shared" ref="AE55:AE74" ca="1" si="44">IF(U55="","",SUM(W55,AC55))</f>
        <v>14</v>
      </c>
      <c r="AH55" s="23">
        <f ca="1">IF($U55="","",SUMPRODUCT(--(Lineups!$AC$4:$AC$41=$U55),Lineups!$AW$4:$AW$41))</f>
        <v>0</v>
      </c>
      <c r="AJ55" s="23">
        <f t="shared" ref="AJ55:AJ74" ca="1" si="45">IF(U55="","",SUM(AE55,AH55))</f>
        <v>14</v>
      </c>
    </row>
    <row r="56" spans="1:37" x14ac:dyDescent="0.3">
      <c r="A56" s="205">
        <f t="shared" si="36"/>
        <v>2</v>
      </c>
      <c r="B56" s="205" t="str">
        <f t="shared" si="37"/>
        <v>1321</v>
      </c>
      <c r="C56" s="205" t="str">
        <f t="shared" si="37"/>
        <v>Kristy Skelton</v>
      </c>
      <c r="D56" s="205">
        <f ca="1">IF($B56="","",SUMPRODUCT(--(Lineups!$G$4:$G$41=$B56),--(Lineups!$B$4:$B$41=""),Lineups!$W$4:$W$41))</f>
        <v>0</v>
      </c>
      <c r="F56" s="216">
        <f ca="1">IF($B56="","",SUMPRODUCT(--(Lineups!$G$4:$G$41=$B56),--(Lineups!$B$4:$B$41="X"),Lineups!$W$4:$W$41))</f>
        <v>0</v>
      </c>
      <c r="G56" s="216">
        <f ca="1">IF($B56="","",SUMPRODUCT(--(Lineups!$K$4:$K$41=$B56),Lineups!$W$4:$W$41))</f>
        <v>0</v>
      </c>
      <c r="H56" s="216">
        <f ca="1">IF($B56="","",SUMPRODUCT(--(Lineups!$O$4:$O$41=$B56),Lineups!$W$4:$W$41))</f>
        <v>0</v>
      </c>
      <c r="I56" s="216">
        <f ca="1">IF($B56="","",SUMPRODUCT(--(Lineups!$S$4:$S$41=$B56),Lineups!$W$4:$W$41))</f>
        <v>0</v>
      </c>
      <c r="J56" s="205">
        <f t="shared" ca="1" si="38"/>
        <v>0</v>
      </c>
      <c r="L56" s="205">
        <f t="shared" ca="1" si="39"/>
        <v>0</v>
      </c>
      <c r="O56" s="205">
        <f ca="1">IF($B56="","",SUMPRODUCT(--(Lineups!$C$4:$C$41=$B56),Lineups!$W$4:$W$41))</f>
        <v>8</v>
      </c>
      <c r="Q56" s="205">
        <f t="shared" ca="1" si="40"/>
        <v>8</v>
      </c>
      <c r="T56" s="205">
        <f t="shared" si="41"/>
        <v>2</v>
      </c>
      <c r="U56" s="205" t="str">
        <f t="shared" si="42"/>
        <v>11G6</v>
      </c>
      <c r="V56" s="205" t="str">
        <f t="shared" si="42"/>
        <v>Fista Krusher</v>
      </c>
      <c r="W56" s="205">
        <f ca="1">IF($U56="","",SUMPRODUCT(--(Lineups!$AG$4:$AG$41=$U56),--(Lineups!$AB$4:$AB$41=""),Lineups!$AW$4:$AW$41))</f>
        <v>0</v>
      </c>
      <c r="Y56" s="216">
        <f ca="1">IF($U56="","",SUMPRODUCT(--(Lineups!$AG$4:$AG$41=$U56),--(Lineups!$AB$4:$AB$41="X"),Lineups!$AW$4:$AW$41))</f>
        <v>0</v>
      </c>
      <c r="Z56" s="216">
        <f ca="1">IF($U56="","",SUMPRODUCT(--(Lineups!$AK$4:$AK$41=$U56),Lineups!$AW$4:$AW$41))</f>
        <v>0</v>
      </c>
      <c r="AA56" s="216">
        <f ca="1">IF($U56="","",SUMPRODUCT(--(Lineups!$AO$4:$AO$41=$U56),Lineups!$AW$4:$AW$41))</f>
        <v>0</v>
      </c>
      <c r="AB56" s="216">
        <f ca="1">IF($U56="","",SUMPRODUCT(--(Lineups!$AS$4:$AS$41=$U56),Lineups!$AW$4:$AW$41))</f>
        <v>0</v>
      </c>
      <c r="AC56" s="205">
        <f t="shared" ca="1" si="43"/>
        <v>0</v>
      </c>
      <c r="AE56" s="205">
        <f t="shared" ca="1" si="44"/>
        <v>0</v>
      </c>
      <c r="AH56" s="205">
        <f ca="1">IF($U56="","",SUMPRODUCT(--(Lineups!$AC$4:$AC$41=$U56),Lineups!$AW$4:$AW$41))</f>
        <v>7</v>
      </c>
      <c r="AJ56" s="205">
        <f t="shared" ca="1" si="45"/>
        <v>7</v>
      </c>
    </row>
    <row r="57" spans="1:37" x14ac:dyDescent="0.3">
      <c r="A57" s="23">
        <f t="shared" si="36"/>
        <v>3</v>
      </c>
      <c r="B57" s="23" t="str">
        <f t="shared" si="37"/>
        <v>17</v>
      </c>
      <c r="C57" s="23" t="str">
        <f t="shared" si="37"/>
        <v>Justine Sane</v>
      </c>
      <c r="D57" s="23">
        <f ca="1">IF($B57="","",SUMPRODUCT(--(Lineups!$G$4:$G$41=$B57),--(Lineups!$B$4:$B$41=""),Lineups!$W$4:$W$41))</f>
        <v>0</v>
      </c>
      <c r="F57" s="216">
        <f ca="1">IF($B57="","",SUMPRODUCT(--(Lineups!$G$4:$G$41=$B57),--(Lineups!$B$4:$B$41="X"),Lineups!$W$4:$W$41))</f>
        <v>0</v>
      </c>
      <c r="G57" s="216">
        <f ca="1">IF($B57="","",SUMPRODUCT(--(Lineups!$K$4:$K$41=$B57),Lineups!$W$4:$W$41))</f>
        <v>20</v>
      </c>
      <c r="H57" s="216">
        <f ca="1">IF($B57="","",SUMPRODUCT(--(Lineups!$O$4:$O$41=$B57),Lineups!$W$4:$W$41))</f>
        <v>24</v>
      </c>
      <c r="I57" s="216">
        <f ca="1">IF($B57="","",SUMPRODUCT(--(Lineups!$S$4:$S$41=$B57),Lineups!$W$4:$W$41))</f>
        <v>4</v>
      </c>
      <c r="J57" s="23">
        <f t="shared" ca="1" si="38"/>
        <v>48</v>
      </c>
      <c r="L57" s="23">
        <f t="shared" ca="1" si="39"/>
        <v>48</v>
      </c>
      <c r="O57" s="23">
        <f ca="1">IF($B57="","",SUMPRODUCT(--(Lineups!$C$4:$C$41=$B57),Lineups!$W$4:$W$41))</f>
        <v>0</v>
      </c>
      <c r="Q57" s="23">
        <f t="shared" ca="1" si="40"/>
        <v>48</v>
      </c>
      <c r="T57" s="23">
        <f t="shared" si="41"/>
        <v>3</v>
      </c>
      <c r="U57" s="23" t="str">
        <f t="shared" si="42"/>
        <v>152</v>
      </c>
      <c r="V57" s="23" t="str">
        <f t="shared" si="42"/>
        <v>Hitty Pryde</v>
      </c>
      <c r="W57" s="23">
        <f ca="1">IF($U57="","",SUMPRODUCT(--(Lineups!$AG$4:$AG$41=$U57),--(Lineups!$AB$4:$AB$41=""),Lineups!$AW$4:$AW$41))</f>
        <v>0</v>
      </c>
      <c r="Y57" s="216">
        <f ca="1">IF($U57="","",SUMPRODUCT(--(Lineups!$AG$4:$AG$41=$U57),--(Lineups!$AB$4:$AB$41="X"),Lineups!$AW$4:$AW$41))</f>
        <v>0</v>
      </c>
      <c r="Z57" s="216">
        <f ca="1">IF($U57="","",SUMPRODUCT(--(Lineups!$AK$4:$AK$41=$U57),Lineups!$AW$4:$AW$41))</f>
        <v>3</v>
      </c>
      <c r="AA57" s="216">
        <f ca="1">IF($U57="","",SUMPRODUCT(--(Lineups!$AO$4:$AO$41=$U57),Lineups!$AW$4:$AW$41))</f>
        <v>0</v>
      </c>
      <c r="AB57" s="216">
        <f ca="1">IF($U57="","",SUMPRODUCT(--(Lineups!$AS$4:$AS$41=$U57),Lineups!$AW$4:$AW$41))</f>
        <v>0</v>
      </c>
      <c r="AC57" s="23">
        <f t="shared" ca="1" si="43"/>
        <v>3</v>
      </c>
      <c r="AE57" s="23">
        <f t="shared" ca="1" si="44"/>
        <v>3</v>
      </c>
      <c r="AH57" s="23">
        <f ca="1">IF($U57="","",SUMPRODUCT(--(Lineups!$AC$4:$AC$41=$U57),Lineups!$AW$4:$AW$41))</f>
        <v>0</v>
      </c>
      <c r="AJ57" s="23">
        <f t="shared" ca="1" si="45"/>
        <v>3</v>
      </c>
    </row>
    <row r="58" spans="1:37" x14ac:dyDescent="0.3">
      <c r="A58" s="205">
        <f t="shared" si="36"/>
        <v>4</v>
      </c>
      <c r="B58" s="205" t="str">
        <f t="shared" si="37"/>
        <v>19</v>
      </c>
      <c r="C58" s="205" t="str">
        <f t="shared" si="37"/>
        <v>Lippy Wrongstockings</v>
      </c>
      <c r="D58" s="205">
        <f ca="1">IF($B58="","",SUMPRODUCT(--(Lineups!$G$4:$G$41=$B58),--(Lineups!$B$4:$B$41=""),Lineups!$W$4:$W$41))</f>
        <v>0</v>
      </c>
      <c r="F58" s="216">
        <f ca="1">IF($B58="","",SUMPRODUCT(--(Lineups!$G$4:$G$41=$B58),--(Lineups!$B$4:$B$41="X"),Lineups!$W$4:$W$41))</f>
        <v>0</v>
      </c>
      <c r="G58" s="216">
        <f ca="1">IF($B58="","",SUMPRODUCT(--(Lineups!$K$4:$K$41=$B58),Lineups!$W$4:$W$41))</f>
        <v>0</v>
      </c>
      <c r="H58" s="216">
        <f ca="1">IF($B58="","",SUMPRODUCT(--(Lineups!$O$4:$O$41=$B58),Lineups!$W$4:$W$41))</f>
        <v>0</v>
      </c>
      <c r="I58" s="216">
        <f ca="1">IF($B58="","",SUMPRODUCT(--(Lineups!$S$4:$S$41=$B58),Lineups!$W$4:$W$41))</f>
        <v>0</v>
      </c>
      <c r="J58" s="205">
        <f t="shared" ca="1" si="38"/>
        <v>0</v>
      </c>
      <c r="L58" s="205">
        <f t="shared" ca="1" si="39"/>
        <v>0</v>
      </c>
      <c r="O58" s="205">
        <f ca="1">IF($B58="","",SUMPRODUCT(--(Lineups!$C$4:$C$41=$B58),Lineups!$W$4:$W$41))</f>
        <v>34</v>
      </c>
      <c r="Q58" s="205">
        <f t="shared" ca="1" si="40"/>
        <v>34</v>
      </c>
      <c r="T58" s="205">
        <f t="shared" si="41"/>
        <v>4</v>
      </c>
      <c r="U58" s="205" t="str">
        <f t="shared" si="42"/>
        <v xml:space="preserve">237 </v>
      </c>
      <c r="V58" s="205" t="str">
        <f t="shared" si="42"/>
        <v>GuilloTina</v>
      </c>
      <c r="W58" s="205">
        <f ca="1">IF($U58="","",SUMPRODUCT(--(Lineups!$AG$4:$AG$41=$U58),--(Lineups!$AB$4:$AB$41=""),Lineups!$AW$4:$AW$41))</f>
        <v>0</v>
      </c>
      <c r="Y58" s="216">
        <f ca="1">IF($U58="","",SUMPRODUCT(--(Lineups!$AG$4:$AG$41=$U58),--(Lineups!$AB$4:$AB$41="X"),Lineups!$AW$4:$AW$41))</f>
        <v>0</v>
      </c>
      <c r="Z58" s="216">
        <f ca="1">IF($U58="","",SUMPRODUCT(--(Lineups!$AK$4:$AK$41=$U58),Lineups!$AW$4:$AW$41))</f>
        <v>0</v>
      </c>
      <c r="AA58" s="216">
        <f ca="1">IF($U58="","",SUMPRODUCT(--(Lineups!$AO$4:$AO$41=$U58),Lineups!$AW$4:$AW$41))</f>
        <v>0</v>
      </c>
      <c r="AB58" s="216">
        <f ca="1">IF($U58="","",SUMPRODUCT(--(Lineups!$AS$4:$AS$41=$U58),Lineups!$AW$4:$AW$41))</f>
        <v>0</v>
      </c>
      <c r="AC58" s="205">
        <f t="shared" ca="1" si="43"/>
        <v>0</v>
      </c>
      <c r="AE58" s="205">
        <f t="shared" ca="1" si="44"/>
        <v>0</v>
      </c>
      <c r="AH58" s="205">
        <f ca="1">IF($U58="","",SUMPRODUCT(--(Lineups!$AC$4:$AC$41=$U58),Lineups!$AW$4:$AW$41))</f>
        <v>0</v>
      </c>
      <c r="AJ58" s="205">
        <f t="shared" ca="1" si="45"/>
        <v>0</v>
      </c>
    </row>
    <row r="59" spans="1:37" x14ac:dyDescent="0.3">
      <c r="A59" s="23">
        <f t="shared" si="36"/>
        <v>5</v>
      </c>
      <c r="B59" s="23" t="str">
        <f t="shared" si="37"/>
        <v>20</v>
      </c>
      <c r="C59" s="23" t="str">
        <f t="shared" si="37"/>
        <v>Zooks</v>
      </c>
      <c r="D59" s="23">
        <f ca="1">IF($B59="","",SUMPRODUCT(--(Lineups!$G$4:$G$41=$B59),--(Lineups!$B$4:$B$41=""),Lineups!$W$4:$W$41))</f>
        <v>0</v>
      </c>
      <c r="F59" s="216">
        <f ca="1">IF($B59="","",SUMPRODUCT(--(Lineups!$G$4:$G$41=$B59),--(Lineups!$B$4:$B$41="X"),Lineups!$W$4:$W$41))</f>
        <v>0</v>
      </c>
      <c r="G59" s="216">
        <f ca="1">IF($B59="","",SUMPRODUCT(--(Lineups!$K$4:$K$41=$B59),Lineups!$W$4:$W$41))</f>
        <v>17</v>
      </c>
      <c r="H59" s="216">
        <f ca="1">IF($B59="","",SUMPRODUCT(--(Lineups!$O$4:$O$41=$B59),Lineups!$W$4:$W$41))</f>
        <v>13</v>
      </c>
      <c r="I59" s="216">
        <f ca="1">IF($B59="","",SUMPRODUCT(--(Lineups!$S$4:$S$41=$B59),Lineups!$W$4:$W$41))</f>
        <v>29</v>
      </c>
      <c r="J59" s="23">
        <f t="shared" ca="1" si="38"/>
        <v>59</v>
      </c>
      <c r="L59" s="23">
        <f t="shared" ca="1" si="39"/>
        <v>59</v>
      </c>
      <c r="O59" s="23">
        <f ca="1">IF($B59="","",SUMPRODUCT(--(Lineups!$C$4:$C$41=$B59),Lineups!$W$4:$W$41))</f>
        <v>0</v>
      </c>
      <c r="Q59" s="23">
        <f t="shared" ca="1" si="40"/>
        <v>59</v>
      </c>
      <c r="T59" s="23">
        <f t="shared" si="41"/>
        <v>5</v>
      </c>
      <c r="U59" s="23" t="str">
        <f t="shared" si="42"/>
        <v>26</v>
      </c>
      <c r="V59" s="23" t="str">
        <f t="shared" si="42"/>
        <v>Bam Bam Bigelow</v>
      </c>
      <c r="W59" s="23">
        <f ca="1">IF($U59="","",SUMPRODUCT(--(Lineups!$AG$4:$AG$41=$U59),--(Lineups!$AB$4:$AB$41=""),Lineups!$AW$4:$AW$41))</f>
        <v>14</v>
      </c>
      <c r="Y59" s="216">
        <f ca="1">IF($U59="","",SUMPRODUCT(--(Lineups!$AG$4:$AG$41=$U59),--(Lineups!$AB$4:$AB$41="X"),Lineups!$AW$4:$AW$41))</f>
        <v>0</v>
      </c>
      <c r="Z59" s="216">
        <f ca="1">IF($U59="","",SUMPRODUCT(--(Lineups!$AK$4:$AK$41=$U59),Lineups!$AW$4:$AW$41))</f>
        <v>0</v>
      </c>
      <c r="AA59" s="216">
        <f ca="1">IF($U59="","",SUMPRODUCT(--(Lineups!$AO$4:$AO$41=$U59),Lineups!$AW$4:$AW$41))</f>
        <v>0</v>
      </c>
      <c r="AB59" s="216">
        <f ca="1">IF($U59="","",SUMPRODUCT(--(Lineups!$AS$4:$AS$41=$U59),Lineups!$AW$4:$AW$41))</f>
        <v>0</v>
      </c>
      <c r="AC59" s="23">
        <f t="shared" ca="1" si="43"/>
        <v>0</v>
      </c>
      <c r="AE59" s="23">
        <f t="shared" ca="1" si="44"/>
        <v>14</v>
      </c>
      <c r="AH59" s="23">
        <f ca="1">IF($U59="","",SUMPRODUCT(--(Lineups!$AC$4:$AC$41=$U59),Lineups!$AW$4:$AW$41))</f>
        <v>0</v>
      </c>
      <c r="AJ59" s="23">
        <f t="shared" ca="1" si="45"/>
        <v>14</v>
      </c>
    </row>
    <row r="60" spans="1:37" x14ac:dyDescent="0.3">
      <c r="A60" s="205">
        <f t="shared" si="36"/>
        <v>6</v>
      </c>
      <c r="B60" s="205" t="str">
        <f t="shared" si="37"/>
        <v>303</v>
      </c>
      <c r="C60" s="205" t="str">
        <f t="shared" si="37"/>
        <v>Violent NoRegard</v>
      </c>
      <c r="D60" s="205">
        <f ca="1">IF($B60="","",SUMPRODUCT(--(Lineups!$G$4:$G$41=$B60),--(Lineups!$B$4:$B$41=""),Lineups!$W$4:$W$41))</f>
        <v>0</v>
      </c>
      <c r="F60" s="216">
        <f ca="1">IF($B60="","",SUMPRODUCT(--(Lineups!$G$4:$G$41=$B60),--(Lineups!$B$4:$B$41="X"),Lineups!$W$4:$W$41))</f>
        <v>0</v>
      </c>
      <c r="G60" s="216">
        <f ca="1">IF($B60="","",SUMPRODUCT(--(Lineups!$K$4:$K$41=$B60),Lineups!$W$4:$W$41))</f>
        <v>12</v>
      </c>
      <c r="H60" s="216">
        <f ca="1">IF($B60="","",SUMPRODUCT(--(Lineups!$O$4:$O$41=$B60),Lineups!$W$4:$W$41))</f>
        <v>35</v>
      </c>
      <c r="I60" s="216">
        <f ca="1">IF($B60="","",SUMPRODUCT(--(Lineups!$S$4:$S$41=$B60),Lineups!$W$4:$W$41))</f>
        <v>8</v>
      </c>
      <c r="J60" s="205">
        <f t="shared" ca="1" si="38"/>
        <v>55</v>
      </c>
      <c r="L60" s="205">
        <f t="shared" ca="1" si="39"/>
        <v>55</v>
      </c>
      <c r="O60" s="205">
        <f ca="1">IF($B60="","",SUMPRODUCT(--(Lineups!$C$4:$C$41=$B60),Lineups!$W$4:$W$41))</f>
        <v>0</v>
      </c>
      <c r="Q60" s="205">
        <f t="shared" ca="1" si="40"/>
        <v>55</v>
      </c>
      <c r="T60" s="205">
        <f t="shared" si="41"/>
        <v>6</v>
      </c>
      <c r="U60" s="205" t="str">
        <f t="shared" si="42"/>
        <v>2611</v>
      </c>
      <c r="V60" s="205" t="str">
        <f t="shared" si="42"/>
        <v>Va Va BOOM</v>
      </c>
      <c r="W60" s="205">
        <f ca="1">IF($U60="","",SUMPRODUCT(--(Lineups!$AG$4:$AG$41=$U60),--(Lineups!$AB$4:$AB$41=""),Lineups!$AW$4:$AW$41))</f>
        <v>0</v>
      </c>
      <c r="Y60" s="216">
        <f ca="1">IF($U60="","",SUMPRODUCT(--(Lineups!$AG$4:$AG$41=$U60),--(Lineups!$AB$4:$AB$41="X"),Lineups!$AW$4:$AW$41))</f>
        <v>0</v>
      </c>
      <c r="Z60" s="216">
        <f ca="1">IF($U60="","",SUMPRODUCT(--(Lineups!$AK$4:$AK$41=$U60),Lineups!$AW$4:$AW$41))</f>
        <v>4</v>
      </c>
      <c r="AA60" s="216">
        <f ca="1">IF($U60="","",SUMPRODUCT(--(Lineups!$AO$4:$AO$41=$U60),Lineups!$AW$4:$AW$41))</f>
        <v>0</v>
      </c>
      <c r="AB60" s="216">
        <f ca="1">IF($U60="","",SUMPRODUCT(--(Lineups!$AS$4:$AS$41=$U60),Lineups!$AW$4:$AW$41))</f>
        <v>17</v>
      </c>
      <c r="AC60" s="205">
        <f t="shared" ca="1" si="43"/>
        <v>21</v>
      </c>
      <c r="AE60" s="205">
        <f t="shared" ca="1" si="44"/>
        <v>21</v>
      </c>
      <c r="AH60" s="205">
        <f ca="1">IF($U60="","",SUMPRODUCT(--(Lineups!$AC$4:$AC$41=$U60),Lineups!$AW$4:$AW$41))</f>
        <v>0</v>
      </c>
      <c r="AJ60" s="205">
        <f t="shared" ca="1" si="45"/>
        <v>21</v>
      </c>
    </row>
    <row r="61" spans="1:37" x14ac:dyDescent="0.3">
      <c r="A61" s="23">
        <f t="shared" si="36"/>
        <v>7</v>
      </c>
      <c r="B61" s="23" t="str">
        <f t="shared" si="37"/>
        <v>33</v>
      </c>
      <c r="C61" s="23" t="str">
        <f t="shared" si="37"/>
        <v>Suzy Slam</v>
      </c>
      <c r="D61" s="23">
        <f ca="1">IF($B61="","",SUMPRODUCT(--(Lineups!$G$4:$G$41=$B61),--(Lineups!$B$4:$B$41=""),Lineups!$W$4:$W$41))</f>
        <v>0</v>
      </c>
      <c r="F61" s="216">
        <f ca="1">IF($B61="","",SUMPRODUCT(--(Lineups!$G$4:$G$41=$B61),--(Lineups!$B$4:$B$41="X"),Lineups!$W$4:$W$41))</f>
        <v>0</v>
      </c>
      <c r="G61" s="216">
        <f ca="1">IF($B61="","",SUMPRODUCT(--(Lineups!$K$4:$K$41=$B61),Lineups!$W$4:$W$41))</f>
        <v>29</v>
      </c>
      <c r="H61" s="216">
        <f ca="1">IF($B61="","",SUMPRODUCT(--(Lineups!$O$4:$O$41=$B61),Lineups!$W$4:$W$41))</f>
        <v>24</v>
      </c>
      <c r="I61" s="216">
        <f ca="1">IF($B61="","",SUMPRODUCT(--(Lineups!$S$4:$S$41=$B61),Lineups!$W$4:$W$41))</f>
        <v>0</v>
      </c>
      <c r="J61" s="23">
        <f t="shared" ca="1" si="38"/>
        <v>53</v>
      </c>
      <c r="L61" s="23">
        <f t="shared" ca="1" si="39"/>
        <v>53</v>
      </c>
      <c r="O61" s="23">
        <f ca="1">IF($B61="","",SUMPRODUCT(--(Lineups!$C$4:$C$41=$B61),Lineups!$W$4:$W$41))</f>
        <v>0</v>
      </c>
      <c r="Q61" s="23">
        <f t="shared" ca="1" si="40"/>
        <v>53</v>
      </c>
      <c r="T61" s="23">
        <f t="shared" si="41"/>
        <v>7</v>
      </c>
      <c r="U61" s="23" t="str">
        <f t="shared" si="42"/>
        <v>45</v>
      </c>
      <c r="V61" s="23" t="str">
        <f t="shared" si="42"/>
        <v>Miss Carriage</v>
      </c>
      <c r="W61" s="23">
        <f ca="1">IF($U61="","",SUMPRODUCT(--(Lineups!$AG$4:$AG$41=$U61),--(Lineups!$AB$4:$AB$41=""),Lineups!$AW$4:$AW$41))</f>
        <v>11</v>
      </c>
      <c r="Y61" s="216">
        <f ca="1">IF($U61="","",SUMPRODUCT(--(Lineups!$AG$4:$AG$41=$U61),--(Lineups!$AB$4:$AB$41="X"),Lineups!$AW$4:$AW$41))</f>
        <v>0</v>
      </c>
      <c r="Z61" s="216">
        <f ca="1">IF($U61="","",SUMPRODUCT(--(Lineups!$AK$4:$AK$41=$U61),Lineups!$AW$4:$AW$41))</f>
        <v>0</v>
      </c>
      <c r="AA61" s="216">
        <f ca="1">IF($U61="","",SUMPRODUCT(--(Lineups!$AO$4:$AO$41=$U61),Lineups!$AW$4:$AW$41))</f>
        <v>0</v>
      </c>
      <c r="AB61" s="216">
        <f ca="1">IF($U61="","",SUMPRODUCT(--(Lineups!$AS$4:$AS$41=$U61),Lineups!$AW$4:$AW$41))</f>
        <v>0</v>
      </c>
      <c r="AC61" s="23">
        <f t="shared" ca="1" si="43"/>
        <v>0</v>
      </c>
      <c r="AE61" s="23">
        <f t="shared" ca="1" si="44"/>
        <v>11</v>
      </c>
      <c r="AH61" s="23">
        <f ca="1">IF($U61="","",SUMPRODUCT(--(Lineups!$AC$4:$AC$41=$U61),Lineups!$AW$4:$AW$41))</f>
        <v>0</v>
      </c>
      <c r="AJ61" s="23">
        <f t="shared" ca="1" si="45"/>
        <v>11</v>
      </c>
    </row>
    <row r="62" spans="1:37" x14ac:dyDescent="0.3">
      <c r="A62" s="205">
        <f t="shared" si="36"/>
        <v>8</v>
      </c>
      <c r="B62" s="205" t="str">
        <f t="shared" si="37"/>
        <v>4</v>
      </c>
      <c r="C62" s="205" t="str">
        <f t="shared" si="37"/>
        <v>Psykosonic</v>
      </c>
      <c r="D62" s="205">
        <f ca="1">IF($B62="","",SUMPRODUCT(--(Lineups!$G$4:$G$41=$B62),--(Lineups!$B$4:$B$41=""),Lineups!$W$4:$W$41))</f>
        <v>0</v>
      </c>
      <c r="F62" s="216">
        <f ca="1">IF($B62="","",SUMPRODUCT(--(Lineups!$G$4:$G$41=$B62),--(Lineups!$B$4:$B$41="X"),Lineups!$W$4:$W$41))</f>
        <v>0</v>
      </c>
      <c r="G62" s="216">
        <f ca="1">IF($B62="","",SUMPRODUCT(--(Lineups!$K$4:$K$41=$B62),Lineups!$W$4:$W$41))</f>
        <v>0</v>
      </c>
      <c r="H62" s="216">
        <f ca="1">IF($B62="","",SUMPRODUCT(--(Lineups!$O$4:$O$41=$B62),Lineups!$W$4:$W$41))</f>
        <v>0</v>
      </c>
      <c r="I62" s="216">
        <f ca="1">IF($B62="","",SUMPRODUCT(--(Lineups!$S$4:$S$41=$B62),Lineups!$W$4:$W$41))</f>
        <v>0</v>
      </c>
      <c r="J62" s="205">
        <f t="shared" ca="1" si="38"/>
        <v>0</v>
      </c>
      <c r="L62" s="205">
        <f t="shared" ca="1" si="39"/>
        <v>0</v>
      </c>
      <c r="O62" s="205">
        <f ca="1">IF($B62="","",SUMPRODUCT(--(Lineups!$C$4:$C$41=$B62),Lineups!$W$4:$W$41))</f>
        <v>48</v>
      </c>
      <c r="Q62" s="205">
        <f t="shared" ca="1" si="40"/>
        <v>48</v>
      </c>
      <c r="T62" s="205">
        <f t="shared" si="41"/>
        <v>8</v>
      </c>
      <c r="U62" s="205" t="str">
        <f t="shared" si="42"/>
        <v>451</v>
      </c>
      <c r="V62" s="205" t="str">
        <f t="shared" si="42"/>
        <v>fErinheit</v>
      </c>
      <c r="W62" s="205">
        <f ca="1">IF($U62="","",SUMPRODUCT(--(Lineups!$AG$4:$AG$41=$U62),--(Lineups!$AB$4:$AB$41=""),Lineups!$AW$4:$AW$41))</f>
        <v>0</v>
      </c>
      <c r="Y62" s="216">
        <f ca="1">IF($U62="","",SUMPRODUCT(--(Lineups!$AG$4:$AG$41=$U62),--(Lineups!$AB$4:$AB$41="X"),Lineups!$AW$4:$AW$41))</f>
        <v>0</v>
      </c>
      <c r="Z62" s="216">
        <f ca="1">IF($U62="","",SUMPRODUCT(--(Lineups!$AK$4:$AK$41=$U62),Lineups!$AW$4:$AW$41))</f>
        <v>0</v>
      </c>
      <c r="AA62" s="216">
        <f ca="1">IF($U62="","",SUMPRODUCT(--(Lineups!$AO$4:$AO$41=$U62),Lineups!$AW$4:$AW$41))</f>
        <v>0</v>
      </c>
      <c r="AB62" s="216">
        <f ca="1">IF($U62="","",SUMPRODUCT(--(Lineups!$AS$4:$AS$41=$U62),Lineups!$AW$4:$AW$41))</f>
        <v>0</v>
      </c>
      <c r="AC62" s="205">
        <f t="shared" ca="1" si="43"/>
        <v>0</v>
      </c>
      <c r="AE62" s="205">
        <f t="shared" ca="1" si="44"/>
        <v>0</v>
      </c>
      <c r="AH62" s="205">
        <f ca="1">IF($U62="","",SUMPRODUCT(--(Lineups!$AC$4:$AC$41=$U62),Lineups!$AW$4:$AW$41))</f>
        <v>14</v>
      </c>
      <c r="AJ62" s="205">
        <f t="shared" ca="1" si="45"/>
        <v>14</v>
      </c>
    </row>
    <row r="63" spans="1:37" x14ac:dyDescent="0.3">
      <c r="A63" s="23">
        <f t="shared" si="36"/>
        <v>9</v>
      </c>
      <c r="B63" s="23" t="str">
        <f t="shared" si="37"/>
        <v>42</v>
      </c>
      <c r="C63" s="23" t="str">
        <f t="shared" si="37"/>
        <v>Meg N' Plead</v>
      </c>
      <c r="D63" s="23">
        <f ca="1">IF($B63="","",SUMPRODUCT(--(Lineups!$G$4:$G$41=$B63),--(Lineups!$B$4:$B$41=""),Lineups!$W$4:$W$41))</f>
        <v>0</v>
      </c>
      <c r="F63" s="216">
        <f ca="1">IF($B63="","",SUMPRODUCT(--(Lineups!$G$4:$G$41=$B63),--(Lineups!$B$4:$B$41="X"),Lineups!$W$4:$W$41))</f>
        <v>0</v>
      </c>
      <c r="G63" s="216">
        <f ca="1">IF($B63="","",SUMPRODUCT(--(Lineups!$K$4:$K$41=$B63),Lineups!$W$4:$W$41))</f>
        <v>9</v>
      </c>
      <c r="H63" s="216">
        <f ca="1">IF($B63="","",SUMPRODUCT(--(Lineups!$O$4:$O$41=$B63),Lineups!$W$4:$W$41))</f>
        <v>8</v>
      </c>
      <c r="I63" s="216">
        <f ca="1">IF($B63="","",SUMPRODUCT(--(Lineups!$S$4:$S$41=$B63),Lineups!$W$4:$W$41))</f>
        <v>0</v>
      </c>
      <c r="J63" s="23">
        <f t="shared" ca="1" si="38"/>
        <v>17</v>
      </c>
      <c r="L63" s="23">
        <f t="shared" ca="1" si="39"/>
        <v>17</v>
      </c>
      <c r="O63" s="23">
        <f ca="1">IF($B63="","",SUMPRODUCT(--(Lineups!$C$4:$C$41=$B63),Lineups!$W$4:$W$41))</f>
        <v>0</v>
      </c>
      <c r="Q63" s="23">
        <f t="shared" ca="1" si="40"/>
        <v>17</v>
      </c>
      <c r="T63" s="23">
        <f t="shared" si="41"/>
        <v>9</v>
      </c>
      <c r="U63" s="23" t="str">
        <f t="shared" si="42"/>
        <v>511</v>
      </c>
      <c r="V63" s="23" t="str">
        <f t="shared" si="42"/>
        <v>Bean Stalker</v>
      </c>
      <c r="W63" s="23">
        <f ca="1">IF($U63="","",SUMPRODUCT(--(Lineups!$AG$4:$AG$41=$U63),--(Lineups!$AB$4:$AB$41=""),Lineups!$AW$4:$AW$41))</f>
        <v>0</v>
      </c>
      <c r="Y63" s="216">
        <f ca="1">IF($U63="","",SUMPRODUCT(--(Lineups!$AG$4:$AG$41=$U63),--(Lineups!$AB$4:$AB$41="X"),Lineups!$AW$4:$AW$41))</f>
        <v>0</v>
      </c>
      <c r="Z63" s="216">
        <f ca="1">IF($U63="","",SUMPRODUCT(--(Lineups!$AK$4:$AK$41=$U63),Lineups!$AW$4:$AW$41))</f>
        <v>0</v>
      </c>
      <c r="AA63" s="216">
        <f ca="1">IF($U63="","",SUMPRODUCT(--(Lineups!$AO$4:$AO$41=$U63),Lineups!$AW$4:$AW$41))</f>
        <v>0</v>
      </c>
      <c r="AB63" s="216">
        <f ca="1">IF($U63="","",SUMPRODUCT(--(Lineups!$AS$4:$AS$41=$U63),Lineups!$AW$4:$AW$41))</f>
        <v>0</v>
      </c>
      <c r="AC63" s="23">
        <f t="shared" ca="1" si="43"/>
        <v>0</v>
      </c>
      <c r="AE63" s="23">
        <f t="shared" ca="1" si="44"/>
        <v>0</v>
      </c>
      <c r="AH63" s="23">
        <f ca="1">IF($U63="","",SUMPRODUCT(--(Lineups!$AC$4:$AC$41=$U63),Lineups!$AW$4:$AW$41))</f>
        <v>0</v>
      </c>
      <c r="AJ63" s="23">
        <f t="shared" ca="1" si="45"/>
        <v>0</v>
      </c>
    </row>
    <row r="64" spans="1:37" x14ac:dyDescent="0.3">
      <c r="A64" s="205">
        <f t="shared" si="36"/>
        <v>10</v>
      </c>
      <c r="B64" s="205" t="str">
        <f t="shared" si="37"/>
        <v>44</v>
      </c>
      <c r="C64" s="205" t="str">
        <f t="shared" si="37"/>
        <v>Brunt Force Bunny</v>
      </c>
      <c r="D64" s="205">
        <f ca="1">IF($B64="","",SUMPRODUCT(--(Lineups!$G$4:$G$41=$B64),--(Lineups!$B$4:$B$41=""),Lineups!$W$4:$W$41))</f>
        <v>0</v>
      </c>
      <c r="F64" s="216">
        <f ca="1">IF($B64="","",SUMPRODUCT(--(Lineups!$G$4:$G$41=$B64),--(Lineups!$B$4:$B$41="X"),Lineups!$W$4:$W$41))</f>
        <v>0</v>
      </c>
      <c r="G64" s="216">
        <f ca="1">IF($B64="","",SUMPRODUCT(--(Lineups!$K$4:$K$41=$B64),Lineups!$W$4:$W$41))</f>
        <v>4</v>
      </c>
      <c r="H64" s="216">
        <f ca="1">IF($B64="","",SUMPRODUCT(--(Lineups!$O$4:$O$41=$B64),Lineups!$W$4:$W$41))</f>
        <v>4</v>
      </c>
      <c r="I64" s="216">
        <f ca="1">IF($B64="","",SUMPRODUCT(--(Lineups!$S$4:$S$41=$B64),Lineups!$W$4:$W$41))</f>
        <v>0</v>
      </c>
      <c r="J64" s="205">
        <f t="shared" ca="1" si="38"/>
        <v>8</v>
      </c>
      <c r="L64" s="205">
        <f t="shared" ca="1" si="39"/>
        <v>8</v>
      </c>
      <c r="O64" s="205">
        <f ca="1">IF($B64="","",SUMPRODUCT(--(Lineups!$C$4:$C$41=$B64),Lineups!$W$4:$W$41))</f>
        <v>0</v>
      </c>
      <c r="Q64" s="205">
        <f t="shared" ca="1" si="40"/>
        <v>8</v>
      </c>
      <c r="T64" s="205">
        <f t="shared" si="41"/>
        <v>10</v>
      </c>
      <c r="U64" s="205" t="str">
        <f t="shared" si="42"/>
        <v>519</v>
      </c>
      <c r="V64" s="205" t="str">
        <f t="shared" si="42"/>
        <v>Smashin' Good Time</v>
      </c>
      <c r="W64" s="205">
        <f ca="1">IF($U64="","",SUMPRODUCT(--(Lineups!$AG$4:$AG$41=$U64),--(Lineups!$AB$4:$AB$41=""),Lineups!$AW$4:$AW$41))</f>
        <v>0</v>
      </c>
      <c r="Y64" s="216">
        <f ca="1">IF($U64="","",SUMPRODUCT(--(Lineups!$AG$4:$AG$41=$U64),--(Lineups!$AB$4:$AB$41="X"),Lineups!$AW$4:$AW$41))</f>
        <v>0</v>
      </c>
      <c r="Z64" s="216">
        <f ca="1">IF($U64="","",SUMPRODUCT(--(Lineups!$AK$4:$AK$41=$U64),Lineups!$AW$4:$AW$41))</f>
        <v>0</v>
      </c>
      <c r="AA64" s="216">
        <f ca="1">IF($U64="","",SUMPRODUCT(--(Lineups!$AO$4:$AO$41=$U64),Lineups!$AW$4:$AW$41))</f>
        <v>10</v>
      </c>
      <c r="AB64" s="216">
        <f ca="1">IF($U64="","",SUMPRODUCT(--(Lineups!$AS$4:$AS$41=$U64),Lineups!$AW$4:$AW$41))</f>
        <v>4</v>
      </c>
      <c r="AC64" s="205">
        <f t="shared" ca="1" si="43"/>
        <v>14</v>
      </c>
      <c r="AE64" s="205">
        <f t="shared" ca="1" si="44"/>
        <v>14</v>
      </c>
      <c r="AH64" s="205">
        <f ca="1">IF($U64="","",SUMPRODUCT(--(Lineups!$AC$4:$AC$41=$U64),Lineups!$AW$4:$AW$41))</f>
        <v>0</v>
      </c>
      <c r="AJ64" s="205">
        <f t="shared" ca="1" si="45"/>
        <v>14</v>
      </c>
    </row>
    <row r="65" spans="1:37" x14ac:dyDescent="0.3">
      <c r="A65" s="23">
        <f t="shared" si="36"/>
        <v>11</v>
      </c>
      <c r="B65" s="23" t="str">
        <f t="shared" si="37"/>
        <v>480</v>
      </c>
      <c r="C65" s="23" t="str">
        <f t="shared" si="37"/>
        <v>Slaughterhouse Streeter</v>
      </c>
      <c r="D65" s="23">
        <f ca="1">IF($B65="","",SUMPRODUCT(--(Lineups!$G$4:$G$41=$B65),--(Lineups!$B$4:$B$41=""),Lineups!$W$4:$W$41))</f>
        <v>0</v>
      </c>
      <c r="F65" s="216">
        <f ca="1">IF($B65="","",SUMPRODUCT(--(Lineups!$G$4:$G$41=$B65),--(Lineups!$B$4:$B$41="X"),Lineups!$W$4:$W$41))</f>
        <v>0</v>
      </c>
      <c r="G65" s="216">
        <f ca="1">IF($B65="","",SUMPRODUCT(--(Lineups!$K$4:$K$41=$B65),Lineups!$W$4:$W$41))</f>
        <v>8</v>
      </c>
      <c r="H65" s="216">
        <f ca="1">IF($B65="","",SUMPRODUCT(--(Lineups!$O$4:$O$41=$B65),Lineups!$W$4:$W$41))</f>
        <v>10</v>
      </c>
      <c r="I65" s="216">
        <f ca="1">IF($B65="","",SUMPRODUCT(--(Lineups!$S$4:$S$41=$B65),Lineups!$W$4:$W$41))</f>
        <v>48</v>
      </c>
      <c r="J65" s="23">
        <f t="shared" ca="1" si="38"/>
        <v>66</v>
      </c>
      <c r="L65" s="23">
        <f t="shared" ca="1" si="39"/>
        <v>66</v>
      </c>
      <c r="O65" s="23">
        <f ca="1">IF($B65="","",SUMPRODUCT(--(Lineups!$C$4:$C$41=$B65),Lineups!$W$4:$W$41))</f>
        <v>0</v>
      </c>
      <c r="Q65" s="23">
        <f t="shared" ca="1" si="40"/>
        <v>66</v>
      </c>
      <c r="T65" s="23">
        <f t="shared" si="41"/>
        <v>11</v>
      </c>
      <c r="U65" s="23" t="str">
        <f t="shared" si="42"/>
        <v>58</v>
      </c>
      <c r="V65" s="23" t="str">
        <f t="shared" si="42"/>
        <v>Natty B</v>
      </c>
      <c r="W65" s="23">
        <f ca="1">IF($U65="","",SUMPRODUCT(--(Lineups!$AG$4:$AG$41=$U65),--(Lineups!$AB$4:$AB$41=""),Lineups!$AW$4:$AW$41))</f>
        <v>0</v>
      </c>
      <c r="Y65" s="216">
        <f ca="1">IF($U65="","",SUMPRODUCT(--(Lineups!$AG$4:$AG$41=$U65),--(Lineups!$AB$4:$AB$41="X"),Lineups!$AW$4:$AW$41))</f>
        <v>0</v>
      </c>
      <c r="Z65" s="216">
        <f ca="1">IF($U65="","",SUMPRODUCT(--(Lineups!$AK$4:$AK$41=$U65),Lineups!$AW$4:$AW$41))</f>
        <v>0</v>
      </c>
      <c r="AA65" s="216">
        <f ca="1">IF($U65="","",SUMPRODUCT(--(Lineups!$AO$4:$AO$41=$U65),Lineups!$AW$4:$AW$41))</f>
        <v>0</v>
      </c>
      <c r="AB65" s="216">
        <f ca="1">IF($U65="","",SUMPRODUCT(--(Lineups!$AS$4:$AS$41=$U65),Lineups!$AW$4:$AW$41))</f>
        <v>0</v>
      </c>
      <c r="AC65" s="23">
        <f t="shared" ca="1" si="43"/>
        <v>0</v>
      </c>
      <c r="AE65" s="23">
        <f t="shared" ca="1" si="44"/>
        <v>0</v>
      </c>
      <c r="AH65" s="23">
        <f ca="1">IF($U65="","",SUMPRODUCT(--(Lineups!$AC$4:$AC$41=$U65),Lineups!$AW$4:$AW$41))</f>
        <v>0</v>
      </c>
      <c r="AJ65" s="23">
        <f t="shared" ca="1" si="45"/>
        <v>0</v>
      </c>
    </row>
    <row r="66" spans="1:37" x14ac:dyDescent="0.3">
      <c r="A66" s="205">
        <f t="shared" si="36"/>
        <v>12</v>
      </c>
      <c r="B66" s="205" t="str">
        <f t="shared" si="37"/>
        <v>64</v>
      </c>
      <c r="C66" s="205" t="str">
        <f t="shared" si="37"/>
        <v>Cannonball Doll</v>
      </c>
      <c r="D66" s="205">
        <f ca="1">IF($B66="","",SUMPRODUCT(--(Lineups!$G$4:$G$41=$B66),--(Lineups!$B$4:$B$41=""),Lineups!$W$4:$W$41))</f>
        <v>0</v>
      </c>
      <c r="F66" s="216">
        <f ca="1">IF($B66="","",SUMPRODUCT(--(Lineups!$G$4:$G$41=$B66),--(Lineups!$B$4:$B$41="X"),Lineups!$W$4:$W$41))</f>
        <v>0</v>
      </c>
      <c r="G66" s="216">
        <f ca="1">IF($B66="","",SUMPRODUCT(--(Lineups!$K$4:$K$41=$B66),Lineups!$W$4:$W$41))</f>
        <v>27</v>
      </c>
      <c r="H66" s="216">
        <f ca="1">IF($B66="","",SUMPRODUCT(--(Lineups!$O$4:$O$41=$B66),Lineups!$W$4:$W$41))</f>
        <v>0</v>
      </c>
      <c r="I66" s="216">
        <f ca="1">IF($B66="","",SUMPRODUCT(--(Lineups!$S$4:$S$41=$B66),Lineups!$W$4:$W$41))</f>
        <v>37</v>
      </c>
      <c r="J66" s="205">
        <f t="shared" ca="1" si="38"/>
        <v>64</v>
      </c>
      <c r="L66" s="205">
        <f t="shared" ca="1" si="39"/>
        <v>64</v>
      </c>
      <c r="O66" s="205">
        <f ca="1">IF($B66="","",SUMPRODUCT(--(Lineups!$C$4:$C$41=$B66),Lineups!$W$4:$W$41))</f>
        <v>0</v>
      </c>
      <c r="Q66" s="205">
        <f t="shared" ca="1" si="40"/>
        <v>64</v>
      </c>
      <c r="T66" s="205">
        <f t="shared" si="41"/>
        <v>12</v>
      </c>
      <c r="U66" s="205" t="str">
        <f t="shared" si="42"/>
        <v>932</v>
      </c>
      <c r="V66" s="205" t="str">
        <f t="shared" si="42"/>
        <v>Heaven Lee Bash</v>
      </c>
      <c r="W66" s="205">
        <f ca="1">IF($U66="","",SUMPRODUCT(--(Lineups!$AG$4:$AG$41=$U66),--(Lineups!$AB$4:$AB$41=""),Lineups!$AW$4:$AW$41))</f>
        <v>0</v>
      </c>
      <c r="Y66" s="216">
        <f ca="1">IF($U66="","",SUMPRODUCT(--(Lineups!$AG$4:$AG$41=$U66),--(Lineups!$AB$4:$AB$41="X"),Lineups!$AW$4:$AW$41))</f>
        <v>0</v>
      </c>
      <c r="Z66" s="216">
        <f ca="1">IF($U66="","",SUMPRODUCT(--(Lineups!$AK$4:$AK$41=$U66),Lineups!$AW$4:$AW$41))</f>
        <v>0</v>
      </c>
      <c r="AA66" s="216">
        <f ca="1">IF($U66="","",SUMPRODUCT(--(Lineups!$AO$4:$AO$41=$U66),Lineups!$AW$4:$AW$41))</f>
        <v>12</v>
      </c>
      <c r="AB66" s="216">
        <f ca="1">IF($U66="","",SUMPRODUCT(--(Lineups!$AS$4:$AS$41=$U66),Lineups!$AW$4:$AW$41))</f>
        <v>0</v>
      </c>
      <c r="AC66" s="205">
        <f t="shared" ca="1" si="43"/>
        <v>12</v>
      </c>
      <c r="AE66" s="205">
        <f t="shared" ca="1" si="44"/>
        <v>12</v>
      </c>
      <c r="AH66" s="205">
        <f ca="1">IF($U66="","",SUMPRODUCT(--(Lineups!$AC$4:$AC$41=$U66),Lineups!$AW$4:$AW$41))</f>
        <v>0</v>
      </c>
      <c r="AJ66" s="205">
        <f t="shared" ca="1" si="45"/>
        <v>12</v>
      </c>
    </row>
    <row r="67" spans="1:37" x14ac:dyDescent="0.3">
      <c r="A67" s="23">
        <f t="shared" si="36"/>
        <v>13</v>
      </c>
      <c r="B67" s="23" t="str">
        <f t="shared" si="37"/>
        <v>84</v>
      </c>
      <c r="C67" s="23" t="str">
        <f t="shared" si="37"/>
        <v>MEGAnTRON</v>
      </c>
      <c r="D67" s="23">
        <f ca="1">IF($B67="","",SUMPRODUCT(--(Lineups!$G$4:$G$41=$B67),--(Lineups!$B$4:$B$41=""),Lineups!$W$4:$W$41))</f>
        <v>0</v>
      </c>
      <c r="F67" s="216">
        <f ca="1">IF($B67="","",SUMPRODUCT(--(Lineups!$G$4:$G$41=$B67),--(Lineups!$B$4:$B$41="X"),Lineups!$W$4:$W$41))</f>
        <v>0</v>
      </c>
      <c r="G67" s="216">
        <f ca="1">IF($B67="","",SUMPRODUCT(--(Lineups!$K$4:$K$41=$B67),Lineups!$W$4:$W$41))</f>
        <v>0</v>
      </c>
      <c r="H67" s="216">
        <f ca="1">IF($B67="","",SUMPRODUCT(--(Lineups!$O$4:$O$41=$B67),Lineups!$W$4:$W$41))</f>
        <v>0</v>
      </c>
      <c r="I67" s="216">
        <f ca="1">IF($B67="","",SUMPRODUCT(--(Lineups!$S$4:$S$41=$B67),Lineups!$W$4:$W$41))</f>
        <v>0</v>
      </c>
      <c r="J67" s="23">
        <f t="shared" ca="1" si="38"/>
        <v>0</v>
      </c>
      <c r="L67" s="23">
        <f t="shared" ca="1" si="39"/>
        <v>0</v>
      </c>
      <c r="O67" s="23">
        <f ca="1">IF($B67="","",SUMPRODUCT(--(Lineups!$C$4:$C$41=$B67),Lineups!$W$4:$W$41))</f>
        <v>36</v>
      </c>
      <c r="Q67" s="23">
        <f t="shared" ca="1" si="40"/>
        <v>36</v>
      </c>
      <c r="T67" s="23">
        <f t="shared" si="41"/>
        <v>13</v>
      </c>
      <c r="U67" s="23" t="str">
        <f t="shared" si="42"/>
        <v>H20</v>
      </c>
      <c r="V67" s="23" t="str">
        <f t="shared" si="42"/>
        <v>Lethal Mermaid</v>
      </c>
      <c r="W67" s="23">
        <f ca="1">IF($U67="","",SUMPRODUCT(--(Lineups!$AG$4:$AG$41=$U67),--(Lineups!$AB$4:$AB$41=""),Lineups!$AW$4:$AW$41))</f>
        <v>0</v>
      </c>
      <c r="Y67" s="216">
        <f ca="1">IF($U67="","",SUMPRODUCT(--(Lineups!$AG$4:$AG$41=$U67),--(Lineups!$AB$4:$AB$41="X"),Lineups!$AW$4:$AW$41))</f>
        <v>0</v>
      </c>
      <c r="Z67" s="216">
        <f ca="1">IF($U67="","",SUMPRODUCT(--(Lineups!$AK$4:$AK$41=$U67),Lineups!$AW$4:$AW$41))</f>
        <v>0</v>
      </c>
      <c r="AA67" s="216">
        <f ca="1">IF($U67="","",SUMPRODUCT(--(Lineups!$AO$4:$AO$41=$U67),Lineups!$AW$4:$AW$41))</f>
        <v>0</v>
      </c>
      <c r="AB67" s="216">
        <f ca="1">IF($U67="","",SUMPRODUCT(--(Lineups!$AS$4:$AS$41=$U67),Lineups!$AW$4:$AW$41))</f>
        <v>0</v>
      </c>
      <c r="AC67" s="23">
        <f t="shared" ca="1" si="43"/>
        <v>0</v>
      </c>
      <c r="AE67" s="23">
        <f t="shared" ca="1" si="44"/>
        <v>0</v>
      </c>
      <c r="AH67" s="23">
        <f ca="1">IF($U67="","",SUMPRODUCT(--(Lineups!$AC$4:$AC$41=$U67),Lineups!$AW$4:$AW$41))</f>
        <v>0</v>
      </c>
      <c r="AJ67" s="23">
        <f t="shared" ca="1" si="45"/>
        <v>0</v>
      </c>
    </row>
    <row r="68" spans="1:37" x14ac:dyDescent="0.3">
      <c r="A68" s="205">
        <f t="shared" si="36"/>
        <v>14</v>
      </c>
      <c r="B68" s="205" t="str">
        <f t="shared" si="37"/>
        <v>N01</v>
      </c>
      <c r="C68" s="205" t="str">
        <f t="shared" si="37"/>
        <v>Commander Will Wrecker</v>
      </c>
      <c r="D68" s="205">
        <f ca="1">IF($B68="","",SUMPRODUCT(--(Lineups!$G$4:$G$41=$B68),--(Lineups!$B$4:$B$41=""),Lineups!$W$4:$W$41))</f>
        <v>74</v>
      </c>
      <c r="F68" s="216">
        <f ca="1">IF($B68="","",SUMPRODUCT(--(Lineups!$G$4:$G$41=$B68),--(Lineups!$B$4:$B$41="X"),Lineups!$W$4:$W$41))</f>
        <v>0</v>
      </c>
      <c r="G68" s="216">
        <f ca="1">IF($B68="","",SUMPRODUCT(--(Lineups!$K$4:$K$41=$B68),Lineups!$W$4:$W$41))</f>
        <v>0</v>
      </c>
      <c r="H68" s="216">
        <f ca="1">IF($B68="","",SUMPRODUCT(--(Lineups!$O$4:$O$41=$B68),Lineups!$W$4:$W$41))</f>
        <v>0</v>
      </c>
      <c r="I68" s="216">
        <f ca="1">IF($B68="","",SUMPRODUCT(--(Lineups!$S$4:$S$41=$B68),Lineups!$W$4:$W$41))</f>
        <v>0</v>
      </c>
      <c r="J68" s="205">
        <f t="shared" ca="1" si="38"/>
        <v>0</v>
      </c>
      <c r="L68" s="205">
        <f t="shared" ca="1" si="39"/>
        <v>74</v>
      </c>
      <c r="O68" s="205">
        <f ca="1">IF($B68="","",SUMPRODUCT(--(Lineups!$C$4:$C$41=$B68),Lineups!$W$4:$W$41))</f>
        <v>0</v>
      </c>
      <c r="Q68" s="205">
        <f t="shared" ca="1" si="40"/>
        <v>74</v>
      </c>
      <c r="T68" s="205">
        <f t="shared" si="41"/>
        <v>14</v>
      </c>
      <c r="U68" s="205" t="str">
        <f t="shared" si="42"/>
        <v>K9</v>
      </c>
      <c r="V68" s="205" t="str">
        <f t="shared" si="42"/>
        <v>Scooby Doom</v>
      </c>
      <c r="W68" s="205">
        <f ca="1">IF($U68="","",SUMPRODUCT(--(Lineups!$AG$4:$AG$41=$U68),--(Lineups!$AB$4:$AB$41=""),Lineups!$AW$4:$AW$41))</f>
        <v>0</v>
      </c>
      <c r="Y68" s="216">
        <f ca="1">IF($U68="","",SUMPRODUCT(--(Lineups!$AG$4:$AG$41=$U68),--(Lineups!$AB$4:$AB$41="X"),Lineups!$AW$4:$AW$41))</f>
        <v>0</v>
      </c>
      <c r="Z68" s="216">
        <f ca="1">IF($U68="","",SUMPRODUCT(--(Lineups!$AK$4:$AK$41=$U68),Lineups!$AW$4:$AW$41))</f>
        <v>0</v>
      </c>
      <c r="AA68" s="216">
        <f ca="1">IF($U68="","",SUMPRODUCT(--(Lineups!$AO$4:$AO$41=$U68),Lineups!$AW$4:$AW$41))</f>
        <v>0</v>
      </c>
      <c r="AB68" s="216">
        <f ca="1">IF($U68="","",SUMPRODUCT(--(Lineups!$AS$4:$AS$41=$U68),Lineups!$AW$4:$AW$41))</f>
        <v>0</v>
      </c>
      <c r="AC68" s="205">
        <f t="shared" ca="1" si="43"/>
        <v>0</v>
      </c>
      <c r="AE68" s="205">
        <f t="shared" ca="1" si="44"/>
        <v>0</v>
      </c>
      <c r="AH68" s="205">
        <f ca="1">IF($U68="","",SUMPRODUCT(--(Lineups!$AC$4:$AC$41=$U68),Lineups!$AW$4:$AW$41))</f>
        <v>4</v>
      </c>
      <c r="AJ68" s="205">
        <f t="shared" ca="1" si="45"/>
        <v>4</v>
      </c>
    </row>
    <row r="69" spans="1:37" x14ac:dyDescent="0.3">
      <c r="A69" s="23">
        <f t="shared" si="36"/>
        <v>15</v>
      </c>
      <c r="B69" s="23" t="str">
        <f t="shared" si="37"/>
        <v/>
      </c>
      <c r="C69" s="23" t="str">
        <f t="shared" si="37"/>
        <v/>
      </c>
      <c r="D69" s="23" t="str">
        <f>IF($B69="","",SUMPRODUCT(--(Lineups!$G$4:$G$41=$B69),--(Lineups!$B$4:$B$41=""),Lineups!$W$4:$W$41))</f>
        <v/>
      </c>
      <c r="F69" s="216" t="str">
        <f>IF($B69="","",SUMPRODUCT(--(Lineups!$G$4:$G$41=$B69),--(Lineups!$B$4:$B$41="X"),Lineups!$W$4:$W$41))</f>
        <v/>
      </c>
      <c r="G69" s="216" t="str">
        <f>IF($B69="","",SUMPRODUCT(--(Lineups!$K$4:$K$41=$B69),Lineups!$W$4:$W$41))</f>
        <v/>
      </c>
      <c r="H69" s="216" t="str">
        <f>IF($B69="","",SUMPRODUCT(--(Lineups!$O$4:$O$41=$B69),Lineups!$W$4:$W$41))</f>
        <v/>
      </c>
      <c r="I69" s="216" t="str">
        <f>IF($B69="","",SUMPRODUCT(--(Lineups!$S$4:$S$41=$B69),Lineups!$W$4:$W$41))</f>
        <v/>
      </c>
      <c r="J69" s="23" t="str">
        <f t="shared" si="38"/>
        <v/>
      </c>
      <c r="L69" s="23" t="str">
        <f t="shared" si="39"/>
        <v/>
      </c>
      <c r="O69" s="23" t="str">
        <f>IF($B69="","",SUMPRODUCT(--(Lineups!$C$4:$C$41=$B69),Lineups!$W$4:$W$41))</f>
        <v/>
      </c>
      <c r="Q69" s="23" t="str">
        <f t="shared" si="40"/>
        <v/>
      </c>
      <c r="T69" s="23">
        <f t="shared" si="41"/>
        <v>15</v>
      </c>
      <c r="U69" s="23" t="str">
        <f t="shared" si="42"/>
        <v/>
      </c>
      <c r="V69" s="23" t="str">
        <f t="shared" si="42"/>
        <v/>
      </c>
      <c r="W69" s="23" t="str">
        <f>IF($U69="","",SUMPRODUCT(--(Lineups!$AG$4:$AG$41=$U69),--(Lineups!$AB$4:$AB$41=""),Lineups!$AW$4:$AW$41))</f>
        <v/>
      </c>
      <c r="Y69" s="216" t="str">
        <f>IF($U69="","",SUMPRODUCT(--(Lineups!$AG$4:$AG$41=$U69),--(Lineups!$AB$4:$AB$41="X"),Lineups!$AW$4:$AW$41))</f>
        <v/>
      </c>
      <c r="Z69" s="216" t="str">
        <f>IF($U69="","",SUMPRODUCT(--(Lineups!$AK$4:$AK$41=$U69),Lineups!$AW$4:$AW$41))</f>
        <v/>
      </c>
      <c r="AA69" s="216" t="str">
        <f>IF($U69="","",SUMPRODUCT(--(Lineups!$AO$4:$AO$41=$U69),Lineups!$AW$4:$AW$41))</f>
        <v/>
      </c>
      <c r="AB69" s="216" t="str">
        <f>IF($U69="","",SUMPRODUCT(--(Lineups!$AS$4:$AS$41=$U69),Lineups!$AW$4:$AW$41))</f>
        <v/>
      </c>
      <c r="AC69" s="23" t="str">
        <f t="shared" si="43"/>
        <v/>
      </c>
      <c r="AE69" s="23" t="str">
        <f t="shared" si="44"/>
        <v/>
      </c>
      <c r="AH69" s="23" t="str">
        <f>IF($U69="","",SUMPRODUCT(--(Lineups!$AC$4:$AC$41=$U69),Lineups!$AW$4:$AW$41))</f>
        <v/>
      </c>
      <c r="AJ69" s="23" t="str">
        <f t="shared" si="45"/>
        <v/>
      </c>
    </row>
    <row r="70" spans="1:37" x14ac:dyDescent="0.3">
      <c r="A70" s="205">
        <f t="shared" si="36"/>
        <v>16</v>
      </c>
      <c r="B70" s="205" t="str">
        <f t="shared" si="37"/>
        <v/>
      </c>
      <c r="C70" s="205" t="str">
        <f t="shared" si="37"/>
        <v/>
      </c>
      <c r="D70" s="205" t="str">
        <f>IF($B70="","",SUMPRODUCT(--(Lineups!$G$4:$G$41=$B70),--(Lineups!$B$4:$B$41=""),Lineups!$W$4:$W$41))</f>
        <v/>
      </c>
      <c r="F70" s="216" t="str">
        <f>IF($B70="","",SUMPRODUCT(--(Lineups!$G$4:$G$41=$B70),--(Lineups!$B$4:$B$41="X"),Lineups!$W$4:$W$41))</f>
        <v/>
      </c>
      <c r="G70" s="216" t="str">
        <f>IF($B70="","",SUMPRODUCT(--(Lineups!$K$4:$K$41=$B70),Lineups!$W$4:$W$41))</f>
        <v/>
      </c>
      <c r="H70" s="216" t="str">
        <f>IF($B70="","",SUMPRODUCT(--(Lineups!$O$4:$O$41=$B70),Lineups!$W$4:$W$41))</f>
        <v/>
      </c>
      <c r="I70" s="216" t="str">
        <f>IF($B70="","",SUMPRODUCT(--(Lineups!$S$4:$S$41=$B70),Lineups!$W$4:$W$41))</f>
        <v/>
      </c>
      <c r="J70" s="205" t="str">
        <f t="shared" si="38"/>
        <v/>
      </c>
      <c r="L70" s="205" t="str">
        <f t="shared" si="39"/>
        <v/>
      </c>
      <c r="O70" s="205" t="str">
        <f>IF($B70="","",SUMPRODUCT(--(Lineups!$C$4:$C$41=$B70),Lineups!$W$4:$W$41))</f>
        <v/>
      </c>
      <c r="Q70" s="205" t="str">
        <f t="shared" si="40"/>
        <v/>
      </c>
      <c r="T70" s="205">
        <f t="shared" si="41"/>
        <v>16</v>
      </c>
      <c r="U70" s="205" t="str">
        <f t="shared" si="42"/>
        <v/>
      </c>
      <c r="V70" s="205" t="str">
        <f t="shared" si="42"/>
        <v/>
      </c>
      <c r="W70" s="205" t="str">
        <f>IF($U70="","",SUMPRODUCT(--(Lineups!$AG$4:$AG$41=$U70),--(Lineups!$AB$4:$AB$41=""),Lineups!$AW$4:$AW$41))</f>
        <v/>
      </c>
      <c r="Y70" s="216" t="str">
        <f>IF($U70="","",SUMPRODUCT(--(Lineups!$AG$4:$AG$41=$U70),--(Lineups!$AB$4:$AB$41="X"),Lineups!$AW$4:$AW$41))</f>
        <v/>
      </c>
      <c r="Z70" s="216" t="str">
        <f>IF($U70="","",SUMPRODUCT(--(Lineups!$AK$4:$AK$41=$U70),Lineups!$AW$4:$AW$41))</f>
        <v/>
      </c>
      <c r="AA70" s="216" t="str">
        <f>IF($U70="","",SUMPRODUCT(--(Lineups!$AO$4:$AO$41=$U70),Lineups!$AW$4:$AW$41))</f>
        <v/>
      </c>
      <c r="AB70" s="216" t="str">
        <f>IF($U70="","",SUMPRODUCT(--(Lineups!$AS$4:$AS$41=$U70),Lineups!$AW$4:$AW$41))</f>
        <v/>
      </c>
      <c r="AC70" s="205" t="str">
        <f t="shared" si="43"/>
        <v/>
      </c>
      <c r="AE70" s="205" t="str">
        <f t="shared" si="44"/>
        <v/>
      </c>
      <c r="AH70" s="205" t="str">
        <f>IF($U70="","",SUMPRODUCT(--(Lineups!$AC$4:$AC$41=$U70),Lineups!$AW$4:$AW$41))</f>
        <v/>
      </c>
      <c r="AJ70" s="205" t="str">
        <f t="shared" si="45"/>
        <v/>
      </c>
    </row>
    <row r="71" spans="1:37" x14ac:dyDescent="0.3">
      <c r="A71" s="23">
        <f t="shared" si="36"/>
        <v>17</v>
      </c>
      <c r="B71" s="23" t="str">
        <f t="shared" si="37"/>
        <v/>
      </c>
      <c r="C71" s="23" t="str">
        <f t="shared" si="37"/>
        <v/>
      </c>
      <c r="D71" s="23" t="str">
        <f>IF($B71="","",SUMPRODUCT(--(Lineups!$G$4:$G$41=$B71),--(Lineups!$B$4:$B$41=""),Lineups!$W$4:$W$41))</f>
        <v/>
      </c>
      <c r="F71" s="216" t="str">
        <f>IF($B71="","",SUMPRODUCT(--(Lineups!$G$4:$G$41=$B71),--(Lineups!$B$4:$B$41="X"),Lineups!$W$4:$W$41))</f>
        <v/>
      </c>
      <c r="G71" s="216" t="str">
        <f>IF($B71="","",SUMPRODUCT(--(Lineups!$K$4:$K$41=$B71),Lineups!$W$4:$W$41))</f>
        <v/>
      </c>
      <c r="H71" s="216" t="str">
        <f>IF($B71="","",SUMPRODUCT(--(Lineups!$O$4:$O$41=$B71),Lineups!$W$4:$W$41))</f>
        <v/>
      </c>
      <c r="I71" s="216" t="str">
        <f>IF($B71="","",SUMPRODUCT(--(Lineups!$S$4:$S$41=$B71),Lineups!$W$4:$W$41))</f>
        <v/>
      </c>
      <c r="J71" s="23" t="str">
        <f t="shared" si="38"/>
        <v/>
      </c>
      <c r="L71" s="23" t="str">
        <f t="shared" si="39"/>
        <v/>
      </c>
      <c r="O71" s="23" t="str">
        <f>IF($B71="","",SUMPRODUCT(--(Lineups!$C$4:$C$41=$B71),Lineups!$W$4:$W$41))</f>
        <v/>
      </c>
      <c r="Q71" s="23" t="str">
        <f t="shared" si="40"/>
        <v/>
      </c>
      <c r="T71" s="23">
        <f t="shared" si="41"/>
        <v>17</v>
      </c>
      <c r="U71" s="23" t="str">
        <f t="shared" si="42"/>
        <v/>
      </c>
      <c r="V71" s="23" t="str">
        <f t="shared" si="42"/>
        <v/>
      </c>
      <c r="W71" s="23" t="str">
        <f>IF($U71="","",SUMPRODUCT(--(Lineups!$AG$4:$AG$41=$U71),--(Lineups!$AB$4:$AB$41=""),Lineups!$AW$4:$AW$41))</f>
        <v/>
      </c>
      <c r="Y71" s="216" t="str">
        <f>IF($U71="","",SUMPRODUCT(--(Lineups!$AG$4:$AG$41=$U71),--(Lineups!$AB$4:$AB$41="X"),Lineups!$AW$4:$AW$41))</f>
        <v/>
      </c>
      <c r="Z71" s="216" t="str">
        <f>IF($U71="","",SUMPRODUCT(--(Lineups!$AK$4:$AK$41=$U71),Lineups!$AW$4:$AW$41))</f>
        <v/>
      </c>
      <c r="AA71" s="216" t="str">
        <f>IF($U71="","",SUMPRODUCT(--(Lineups!$AO$4:$AO$41=$U71),Lineups!$AW$4:$AW$41))</f>
        <v/>
      </c>
      <c r="AB71" s="216" t="str">
        <f>IF($U71="","",SUMPRODUCT(--(Lineups!$AS$4:$AS$41=$U71),Lineups!$AW$4:$AW$41))</f>
        <v/>
      </c>
      <c r="AC71" s="23" t="str">
        <f t="shared" si="43"/>
        <v/>
      </c>
      <c r="AE71" s="23" t="str">
        <f t="shared" si="44"/>
        <v/>
      </c>
      <c r="AH71" s="23" t="str">
        <f>IF($U71="","",SUMPRODUCT(--(Lineups!$AC$4:$AC$41=$U71),Lineups!$AW$4:$AW$41))</f>
        <v/>
      </c>
      <c r="AJ71" s="23" t="str">
        <f t="shared" si="45"/>
        <v/>
      </c>
    </row>
    <row r="72" spans="1:37" x14ac:dyDescent="0.3">
      <c r="A72" s="205">
        <f t="shared" si="36"/>
        <v>18</v>
      </c>
      <c r="B72" s="205" t="str">
        <f t="shared" si="37"/>
        <v/>
      </c>
      <c r="C72" s="205" t="str">
        <f t="shared" si="37"/>
        <v/>
      </c>
      <c r="D72" s="205" t="str">
        <f>IF($B72="","",SUMPRODUCT(--(Lineups!$G$4:$G$41=$B72),--(Lineups!$B$4:$B$41=""),Lineups!$W$4:$W$41))</f>
        <v/>
      </c>
      <c r="F72" s="216" t="str">
        <f>IF($B72="","",SUMPRODUCT(--(Lineups!$G$4:$G$41=$B72),--(Lineups!$B$4:$B$41="X"),Lineups!$W$4:$W$41))</f>
        <v/>
      </c>
      <c r="G72" s="216" t="str">
        <f>IF($B72="","",SUMPRODUCT(--(Lineups!$K$4:$K$41=$B72),Lineups!$W$4:$W$41))</f>
        <v/>
      </c>
      <c r="H72" s="216" t="str">
        <f>IF($B72="","",SUMPRODUCT(--(Lineups!$O$4:$O$41=$B72),Lineups!$W$4:$W$41))</f>
        <v/>
      </c>
      <c r="I72" s="216" t="str">
        <f>IF($B72="","",SUMPRODUCT(--(Lineups!$S$4:$S$41=$B72),Lineups!$W$4:$W$41))</f>
        <v/>
      </c>
      <c r="J72" s="205" t="str">
        <f t="shared" si="38"/>
        <v/>
      </c>
      <c r="L72" s="205" t="str">
        <f t="shared" si="39"/>
        <v/>
      </c>
      <c r="O72" s="205" t="str">
        <f>IF($B72="","",SUMPRODUCT(--(Lineups!$C$4:$C$41=$B72),Lineups!$W$4:$W$41))</f>
        <v/>
      </c>
      <c r="Q72" s="205" t="str">
        <f t="shared" si="40"/>
        <v/>
      </c>
      <c r="T72" s="205">
        <f t="shared" si="41"/>
        <v>18</v>
      </c>
      <c r="U72" s="205" t="str">
        <f t="shared" si="42"/>
        <v/>
      </c>
      <c r="V72" s="205" t="str">
        <f t="shared" si="42"/>
        <v/>
      </c>
      <c r="W72" s="205" t="str">
        <f>IF($U72="","",SUMPRODUCT(--(Lineups!$AG$4:$AG$41=$U72),--(Lineups!$AB$4:$AB$41=""),Lineups!$AW$4:$AW$41))</f>
        <v/>
      </c>
      <c r="Y72" s="216" t="str">
        <f>IF($U72="","",SUMPRODUCT(--(Lineups!$AG$4:$AG$41=$U72),--(Lineups!$AB$4:$AB$41="X"),Lineups!$AW$4:$AW$41))</f>
        <v/>
      </c>
      <c r="Z72" s="216" t="str">
        <f>IF($U72="","",SUMPRODUCT(--(Lineups!$AK$4:$AK$41=$U72),Lineups!$AW$4:$AW$41))</f>
        <v/>
      </c>
      <c r="AA72" s="216" t="str">
        <f>IF($U72="","",SUMPRODUCT(--(Lineups!$AO$4:$AO$41=$U72),Lineups!$AW$4:$AW$41))</f>
        <v/>
      </c>
      <c r="AB72" s="216" t="str">
        <f>IF($U72="","",SUMPRODUCT(--(Lineups!$AS$4:$AS$41=$U72),Lineups!$AW$4:$AW$41))</f>
        <v/>
      </c>
      <c r="AC72" s="205" t="str">
        <f t="shared" si="43"/>
        <v/>
      </c>
      <c r="AE72" s="205" t="str">
        <f t="shared" si="44"/>
        <v/>
      </c>
      <c r="AH72" s="205" t="str">
        <f>IF($U72="","",SUMPRODUCT(--(Lineups!$AC$4:$AC$41=$U72),Lineups!$AW$4:$AW$41))</f>
        <v/>
      </c>
      <c r="AJ72" s="205" t="str">
        <f t="shared" si="45"/>
        <v/>
      </c>
    </row>
    <row r="73" spans="1:37" x14ac:dyDescent="0.3">
      <c r="A73" s="23">
        <f t="shared" si="36"/>
        <v>19</v>
      </c>
      <c r="B73" s="23" t="str">
        <f t="shared" si="37"/>
        <v/>
      </c>
      <c r="C73" s="23" t="str">
        <f t="shared" si="37"/>
        <v/>
      </c>
      <c r="D73" s="23" t="str">
        <f>IF($B73="","",SUMPRODUCT(--(Lineups!$G$4:$G$41=$B73),--(Lineups!$B$4:$B$41=""),Lineups!$W$4:$W$41))</f>
        <v/>
      </c>
      <c r="F73" s="216" t="str">
        <f>IF($B73="","",SUMPRODUCT(--(Lineups!$G$4:$G$41=$B73),--(Lineups!$B$4:$B$41="X"),Lineups!$W$4:$W$41))</f>
        <v/>
      </c>
      <c r="G73" s="216" t="str">
        <f>IF($B73="","",SUMPRODUCT(--(Lineups!$K$4:$K$41=$B73),Lineups!$W$4:$W$41))</f>
        <v/>
      </c>
      <c r="H73" s="216" t="str">
        <f>IF($B73="","",SUMPRODUCT(--(Lineups!$O$4:$O$41=$B73),Lineups!$W$4:$W$41))</f>
        <v/>
      </c>
      <c r="I73" s="216" t="str">
        <f>IF($B73="","",SUMPRODUCT(--(Lineups!$S$4:$S$41=$B73),Lineups!$W$4:$W$41))</f>
        <v/>
      </c>
      <c r="J73" s="23" t="str">
        <f t="shared" si="38"/>
        <v/>
      </c>
      <c r="L73" s="23" t="str">
        <f t="shared" si="39"/>
        <v/>
      </c>
      <c r="O73" s="23" t="str">
        <f>IF($B73="","",SUMPRODUCT(--(Lineups!$C$4:$C$41=$B73),Lineups!$W$4:$W$41))</f>
        <v/>
      </c>
      <c r="Q73" s="23" t="str">
        <f t="shared" si="40"/>
        <v/>
      </c>
      <c r="T73" s="23">
        <f t="shared" si="41"/>
        <v>19</v>
      </c>
      <c r="U73" s="23" t="str">
        <f t="shared" si="42"/>
        <v/>
      </c>
      <c r="V73" s="23" t="str">
        <f t="shared" si="42"/>
        <v/>
      </c>
      <c r="W73" s="23" t="str">
        <f>IF($U73="","",SUMPRODUCT(--(Lineups!$AG$4:$AG$41=$U73),--(Lineups!$AB$4:$AB$41=""),Lineups!$AW$4:$AW$41))</f>
        <v/>
      </c>
      <c r="Y73" s="216" t="str">
        <f>IF($U73="","",SUMPRODUCT(--(Lineups!$AG$4:$AG$41=$U73),--(Lineups!$AB$4:$AB$41="X"),Lineups!$AW$4:$AW$41))</f>
        <v/>
      </c>
      <c r="Z73" s="216" t="str">
        <f>IF($U73="","",SUMPRODUCT(--(Lineups!$AK$4:$AK$41=$U73),Lineups!$AW$4:$AW$41))</f>
        <v/>
      </c>
      <c r="AA73" s="216" t="str">
        <f>IF($U73="","",SUMPRODUCT(--(Lineups!$AO$4:$AO$41=$U73),Lineups!$AW$4:$AW$41))</f>
        <v/>
      </c>
      <c r="AB73" s="216" t="str">
        <f>IF($U73="","",SUMPRODUCT(--(Lineups!$AS$4:$AS$41=$U73),Lineups!$AW$4:$AW$41))</f>
        <v/>
      </c>
      <c r="AC73" s="23" t="str">
        <f t="shared" si="43"/>
        <v/>
      </c>
      <c r="AE73" s="23" t="str">
        <f t="shared" si="44"/>
        <v/>
      </c>
      <c r="AH73" s="23" t="str">
        <f>IF($U73="","",SUMPRODUCT(--(Lineups!$AC$4:$AC$41=$U73),Lineups!$AW$4:$AW$41))</f>
        <v/>
      </c>
      <c r="AJ73" s="23" t="str">
        <f t="shared" si="45"/>
        <v/>
      </c>
    </row>
    <row r="74" spans="1:37" x14ac:dyDescent="0.3">
      <c r="A74" s="205">
        <f t="shared" si="36"/>
        <v>20</v>
      </c>
      <c r="B74" s="205" t="str">
        <f t="shared" si="37"/>
        <v/>
      </c>
      <c r="C74" s="205" t="str">
        <f t="shared" si="37"/>
        <v/>
      </c>
      <c r="D74" s="205" t="str">
        <f>IF($B74="","",SUMPRODUCT(--(Lineups!$G$4:$G$41=$B74),--(Lineups!$B$4:$B$41=""),Lineups!$W$4:$W$41))</f>
        <v/>
      </c>
      <c r="F74" s="216" t="str">
        <f>IF($B74="","",SUMPRODUCT(--(Lineups!$G$4:$G$41=$B74),--(Lineups!$B$4:$B$41="X"),Lineups!$W$4:$W$41))</f>
        <v/>
      </c>
      <c r="G74" s="216" t="str">
        <f>IF($B74="","",SUMPRODUCT(--(Lineups!$K$4:$K$41=$B74),Lineups!$W$4:$W$41))</f>
        <v/>
      </c>
      <c r="H74" s="216" t="str">
        <f>IF($B74="","",SUMPRODUCT(--(Lineups!$O$4:$O$41=$B74),Lineups!$W$4:$W$41))</f>
        <v/>
      </c>
      <c r="I74" s="216" t="str">
        <f>IF($B74="","",SUMPRODUCT(--(Lineups!$S$4:$S$41=$B74),Lineups!$W$4:$W$41))</f>
        <v/>
      </c>
      <c r="J74" s="205" t="str">
        <f t="shared" si="38"/>
        <v/>
      </c>
      <c r="L74" s="205" t="str">
        <f t="shared" si="39"/>
        <v/>
      </c>
      <c r="O74" s="205" t="str">
        <f>IF($B74="","",SUMPRODUCT(--(Lineups!$C$4:$C$41=$B74),Lineups!$W$4:$W$41))</f>
        <v/>
      </c>
      <c r="Q74" s="205" t="str">
        <f t="shared" si="40"/>
        <v/>
      </c>
      <c r="T74" s="205">
        <f t="shared" si="41"/>
        <v>20</v>
      </c>
      <c r="U74" s="205" t="str">
        <f t="shared" si="42"/>
        <v/>
      </c>
      <c r="V74" s="205" t="str">
        <f t="shared" si="42"/>
        <v/>
      </c>
      <c r="W74" s="205" t="str">
        <f>IF($U74="","",SUMPRODUCT(--(Lineups!$AG$4:$AG$41=$U74),--(Lineups!$AB$4:$AB$41=""),Lineups!$AW$4:$AW$41))</f>
        <v/>
      </c>
      <c r="Y74" s="216" t="str">
        <f>IF($U74="","",SUMPRODUCT(--(Lineups!$AG$4:$AG$41=$U74),--(Lineups!$AB$4:$AB$41="X"),Lineups!$AW$4:$AW$41))</f>
        <v/>
      </c>
      <c r="Z74" s="216" t="str">
        <f>IF($U74="","",SUMPRODUCT(--(Lineups!$AK$4:$AK$41=$U74),Lineups!$AW$4:$AW$41))</f>
        <v/>
      </c>
      <c r="AA74" s="216" t="str">
        <f>IF($U74="","",SUMPRODUCT(--(Lineups!$AO$4:$AO$41=$U74),Lineups!$AW$4:$AW$41))</f>
        <v/>
      </c>
      <c r="AB74" s="216" t="str">
        <f>IF($U74="","",SUMPRODUCT(--(Lineups!$AS$4:$AS$41=$U74),Lineups!$AW$4:$AW$41))</f>
        <v/>
      </c>
      <c r="AC74" s="205" t="str">
        <f t="shared" si="43"/>
        <v/>
      </c>
      <c r="AE74" s="205" t="str">
        <f t="shared" si="44"/>
        <v/>
      </c>
      <c r="AH74" s="205" t="str">
        <f>IF($U74="","",SUMPRODUCT(--(Lineups!$AC$4:$AC$41=$U74),Lineups!$AW$4:$AW$41))</f>
        <v/>
      </c>
      <c r="AJ74" s="205" t="str">
        <f t="shared" si="45"/>
        <v/>
      </c>
    </row>
    <row r="76" spans="1:37" x14ac:dyDescent="0.3">
      <c r="A76" s="1162" t="s">
        <v>54</v>
      </c>
      <c r="B76" s="1162"/>
      <c r="C76" s="1162"/>
      <c r="D76" s="151"/>
      <c r="E76" s="151"/>
      <c r="F76" s="151"/>
      <c r="G76" s="151"/>
      <c r="H76" s="151"/>
      <c r="I76" s="151"/>
      <c r="J76" s="151"/>
      <c r="K76" s="151"/>
      <c r="L76" s="151"/>
      <c r="M76" s="151"/>
      <c r="N76" s="151"/>
      <c r="O76" s="151"/>
      <c r="P76" s="151"/>
      <c r="Q76" s="151"/>
      <c r="R76" s="151"/>
      <c r="T76" s="1162" t="s">
        <v>54</v>
      </c>
      <c r="U76" s="1162"/>
      <c r="V76" s="1162"/>
      <c r="W76" s="151"/>
      <c r="X76" s="151"/>
      <c r="Y76" s="151"/>
      <c r="Z76" s="151"/>
      <c r="AA76" s="151"/>
      <c r="AB76" s="151"/>
      <c r="AC76" s="151"/>
      <c r="AD76" s="151"/>
      <c r="AE76" s="151"/>
      <c r="AF76" s="151"/>
      <c r="AG76" s="151"/>
      <c r="AH76" s="151"/>
      <c r="AI76" s="151"/>
      <c r="AJ76" s="151"/>
      <c r="AK76" s="151"/>
    </row>
    <row r="77" spans="1:37" x14ac:dyDescent="0.3">
      <c r="A77" s="210">
        <v>0</v>
      </c>
      <c r="B77" s="210" t="s">
        <v>36</v>
      </c>
      <c r="C77" s="210" t="s">
        <v>37</v>
      </c>
      <c r="D77" s="210" t="s">
        <v>122</v>
      </c>
      <c r="E77" s="149"/>
      <c r="F77" s="215" t="s">
        <v>123</v>
      </c>
      <c r="G77" s="215" t="s">
        <v>123</v>
      </c>
      <c r="H77" s="215" t="s">
        <v>123</v>
      </c>
      <c r="I77" s="215" t="s">
        <v>123</v>
      </c>
      <c r="J77" s="210" t="s">
        <v>46</v>
      </c>
      <c r="K77" s="149"/>
      <c r="L77" s="210" t="s">
        <v>48</v>
      </c>
      <c r="M77" s="149"/>
      <c r="N77" s="212" t="s">
        <v>25</v>
      </c>
      <c r="O77" s="210" t="s">
        <v>124</v>
      </c>
      <c r="P77" s="149"/>
      <c r="Q77" s="210" t="s">
        <v>19</v>
      </c>
      <c r="R77" s="149"/>
      <c r="S77" s="149"/>
      <c r="T77" s="210">
        <v>0</v>
      </c>
      <c r="U77" s="210" t="s">
        <v>36</v>
      </c>
      <c r="V77" s="210" t="s">
        <v>37</v>
      </c>
      <c r="W77" s="210" t="s">
        <v>122</v>
      </c>
      <c r="X77" s="149"/>
      <c r="Y77" s="215" t="s">
        <v>123</v>
      </c>
      <c r="Z77" s="215" t="s">
        <v>123</v>
      </c>
      <c r="AA77" s="215" t="s">
        <v>123</v>
      </c>
      <c r="AB77" s="215" t="s">
        <v>123</v>
      </c>
      <c r="AC77" s="210" t="s">
        <v>46</v>
      </c>
      <c r="AD77" s="149"/>
      <c r="AE77" s="210" t="s">
        <v>48</v>
      </c>
      <c r="AF77" s="149"/>
      <c r="AG77" s="212" t="s">
        <v>25</v>
      </c>
      <c r="AH77" s="210" t="s">
        <v>124</v>
      </c>
      <c r="AI77" s="149"/>
      <c r="AJ77" s="210" t="s">
        <v>19</v>
      </c>
      <c r="AK77" s="149"/>
    </row>
    <row r="78" spans="1:37" x14ac:dyDescent="0.3">
      <c r="A78" s="23">
        <f t="shared" ref="A78:A97" si="46">A77+1</f>
        <v>1</v>
      </c>
      <c r="B78" s="23" t="str">
        <f t="shared" ref="B78:C97" si="47">B9</f>
        <v>0</v>
      </c>
      <c r="C78" s="23" t="str">
        <f t="shared" si="47"/>
        <v>Andi Slamberg</v>
      </c>
      <c r="D78" s="23">
        <f ca="1">IF($B78="","",SUMPRODUCT(--(Lineups!$G$4:$G$41=$B78),--(Lineups!$B$4:$B$41=""),Lineups!$AW$4:$AW$41))</f>
        <v>11</v>
      </c>
      <c r="F78" s="216">
        <f ca="1">IF($B78="","",SUMPRODUCT(--(Lineups!$G$4:$G$41=$B78),--(Lineups!$B$4:$B$41="X"),Lineups!$AW$4:$AW$41))</f>
        <v>0</v>
      </c>
      <c r="G78" s="216">
        <f ca="1">IF($B78="","",SUMPRODUCT(--(Lineups!$K$4:$K$41=$B78),Lineups!$AW$4:$AW$41))</f>
        <v>0</v>
      </c>
      <c r="H78" s="216">
        <f ca="1">IF($B78="","",SUMPRODUCT(--(Lineups!$O$4:$O$41=$B78),Lineups!$AW$4:$AW$41))</f>
        <v>4</v>
      </c>
      <c r="I78" s="216">
        <f ca="1">IF($B78="","",SUMPRODUCT(--(Lineups!$S$4:$S$41=$B78),Lineups!$AW$4:$AW$41))</f>
        <v>0</v>
      </c>
      <c r="J78" s="23">
        <f t="shared" ref="J78:J97" ca="1" si="48">IF(B78="","",SUM(F78:I78))</f>
        <v>4</v>
      </c>
      <c r="L78" s="23">
        <f t="shared" ref="L78:L97" ca="1" si="49">IF(B78="","",SUM(D78,J78))</f>
        <v>15</v>
      </c>
      <c r="O78" s="23">
        <f ca="1">IF($B78="","",(SUMPRODUCT(--(SK!$C$3:$C$78=$B78),SK!$E$3:$E$78)-(SUMPRODUCT(--(SK!$C$3:$C$78=$B78),SK!$F$3:$F$78))))</f>
        <v>0</v>
      </c>
      <c r="Q78" s="23">
        <f t="shared" ref="Q78:Q97" ca="1" si="50">IF(B78="","",SUM(L78,O78))</f>
        <v>15</v>
      </c>
      <c r="T78" s="23">
        <f t="shared" ref="T78:T97" si="51">T77+1</f>
        <v>1</v>
      </c>
      <c r="U78" s="23" t="str">
        <f t="shared" ref="U78:V97" si="52">U9</f>
        <v>11</v>
      </c>
      <c r="V78" s="23" t="str">
        <f t="shared" si="52"/>
        <v>Typhoid Maggie</v>
      </c>
      <c r="W78" s="23">
        <f ca="1">IF($U78="","",SUMPRODUCT(--(Lineups!$AG$4:$AG$41=$U78),--(Lineups!$AB$4:$AB$41=""),Lineups!$W$4:$W$41))</f>
        <v>0</v>
      </c>
      <c r="Y78" s="216">
        <f ca="1">IF($U78="","",SUMPRODUCT(--(Lineups!$AG$4:$AG$41=$U78),--(Lineups!$AB$4:$AB$41="X"),Lineups!$W$4:$W$41))</f>
        <v>0</v>
      </c>
      <c r="Z78" s="216">
        <f ca="1">IF($U78="","",SUMPRODUCT(--(Lineups!$AK$4:$AK$41=$U78),Lineups!$W$4:$W$41))</f>
        <v>58</v>
      </c>
      <c r="AA78" s="216">
        <f ca="1">IF($U78="","",SUMPRODUCT(--(Lineups!$AO$4:$AO$41=$U78),Lineups!$W$4:$W$41))</f>
        <v>8</v>
      </c>
      <c r="AB78" s="216">
        <f ca="1">IF($U78="","",SUMPRODUCT(--(Lineups!$AS$4:$AS$41=$U78),Lineups!$W$4:$W$41))</f>
        <v>0</v>
      </c>
      <c r="AC78" s="23">
        <f t="shared" ref="AC78:AC97" ca="1" si="53">IF(U78="","",SUM(Y78:AB78))</f>
        <v>66</v>
      </c>
      <c r="AE78" s="23">
        <f t="shared" ref="AE78:AE97" ca="1" si="54">IF(U78="","",SUM(W78,AC78))</f>
        <v>66</v>
      </c>
      <c r="AH78" s="23">
        <f ca="1">IF($U78="","",SUMPRODUCT(--(Lineups!$AC$4:$AC$41=$U78),Lineups!$W$4:$W$41))</f>
        <v>0</v>
      </c>
      <c r="AJ78" s="23">
        <f t="shared" ref="AJ78:AJ97" ca="1" si="55">IF(U78="","",SUM(AE78,AH78))</f>
        <v>66</v>
      </c>
    </row>
    <row r="79" spans="1:37" x14ac:dyDescent="0.3">
      <c r="A79" s="205">
        <f t="shared" si="46"/>
        <v>2</v>
      </c>
      <c r="B79" s="205" t="str">
        <f t="shared" si="47"/>
        <v>1321</v>
      </c>
      <c r="C79" s="205" t="str">
        <f t="shared" si="47"/>
        <v>Kristy Skelton</v>
      </c>
      <c r="D79" s="205">
        <f ca="1">IF($B79="","",SUMPRODUCT(--(Lineups!$G$4:$G$41=$B79),--(Lineups!$B$4:$B$41=""),Lineups!$AW$4:$AW$41))</f>
        <v>0</v>
      </c>
      <c r="F79" s="216">
        <f ca="1">IF($B79="","",SUMPRODUCT(--(Lineups!$G$4:$G$41=$B79),--(Lineups!$B$4:$B$41="X"),Lineups!$AW$4:$AW$41))</f>
        <v>0</v>
      </c>
      <c r="G79" s="216">
        <f ca="1">IF($B79="","",SUMPRODUCT(--(Lineups!$K$4:$K$41=$B79),Lineups!$AW$4:$AW$41))</f>
        <v>0</v>
      </c>
      <c r="H79" s="216">
        <f ca="1">IF($B79="","",SUMPRODUCT(--(Lineups!$O$4:$O$41=$B79),Lineups!$AW$4:$AW$41))</f>
        <v>0</v>
      </c>
      <c r="I79" s="216">
        <f ca="1">IF($B79="","",SUMPRODUCT(--(Lineups!$S$4:$S$41=$B79),Lineups!$AW$4:$AW$41))</f>
        <v>0</v>
      </c>
      <c r="J79" s="205">
        <f t="shared" ca="1" si="48"/>
        <v>0</v>
      </c>
      <c r="L79" s="205">
        <f t="shared" ca="1" si="49"/>
        <v>0</v>
      </c>
      <c r="O79" s="205">
        <f ca="1">IF($B79="","",(SUMPRODUCT(--(SK!$C$3:$C$78=$B79),SK!$E$3:$E$78)-(SUMPRODUCT(--(SK!$C$3:$C$78=$B79),SK!$F$3:$F$78))))</f>
        <v>0</v>
      </c>
      <c r="Q79" s="205">
        <f t="shared" ca="1" si="50"/>
        <v>0</v>
      </c>
      <c r="T79" s="205">
        <f t="shared" si="51"/>
        <v>2</v>
      </c>
      <c r="U79" s="205" t="str">
        <f t="shared" si="52"/>
        <v>11G6</v>
      </c>
      <c r="V79" s="205" t="str">
        <f t="shared" si="52"/>
        <v>Fista Krusher</v>
      </c>
      <c r="W79" s="205">
        <f ca="1">IF($U79="","",SUMPRODUCT(--(Lineups!$AG$4:$AG$41=$U79),--(Lineups!$AB$4:$AB$41=""),Lineups!$W$4:$W$41))</f>
        <v>12</v>
      </c>
      <c r="Y79" s="216">
        <f ca="1">IF($U79="","",SUMPRODUCT(--(Lineups!$AG$4:$AG$41=$U79),--(Lineups!$AB$4:$AB$41="X"),Lineups!$W$4:$W$41))</f>
        <v>0</v>
      </c>
      <c r="Z79" s="216">
        <f ca="1">IF($U79="","",SUMPRODUCT(--(Lineups!$AK$4:$AK$41=$U79),Lineups!$W$4:$W$41))</f>
        <v>0</v>
      </c>
      <c r="AA79" s="216">
        <f ca="1">IF($U79="","",SUMPRODUCT(--(Lineups!$AO$4:$AO$41=$U79),Lineups!$W$4:$W$41))</f>
        <v>0</v>
      </c>
      <c r="AB79" s="216">
        <f ca="1">IF($U79="","",SUMPRODUCT(--(Lineups!$AS$4:$AS$41=$U79),Lineups!$W$4:$W$41))</f>
        <v>0</v>
      </c>
      <c r="AC79" s="205">
        <f t="shared" ca="1" si="53"/>
        <v>0</v>
      </c>
      <c r="AE79" s="205">
        <f t="shared" ca="1" si="54"/>
        <v>12</v>
      </c>
      <c r="AH79" s="205">
        <f ca="1">IF($U79="","",SUMPRODUCT(--(Lineups!$AC$4:$AC$41=$U79),Lineups!$W$4:$W$41))</f>
        <v>32</v>
      </c>
      <c r="AJ79" s="205">
        <f t="shared" ca="1" si="55"/>
        <v>44</v>
      </c>
    </row>
    <row r="80" spans="1:37" x14ac:dyDescent="0.3">
      <c r="A80" s="23">
        <f t="shared" si="46"/>
        <v>3</v>
      </c>
      <c r="B80" s="23" t="str">
        <f t="shared" si="47"/>
        <v>17</v>
      </c>
      <c r="C80" s="23" t="str">
        <f t="shared" si="47"/>
        <v>Justine Sane</v>
      </c>
      <c r="D80" s="23">
        <f ca="1">IF($B80="","",SUMPRODUCT(--(Lineups!$G$4:$G$41=$B80),--(Lineups!$B$4:$B$41=""),Lineups!$AW$4:$AW$41))</f>
        <v>0</v>
      </c>
      <c r="F80" s="216">
        <f ca="1">IF($B80="","",SUMPRODUCT(--(Lineups!$G$4:$G$41=$B80),--(Lineups!$B$4:$B$41="X"),Lineups!$AW$4:$AW$41))</f>
        <v>0</v>
      </c>
      <c r="G80" s="216">
        <f ca="1">IF($B80="","",SUMPRODUCT(--(Lineups!$K$4:$K$41=$B80),Lineups!$AW$4:$AW$41))</f>
        <v>0</v>
      </c>
      <c r="H80" s="216">
        <f ca="1">IF($B80="","",SUMPRODUCT(--(Lineups!$O$4:$O$41=$B80),Lineups!$AW$4:$AW$41))</f>
        <v>10</v>
      </c>
      <c r="I80" s="216">
        <f ca="1">IF($B80="","",SUMPRODUCT(--(Lineups!$S$4:$S$41=$B80),Lineups!$AW$4:$AW$41))</f>
        <v>0</v>
      </c>
      <c r="J80" s="23">
        <f t="shared" ca="1" si="48"/>
        <v>10</v>
      </c>
      <c r="L80" s="23">
        <f t="shared" ca="1" si="49"/>
        <v>10</v>
      </c>
      <c r="O80" s="23">
        <f ca="1">IF($B80="","",(SUMPRODUCT(--(SK!$C$3:$C$78=$B80),SK!$E$3:$E$78)-(SUMPRODUCT(--(SK!$C$3:$C$78=$B80),SK!$F$3:$F$78))))</f>
        <v>0</v>
      </c>
      <c r="Q80" s="23">
        <f t="shared" ca="1" si="50"/>
        <v>10</v>
      </c>
      <c r="T80" s="23">
        <f t="shared" si="51"/>
        <v>3</v>
      </c>
      <c r="U80" s="23" t="str">
        <f t="shared" si="52"/>
        <v>152</v>
      </c>
      <c r="V80" s="23" t="str">
        <f t="shared" si="52"/>
        <v>Hitty Pryde</v>
      </c>
      <c r="W80" s="23">
        <f ca="1">IF($U80="","",SUMPRODUCT(--(Lineups!$AG$4:$AG$41=$U80),--(Lineups!$AB$4:$AB$41=""),Lineups!$W$4:$W$41))</f>
        <v>0</v>
      </c>
      <c r="Y80" s="216">
        <f ca="1">IF($U80="","",SUMPRODUCT(--(Lineups!$AG$4:$AG$41=$U80),--(Lineups!$AB$4:$AB$41="X"),Lineups!$W$4:$W$41))</f>
        <v>0</v>
      </c>
      <c r="Z80" s="216">
        <f ca="1">IF($U80="","",SUMPRODUCT(--(Lineups!$AK$4:$AK$41=$U80),Lineups!$W$4:$W$41))</f>
        <v>12</v>
      </c>
      <c r="AA80" s="216">
        <f ca="1">IF($U80="","",SUMPRODUCT(--(Lineups!$AO$4:$AO$41=$U80),Lineups!$W$4:$W$41))</f>
        <v>15</v>
      </c>
      <c r="AB80" s="216">
        <f ca="1">IF($U80="","",SUMPRODUCT(--(Lineups!$AS$4:$AS$41=$U80),Lineups!$W$4:$W$41))</f>
        <v>24</v>
      </c>
      <c r="AC80" s="23">
        <f t="shared" ca="1" si="53"/>
        <v>51</v>
      </c>
      <c r="AE80" s="23">
        <f t="shared" ca="1" si="54"/>
        <v>51</v>
      </c>
      <c r="AH80" s="23">
        <f ca="1">IF($U80="","",SUMPRODUCT(--(Lineups!$AC$4:$AC$41=$U80),Lineups!$W$4:$W$41))</f>
        <v>0</v>
      </c>
      <c r="AJ80" s="23">
        <f t="shared" ca="1" si="55"/>
        <v>51</v>
      </c>
    </row>
    <row r="81" spans="1:36" x14ac:dyDescent="0.3">
      <c r="A81" s="205">
        <f t="shared" si="46"/>
        <v>4</v>
      </c>
      <c r="B81" s="205" t="str">
        <f t="shared" si="47"/>
        <v>19</v>
      </c>
      <c r="C81" s="205" t="str">
        <f t="shared" si="47"/>
        <v>Lippy Wrongstockings</v>
      </c>
      <c r="D81" s="205">
        <f ca="1">IF($B81="","",SUMPRODUCT(--(Lineups!$G$4:$G$41=$B81),--(Lineups!$B$4:$B$41=""),Lineups!$AW$4:$AW$41))</f>
        <v>0</v>
      </c>
      <c r="F81" s="216">
        <f ca="1">IF($B81="","",SUMPRODUCT(--(Lineups!$G$4:$G$41=$B81),--(Lineups!$B$4:$B$41="X"),Lineups!$AW$4:$AW$41))</f>
        <v>0</v>
      </c>
      <c r="G81" s="216">
        <f ca="1">IF($B81="","",SUMPRODUCT(--(Lineups!$K$4:$K$41=$B81),Lineups!$AW$4:$AW$41))</f>
        <v>0</v>
      </c>
      <c r="H81" s="216">
        <f ca="1">IF($B81="","",SUMPRODUCT(--(Lineups!$O$4:$O$41=$B81),Lineups!$AW$4:$AW$41))</f>
        <v>0</v>
      </c>
      <c r="I81" s="216">
        <f ca="1">IF($B81="","",SUMPRODUCT(--(Lineups!$S$4:$S$41=$B81),Lineups!$AW$4:$AW$41))</f>
        <v>0</v>
      </c>
      <c r="J81" s="205">
        <f t="shared" ca="1" si="48"/>
        <v>0</v>
      </c>
      <c r="L81" s="205">
        <f t="shared" ca="1" si="49"/>
        <v>0</v>
      </c>
      <c r="O81" s="205">
        <f ca="1">IF($B81="","",(SUMPRODUCT(--(SK!$C$3:$C$78=$B81),SK!$E$3:$E$78)-(SUMPRODUCT(--(SK!$C$3:$C$78=$B81),SK!$F$3:$F$78))))</f>
        <v>0</v>
      </c>
      <c r="Q81" s="205">
        <f t="shared" ca="1" si="50"/>
        <v>0</v>
      </c>
      <c r="T81" s="205">
        <f t="shared" si="51"/>
        <v>4</v>
      </c>
      <c r="U81" s="205" t="str">
        <f t="shared" si="52"/>
        <v xml:space="preserve">237 </v>
      </c>
      <c r="V81" s="205" t="str">
        <f t="shared" si="52"/>
        <v>GuilloTina</v>
      </c>
      <c r="W81" s="205">
        <f ca="1">IF($U81="","",SUMPRODUCT(--(Lineups!$AG$4:$AG$41=$U81),--(Lineups!$AB$4:$AB$41=""),Lineups!$W$4:$W$41))</f>
        <v>0</v>
      </c>
      <c r="Y81" s="216">
        <f ca="1">IF($U81="","",SUMPRODUCT(--(Lineups!$AG$4:$AG$41=$U81),--(Lineups!$AB$4:$AB$41="X"),Lineups!$W$4:$W$41))</f>
        <v>0</v>
      </c>
      <c r="Z81" s="216">
        <f ca="1">IF($U81="","",SUMPRODUCT(--(Lineups!$AK$4:$AK$41=$U81),Lineups!$W$4:$W$41))</f>
        <v>0</v>
      </c>
      <c r="AA81" s="216">
        <f ca="1">IF($U81="","",SUMPRODUCT(--(Lineups!$AO$4:$AO$41=$U81),Lineups!$W$4:$W$41))</f>
        <v>0</v>
      </c>
      <c r="AB81" s="216">
        <f ca="1">IF($U81="","",SUMPRODUCT(--(Lineups!$AS$4:$AS$41=$U81),Lineups!$W$4:$W$41))</f>
        <v>0</v>
      </c>
      <c r="AC81" s="205">
        <f t="shared" ca="1" si="53"/>
        <v>0</v>
      </c>
      <c r="AE81" s="205">
        <f t="shared" ca="1" si="54"/>
        <v>0</v>
      </c>
      <c r="AH81" s="205">
        <f ca="1">IF($U81="","",SUMPRODUCT(--(Lineups!$AC$4:$AC$41=$U81),Lineups!$W$4:$W$41))</f>
        <v>0</v>
      </c>
      <c r="AJ81" s="205">
        <f t="shared" ca="1" si="55"/>
        <v>0</v>
      </c>
    </row>
    <row r="82" spans="1:36" x14ac:dyDescent="0.3">
      <c r="A82" s="23">
        <f t="shared" si="46"/>
        <v>5</v>
      </c>
      <c r="B82" s="23" t="str">
        <f t="shared" si="47"/>
        <v>20</v>
      </c>
      <c r="C82" s="23" t="str">
        <f t="shared" si="47"/>
        <v>Zooks</v>
      </c>
      <c r="D82" s="23">
        <f ca="1">IF($B82="","",SUMPRODUCT(--(Lineups!$G$4:$G$41=$B82),--(Lineups!$B$4:$B$41=""),Lineups!$AW$4:$AW$41))</f>
        <v>0</v>
      </c>
      <c r="F82" s="216">
        <f ca="1">IF($B82="","",SUMPRODUCT(--(Lineups!$G$4:$G$41=$B82),--(Lineups!$B$4:$B$41="X"),Lineups!$AW$4:$AW$41))</f>
        <v>0</v>
      </c>
      <c r="G82" s="216">
        <f ca="1">IF($B82="","",SUMPRODUCT(--(Lineups!$K$4:$K$41=$B82),Lineups!$AW$4:$AW$41))</f>
        <v>4</v>
      </c>
      <c r="H82" s="216">
        <f ca="1">IF($B82="","",SUMPRODUCT(--(Lineups!$O$4:$O$41=$B82),Lineups!$AW$4:$AW$41))</f>
        <v>0</v>
      </c>
      <c r="I82" s="216">
        <f ca="1">IF($B82="","",SUMPRODUCT(--(Lineups!$S$4:$S$41=$B82),Lineups!$AW$4:$AW$41))</f>
        <v>3</v>
      </c>
      <c r="J82" s="23">
        <f t="shared" ca="1" si="48"/>
        <v>7</v>
      </c>
      <c r="L82" s="23">
        <f t="shared" ca="1" si="49"/>
        <v>7</v>
      </c>
      <c r="O82" s="23">
        <f ca="1">IF($B82="","",(SUMPRODUCT(--(SK!$C$3:$C$78=$B82),SK!$E$3:$E$78)-(SUMPRODUCT(--(SK!$C$3:$C$78=$B82),SK!$F$3:$F$78))))</f>
        <v>0</v>
      </c>
      <c r="Q82" s="23">
        <f t="shared" ca="1" si="50"/>
        <v>7</v>
      </c>
      <c r="T82" s="23">
        <f t="shared" si="51"/>
        <v>5</v>
      </c>
      <c r="U82" s="23" t="str">
        <f t="shared" si="52"/>
        <v>26</v>
      </c>
      <c r="V82" s="23" t="str">
        <f t="shared" si="52"/>
        <v>Bam Bam Bigelow</v>
      </c>
      <c r="W82" s="23">
        <f ca="1">IF($U82="","",SUMPRODUCT(--(Lineups!$AG$4:$AG$41=$U82),--(Lineups!$AB$4:$AB$41=""),Lineups!$W$4:$W$41))</f>
        <v>66</v>
      </c>
      <c r="Y82" s="216">
        <f ca="1">IF($U82="","",SUMPRODUCT(--(Lineups!$AG$4:$AG$41=$U82),--(Lineups!$AB$4:$AB$41="X"),Lineups!$W$4:$W$41))</f>
        <v>0</v>
      </c>
      <c r="Z82" s="216">
        <f ca="1">IF($U82="","",SUMPRODUCT(--(Lineups!$AK$4:$AK$41=$U82),Lineups!$W$4:$W$41))</f>
        <v>0</v>
      </c>
      <c r="AA82" s="216">
        <f ca="1">IF($U82="","",SUMPRODUCT(--(Lineups!$AO$4:$AO$41=$U82),Lineups!$W$4:$W$41))</f>
        <v>0</v>
      </c>
      <c r="AB82" s="216">
        <f ca="1">IF($U82="","",SUMPRODUCT(--(Lineups!$AS$4:$AS$41=$U82),Lineups!$W$4:$W$41))</f>
        <v>0</v>
      </c>
      <c r="AC82" s="23">
        <f t="shared" ca="1" si="53"/>
        <v>0</v>
      </c>
      <c r="AE82" s="23">
        <f t="shared" ca="1" si="54"/>
        <v>66</v>
      </c>
      <c r="AH82" s="23">
        <f ca="1">IF($U82="","",SUMPRODUCT(--(Lineups!$AC$4:$AC$41=$U82),Lineups!$W$4:$W$41))</f>
        <v>0</v>
      </c>
      <c r="AJ82" s="23">
        <f t="shared" ca="1" si="55"/>
        <v>66</v>
      </c>
    </row>
    <row r="83" spans="1:36" x14ac:dyDescent="0.3">
      <c r="A83" s="205">
        <f t="shared" si="46"/>
        <v>6</v>
      </c>
      <c r="B83" s="205" t="str">
        <f t="shared" si="47"/>
        <v>303</v>
      </c>
      <c r="C83" s="205" t="str">
        <f t="shared" si="47"/>
        <v>Violent NoRegard</v>
      </c>
      <c r="D83" s="205">
        <f ca="1">IF($B83="","",SUMPRODUCT(--(Lineups!$G$4:$G$41=$B83),--(Lineups!$B$4:$B$41=""),Lineups!$AW$4:$AW$41))</f>
        <v>0</v>
      </c>
      <c r="F83" s="216">
        <f ca="1">IF($B83="","",SUMPRODUCT(--(Lineups!$G$4:$G$41=$B83),--(Lineups!$B$4:$B$41="X"),Lineups!$AW$4:$AW$41))</f>
        <v>0</v>
      </c>
      <c r="G83" s="216">
        <f ca="1">IF($B83="","",SUMPRODUCT(--(Lineups!$K$4:$K$41=$B83),Lineups!$AW$4:$AW$41))</f>
        <v>0</v>
      </c>
      <c r="H83" s="216">
        <f ca="1">IF($B83="","",SUMPRODUCT(--(Lineups!$O$4:$O$41=$B83),Lineups!$AW$4:$AW$41))</f>
        <v>4</v>
      </c>
      <c r="I83" s="216">
        <f ca="1">IF($B83="","",SUMPRODUCT(--(Lineups!$S$4:$S$41=$B83),Lineups!$AW$4:$AW$41))</f>
        <v>4</v>
      </c>
      <c r="J83" s="205">
        <f t="shared" ca="1" si="48"/>
        <v>8</v>
      </c>
      <c r="L83" s="205">
        <f t="shared" ca="1" si="49"/>
        <v>8</v>
      </c>
      <c r="O83" s="205">
        <f ca="1">IF($B83="","",(SUMPRODUCT(--(SK!$C$3:$C$78=$B83),SK!$E$3:$E$78)-(SUMPRODUCT(--(SK!$C$3:$C$78=$B83),SK!$F$3:$F$78))))</f>
        <v>0</v>
      </c>
      <c r="Q83" s="205">
        <f t="shared" ca="1" si="50"/>
        <v>8</v>
      </c>
      <c r="T83" s="205">
        <f t="shared" si="51"/>
        <v>6</v>
      </c>
      <c r="U83" s="205" t="str">
        <f t="shared" si="52"/>
        <v>2611</v>
      </c>
      <c r="V83" s="205" t="str">
        <f t="shared" si="52"/>
        <v>Va Va BOOM</v>
      </c>
      <c r="W83" s="205">
        <f ca="1">IF($U83="","",SUMPRODUCT(--(Lineups!$AG$4:$AG$41=$U83),--(Lineups!$AB$4:$AB$41=""),Lineups!$W$4:$W$41))</f>
        <v>0</v>
      </c>
      <c r="Y83" s="216">
        <f ca="1">IF($U83="","",SUMPRODUCT(--(Lineups!$AG$4:$AG$41=$U83),--(Lineups!$AB$4:$AB$41="X"),Lineups!$W$4:$W$41))</f>
        <v>0</v>
      </c>
      <c r="Z83" s="216">
        <f ca="1">IF($U83="","",SUMPRODUCT(--(Lineups!$AK$4:$AK$41=$U83),Lineups!$W$4:$W$41))</f>
        <v>17</v>
      </c>
      <c r="AA83" s="216">
        <f ca="1">IF($U83="","",SUMPRODUCT(--(Lineups!$AO$4:$AO$41=$U83),Lineups!$W$4:$W$41))</f>
        <v>20</v>
      </c>
      <c r="AB83" s="216">
        <f ca="1">IF($U83="","",SUMPRODUCT(--(Lineups!$AS$4:$AS$41=$U83),Lineups!$W$4:$W$41))</f>
        <v>47</v>
      </c>
      <c r="AC83" s="205">
        <f t="shared" ca="1" si="53"/>
        <v>84</v>
      </c>
      <c r="AE83" s="205">
        <f t="shared" ca="1" si="54"/>
        <v>84</v>
      </c>
      <c r="AH83" s="205">
        <f ca="1">IF($U83="","",SUMPRODUCT(--(Lineups!$AC$4:$AC$41=$U83),Lineups!$W$4:$W$41))</f>
        <v>0</v>
      </c>
      <c r="AJ83" s="205">
        <f t="shared" ca="1" si="55"/>
        <v>84</v>
      </c>
    </row>
    <row r="84" spans="1:36" x14ac:dyDescent="0.3">
      <c r="A84" s="23">
        <f t="shared" si="46"/>
        <v>7</v>
      </c>
      <c r="B84" s="23" t="str">
        <f t="shared" si="47"/>
        <v>33</v>
      </c>
      <c r="C84" s="23" t="str">
        <f t="shared" si="47"/>
        <v>Suzy Slam</v>
      </c>
      <c r="D84" s="23">
        <f ca="1">IF($B84="","",SUMPRODUCT(--(Lineups!$G$4:$G$41=$B84),--(Lineups!$B$4:$B$41=""),Lineups!$AW$4:$AW$41))</f>
        <v>0</v>
      </c>
      <c r="F84" s="216">
        <f ca="1">IF($B84="","",SUMPRODUCT(--(Lineups!$G$4:$G$41=$B84),--(Lineups!$B$4:$B$41="X"),Lineups!$AW$4:$AW$41))</f>
        <v>0</v>
      </c>
      <c r="G84" s="216">
        <f ca="1">IF($B84="","",SUMPRODUCT(--(Lineups!$K$4:$K$41=$B84),Lineups!$AW$4:$AW$41))</f>
        <v>0</v>
      </c>
      <c r="H84" s="216">
        <f ca="1">IF($B84="","",SUMPRODUCT(--(Lineups!$O$4:$O$41=$B84),Lineups!$AW$4:$AW$41))</f>
        <v>0</v>
      </c>
      <c r="I84" s="216">
        <f ca="1">IF($B84="","",SUMPRODUCT(--(Lineups!$S$4:$S$41=$B84),Lineups!$AW$4:$AW$41))</f>
        <v>0</v>
      </c>
      <c r="J84" s="23">
        <f t="shared" ca="1" si="48"/>
        <v>0</v>
      </c>
      <c r="L84" s="23">
        <f t="shared" ca="1" si="49"/>
        <v>0</v>
      </c>
      <c r="O84" s="23">
        <f ca="1">IF($B84="","",(SUMPRODUCT(--(SK!$C$3:$C$78=$B84),SK!$E$3:$E$78)-(SUMPRODUCT(--(SK!$C$3:$C$78=$B84),SK!$F$3:$F$78))))</f>
        <v>0</v>
      </c>
      <c r="Q84" s="23">
        <f t="shared" ca="1" si="50"/>
        <v>0</v>
      </c>
      <c r="T84" s="23">
        <f t="shared" si="51"/>
        <v>7</v>
      </c>
      <c r="U84" s="23" t="str">
        <f t="shared" si="52"/>
        <v>45</v>
      </c>
      <c r="V84" s="23" t="str">
        <f t="shared" si="52"/>
        <v>Miss Carriage</v>
      </c>
      <c r="W84" s="23">
        <f ca="1">IF($U84="","",SUMPRODUCT(--(Lineups!$AG$4:$AG$41=$U84),--(Lineups!$AB$4:$AB$41=""),Lineups!$W$4:$W$41))</f>
        <v>48</v>
      </c>
      <c r="Y84" s="216">
        <f ca="1">IF($U84="","",SUMPRODUCT(--(Lineups!$AG$4:$AG$41=$U84),--(Lineups!$AB$4:$AB$41="X"),Lineups!$W$4:$W$41))</f>
        <v>0</v>
      </c>
      <c r="Z84" s="216">
        <f ca="1">IF($U84="","",SUMPRODUCT(--(Lineups!$AK$4:$AK$41=$U84),Lineups!$W$4:$W$41))</f>
        <v>0</v>
      </c>
      <c r="AA84" s="216">
        <f ca="1">IF($U84="","",SUMPRODUCT(--(Lineups!$AO$4:$AO$41=$U84),Lineups!$W$4:$W$41))</f>
        <v>0</v>
      </c>
      <c r="AB84" s="216">
        <f ca="1">IF($U84="","",SUMPRODUCT(--(Lineups!$AS$4:$AS$41=$U84),Lineups!$W$4:$W$41))</f>
        <v>0</v>
      </c>
      <c r="AC84" s="23">
        <f t="shared" ca="1" si="53"/>
        <v>0</v>
      </c>
      <c r="AE84" s="23">
        <f t="shared" ca="1" si="54"/>
        <v>48</v>
      </c>
      <c r="AH84" s="23">
        <f ca="1">IF($U84="","",SUMPRODUCT(--(Lineups!$AC$4:$AC$41=$U84),Lineups!$W$4:$W$41))</f>
        <v>0</v>
      </c>
      <c r="AJ84" s="23">
        <f t="shared" ca="1" si="55"/>
        <v>48</v>
      </c>
    </row>
    <row r="85" spans="1:36" x14ac:dyDescent="0.3">
      <c r="A85" s="205">
        <f t="shared" si="46"/>
        <v>8</v>
      </c>
      <c r="B85" s="205" t="str">
        <f t="shared" si="47"/>
        <v>4</v>
      </c>
      <c r="C85" s="205" t="str">
        <f t="shared" si="47"/>
        <v>Psykosonic</v>
      </c>
      <c r="D85" s="205">
        <f ca="1">IF($B85="","",SUMPRODUCT(--(Lineups!$G$4:$G$41=$B85),--(Lineups!$B$4:$B$41=""),Lineups!$AW$4:$AW$41))</f>
        <v>0</v>
      </c>
      <c r="F85" s="216">
        <f ca="1">IF($B85="","",SUMPRODUCT(--(Lineups!$G$4:$G$41=$B85),--(Lineups!$B$4:$B$41="X"),Lineups!$AW$4:$AW$41))</f>
        <v>0</v>
      </c>
      <c r="G85" s="216">
        <f ca="1">IF($B85="","",SUMPRODUCT(--(Lineups!$K$4:$K$41=$B85),Lineups!$AW$4:$AW$41))</f>
        <v>0</v>
      </c>
      <c r="H85" s="216">
        <f ca="1">IF($B85="","",SUMPRODUCT(--(Lineups!$O$4:$O$41=$B85),Lineups!$AW$4:$AW$41))</f>
        <v>0</v>
      </c>
      <c r="I85" s="216">
        <f ca="1">IF($B85="","",SUMPRODUCT(--(Lineups!$S$4:$S$41=$B85),Lineups!$AW$4:$AW$41))</f>
        <v>0</v>
      </c>
      <c r="J85" s="205">
        <f t="shared" ca="1" si="48"/>
        <v>0</v>
      </c>
      <c r="L85" s="205">
        <f t="shared" ca="1" si="49"/>
        <v>0</v>
      </c>
      <c r="O85" s="205">
        <f ca="1">IF($B85="","",(SUMPRODUCT(--(SK!$C$3:$C$78=$B85),SK!$E$3:$E$78)-(SUMPRODUCT(--(SK!$C$3:$C$78=$B85),SK!$F$3:$F$78))))</f>
        <v>4</v>
      </c>
      <c r="Q85" s="205">
        <f t="shared" ca="1" si="50"/>
        <v>4</v>
      </c>
      <c r="T85" s="205">
        <f t="shared" si="51"/>
        <v>8</v>
      </c>
      <c r="U85" s="205" t="str">
        <f t="shared" si="52"/>
        <v>451</v>
      </c>
      <c r="V85" s="205" t="str">
        <f t="shared" si="52"/>
        <v>fErinheit</v>
      </c>
      <c r="W85" s="205">
        <f ca="1">IF($U85="","",SUMPRODUCT(--(Lineups!$AG$4:$AG$41=$U85),--(Lineups!$AB$4:$AB$41=""),Lineups!$W$4:$W$41))</f>
        <v>0</v>
      </c>
      <c r="Y85" s="216">
        <f ca="1">IF($U85="","",SUMPRODUCT(--(Lineups!$AG$4:$AG$41=$U85),--(Lineups!$AB$4:$AB$41="X"),Lineups!$W$4:$W$41))</f>
        <v>0</v>
      </c>
      <c r="Z85" s="216">
        <f ca="1">IF($U85="","",SUMPRODUCT(--(Lineups!$AK$4:$AK$41=$U85),Lineups!$W$4:$W$41))</f>
        <v>0</v>
      </c>
      <c r="AA85" s="216">
        <f ca="1">IF($U85="","",SUMPRODUCT(--(Lineups!$AO$4:$AO$41=$U85),Lineups!$W$4:$W$41))</f>
        <v>0</v>
      </c>
      <c r="AB85" s="216">
        <f ca="1">IF($U85="","",SUMPRODUCT(--(Lineups!$AS$4:$AS$41=$U85),Lineups!$W$4:$W$41))</f>
        <v>0</v>
      </c>
      <c r="AC85" s="205">
        <f t="shared" ca="1" si="53"/>
        <v>0</v>
      </c>
      <c r="AE85" s="205">
        <f t="shared" ca="1" si="54"/>
        <v>0</v>
      </c>
      <c r="AH85" s="205">
        <f ca="1">IF($U85="","",SUMPRODUCT(--(Lineups!$AC$4:$AC$41=$U85),Lineups!$W$4:$W$41))</f>
        <v>28</v>
      </c>
      <c r="AJ85" s="205">
        <f t="shared" ca="1" si="55"/>
        <v>28</v>
      </c>
    </row>
    <row r="86" spans="1:36" x14ac:dyDescent="0.3">
      <c r="A86" s="23">
        <f t="shared" si="46"/>
        <v>9</v>
      </c>
      <c r="B86" s="23" t="str">
        <f t="shared" si="47"/>
        <v>42</v>
      </c>
      <c r="C86" s="23" t="str">
        <f t="shared" si="47"/>
        <v>Meg N' Plead</v>
      </c>
      <c r="D86" s="23">
        <f ca="1">IF($B86="","",SUMPRODUCT(--(Lineups!$G$4:$G$41=$B86),--(Lineups!$B$4:$B$41=""),Lineups!$AW$4:$AW$41))</f>
        <v>0</v>
      </c>
      <c r="F86" s="216">
        <f ca="1">IF($B86="","",SUMPRODUCT(--(Lineups!$G$4:$G$41=$B86),--(Lineups!$B$4:$B$41="X"),Lineups!$AW$4:$AW$41))</f>
        <v>0</v>
      </c>
      <c r="G86" s="216">
        <f ca="1">IF($B86="","",SUMPRODUCT(--(Lineups!$K$4:$K$41=$B86),Lineups!$AW$4:$AW$41))</f>
        <v>10</v>
      </c>
      <c r="H86" s="216">
        <f ca="1">IF($B86="","",SUMPRODUCT(--(Lineups!$O$4:$O$41=$B86),Lineups!$AW$4:$AW$41))</f>
        <v>0</v>
      </c>
      <c r="I86" s="216">
        <f ca="1">IF($B86="","",SUMPRODUCT(--(Lineups!$S$4:$S$41=$B86),Lineups!$AW$4:$AW$41))</f>
        <v>4</v>
      </c>
      <c r="J86" s="23">
        <f t="shared" ca="1" si="48"/>
        <v>14</v>
      </c>
      <c r="L86" s="23">
        <f t="shared" ca="1" si="49"/>
        <v>14</v>
      </c>
      <c r="O86" s="23">
        <f ca="1">IF($B86="","",(SUMPRODUCT(--(SK!$C$3:$C$78=$B86),SK!$E$3:$E$78)-(SUMPRODUCT(--(SK!$C$3:$C$78=$B86),SK!$F$3:$F$78))))</f>
        <v>0</v>
      </c>
      <c r="Q86" s="23">
        <f t="shared" ca="1" si="50"/>
        <v>14</v>
      </c>
      <c r="T86" s="23">
        <f t="shared" si="51"/>
        <v>9</v>
      </c>
      <c r="U86" s="23" t="str">
        <f t="shared" si="52"/>
        <v>511</v>
      </c>
      <c r="V86" s="23" t="str">
        <f t="shared" si="52"/>
        <v>Bean Stalker</v>
      </c>
      <c r="W86" s="23">
        <f ca="1">IF($U86="","",SUMPRODUCT(--(Lineups!$AG$4:$AG$41=$U86),--(Lineups!$AB$4:$AB$41=""),Lineups!$W$4:$W$41))</f>
        <v>0</v>
      </c>
      <c r="Y86" s="216">
        <f ca="1">IF($U86="","",SUMPRODUCT(--(Lineups!$AG$4:$AG$41=$U86),--(Lineups!$AB$4:$AB$41="X"),Lineups!$W$4:$W$41))</f>
        <v>0</v>
      </c>
      <c r="Z86" s="216">
        <f ca="1">IF($U86="","",SUMPRODUCT(--(Lineups!$AK$4:$AK$41=$U86),Lineups!$W$4:$W$41))</f>
        <v>0</v>
      </c>
      <c r="AA86" s="216">
        <f ca="1">IF($U86="","",SUMPRODUCT(--(Lineups!$AO$4:$AO$41=$U86),Lineups!$W$4:$W$41))</f>
        <v>0</v>
      </c>
      <c r="AB86" s="216">
        <f ca="1">IF($U86="","",SUMPRODUCT(--(Lineups!$AS$4:$AS$41=$U86),Lineups!$W$4:$W$41))</f>
        <v>0</v>
      </c>
      <c r="AC86" s="23">
        <f t="shared" ca="1" si="53"/>
        <v>0</v>
      </c>
      <c r="AE86" s="23">
        <f t="shared" ca="1" si="54"/>
        <v>0</v>
      </c>
      <c r="AH86" s="23">
        <f ca="1">IF($U86="","",SUMPRODUCT(--(Lineups!$AC$4:$AC$41=$U86),Lineups!$W$4:$W$41))</f>
        <v>12</v>
      </c>
      <c r="AJ86" s="23">
        <f t="shared" ca="1" si="55"/>
        <v>12</v>
      </c>
    </row>
    <row r="87" spans="1:36" x14ac:dyDescent="0.3">
      <c r="A87" s="205">
        <f t="shared" si="46"/>
        <v>10</v>
      </c>
      <c r="B87" s="205" t="str">
        <f t="shared" si="47"/>
        <v>44</v>
      </c>
      <c r="C87" s="205" t="str">
        <f t="shared" si="47"/>
        <v>Brunt Force Bunny</v>
      </c>
      <c r="D87" s="205">
        <f ca="1">IF($B87="","",SUMPRODUCT(--(Lineups!$G$4:$G$41=$B87),--(Lineups!$B$4:$B$41=""),Lineups!$AW$4:$AW$41))</f>
        <v>0</v>
      </c>
      <c r="F87" s="216">
        <f ca="1">IF($B87="","",SUMPRODUCT(--(Lineups!$G$4:$G$41=$B87),--(Lineups!$B$4:$B$41="X"),Lineups!$AW$4:$AW$41))</f>
        <v>0</v>
      </c>
      <c r="G87" s="216">
        <f ca="1">IF($B87="","",SUMPRODUCT(--(Lineups!$K$4:$K$41=$B87),Lineups!$AW$4:$AW$41))</f>
        <v>3</v>
      </c>
      <c r="H87" s="216">
        <f ca="1">IF($B87="","",SUMPRODUCT(--(Lineups!$O$4:$O$41=$B87),Lineups!$AW$4:$AW$41))</f>
        <v>0</v>
      </c>
      <c r="I87" s="216">
        <f ca="1">IF($B87="","",SUMPRODUCT(--(Lineups!$S$4:$S$41=$B87),Lineups!$AW$4:$AW$41))</f>
        <v>0</v>
      </c>
      <c r="J87" s="205">
        <f t="shared" ca="1" si="48"/>
        <v>3</v>
      </c>
      <c r="L87" s="205">
        <f t="shared" ca="1" si="49"/>
        <v>3</v>
      </c>
      <c r="O87" s="205">
        <f ca="1">IF($B87="","",(SUMPRODUCT(--(SK!$C$3:$C$78=$B87),SK!$E$3:$E$78)-(SUMPRODUCT(--(SK!$C$3:$C$78=$B87),SK!$F$3:$F$78))))</f>
        <v>0</v>
      </c>
      <c r="Q87" s="205">
        <f t="shared" ca="1" si="50"/>
        <v>3</v>
      </c>
      <c r="T87" s="205">
        <f t="shared" si="51"/>
        <v>10</v>
      </c>
      <c r="U87" s="205" t="str">
        <f t="shared" si="52"/>
        <v>519</v>
      </c>
      <c r="V87" s="205" t="str">
        <f t="shared" si="52"/>
        <v>Smashin' Good Time</v>
      </c>
      <c r="W87" s="205">
        <f ca="1">IF($U87="","",SUMPRODUCT(--(Lineups!$AG$4:$AG$41=$U87),--(Lineups!$AB$4:$AB$41=""),Lineups!$W$4:$W$41))</f>
        <v>0</v>
      </c>
      <c r="Y87" s="216">
        <f ca="1">IF($U87="","",SUMPRODUCT(--(Lineups!$AG$4:$AG$41=$U87),--(Lineups!$AB$4:$AB$41="X"),Lineups!$W$4:$W$41))</f>
        <v>0</v>
      </c>
      <c r="Z87" s="216">
        <f ca="1">IF($U87="","",SUMPRODUCT(--(Lineups!$AK$4:$AK$41=$U87),Lineups!$W$4:$W$41))</f>
        <v>4</v>
      </c>
      <c r="AA87" s="216">
        <f ca="1">IF($U87="","",SUMPRODUCT(--(Lineups!$AO$4:$AO$41=$U87),Lineups!$W$4:$W$41))</f>
        <v>29</v>
      </c>
      <c r="AB87" s="216">
        <f ca="1">IF($U87="","",SUMPRODUCT(--(Lineups!$AS$4:$AS$41=$U87),Lineups!$W$4:$W$41))</f>
        <v>33</v>
      </c>
      <c r="AC87" s="205">
        <f t="shared" ca="1" si="53"/>
        <v>66</v>
      </c>
      <c r="AE87" s="205">
        <f t="shared" ca="1" si="54"/>
        <v>66</v>
      </c>
      <c r="AH87" s="205">
        <f ca="1">IF($U87="","",SUMPRODUCT(--(Lineups!$AC$4:$AC$41=$U87),Lineups!$W$4:$W$41))</f>
        <v>0</v>
      </c>
      <c r="AJ87" s="205">
        <f t="shared" ca="1" si="55"/>
        <v>66</v>
      </c>
    </row>
    <row r="88" spans="1:36" x14ac:dyDescent="0.3">
      <c r="A88" s="23">
        <f t="shared" si="46"/>
        <v>11</v>
      </c>
      <c r="B88" s="23" t="str">
        <f t="shared" si="47"/>
        <v>480</v>
      </c>
      <c r="C88" s="23" t="str">
        <f t="shared" si="47"/>
        <v>Slaughterhouse Streeter</v>
      </c>
      <c r="D88" s="23">
        <f ca="1">IF($B88="","",SUMPRODUCT(--(Lineups!$G$4:$G$41=$B88),--(Lineups!$B$4:$B$41=""),Lineups!$AW$4:$AW$41))</f>
        <v>0</v>
      </c>
      <c r="F88" s="216">
        <f ca="1">IF($B88="","",SUMPRODUCT(--(Lineups!$G$4:$G$41=$B88),--(Lineups!$B$4:$B$41="X"),Lineups!$AW$4:$AW$41))</f>
        <v>0</v>
      </c>
      <c r="G88" s="216">
        <f ca="1">IF($B88="","",SUMPRODUCT(--(Lineups!$K$4:$K$41=$B88),Lineups!$AW$4:$AW$41))</f>
        <v>0</v>
      </c>
      <c r="H88" s="216">
        <f ca="1">IF($B88="","",SUMPRODUCT(--(Lineups!$O$4:$O$41=$B88),Lineups!$AW$4:$AW$41))</f>
        <v>0</v>
      </c>
      <c r="I88" s="216">
        <f ca="1">IF($B88="","",SUMPRODUCT(--(Lineups!$S$4:$S$41=$B88),Lineups!$AW$4:$AW$41))</f>
        <v>10</v>
      </c>
      <c r="J88" s="23">
        <f t="shared" ca="1" si="48"/>
        <v>10</v>
      </c>
      <c r="L88" s="23">
        <f t="shared" ca="1" si="49"/>
        <v>10</v>
      </c>
      <c r="O88" s="23">
        <f ca="1">IF($B88="","",(SUMPRODUCT(--(SK!$C$3:$C$78=$B88),SK!$E$3:$E$78)-(SUMPRODUCT(--(SK!$C$3:$C$78=$B88),SK!$F$3:$F$78))))</f>
        <v>4</v>
      </c>
      <c r="Q88" s="23">
        <f t="shared" ca="1" si="50"/>
        <v>14</v>
      </c>
      <c r="T88" s="23">
        <f t="shared" si="51"/>
        <v>11</v>
      </c>
      <c r="U88" s="23" t="str">
        <f t="shared" si="52"/>
        <v>58</v>
      </c>
      <c r="V88" s="23" t="str">
        <f t="shared" si="52"/>
        <v>Natty B</v>
      </c>
      <c r="W88" s="23">
        <f ca="1">IF($U88="","",SUMPRODUCT(--(Lineups!$AG$4:$AG$41=$U88),--(Lineups!$AB$4:$AB$41=""),Lineups!$W$4:$W$41))</f>
        <v>0</v>
      </c>
      <c r="Y88" s="216">
        <f ca="1">IF($U88="","",SUMPRODUCT(--(Lineups!$AG$4:$AG$41=$U88),--(Lineups!$AB$4:$AB$41="X"),Lineups!$W$4:$W$41))</f>
        <v>0</v>
      </c>
      <c r="Z88" s="216">
        <f ca="1">IF($U88="","",SUMPRODUCT(--(Lineups!$AK$4:$AK$41=$U88),Lineups!$W$4:$W$41))</f>
        <v>0</v>
      </c>
      <c r="AA88" s="216">
        <f ca="1">IF($U88="","",SUMPRODUCT(--(Lineups!$AO$4:$AO$41=$U88),Lineups!$W$4:$W$41))</f>
        <v>0</v>
      </c>
      <c r="AB88" s="216">
        <f ca="1">IF($U88="","",SUMPRODUCT(--(Lineups!$AS$4:$AS$41=$U88),Lineups!$W$4:$W$41))</f>
        <v>0</v>
      </c>
      <c r="AC88" s="23">
        <f t="shared" ca="1" si="53"/>
        <v>0</v>
      </c>
      <c r="AE88" s="23">
        <f t="shared" ca="1" si="54"/>
        <v>0</v>
      </c>
      <c r="AH88" s="23">
        <f ca="1">IF($U88="","",SUMPRODUCT(--(Lineups!$AC$4:$AC$41=$U88),Lineups!$W$4:$W$41))</f>
        <v>38</v>
      </c>
      <c r="AJ88" s="23">
        <f t="shared" ca="1" si="55"/>
        <v>38</v>
      </c>
    </row>
    <row r="89" spans="1:36" x14ac:dyDescent="0.3">
      <c r="A89" s="205">
        <f t="shared" si="46"/>
        <v>12</v>
      </c>
      <c r="B89" s="205" t="str">
        <f t="shared" si="47"/>
        <v>64</v>
      </c>
      <c r="C89" s="205" t="str">
        <f t="shared" si="47"/>
        <v>Cannonball Doll</v>
      </c>
      <c r="D89" s="205">
        <f ca="1">IF($B89="","",SUMPRODUCT(--(Lineups!$G$4:$G$41=$B89),--(Lineups!$B$4:$B$41=""),Lineups!$AW$4:$AW$41))</f>
        <v>0</v>
      </c>
      <c r="F89" s="216">
        <f ca="1">IF($B89="","",SUMPRODUCT(--(Lineups!$G$4:$G$41=$B89),--(Lineups!$B$4:$B$41="X"),Lineups!$AW$4:$AW$41))</f>
        <v>0</v>
      </c>
      <c r="G89" s="216">
        <f ca="1">IF($B89="","",SUMPRODUCT(--(Lineups!$K$4:$K$41=$B89),Lineups!$AW$4:$AW$41))</f>
        <v>8</v>
      </c>
      <c r="H89" s="216">
        <f ca="1">IF($B89="","",SUMPRODUCT(--(Lineups!$O$4:$O$41=$B89),Lineups!$AW$4:$AW$41))</f>
        <v>3</v>
      </c>
      <c r="I89" s="216">
        <f ca="1">IF($B89="","",SUMPRODUCT(--(Lineups!$S$4:$S$41=$B89),Lineups!$AW$4:$AW$41))</f>
        <v>4</v>
      </c>
      <c r="J89" s="205">
        <f t="shared" ca="1" si="48"/>
        <v>15</v>
      </c>
      <c r="L89" s="205">
        <f t="shared" ca="1" si="49"/>
        <v>15</v>
      </c>
      <c r="O89" s="205">
        <f ca="1">IF($B89="","",(SUMPRODUCT(--(SK!$C$3:$C$78=$B89),SK!$E$3:$E$78)-(SUMPRODUCT(--(SK!$C$3:$C$78=$B89),SK!$F$3:$F$78))))</f>
        <v>0</v>
      </c>
      <c r="Q89" s="205">
        <f t="shared" ca="1" si="50"/>
        <v>15</v>
      </c>
      <c r="T89" s="205">
        <f t="shared" si="51"/>
        <v>12</v>
      </c>
      <c r="U89" s="205" t="str">
        <f t="shared" si="52"/>
        <v>932</v>
      </c>
      <c r="V89" s="205" t="str">
        <f t="shared" si="52"/>
        <v>Heaven Lee Bash</v>
      </c>
      <c r="W89" s="205">
        <f ca="1">IF($U89="","",SUMPRODUCT(--(Lineups!$AG$4:$AG$41=$U89),--(Lineups!$AB$4:$AB$41=""),Lineups!$W$4:$W$41))</f>
        <v>0</v>
      </c>
      <c r="Y89" s="216">
        <f ca="1">IF($U89="","",SUMPRODUCT(--(Lineups!$AG$4:$AG$41=$U89),--(Lineups!$AB$4:$AB$41="X"),Lineups!$W$4:$W$41))</f>
        <v>0</v>
      </c>
      <c r="Z89" s="216">
        <f ca="1">IF($U89="","",SUMPRODUCT(--(Lineups!$AK$4:$AK$41=$U89),Lineups!$W$4:$W$41))</f>
        <v>4</v>
      </c>
      <c r="AA89" s="216">
        <f ca="1">IF($U89="","",SUMPRODUCT(--(Lineups!$AO$4:$AO$41=$U89),Lineups!$W$4:$W$41))</f>
        <v>24</v>
      </c>
      <c r="AB89" s="216">
        <f ca="1">IF($U89="","",SUMPRODUCT(--(Lineups!$AS$4:$AS$41=$U89),Lineups!$W$4:$W$41))</f>
        <v>4</v>
      </c>
      <c r="AC89" s="205">
        <f t="shared" ca="1" si="53"/>
        <v>32</v>
      </c>
      <c r="AE89" s="205">
        <f t="shared" ca="1" si="54"/>
        <v>32</v>
      </c>
      <c r="AH89" s="205">
        <f ca="1">IF($U89="","",SUMPRODUCT(--(Lineups!$AC$4:$AC$41=$U89),Lineups!$W$4:$W$41))</f>
        <v>0</v>
      </c>
      <c r="AJ89" s="205">
        <f t="shared" ca="1" si="55"/>
        <v>32</v>
      </c>
    </row>
    <row r="90" spans="1:36" x14ac:dyDescent="0.3">
      <c r="A90" s="23">
        <f t="shared" si="46"/>
        <v>13</v>
      </c>
      <c r="B90" s="23" t="str">
        <f t="shared" si="47"/>
        <v>84</v>
      </c>
      <c r="C90" s="23" t="str">
        <f t="shared" si="47"/>
        <v>MEGAnTRON</v>
      </c>
      <c r="D90" s="23">
        <f ca="1">IF($B90="","",SUMPRODUCT(--(Lineups!$G$4:$G$41=$B90),--(Lineups!$B$4:$B$41=""),Lineups!$AW$4:$AW$41))</f>
        <v>0</v>
      </c>
      <c r="F90" s="216">
        <f ca="1">IF($B90="","",SUMPRODUCT(--(Lineups!$G$4:$G$41=$B90),--(Lineups!$B$4:$B$41="X"),Lineups!$AW$4:$AW$41))</f>
        <v>0</v>
      </c>
      <c r="G90" s="216">
        <f ca="1">IF($B90="","",SUMPRODUCT(--(Lineups!$K$4:$K$41=$B90),Lineups!$AW$4:$AW$41))</f>
        <v>0</v>
      </c>
      <c r="H90" s="216">
        <f ca="1">IF($B90="","",SUMPRODUCT(--(Lineups!$O$4:$O$41=$B90),Lineups!$AW$4:$AW$41))</f>
        <v>0</v>
      </c>
      <c r="I90" s="216">
        <f ca="1">IF($B90="","",SUMPRODUCT(--(Lineups!$S$4:$S$41=$B90),Lineups!$AW$4:$AW$41))</f>
        <v>0</v>
      </c>
      <c r="J90" s="23">
        <f t="shared" ca="1" si="48"/>
        <v>0</v>
      </c>
      <c r="L90" s="23">
        <f t="shared" ca="1" si="49"/>
        <v>0</v>
      </c>
      <c r="O90" s="23">
        <f ca="1">IF($B90="","",(SUMPRODUCT(--(SK!$C$3:$C$78=$B90),SK!$E$3:$E$78)-(SUMPRODUCT(--(SK!$C$3:$C$78=$B90),SK!$F$3:$F$78))))</f>
        <v>17</v>
      </c>
      <c r="Q90" s="23">
        <f t="shared" ca="1" si="50"/>
        <v>17</v>
      </c>
      <c r="T90" s="23">
        <f t="shared" si="51"/>
        <v>13</v>
      </c>
      <c r="U90" s="23" t="str">
        <f t="shared" si="52"/>
        <v>H20</v>
      </c>
      <c r="V90" s="23" t="str">
        <f t="shared" si="52"/>
        <v>Lethal Mermaid</v>
      </c>
      <c r="W90" s="23">
        <f ca="1">IF($U90="","",SUMPRODUCT(--(Lineups!$AG$4:$AG$41=$U90),--(Lineups!$AB$4:$AB$41=""),Lineups!$W$4:$W$41))</f>
        <v>0</v>
      </c>
      <c r="Y90" s="216">
        <f ca="1">IF($U90="","",SUMPRODUCT(--(Lineups!$AG$4:$AG$41=$U90),--(Lineups!$AB$4:$AB$41="X"),Lineups!$W$4:$W$41))</f>
        <v>0</v>
      </c>
      <c r="Z90" s="216">
        <f ca="1">IF($U90="","",SUMPRODUCT(--(Lineups!$AK$4:$AK$41=$U90),Lineups!$W$4:$W$41))</f>
        <v>1</v>
      </c>
      <c r="AA90" s="216">
        <f ca="1">IF($U90="","",SUMPRODUCT(--(Lineups!$AO$4:$AO$41=$U90),Lineups!$W$4:$W$41))</f>
        <v>14</v>
      </c>
      <c r="AB90" s="216">
        <f ca="1">IF($U90="","",SUMPRODUCT(--(Lineups!$AS$4:$AS$41=$U90),Lineups!$W$4:$W$41))</f>
        <v>4</v>
      </c>
      <c r="AC90" s="23">
        <f t="shared" ca="1" si="53"/>
        <v>19</v>
      </c>
      <c r="AE90" s="23">
        <f t="shared" ca="1" si="54"/>
        <v>19</v>
      </c>
      <c r="AH90" s="23">
        <f ca="1">IF($U90="","",SUMPRODUCT(--(Lineups!$AC$4:$AC$41=$U90),Lineups!$W$4:$W$41))</f>
        <v>0</v>
      </c>
      <c r="AJ90" s="23">
        <f t="shared" ca="1" si="55"/>
        <v>19</v>
      </c>
    </row>
    <row r="91" spans="1:36" x14ac:dyDescent="0.3">
      <c r="A91" s="205">
        <f t="shared" si="46"/>
        <v>14</v>
      </c>
      <c r="B91" s="205" t="str">
        <f t="shared" si="47"/>
        <v>N01</v>
      </c>
      <c r="C91" s="205" t="str">
        <f t="shared" si="47"/>
        <v>Commander Will Wrecker</v>
      </c>
      <c r="D91" s="205">
        <f ca="1">IF($B91="","",SUMPRODUCT(--(Lineups!$G$4:$G$41=$B91),--(Lineups!$B$4:$B$41=""),Lineups!$AW$4:$AW$41))</f>
        <v>14</v>
      </c>
      <c r="F91" s="216">
        <f ca="1">IF($B91="","",SUMPRODUCT(--(Lineups!$G$4:$G$41=$B91),--(Lineups!$B$4:$B$41="X"),Lineups!$AW$4:$AW$41))</f>
        <v>0</v>
      </c>
      <c r="G91" s="216">
        <f ca="1">IF($B91="","",SUMPRODUCT(--(Lineups!$K$4:$K$41=$B91),Lineups!$AW$4:$AW$41))</f>
        <v>0</v>
      </c>
      <c r="H91" s="216">
        <f ca="1">IF($B91="","",SUMPRODUCT(--(Lineups!$O$4:$O$41=$B91),Lineups!$AW$4:$AW$41))</f>
        <v>4</v>
      </c>
      <c r="I91" s="216">
        <f ca="1">IF($B91="","",SUMPRODUCT(--(Lineups!$S$4:$S$41=$B91),Lineups!$AW$4:$AW$41))</f>
        <v>0</v>
      </c>
      <c r="J91" s="205">
        <f t="shared" ca="1" si="48"/>
        <v>4</v>
      </c>
      <c r="L91" s="205">
        <f t="shared" ca="1" si="49"/>
        <v>18</v>
      </c>
      <c r="O91" s="205">
        <f ca="1">IF($B91="","",(SUMPRODUCT(--(SK!$C$3:$C$78=$B91),SK!$E$3:$E$78)-(SUMPRODUCT(--(SK!$C$3:$C$78=$B91),SK!$F$3:$F$78))))</f>
        <v>0</v>
      </c>
      <c r="Q91" s="205">
        <f t="shared" ca="1" si="50"/>
        <v>18</v>
      </c>
      <c r="T91" s="205">
        <f t="shared" si="51"/>
        <v>14</v>
      </c>
      <c r="U91" s="205" t="str">
        <f t="shared" si="52"/>
        <v>K9</v>
      </c>
      <c r="V91" s="205" t="str">
        <f t="shared" si="52"/>
        <v>Scooby Doom</v>
      </c>
      <c r="W91" s="205">
        <f ca="1">IF($U91="","",SUMPRODUCT(--(Lineups!$AG$4:$AG$41=$U91),--(Lineups!$AB$4:$AB$41=""),Lineups!$W$4:$W$41))</f>
        <v>0</v>
      </c>
      <c r="Y91" s="216">
        <f ca="1">IF($U91="","",SUMPRODUCT(--(Lineups!$AG$4:$AG$41=$U91),--(Lineups!$AB$4:$AB$41="X"),Lineups!$W$4:$W$41))</f>
        <v>0</v>
      </c>
      <c r="Z91" s="216">
        <f ca="1">IF($U91="","",SUMPRODUCT(--(Lineups!$AK$4:$AK$41=$U91),Lineups!$W$4:$W$41))</f>
        <v>0</v>
      </c>
      <c r="AA91" s="216">
        <f ca="1">IF($U91="","",SUMPRODUCT(--(Lineups!$AO$4:$AO$41=$U91),Lineups!$W$4:$W$41))</f>
        <v>0</v>
      </c>
      <c r="AB91" s="216">
        <f ca="1">IF($U91="","",SUMPRODUCT(--(Lineups!$AS$4:$AS$41=$U91),Lineups!$W$4:$W$41))</f>
        <v>0</v>
      </c>
      <c r="AC91" s="205">
        <f t="shared" ca="1" si="53"/>
        <v>0</v>
      </c>
      <c r="AE91" s="205">
        <f t="shared" ca="1" si="54"/>
        <v>0</v>
      </c>
      <c r="AH91" s="205">
        <f ca="1">IF($U91="","",SUMPRODUCT(--(Lineups!$AC$4:$AC$41=$U91),Lineups!$W$4:$W$41))</f>
        <v>16</v>
      </c>
      <c r="AJ91" s="205">
        <f t="shared" ca="1" si="55"/>
        <v>16</v>
      </c>
    </row>
    <row r="92" spans="1:36" x14ac:dyDescent="0.3">
      <c r="A92" s="23">
        <f t="shared" si="46"/>
        <v>15</v>
      </c>
      <c r="B92" s="23" t="str">
        <f t="shared" si="47"/>
        <v/>
      </c>
      <c r="C92" s="23" t="str">
        <f t="shared" si="47"/>
        <v/>
      </c>
      <c r="D92" s="23" t="str">
        <f>IF($B92="","",SUMPRODUCT(--(Lineups!$G$4:$G$41=$B92),--(Lineups!$B$4:$B$41=""),Lineups!$AW$4:$AW$41))</f>
        <v/>
      </c>
      <c r="F92" s="216" t="str">
        <f>IF($B92="","",SUMPRODUCT(--(Lineups!$G$4:$G$41=$B92),--(Lineups!$B$4:$B$41="X"),Lineups!$AW$4:$AW$41))</f>
        <v/>
      </c>
      <c r="G92" s="216" t="str">
        <f>IF($B92="","",SUMPRODUCT(--(Lineups!$K$4:$K$41=$B92),Lineups!$AW$4:$AW$41))</f>
        <v/>
      </c>
      <c r="H92" s="216" t="str">
        <f>IF($B92="","",SUMPRODUCT(--(Lineups!$O$4:$O$41=$B92),Lineups!$AW$4:$AW$41))</f>
        <v/>
      </c>
      <c r="I92" s="216" t="str">
        <f>IF($B92="","",SUMPRODUCT(--(Lineups!$S$4:$S$41=$B92),Lineups!$AW$4:$AW$41))</f>
        <v/>
      </c>
      <c r="J92" s="23" t="str">
        <f t="shared" si="48"/>
        <v/>
      </c>
      <c r="L92" s="23" t="str">
        <f t="shared" si="49"/>
        <v/>
      </c>
      <c r="O92" s="23" t="str">
        <f>IF($B92="","",(SUMPRODUCT(--(SK!$C$3:$C$78=$B92),SK!$E$3:$E$78)-(SUMPRODUCT(--(SK!$C$3:$C$78=$B92),SK!$F$3:$F$78))))</f>
        <v/>
      </c>
      <c r="Q92" s="23" t="str">
        <f t="shared" si="50"/>
        <v/>
      </c>
      <c r="T92" s="23">
        <f t="shared" si="51"/>
        <v>15</v>
      </c>
      <c r="U92" s="23" t="str">
        <f t="shared" si="52"/>
        <v/>
      </c>
      <c r="V92" s="23" t="str">
        <f t="shared" si="52"/>
        <v/>
      </c>
      <c r="W92" s="23" t="str">
        <f>IF($U92="","",SUMPRODUCT(--(Lineups!$AG$4:$AG$41=$U92),--(Lineups!$AB$4:$AB$41=""),Lineups!$W$4:$W$41))</f>
        <v/>
      </c>
      <c r="Y92" s="216" t="str">
        <f>IF($U92="","",SUMPRODUCT(--(Lineups!$AG$4:$AG$41=$U92),--(Lineups!$AB$4:$AB$41="X"),Lineups!$W$4:$W$41))</f>
        <v/>
      </c>
      <c r="Z92" s="216" t="str">
        <f>IF($U92="","",SUMPRODUCT(--(Lineups!$AK$4:$AK$41=$U92),Lineups!$W$4:$W$41))</f>
        <v/>
      </c>
      <c r="AA92" s="216" t="str">
        <f>IF($U92="","",SUMPRODUCT(--(Lineups!$AO$4:$AO$41=$U92),Lineups!$W$4:$W$41))</f>
        <v/>
      </c>
      <c r="AB92" s="216" t="str">
        <f>IF($U92="","",SUMPRODUCT(--(Lineups!$AS$4:$AS$41=$U92),Lineups!$W$4:$W$41))</f>
        <v/>
      </c>
      <c r="AC92" s="23" t="str">
        <f t="shared" si="53"/>
        <v/>
      </c>
      <c r="AE92" s="23" t="str">
        <f t="shared" si="54"/>
        <v/>
      </c>
      <c r="AH92" s="23" t="str">
        <f>IF($U92="","",SUMPRODUCT(--(Lineups!$AC$4:$AC$41=$U92),Lineups!$W$4:$W$41))</f>
        <v/>
      </c>
      <c r="AJ92" s="23" t="str">
        <f t="shared" si="55"/>
        <v/>
      </c>
    </row>
    <row r="93" spans="1:36" x14ac:dyDescent="0.3">
      <c r="A93" s="205">
        <f t="shared" si="46"/>
        <v>16</v>
      </c>
      <c r="B93" s="205" t="str">
        <f t="shared" si="47"/>
        <v/>
      </c>
      <c r="C93" s="205" t="str">
        <f t="shared" si="47"/>
        <v/>
      </c>
      <c r="D93" s="205" t="str">
        <f>IF($B93="","",SUMPRODUCT(--(Lineups!$G$4:$G$41=$B93),--(Lineups!$B$4:$B$41=""),Lineups!$AW$4:$AW$41))</f>
        <v/>
      </c>
      <c r="F93" s="216" t="str">
        <f>IF($B93="","",SUMPRODUCT(--(Lineups!$G$4:$G$41=$B93),--(Lineups!$B$4:$B$41="X"),Lineups!$AW$4:$AW$41))</f>
        <v/>
      </c>
      <c r="G93" s="216" t="str">
        <f>IF($B93="","",SUMPRODUCT(--(Lineups!$K$4:$K$41=$B93),Lineups!$AW$4:$AW$41))</f>
        <v/>
      </c>
      <c r="H93" s="216" t="str">
        <f>IF($B93="","",SUMPRODUCT(--(Lineups!$O$4:$O$41=$B93),Lineups!$AW$4:$AW$41))</f>
        <v/>
      </c>
      <c r="I93" s="216" t="str">
        <f>IF($B93="","",SUMPRODUCT(--(Lineups!$S$4:$S$41=$B93),Lineups!$AW$4:$AW$41))</f>
        <v/>
      </c>
      <c r="J93" s="205" t="str">
        <f t="shared" si="48"/>
        <v/>
      </c>
      <c r="L93" s="205" t="str">
        <f t="shared" si="49"/>
        <v/>
      </c>
      <c r="O93" s="205" t="str">
        <f>IF($B93="","",(SUMPRODUCT(--(SK!$C$3:$C$78=$B93),SK!$E$3:$E$78)-(SUMPRODUCT(--(SK!$C$3:$C$78=$B93),SK!$F$3:$F$78))))</f>
        <v/>
      </c>
      <c r="Q93" s="205" t="str">
        <f t="shared" si="50"/>
        <v/>
      </c>
      <c r="T93" s="205">
        <f t="shared" si="51"/>
        <v>16</v>
      </c>
      <c r="U93" s="205" t="str">
        <f t="shared" si="52"/>
        <v/>
      </c>
      <c r="V93" s="205" t="str">
        <f t="shared" si="52"/>
        <v/>
      </c>
      <c r="W93" s="205" t="str">
        <f>IF($U93="","",SUMPRODUCT(--(Lineups!$AG$4:$AG$41=$U93),--(Lineups!$AB$4:$AB$41=""),Lineups!$W$4:$W$41))</f>
        <v/>
      </c>
      <c r="Y93" s="216" t="str">
        <f>IF($U93="","",SUMPRODUCT(--(Lineups!$AG$4:$AG$41=$U93),--(Lineups!$AB$4:$AB$41="X"),Lineups!$W$4:$W$41))</f>
        <v/>
      </c>
      <c r="Z93" s="216" t="str">
        <f>IF($U93="","",SUMPRODUCT(--(Lineups!$AK$4:$AK$41=$U93),Lineups!$W$4:$W$41))</f>
        <v/>
      </c>
      <c r="AA93" s="216" t="str">
        <f>IF($U93="","",SUMPRODUCT(--(Lineups!$AO$4:$AO$41=$U93),Lineups!$W$4:$W$41))</f>
        <v/>
      </c>
      <c r="AB93" s="216" t="str">
        <f>IF($U93="","",SUMPRODUCT(--(Lineups!$AS$4:$AS$41=$U93),Lineups!$W$4:$W$41))</f>
        <v/>
      </c>
      <c r="AC93" s="205" t="str">
        <f t="shared" si="53"/>
        <v/>
      </c>
      <c r="AE93" s="205" t="str">
        <f t="shared" si="54"/>
        <v/>
      </c>
      <c r="AH93" s="205" t="str">
        <f>IF($U93="","",SUMPRODUCT(--(Lineups!$AC$4:$AC$41=$U93),Lineups!$W$4:$W$41))</f>
        <v/>
      </c>
      <c r="AJ93" s="205" t="str">
        <f t="shared" si="55"/>
        <v/>
      </c>
    </row>
    <row r="94" spans="1:36" x14ac:dyDescent="0.3">
      <c r="A94" s="23">
        <f t="shared" si="46"/>
        <v>17</v>
      </c>
      <c r="B94" s="23" t="str">
        <f t="shared" si="47"/>
        <v/>
      </c>
      <c r="C94" s="23" t="str">
        <f t="shared" si="47"/>
        <v/>
      </c>
      <c r="D94" s="23" t="str">
        <f>IF($B94="","",SUMPRODUCT(--(Lineups!$G$4:$G$41=$B94),--(Lineups!$B$4:$B$41=""),Lineups!$AW$4:$AW$41))</f>
        <v/>
      </c>
      <c r="F94" s="216" t="str">
        <f>IF($B94="","",SUMPRODUCT(--(Lineups!$G$4:$G$41=$B94),--(Lineups!$B$4:$B$41="X"),Lineups!$AW$4:$AW$41))</f>
        <v/>
      </c>
      <c r="G94" s="216" t="str">
        <f>IF($B94="","",SUMPRODUCT(--(Lineups!$K$4:$K$41=$B94),Lineups!$AW$4:$AW$41))</f>
        <v/>
      </c>
      <c r="H94" s="216" t="str">
        <f>IF($B94="","",SUMPRODUCT(--(Lineups!$O$4:$O$41=$B94),Lineups!$AW$4:$AW$41))</f>
        <v/>
      </c>
      <c r="I94" s="216" t="str">
        <f>IF($B94="","",SUMPRODUCT(--(Lineups!$S$4:$S$41=$B94),Lineups!$AW$4:$AW$41))</f>
        <v/>
      </c>
      <c r="J94" s="23" t="str">
        <f t="shared" si="48"/>
        <v/>
      </c>
      <c r="L94" s="23" t="str">
        <f t="shared" si="49"/>
        <v/>
      </c>
      <c r="O94" s="23" t="str">
        <f>IF($B94="","",(SUMPRODUCT(--(SK!$C$3:$C$78=$B94),SK!$E$3:$E$78)-(SUMPRODUCT(--(SK!$C$3:$C$78=$B94),SK!$F$3:$F$78))))</f>
        <v/>
      </c>
      <c r="Q94" s="23" t="str">
        <f t="shared" si="50"/>
        <v/>
      </c>
      <c r="T94" s="23">
        <f t="shared" si="51"/>
        <v>17</v>
      </c>
      <c r="U94" s="23" t="str">
        <f t="shared" si="52"/>
        <v/>
      </c>
      <c r="V94" s="23" t="str">
        <f t="shared" si="52"/>
        <v/>
      </c>
      <c r="W94" s="23" t="str">
        <f>IF($U94="","",SUMPRODUCT(--(Lineups!$AG$4:$AG$41=$U94),--(Lineups!$AB$4:$AB$41=""),Lineups!$W$4:$W$41))</f>
        <v/>
      </c>
      <c r="Y94" s="216" t="str">
        <f>IF($U94="","",SUMPRODUCT(--(Lineups!$AG$4:$AG$41=$U94),--(Lineups!$AB$4:$AB$41="X"),Lineups!$W$4:$W$41))</f>
        <v/>
      </c>
      <c r="Z94" s="216" t="str">
        <f>IF($U94="","",SUMPRODUCT(--(Lineups!$AK$4:$AK$41=$U94),Lineups!$W$4:$W$41))</f>
        <v/>
      </c>
      <c r="AA94" s="216" t="str">
        <f>IF($U94="","",SUMPRODUCT(--(Lineups!$AO$4:$AO$41=$U94),Lineups!$W$4:$W$41))</f>
        <v/>
      </c>
      <c r="AB94" s="216" t="str">
        <f>IF($U94="","",SUMPRODUCT(--(Lineups!$AS$4:$AS$41=$U94),Lineups!$W$4:$W$41))</f>
        <v/>
      </c>
      <c r="AC94" s="23" t="str">
        <f t="shared" si="53"/>
        <v/>
      </c>
      <c r="AE94" s="23" t="str">
        <f t="shared" si="54"/>
        <v/>
      </c>
      <c r="AH94" s="23" t="str">
        <f>IF($U94="","",SUMPRODUCT(--(Lineups!$AC$4:$AC$41=$U94),Lineups!$W$4:$W$41))</f>
        <v/>
      </c>
      <c r="AJ94" s="23" t="str">
        <f t="shared" si="55"/>
        <v/>
      </c>
    </row>
    <row r="95" spans="1:36" x14ac:dyDescent="0.3">
      <c r="A95" s="205">
        <f t="shared" si="46"/>
        <v>18</v>
      </c>
      <c r="B95" s="205" t="str">
        <f t="shared" si="47"/>
        <v/>
      </c>
      <c r="C95" s="205" t="str">
        <f t="shared" si="47"/>
        <v/>
      </c>
      <c r="D95" s="205" t="str">
        <f>IF($B95="","",SUMPRODUCT(--(Lineups!$G$4:$G$41=$B95),--(Lineups!$B$4:$B$41=""),Lineups!$AW$4:$AW$41))</f>
        <v/>
      </c>
      <c r="F95" s="216" t="str">
        <f>IF($B95="","",SUMPRODUCT(--(Lineups!$G$4:$G$41=$B95),--(Lineups!$B$4:$B$41="X"),Lineups!$AW$4:$AW$41))</f>
        <v/>
      </c>
      <c r="G95" s="216" t="str">
        <f>IF($B95="","",SUMPRODUCT(--(Lineups!$K$4:$K$41=$B95),Lineups!$AW$4:$AW$41))</f>
        <v/>
      </c>
      <c r="H95" s="216" t="str">
        <f>IF($B95="","",SUMPRODUCT(--(Lineups!$O$4:$O$41=$B95),Lineups!$AW$4:$AW$41))</f>
        <v/>
      </c>
      <c r="I95" s="216" t="str">
        <f>IF($B95="","",SUMPRODUCT(--(Lineups!$S$4:$S$41=$B95),Lineups!$AW$4:$AW$41))</f>
        <v/>
      </c>
      <c r="J95" s="205" t="str">
        <f t="shared" si="48"/>
        <v/>
      </c>
      <c r="L95" s="205" t="str">
        <f t="shared" si="49"/>
        <v/>
      </c>
      <c r="O95" s="205" t="str">
        <f>IF($B95="","",(SUMPRODUCT(--(SK!$C$3:$C$78=$B95),SK!$E$3:$E$78)-(SUMPRODUCT(--(SK!$C$3:$C$78=$B95),SK!$F$3:$F$78))))</f>
        <v/>
      </c>
      <c r="Q95" s="205" t="str">
        <f t="shared" si="50"/>
        <v/>
      </c>
      <c r="T95" s="205">
        <f t="shared" si="51"/>
        <v>18</v>
      </c>
      <c r="U95" s="205" t="str">
        <f t="shared" si="52"/>
        <v/>
      </c>
      <c r="V95" s="205" t="str">
        <f t="shared" si="52"/>
        <v/>
      </c>
      <c r="W95" s="205" t="str">
        <f>IF($U95="","",SUMPRODUCT(--(Lineups!$AG$4:$AG$41=$U95),--(Lineups!$AB$4:$AB$41=""),Lineups!$W$4:$W$41))</f>
        <v/>
      </c>
      <c r="Y95" s="216" t="str">
        <f>IF($U95="","",SUMPRODUCT(--(Lineups!$AG$4:$AG$41=$U95),--(Lineups!$AB$4:$AB$41="X"),Lineups!$W$4:$W$41))</f>
        <v/>
      </c>
      <c r="Z95" s="216" t="str">
        <f>IF($U95="","",SUMPRODUCT(--(Lineups!$AK$4:$AK$41=$U95),Lineups!$W$4:$W$41))</f>
        <v/>
      </c>
      <c r="AA95" s="216" t="str">
        <f>IF($U95="","",SUMPRODUCT(--(Lineups!$AO$4:$AO$41=$U95),Lineups!$W$4:$W$41))</f>
        <v/>
      </c>
      <c r="AB95" s="216" t="str">
        <f>IF($U95="","",SUMPRODUCT(--(Lineups!$AS$4:$AS$41=$U95),Lineups!$W$4:$W$41))</f>
        <v/>
      </c>
      <c r="AC95" s="205" t="str">
        <f t="shared" si="53"/>
        <v/>
      </c>
      <c r="AE95" s="205" t="str">
        <f t="shared" si="54"/>
        <v/>
      </c>
      <c r="AH95" s="205" t="str">
        <f>IF($U95="","",SUMPRODUCT(--(Lineups!$AC$4:$AC$41=$U95),Lineups!$W$4:$W$41))</f>
        <v/>
      </c>
      <c r="AJ95" s="205" t="str">
        <f t="shared" si="55"/>
        <v/>
      </c>
    </row>
    <row r="96" spans="1:36" x14ac:dyDescent="0.3">
      <c r="A96" s="23">
        <f t="shared" si="46"/>
        <v>19</v>
      </c>
      <c r="B96" s="23" t="str">
        <f t="shared" si="47"/>
        <v/>
      </c>
      <c r="C96" s="23" t="str">
        <f t="shared" si="47"/>
        <v/>
      </c>
      <c r="D96" s="23" t="str">
        <f>IF($B96="","",SUMPRODUCT(--(Lineups!$G$4:$G$41=$B96),--(Lineups!$B$4:$B$41=""),Lineups!$AW$4:$AW$41))</f>
        <v/>
      </c>
      <c r="F96" s="216" t="str">
        <f>IF($B96="","",SUMPRODUCT(--(Lineups!$G$4:$G$41=$B96),--(Lineups!$B$4:$B$41="X"),Lineups!$AW$4:$AW$41))</f>
        <v/>
      </c>
      <c r="G96" s="216" t="str">
        <f>IF($B96="","",SUMPRODUCT(--(Lineups!$K$4:$K$41=$B96),Lineups!$AW$4:$AW$41))</f>
        <v/>
      </c>
      <c r="H96" s="216" t="str">
        <f>IF($B96="","",SUMPRODUCT(--(Lineups!$O$4:$O$41=$B96),Lineups!$AW$4:$AW$41))</f>
        <v/>
      </c>
      <c r="I96" s="216" t="str">
        <f>IF($B96="","",SUMPRODUCT(--(Lineups!$S$4:$S$41=$B96),Lineups!$AW$4:$AW$41))</f>
        <v/>
      </c>
      <c r="J96" s="23" t="str">
        <f t="shared" si="48"/>
        <v/>
      </c>
      <c r="L96" s="23" t="str">
        <f t="shared" si="49"/>
        <v/>
      </c>
      <c r="O96" s="23" t="str">
        <f>IF($B96="","",(SUMPRODUCT(--(SK!$C$3:$C$78=$B96),SK!$E$3:$E$78)-(SUMPRODUCT(--(SK!$C$3:$C$78=$B96),SK!$F$3:$F$78))))</f>
        <v/>
      </c>
      <c r="Q96" s="23" t="str">
        <f t="shared" si="50"/>
        <v/>
      </c>
      <c r="T96" s="23">
        <f t="shared" si="51"/>
        <v>19</v>
      </c>
      <c r="U96" s="23" t="str">
        <f t="shared" si="52"/>
        <v/>
      </c>
      <c r="V96" s="23" t="str">
        <f t="shared" si="52"/>
        <v/>
      </c>
      <c r="W96" s="23" t="str">
        <f>IF($U96="","",SUMPRODUCT(--(Lineups!$AG$4:$AG$41=$U96),--(Lineups!$AB$4:$AB$41=""),Lineups!$W$4:$W$41))</f>
        <v/>
      </c>
      <c r="Y96" s="216" t="str">
        <f>IF($U96="","",SUMPRODUCT(--(Lineups!$AG$4:$AG$41=$U96),--(Lineups!$AB$4:$AB$41="X"),Lineups!$W$4:$W$41))</f>
        <v/>
      </c>
      <c r="Z96" s="216" t="str">
        <f>IF($U96="","",SUMPRODUCT(--(Lineups!$AK$4:$AK$41=$U96),Lineups!$W$4:$W$41))</f>
        <v/>
      </c>
      <c r="AA96" s="216" t="str">
        <f>IF($U96="","",SUMPRODUCT(--(Lineups!$AO$4:$AO$41=$U96),Lineups!$W$4:$W$41))</f>
        <v/>
      </c>
      <c r="AB96" s="216" t="str">
        <f>IF($U96="","",SUMPRODUCT(--(Lineups!$AS$4:$AS$41=$U96),Lineups!$W$4:$W$41))</f>
        <v/>
      </c>
      <c r="AC96" s="23" t="str">
        <f t="shared" si="53"/>
        <v/>
      </c>
      <c r="AE96" s="23" t="str">
        <f t="shared" si="54"/>
        <v/>
      </c>
      <c r="AH96" s="23" t="str">
        <f>IF($U96="","",SUMPRODUCT(--(Lineups!$AC$4:$AC$41=$U96),Lineups!$W$4:$W$41))</f>
        <v/>
      </c>
      <c r="AJ96" s="23" t="str">
        <f t="shared" si="55"/>
        <v/>
      </c>
    </row>
    <row r="97" spans="1:37" x14ac:dyDescent="0.3">
      <c r="A97" s="205">
        <f t="shared" si="46"/>
        <v>20</v>
      </c>
      <c r="B97" s="205" t="str">
        <f t="shared" si="47"/>
        <v/>
      </c>
      <c r="C97" s="205" t="str">
        <f t="shared" si="47"/>
        <v/>
      </c>
      <c r="D97" s="205" t="str">
        <f>IF($B97="","",SUMPRODUCT(--(Lineups!$G$4:$G$41=$B97),--(Lineups!$B$4:$B$41=""),Lineups!$AW$4:$AW$41))</f>
        <v/>
      </c>
      <c r="F97" s="216" t="str">
        <f>IF($B97="","",SUMPRODUCT(--(Lineups!$G$4:$G$41=$B97),--(Lineups!$B$4:$B$41="X"),Lineups!$AW$4:$AW$41))</f>
        <v/>
      </c>
      <c r="G97" s="216" t="str">
        <f>IF($B97="","",SUMPRODUCT(--(Lineups!$K$4:$K$41=$B97),Lineups!$AW$4:$AW$41))</f>
        <v/>
      </c>
      <c r="H97" s="216" t="str">
        <f>IF($B97="","",SUMPRODUCT(--(Lineups!$O$4:$O$41=$B97),Lineups!$AW$4:$AW$41))</f>
        <v/>
      </c>
      <c r="I97" s="216" t="str">
        <f>IF($B97="","",SUMPRODUCT(--(Lineups!$S$4:$S$41=$B97),Lineups!$AW$4:$AW$41))</f>
        <v/>
      </c>
      <c r="J97" s="205" t="str">
        <f t="shared" si="48"/>
        <v/>
      </c>
      <c r="L97" s="205" t="str">
        <f t="shared" si="49"/>
        <v/>
      </c>
      <c r="O97" s="205" t="str">
        <f>IF($B97="","",(SUMPRODUCT(--(SK!$C$3:$C$78=$B97),SK!$E$3:$E$78)-(SUMPRODUCT(--(SK!$C$3:$C$78=$B97),SK!$F$3:$F$78))))</f>
        <v/>
      </c>
      <c r="Q97" s="205" t="str">
        <f t="shared" si="50"/>
        <v/>
      </c>
      <c r="T97" s="205">
        <f t="shared" si="51"/>
        <v>20</v>
      </c>
      <c r="U97" s="205" t="str">
        <f t="shared" si="52"/>
        <v/>
      </c>
      <c r="V97" s="205" t="str">
        <f t="shared" si="52"/>
        <v/>
      </c>
      <c r="W97" s="205" t="str">
        <f>IF($U97="","",SUMPRODUCT(--(Lineups!$AG$4:$AG$41=$U97),--(Lineups!$AB$4:$AB$41=""),Lineups!$W$4:$W$41))</f>
        <v/>
      </c>
      <c r="Y97" s="216" t="str">
        <f>IF($U97="","",SUMPRODUCT(--(Lineups!$AG$4:$AG$41=$U97),--(Lineups!$AB$4:$AB$41="X"),Lineups!$W$4:$W$41))</f>
        <v/>
      </c>
      <c r="Z97" s="216" t="str">
        <f>IF($U97="","",SUMPRODUCT(--(Lineups!$AK$4:$AK$41=$U97),Lineups!$W$4:$W$41))</f>
        <v/>
      </c>
      <c r="AA97" s="216" t="str">
        <f>IF($U97="","",SUMPRODUCT(--(Lineups!$AO$4:$AO$41=$U97),Lineups!$W$4:$W$41))</f>
        <v/>
      </c>
      <c r="AB97" s="216" t="str">
        <f>IF($U97="","",SUMPRODUCT(--(Lineups!$AS$4:$AS$41=$U97),Lineups!$W$4:$W$41))</f>
        <v/>
      </c>
      <c r="AC97" s="205" t="str">
        <f t="shared" si="53"/>
        <v/>
      </c>
      <c r="AE97" s="205" t="str">
        <f t="shared" si="54"/>
        <v/>
      </c>
      <c r="AH97" s="205" t="str">
        <f>IF($U97="","",SUMPRODUCT(--(Lineups!$AC$4:$AC$41=$U97),Lineups!$W$4:$W$41))</f>
        <v/>
      </c>
      <c r="AJ97" s="205" t="str">
        <f t="shared" si="55"/>
        <v/>
      </c>
    </row>
    <row r="101" spans="1:37" x14ac:dyDescent="0.3">
      <c r="C101" s="150" t="s">
        <v>181</v>
      </c>
      <c r="V101" s="150" t="s">
        <v>181</v>
      </c>
    </row>
    <row r="102" spans="1:37" x14ac:dyDescent="0.3">
      <c r="C102" s="3" t="s">
        <v>39</v>
      </c>
      <c r="D102" s="3">
        <f>MAX(Score!A84,Score!T84)</f>
        <v>18</v>
      </c>
      <c r="V102" s="3" t="s">
        <v>39</v>
      </c>
      <c r="W102" s="3">
        <f>D102</f>
        <v>18</v>
      </c>
    </row>
    <row r="103" spans="1:37" x14ac:dyDescent="0.3">
      <c r="C103" s="3" t="s">
        <v>40</v>
      </c>
      <c r="D103" s="3">
        <f ca="1">SK!H164</f>
        <v>11</v>
      </c>
      <c r="V103" s="3" t="s">
        <v>41</v>
      </c>
      <c r="W103" s="3">
        <f ca="1">SK!X164</f>
        <v>6</v>
      </c>
    </row>
    <row r="104" spans="1:37" x14ac:dyDescent="0.3">
      <c r="C104" s="3" t="s">
        <v>42</v>
      </c>
      <c r="D104" s="3">
        <f>COUNTIF(Q108:Q123,"&gt;0")</f>
        <v>13</v>
      </c>
      <c r="V104" s="3" t="s">
        <v>43</v>
      </c>
      <c r="W104" s="3">
        <f>COUNTIF(AJ108:AJ123,"&gt;0")</f>
        <v>13</v>
      </c>
    </row>
    <row r="106" spans="1:37" x14ac:dyDescent="0.3">
      <c r="A106" s="1162" t="s">
        <v>44</v>
      </c>
      <c r="B106" s="1162"/>
      <c r="C106" s="1162"/>
      <c r="D106" s="151"/>
      <c r="E106" s="151"/>
      <c r="F106" s="151"/>
      <c r="G106" s="151"/>
      <c r="H106" s="151"/>
      <c r="I106" s="151"/>
      <c r="J106" s="151"/>
      <c r="K106" s="151"/>
      <c r="L106" s="151"/>
      <c r="M106" s="151"/>
      <c r="N106" s="151"/>
      <c r="O106" s="151"/>
      <c r="P106" s="151"/>
      <c r="Q106" s="151"/>
      <c r="R106" s="151"/>
      <c r="T106" s="1162" t="s">
        <v>44</v>
      </c>
      <c r="U106" s="1162"/>
      <c r="V106" s="1162"/>
      <c r="W106" s="151"/>
      <c r="X106" s="151"/>
      <c r="Y106" s="151"/>
      <c r="Z106" s="151"/>
      <c r="AA106" s="151"/>
      <c r="AB106" s="151"/>
      <c r="AC106" s="151"/>
      <c r="AD106" s="151"/>
      <c r="AE106" s="151"/>
      <c r="AF106" s="151"/>
      <c r="AG106" s="151"/>
      <c r="AH106" s="151"/>
      <c r="AI106" s="151"/>
      <c r="AJ106" s="151"/>
      <c r="AK106" s="151"/>
    </row>
    <row r="107" spans="1:37" s="23" customFormat="1" x14ac:dyDescent="0.3">
      <c r="A107" s="210">
        <v>0</v>
      </c>
      <c r="B107" s="210" t="s">
        <v>36</v>
      </c>
      <c r="C107" s="210" t="s">
        <v>37</v>
      </c>
      <c r="D107" s="210" t="s">
        <v>122</v>
      </c>
      <c r="E107" s="211" t="s">
        <v>45</v>
      </c>
      <c r="F107" s="215" t="s">
        <v>123</v>
      </c>
      <c r="G107" s="215" t="s">
        <v>123</v>
      </c>
      <c r="H107" s="215" t="s">
        <v>123</v>
      </c>
      <c r="I107" s="215" t="s">
        <v>123</v>
      </c>
      <c r="J107" s="210" t="s">
        <v>46</v>
      </c>
      <c r="K107" s="211" t="s">
        <v>47</v>
      </c>
      <c r="L107" s="210" t="s">
        <v>48</v>
      </c>
      <c r="M107" s="211" t="s">
        <v>49</v>
      </c>
      <c r="N107" s="212" t="s">
        <v>25</v>
      </c>
      <c r="O107" s="210" t="s">
        <v>124</v>
      </c>
      <c r="P107" s="211" t="s">
        <v>50</v>
      </c>
      <c r="Q107" s="210" t="s">
        <v>19</v>
      </c>
      <c r="R107" s="211" t="s">
        <v>51</v>
      </c>
      <c r="S107" s="149"/>
      <c r="T107" s="210">
        <v>0</v>
      </c>
      <c r="U107" s="210" t="s">
        <v>36</v>
      </c>
      <c r="V107" s="210" t="s">
        <v>37</v>
      </c>
      <c r="W107" s="210" t="s">
        <v>122</v>
      </c>
      <c r="X107" s="211" t="s">
        <v>45</v>
      </c>
      <c r="Y107" s="215" t="s">
        <v>123</v>
      </c>
      <c r="Z107" s="215" t="s">
        <v>123</v>
      </c>
      <c r="AA107" s="215" t="s">
        <v>123</v>
      </c>
      <c r="AB107" s="215" t="s">
        <v>123</v>
      </c>
      <c r="AC107" s="210" t="s">
        <v>46</v>
      </c>
      <c r="AD107" s="211" t="s">
        <v>47</v>
      </c>
      <c r="AE107" s="210" t="s">
        <v>48</v>
      </c>
      <c r="AF107" s="211" t="s">
        <v>49</v>
      </c>
      <c r="AG107" s="212" t="s">
        <v>25</v>
      </c>
      <c r="AH107" s="210" t="s">
        <v>124</v>
      </c>
      <c r="AI107" s="211" t="s">
        <v>50</v>
      </c>
      <c r="AJ107" s="210" t="s">
        <v>19</v>
      </c>
      <c r="AK107" s="211" t="s">
        <v>51</v>
      </c>
    </row>
    <row r="108" spans="1:37" x14ac:dyDescent="0.3">
      <c r="A108" s="23">
        <f t="shared" ref="A108:A127" si="56">A107+1</f>
        <v>1</v>
      </c>
      <c r="B108" s="129" t="str">
        <f t="shared" ref="B108:C127" si="57">B9</f>
        <v>0</v>
      </c>
      <c r="C108" s="129" t="str">
        <f t="shared" si="57"/>
        <v>Andi Slamberg</v>
      </c>
      <c r="D108" s="3">
        <f>IF($B108="","",SUMPRODUCT(--(Lineups!G$46:G$83=$B108),--(Lineups!B$46:B$83="")))</f>
        <v>9</v>
      </c>
      <c r="E108" s="208">
        <f t="shared" ref="E108:E127" si="58">IF($B108="","",IF($D$102=0,"",D108/$D$102))</f>
        <v>0.5</v>
      </c>
      <c r="F108" s="216">
        <f>IF($B108="","",SUMPRODUCT(--(Lineups!G$46:G$83=$B108),--(Lineups!B$46:B$83="X")))</f>
        <v>0</v>
      </c>
      <c r="G108" s="216">
        <f>IF($B108="","",SUMPRODUCT(--(Lineups!K$46:K$83=$B108),--(Lineups!A$46:A$83&lt;&gt;"SP")))</f>
        <v>0</v>
      </c>
      <c r="H108" s="216">
        <f>IF($B108="","",SUMPRODUCT(--(Lineups!O$46:O$83=$B108),--(Lineups!A$46:A$83&lt;&gt;"SP")))</f>
        <v>1</v>
      </c>
      <c r="I108" s="216">
        <f>IF($B108="","",SUMPRODUCT(--(Lineups!S$46:S$83=$B108),--(Lineups!A$46:A$83&lt;&gt;"SP")))</f>
        <v>0</v>
      </c>
      <c r="J108" s="3">
        <f t="shared" ref="J108:J127" si="59">IF(B108="","",SUM(F108:I108))</f>
        <v>1</v>
      </c>
      <c r="K108" s="208">
        <f t="shared" ref="K108:K127" si="60">IF($B108="","",IF($D$102=0,"",J108/$D$102))</f>
        <v>5.5555555555555552E-2</v>
      </c>
      <c r="L108" s="3">
        <f t="shared" ref="L108:L127" si="61">IF(B108="","",SUM(D108,J108))</f>
        <v>10</v>
      </c>
      <c r="M108" s="208">
        <f t="shared" ref="M108:M127" si="62">IF($B108="","",IF($D$102=0,"",L108/$D$102))</f>
        <v>0.55555555555555558</v>
      </c>
      <c r="N108" s="213" t="str">
        <f ca="1">IF(B108="","",IF(OR(SK!E173="",SK!E173=0),"",SK!H173))</f>
        <v/>
      </c>
      <c r="O108" s="3">
        <f>IF($B108="","",SUMPRODUCT(--(Lineups!C$46:C$83=$B108)))</f>
        <v>0</v>
      </c>
      <c r="P108" s="208">
        <f t="shared" ref="P108:P127" si="63">IF($B108="","",IF($D$102=0,"",O108/$D$102))</f>
        <v>0</v>
      </c>
      <c r="Q108" s="3">
        <f t="shared" ref="Q108:Q127" si="64">IF(B108="","",SUM(L108,O108))</f>
        <v>10</v>
      </c>
      <c r="R108" s="208">
        <f t="shared" ref="R108:R127" si="65">IF($B108="","",IF($D$102=0,"",Q108/$D$102))</f>
        <v>0.55555555555555558</v>
      </c>
      <c r="T108" s="23">
        <f t="shared" ref="T108:T127" si="66">T107+1</f>
        <v>1</v>
      </c>
      <c r="U108" s="129" t="str">
        <f t="shared" ref="U108:V127" si="67">U9</f>
        <v>11</v>
      </c>
      <c r="V108" s="129" t="str">
        <f t="shared" si="67"/>
        <v>Typhoid Maggie</v>
      </c>
      <c r="W108" s="3">
        <f>IF($U108="","",SUMPRODUCT(--(Lineups!AG$46:AG$83=$U108),--(Lineups!AB$46:AB$83="")))</f>
        <v>0</v>
      </c>
      <c r="X108" s="208">
        <f t="shared" ref="X108:X127" si="68">IF($U108="","",IF($W$102=0,"",W108/$W$102))</f>
        <v>0</v>
      </c>
      <c r="Y108" s="216">
        <f>IF($U108="","",SUMPRODUCT(--(Lineups!AG$46:AG$83=$U108),--(Lineups!AB$46:AB$83="X")))</f>
        <v>0</v>
      </c>
      <c r="Z108" s="216">
        <f>IF($U108="","",SUMPRODUCT(--(Lineups!AK$46:AK$83=$U108),--(Lineups!AA$46:AA$83&lt;&gt;"SP")))</f>
        <v>5</v>
      </c>
      <c r="AA108" s="216">
        <f>IF($U108="","",SUMPRODUCT(--(Lineups!AO$46:AO$83=$U108),--(Lineups!AA$46:AA$83&lt;&gt;"SP")))</f>
        <v>4</v>
      </c>
      <c r="AB108" s="216">
        <f>IF($U108="","",SUMPRODUCT(--(Lineups!AS$46:AS$83=$U108),--(Lineups!AA$46:AA$83&lt;&gt;"SP")))</f>
        <v>0</v>
      </c>
      <c r="AC108" s="3">
        <f t="shared" ref="AC108:AC127" si="69">IF(U108="","",SUM(Y108:AB108))</f>
        <v>9</v>
      </c>
      <c r="AD108" s="208">
        <f t="shared" ref="AD108:AD127" si="70">IF($U108="","",IF($W$102=0,"",AC108/$W$102))</f>
        <v>0.5</v>
      </c>
      <c r="AE108" s="3">
        <f t="shared" ref="AE108:AE127" si="71">IF(U108="","",SUM(W108,AC108))</f>
        <v>9</v>
      </c>
      <c r="AF108" s="208">
        <f t="shared" ref="AF108:AF127" si="72">IF($U108="","",IF($W$102=0,"",AE108/$W$102))</f>
        <v>0.5</v>
      </c>
      <c r="AG108" s="213" t="str">
        <f ca="1">IF(U108="","",IF(OR(SK!U173="",SK!U173=0),"",SK!X173))</f>
        <v/>
      </c>
      <c r="AH108" s="3">
        <f>IF($U108="","",SUMPRODUCT(--(Lineups!AC$46:AC$83=$U108)))</f>
        <v>0</v>
      </c>
      <c r="AI108" s="208">
        <f t="shared" ref="AI108:AI127" si="73">IF($U108="","",IF($W$102=0,"",AH108/$W$102))</f>
        <v>0</v>
      </c>
      <c r="AJ108" s="3">
        <f t="shared" ref="AJ108:AJ127" si="74">IF(U108="","",SUM(AE108,AH108))</f>
        <v>9</v>
      </c>
      <c r="AK108" s="208">
        <f t="shared" ref="AK108:AK127" si="75">IF($U108="","",IF($W$102=0,"",AJ108/$W$102))</f>
        <v>0.5</v>
      </c>
    </row>
    <row r="109" spans="1:37" x14ac:dyDescent="0.3">
      <c r="A109" s="205">
        <f t="shared" si="56"/>
        <v>2</v>
      </c>
      <c r="B109" s="206" t="str">
        <f t="shared" si="57"/>
        <v>1321</v>
      </c>
      <c r="C109" s="206" t="str">
        <f t="shared" si="57"/>
        <v>Kristy Skelton</v>
      </c>
      <c r="D109" s="207">
        <f>IF($B109="","",SUMPRODUCT(--(Lineups!G$46:G$83=$B109),--(Lineups!B$46:B$83="")))</f>
        <v>0</v>
      </c>
      <c r="E109" s="209">
        <f t="shared" si="58"/>
        <v>0</v>
      </c>
      <c r="F109" s="216">
        <f>IF($B109="","",SUMPRODUCT(--(Lineups!G$46:G$83=$B109),--(Lineups!B$46:B$83="X")))</f>
        <v>0</v>
      </c>
      <c r="G109" s="216">
        <f>IF($B109="","",SUMPRODUCT(--(Lineups!K$46:K$83=$B109),--(Lineups!A$46:A$83&lt;&gt;"SP")))</f>
        <v>0</v>
      </c>
      <c r="H109" s="216">
        <f>IF($B109="","",SUMPRODUCT(--(Lineups!O$46:O$83=$B109),--(Lineups!A$46:A$83&lt;&gt;"SP")))</f>
        <v>0</v>
      </c>
      <c r="I109" s="216">
        <f>IF($B109="","",SUMPRODUCT(--(Lineups!S$46:S$83=$B109),--(Lineups!A$46:A$83&lt;&gt;"SP")))</f>
        <v>0</v>
      </c>
      <c r="J109" s="207">
        <f t="shared" si="59"/>
        <v>0</v>
      </c>
      <c r="K109" s="209">
        <f t="shared" si="60"/>
        <v>0</v>
      </c>
      <c r="L109" s="207">
        <f t="shared" si="61"/>
        <v>0</v>
      </c>
      <c r="M109" s="209">
        <f t="shared" si="62"/>
        <v>0</v>
      </c>
      <c r="N109" s="214" t="str">
        <f ca="1">IF(B109="","",IF(OR(SK!E176="",SK!E176=0),"",SK!H176))</f>
        <v/>
      </c>
      <c r="O109" s="207">
        <f>IF($B109="","",SUMPRODUCT(--(Lineups!C$46:C$83=$B109)))</f>
        <v>0</v>
      </c>
      <c r="P109" s="209">
        <f t="shared" si="63"/>
        <v>0</v>
      </c>
      <c r="Q109" s="207">
        <f t="shared" si="64"/>
        <v>0</v>
      </c>
      <c r="R109" s="209">
        <f t="shared" si="65"/>
        <v>0</v>
      </c>
      <c r="T109" s="205">
        <f t="shared" si="66"/>
        <v>2</v>
      </c>
      <c r="U109" s="206" t="str">
        <f t="shared" si="67"/>
        <v>11G6</v>
      </c>
      <c r="V109" s="206" t="str">
        <f t="shared" si="67"/>
        <v>Fista Krusher</v>
      </c>
      <c r="W109" s="207">
        <f>IF($U109="","",SUMPRODUCT(--(Lineups!AG$46:AG$83=$U109),--(Lineups!AB$46:AB$83="")))</f>
        <v>0</v>
      </c>
      <c r="X109" s="209">
        <f t="shared" si="68"/>
        <v>0</v>
      </c>
      <c r="Y109" s="216">
        <f>IF($U109="","",SUMPRODUCT(--(Lineups!AG$46:AG$83=$U109),--(Lineups!AB$46:AB$83="X")))</f>
        <v>0</v>
      </c>
      <c r="Z109" s="216">
        <f>IF($U109="","",SUMPRODUCT(--(Lineups!AK$46:AK$83=$U109),--(Lineups!AA$46:AA$83&lt;&gt;"SP")))</f>
        <v>0</v>
      </c>
      <c r="AA109" s="216">
        <f>IF($U109="","",SUMPRODUCT(--(Lineups!AO$46:AO$83=$U109),--(Lineups!AA$46:AA$83&lt;&gt;"SP")))</f>
        <v>0</v>
      </c>
      <c r="AB109" s="216">
        <f>IF($U109="","",SUMPRODUCT(--(Lineups!AS$46:AS$83=$U109),--(Lineups!AA$46:AA$83&lt;&gt;"SP")))</f>
        <v>0</v>
      </c>
      <c r="AC109" s="207">
        <f t="shared" si="69"/>
        <v>0</v>
      </c>
      <c r="AD109" s="209">
        <f t="shared" si="70"/>
        <v>0</v>
      </c>
      <c r="AE109" s="207">
        <f t="shared" si="71"/>
        <v>0</v>
      </c>
      <c r="AF109" s="209">
        <f t="shared" si="72"/>
        <v>0</v>
      </c>
      <c r="AG109" s="214">
        <f ca="1">IF(U109="","",IF(OR(SK!U176="",SK!U176=0),"",SK!X176))</f>
        <v>2</v>
      </c>
      <c r="AH109" s="207">
        <f>IF($U109="","",SUMPRODUCT(--(Lineups!AC$46:AC$83=$U109)))</f>
        <v>4</v>
      </c>
      <c r="AI109" s="209">
        <f t="shared" si="73"/>
        <v>0.22222222222222221</v>
      </c>
      <c r="AJ109" s="207">
        <f t="shared" si="74"/>
        <v>4</v>
      </c>
      <c r="AK109" s="209">
        <f t="shared" si="75"/>
        <v>0.22222222222222221</v>
      </c>
    </row>
    <row r="110" spans="1:37" x14ac:dyDescent="0.3">
      <c r="A110" s="23">
        <f t="shared" si="56"/>
        <v>3</v>
      </c>
      <c r="B110" s="129" t="str">
        <f t="shared" si="57"/>
        <v>17</v>
      </c>
      <c r="C110" s="129" t="str">
        <f t="shared" si="57"/>
        <v>Justine Sane</v>
      </c>
      <c r="D110" s="3">
        <f>IF($B110="","",SUMPRODUCT(--(Lineups!G$46:G$83=$B110),--(Lineups!B$46:B$83="")))</f>
        <v>0</v>
      </c>
      <c r="E110" s="208">
        <f t="shared" si="58"/>
        <v>0</v>
      </c>
      <c r="F110" s="216">
        <f>IF($B110="","",SUMPRODUCT(--(Lineups!G$46:G$83=$B110),--(Lineups!B$46:B$83="X")))</f>
        <v>0</v>
      </c>
      <c r="G110" s="216">
        <f>IF($B110="","",SUMPRODUCT(--(Lineups!K$46:K$83=$B110),--(Lineups!A$46:A$83&lt;&gt;"SP")))</f>
        <v>0</v>
      </c>
      <c r="H110" s="216">
        <f>IF($B110="","",SUMPRODUCT(--(Lineups!O$46:O$83=$B110),--(Lineups!A$46:A$83&lt;&gt;"SP")))</f>
        <v>1</v>
      </c>
      <c r="I110" s="216">
        <f>IF($B110="","",SUMPRODUCT(--(Lineups!S$46:S$83=$B110),--(Lineups!A$46:A$83&lt;&gt;"SP")))</f>
        <v>4</v>
      </c>
      <c r="J110" s="3">
        <f t="shared" si="59"/>
        <v>5</v>
      </c>
      <c r="K110" s="208">
        <f t="shared" si="60"/>
        <v>0.27777777777777779</v>
      </c>
      <c r="L110" s="3">
        <f t="shared" si="61"/>
        <v>5</v>
      </c>
      <c r="M110" s="208">
        <f t="shared" si="62"/>
        <v>0.27777777777777779</v>
      </c>
      <c r="N110" s="213" t="str">
        <f ca="1">IF(B110="","",IF(OR(SK!E179="",SK!E179=0),"",SK!H179))</f>
        <v/>
      </c>
      <c r="O110" s="3">
        <f>IF($B110="","",SUMPRODUCT(--(Lineups!C$46:C$83=$B110)))</f>
        <v>0</v>
      </c>
      <c r="P110" s="208">
        <f t="shared" si="63"/>
        <v>0</v>
      </c>
      <c r="Q110" s="3">
        <f t="shared" si="64"/>
        <v>5</v>
      </c>
      <c r="R110" s="208">
        <f t="shared" si="65"/>
        <v>0.27777777777777779</v>
      </c>
      <c r="T110" s="23">
        <f t="shared" si="66"/>
        <v>3</v>
      </c>
      <c r="U110" s="129" t="str">
        <f t="shared" si="67"/>
        <v>152</v>
      </c>
      <c r="V110" s="129" t="str">
        <f t="shared" si="67"/>
        <v>Hitty Pryde</v>
      </c>
      <c r="W110" s="3">
        <f>IF($U110="","",SUMPRODUCT(--(Lineups!AG$46:AG$83=$U110),--(Lineups!AB$46:AB$83="")))</f>
        <v>0</v>
      </c>
      <c r="X110" s="208">
        <f t="shared" si="68"/>
        <v>0</v>
      </c>
      <c r="Y110" s="216">
        <f>IF($U110="","",SUMPRODUCT(--(Lineups!AG$46:AG$83=$U110),--(Lineups!AB$46:AB$83="X")))</f>
        <v>0</v>
      </c>
      <c r="Z110" s="216">
        <f>IF($U110="","",SUMPRODUCT(--(Lineups!AK$46:AK$83=$U110),--(Lineups!AA$46:AA$83&lt;&gt;"SP")))</f>
        <v>0</v>
      </c>
      <c r="AA110" s="216">
        <f>IF($U110="","",SUMPRODUCT(--(Lineups!AO$46:AO$83=$U110),--(Lineups!AA$46:AA$83&lt;&gt;"SP")))</f>
        <v>3</v>
      </c>
      <c r="AB110" s="216">
        <f>IF($U110="","",SUMPRODUCT(--(Lineups!AS$46:AS$83=$U110),--(Lineups!AA$46:AA$83&lt;&gt;"SP")))</f>
        <v>1</v>
      </c>
      <c r="AC110" s="3">
        <f t="shared" si="69"/>
        <v>4</v>
      </c>
      <c r="AD110" s="208">
        <f t="shared" si="70"/>
        <v>0.22222222222222221</v>
      </c>
      <c r="AE110" s="3">
        <f t="shared" si="71"/>
        <v>4</v>
      </c>
      <c r="AF110" s="208">
        <f t="shared" si="72"/>
        <v>0.22222222222222221</v>
      </c>
      <c r="AG110" s="213" t="str">
        <f ca="1">IF(U110="","",IF(OR(SK!U179="",SK!U179=0),"",SK!X179))</f>
        <v/>
      </c>
      <c r="AH110" s="3">
        <f>IF($U110="","",SUMPRODUCT(--(Lineups!AC$46:AC$83=$U110)))</f>
        <v>0</v>
      </c>
      <c r="AI110" s="208">
        <f t="shared" si="73"/>
        <v>0</v>
      </c>
      <c r="AJ110" s="3">
        <f t="shared" si="74"/>
        <v>4</v>
      </c>
      <c r="AK110" s="208">
        <f t="shared" si="75"/>
        <v>0.22222222222222221</v>
      </c>
    </row>
    <row r="111" spans="1:37" x14ac:dyDescent="0.3">
      <c r="A111" s="205">
        <f t="shared" si="56"/>
        <v>4</v>
      </c>
      <c r="B111" s="206" t="str">
        <f t="shared" si="57"/>
        <v>19</v>
      </c>
      <c r="C111" s="206" t="str">
        <f t="shared" si="57"/>
        <v>Lippy Wrongstockings</v>
      </c>
      <c r="D111" s="207">
        <f>IF($B111="","",SUMPRODUCT(--(Lineups!G$46:G$83=$B111),--(Lineups!B$46:B$83="")))</f>
        <v>0</v>
      </c>
      <c r="E111" s="209">
        <f t="shared" si="58"/>
        <v>0</v>
      </c>
      <c r="F111" s="216">
        <f>IF($B111="","",SUMPRODUCT(--(Lineups!G$46:G$83=$B111),--(Lineups!B$46:B$83="X")))</f>
        <v>0</v>
      </c>
      <c r="G111" s="216">
        <f>IF($B111="","",SUMPRODUCT(--(Lineups!K$46:K$83=$B111),--(Lineups!A$46:A$83&lt;&gt;"SP")))</f>
        <v>1</v>
      </c>
      <c r="H111" s="216">
        <f>IF($B111="","",SUMPRODUCT(--(Lineups!O$46:O$83=$B111),--(Lineups!A$46:A$83&lt;&gt;"SP")))</f>
        <v>0</v>
      </c>
      <c r="I111" s="216">
        <f>IF($B111="","",SUMPRODUCT(--(Lineups!S$46:S$83=$B111),--(Lineups!A$46:A$83&lt;&gt;"SP")))</f>
        <v>0</v>
      </c>
      <c r="J111" s="207">
        <f t="shared" si="59"/>
        <v>1</v>
      </c>
      <c r="K111" s="209">
        <f t="shared" si="60"/>
        <v>5.5555555555555552E-2</v>
      </c>
      <c r="L111" s="207">
        <f t="shared" si="61"/>
        <v>1</v>
      </c>
      <c r="M111" s="209">
        <f t="shared" si="62"/>
        <v>5.5555555555555552E-2</v>
      </c>
      <c r="N111" s="214">
        <f ca="1">IF(B111="","",IF(OR(SK!E182="",SK!E182=0),"",SK!H182))</f>
        <v>4</v>
      </c>
      <c r="O111" s="207">
        <f>IF($B111="","",SUMPRODUCT(--(Lineups!C$46:C$83=$B111)))</f>
        <v>5</v>
      </c>
      <c r="P111" s="209">
        <f t="shared" si="63"/>
        <v>0.27777777777777779</v>
      </c>
      <c r="Q111" s="207">
        <f t="shared" si="64"/>
        <v>6</v>
      </c>
      <c r="R111" s="209">
        <f t="shared" si="65"/>
        <v>0.33333333333333331</v>
      </c>
      <c r="T111" s="205">
        <f t="shared" si="66"/>
        <v>4</v>
      </c>
      <c r="U111" s="206" t="str">
        <f t="shared" si="67"/>
        <v xml:space="preserve">237 </v>
      </c>
      <c r="V111" s="206" t="str">
        <f t="shared" si="67"/>
        <v>GuilloTina</v>
      </c>
      <c r="W111" s="207">
        <f>IF($U111="","",SUMPRODUCT(--(Lineups!AG$46:AG$83=$U111),--(Lineups!AB$46:AB$83="")))</f>
        <v>0</v>
      </c>
      <c r="X111" s="209">
        <f t="shared" si="68"/>
        <v>0</v>
      </c>
      <c r="Y111" s="216">
        <f>IF($U111="","",SUMPRODUCT(--(Lineups!AG$46:AG$83=$U111),--(Lineups!AB$46:AB$83="X")))</f>
        <v>0</v>
      </c>
      <c r="Z111" s="216">
        <f>IF($U111="","",SUMPRODUCT(--(Lineups!AK$46:AK$83=$U111),--(Lineups!AA$46:AA$83&lt;&gt;"SP")))</f>
        <v>0</v>
      </c>
      <c r="AA111" s="216">
        <f>IF($U111="","",SUMPRODUCT(--(Lineups!AO$46:AO$83=$U111),--(Lineups!AA$46:AA$83&lt;&gt;"SP")))</f>
        <v>0</v>
      </c>
      <c r="AB111" s="216">
        <f>IF($U111="","",SUMPRODUCT(--(Lineups!AS$46:AS$83=$U111),--(Lineups!AA$46:AA$83&lt;&gt;"SP")))</f>
        <v>0</v>
      </c>
      <c r="AC111" s="207">
        <f t="shared" si="69"/>
        <v>0</v>
      </c>
      <c r="AD111" s="209">
        <f t="shared" si="70"/>
        <v>0</v>
      </c>
      <c r="AE111" s="207">
        <f t="shared" si="71"/>
        <v>0</v>
      </c>
      <c r="AF111" s="209">
        <f t="shared" si="72"/>
        <v>0</v>
      </c>
      <c r="AG111" s="214" t="str">
        <f ca="1">IF(U111="","",IF(OR(SK!U182="",SK!U182=0),"",SK!X182))</f>
        <v/>
      </c>
      <c r="AH111" s="207">
        <f>IF($U111="","",SUMPRODUCT(--(Lineups!AC$46:AC$83=$U111)))</f>
        <v>0</v>
      </c>
      <c r="AI111" s="209">
        <f t="shared" si="73"/>
        <v>0</v>
      </c>
      <c r="AJ111" s="207">
        <f t="shared" si="74"/>
        <v>0</v>
      </c>
      <c r="AK111" s="209">
        <f t="shared" si="75"/>
        <v>0</v>
      </c>
    </row>
    <row r="112" spans="1:37" x14ac:dyDescent="0.3">
      <c r="A112" s="23">
        <f t="shared" si="56"/>
        <v>5</v>
      </c>
      <c r="B112" s="129" t="str">
        <f t="shared" si="57"/>
        <v>20</v>
      </c>
      <c r="C112" s="129" t="str">
        <f t="shared" si="57"/>
        <v>Zooks</v>
      </c>
      <c r="D112" s="3">
        <f>IF($B112="","",SUMPRODUCT(--(Lineups!G$46:G$83=$B112),--(Lineups!B$46:B$83="")))</f>
        <v>0</v>
      </c>
      <c r="E112" s="208">
        <f t="shared" si="58"/>
        <v>0</v>
      </c>
      <c r="F112" s="216">
        <f>IF($B112="","",SUMPRODUCT(--(Lineups!G$46:G$83=$B112),--(Lineups!B$46:B$83="X")))</f>
        <v>0</v>
      </c>
      <c r="G112" s="216">
        <f>IF($B112="","",SUMPRODUCT(--(Lineups!K$46:K$83=$B112),--(Lineups!A$46:A$83&lt;&gt;"SP")))</f>
        <v>2</v>
      </c>
      <c r="H112" s="216">
        <f>IF($B112="","",SUMPRODUCT(--(Lineups!O$46:O$83=$B112),--(Lineups!A$46:A$83&lt;&gt;"SP")))</f>
        <v>1</v>
      </c>
      <c r="I112" s="216">
        <f>IF($B112="","",SUMPRODUCT(--(Lineups!S$46:S$83=$B112),--(Lineups!A$46:A$83&lt;&gt;"SP")))</f>
        <v>1</v>
      </c>
      <c r="J112" s="3">
        <f t="shared" si="59"/>
        <v>4</v>
      </c>
      <c r="K112" s="208">
        <f t="shared" si="60"/>
        <v>0.22222222222222221</v>
      </c>
      <c r="L112" s="3">
        <f t="shared" si="61"/>
        <v>4</v>
      </c>
      <c r="M112" s="208">
        <f t="shared" si="62"/>
        <v>0.22222222222222221</v>
      </c>
      <c r="N112" s="213">
        <f ca="1">IF(B112="","",IF(OR(SK!E185="",SK!E185=0),"",SK!H185))</f>
        <v>2</v>
      </c>
      <c r="O112" s="3">
        <f>IF($B112="","",SUMPRODUCT(--(Lineups!C$46:C$83=$B112)))</f>
        <v>3</v>
      </c>
      <c r="P112" s="208">
        <f t="shared" si="63"/>
        <v>0.16666666666666666</v>
      </c>
      <c r="Q112" s="3">
        <f t="shared" si="64"/>
        <v>7</v>
      </c>
      <c r="R112" s="208">
        <f t="shared" si="65"/>
        <v>0.3888888888888889</v>
      </c>
      <c r="T112" s="23">
        <f t="shared" si="66"/>
        <v>5</v>
      </c>
      <c r="U112" s="129" t="str">
        <f t="shared" si="67"/>
        <v>26</v>
      </c>
      <c r="V112" s="129" t="str">
        <f t="shared" si="67"/>
        <v>Bam Bam Bigelow</v>
      </c>
      <c r="W112" s="3">
        <f>IF($U112="","",SUMPRODUCT(--(Lineups!AG$46:AG$83=$U112),--(Lineups!AB$46:AB$83="")))</f>
        <v>3</v>
      </c>
      <c r="X112" s="208">
        <f t="shared" si="68"/>
        <v>0.16666666666666666</v>
      </c>
      <c r="Y112" s="216">
        <f>IF($U112="","",SUMPRODUCT(--(Lineups!AG$46:AG$83=$U112),--(Lineups!AB$46:AB$83="X")))</f>
        <v>0</v>
      </c>
      <c r="Z112" s="216">
        <f>IF($U112="","",SUMPRODUCT(--(Lineups!AK$46:AK$83=$U112),--(Lineups!AA$46:AA$83&lt;&gt;"SP")))</f>
        <v>2</v>
      </c>
      <c r="AA112" s="216">
        <f>IF($U112="","",SUMPRODUCT(--(Lineups!AO$46:AO$83=$U112),--(Lineups!AA$46:AA$83&lt;&gt;"SP")))</f>
        <v>2</v>
      </c>
      <c r="AB112" s="216">
        <f>IF($U112="","",SUMPRODUCT(--(Lineups!AS$46:AS$83=$U112),--(Lineups!AA$46:AA$83&lt;&gt;"SP")))</f>
        <v>2</v>
      </c>
      <c r="AC112" s="3">
        <f t="shared" si="69"/>
        <v>6</v>
      </c>
      <c r="AD112" s="208">
        <f t="shared" si="70"/>
        <v>0.33333333333333331</v>
      </c>
      <c r="AE112" s="3">
        <f t="shared" si="71"/>
        <v>9</v>
      </c>
      <c r="AF112" s="208">
        <f t="shared" si="72"/>
        <v>0.5</v>
      </c>
      <c r="AG112" s="213">
        <f ca="1">IF(U112="","",IF(OR(SK!U185="",SK!U185=0),"",SK!X185))</f>
        <v>0</v>
      </c>
      <c r="AH112" s="3">
        <f>IF($U112="","",SUMPRODUCT(--(Lineups!AC$46:AC$83=$U112)))</f>
        <v>2</v>
      </c>
      <c r="AI112" s="208">
        <f t="shared" si="73"/>
        <v>0.1111111111111111</v>
      </c>
      <c r="AJ112" s="3">
        <f t="shared" si="74"/>
        <v>11</v>
      </c>
      <c r="AK112" s="208">
        <f t="shared" si="75"/>
        <v>0.61111111111111116</v>
      </c>
    </row>
    <row r="113" spans="1:37" x14ac:dyDescent="0.3">
      <c r="A113" s="205">
        <f t="shared" si="56"/>
        <v>6</v>
      </c>
      <c r="B113" s="206" t="str">
        <f t="shared" si="57"/>
        <v>303</v>
      </c>
      <c r="C113" s="206" t="str">
        <f t="shared" si="57"/>
        <v>Violent NoRegard</v>
      </c>
      <c r="D113" s="207">
        <f>IF($B113="","",SUMPRODUCT(--(Lineups!G$46:G$83=$B113),--(Lineups!B$46:B$83="")))</f>
        <v>0</v>
      </c>
      <c r="E113" s="209">
        <f t="shared" si="58"/>
        <v>0</v>
      </c>
      <c r="F113" s="216">
        <f>IF($B113="","",SUMPRODUCT(--(Lineups!G$46:G$83=$B113),--(Lineups!B$46:B$83="X")))</f>
        <v>0</v>
      </c>
      <c r="G113" s="216">
        <f>IF($B113="","",SUMPRODUCT(--(Lineups!K$46:K$83=$B113),--(Lineups!A$46:A$83&lt;&gt;"SP")))</f>
        <v>6</v>
      </c>
      <c r="H113" s="216">
        <f>IF($B113="","",SUMPRODUCT(--(Lineups!O$46:O$83=$B113),--(Lineups!A$46:A$83&lt;&gt;"SP")))</f>
        <v>2</v>
      </c>
      <c r="I113" s="216">
        <f>IF($B113="","",SUMPRODUCT(--(Lineups!S$46:S$83=$B113),--(Lineups!A$46:A$83&lt;&gt;"SP")))</f>
        <v>0</v>
      </c>
      <c r="J113" s="207">
        <f t="shared" si="59"/>
        <v>8</v>
      </c>
      <c r="K113" s="209">
        <f t="shared" si="60"/>
        <v>0.44444444444444442</v>
      </c>
      <c r="L113" s="207">
        <f t="shared" si="61"/>
        <v>8</v>
      </c>
      <c r="M113" s="209">
        <f t="shared" si="62"/>
        <v>0.44444444444444442</v>
      </c>
      <c r="N113" s="214" t="str">
        <f ca="1">IF(B113="","",IF(OR(SK!E188="",SK!E188=0),"",SK!H188))</f>
        <v/>
      </c>
      <c r="O113" s="207">
        <f>IF($B113="","",SUMPRODUCT(--(Lineups!C$46:C$83=$B113)))</f>
        <v>0</v>
      </c>
      <c r="P113" s="209">
        <f t="shared" si="63"/>
        <v>0</v>
      </c>
      <c r="Q113" s="207">
        <f t="shared" si="64"/>
        <v>8</v>
      </c>
      <c r="R113" s="209">
        <f t="shared" si="65"/>
        <v>0.44444444444444442</v>
      </c>
      <c r="T113" s="205">
        <f t="shared" si="66"/>
        <v>6</v>
      </c>
      <c r="U113" s="206" t="str">
        <f t="shared" si="67"/>
        <v>2611</v>
      </c>
      <c r="V113" s="206" t="str">
        <f t="shared" si="67"/>
        <v>Va Va BOOM</v>
      </c>
      <c r="W113" s="207">
        <f>IF($U113="","",SUMPRODUCT(--(Lineups!AG$46:AG$83=$U113),--(Lineups!AB$46:AB$83="")))</f>
        <v>0</v>
      </c>
      <c r="X113" s="209">
        <f t="shared" si="68"/>
        <v>0</v>
      </c>
      <c r="Y113" s="216">
        <f>IF($U113="","",SUMPRODUCT(--(Lineups!AG$46:AG$83=$U113),--(Lineups!AB$46:AB$83="X")))</f>
        <v>0</v>
      </c>
      <c r="Z113" s="216">
        <f>IF($U113="","",SUMPRODUCT(--(Lineups!AK$46:AK$83=$U113),--(Lineups!AA$46:AA$83&lt;&gt;"SP")))</f>
        <v>1</v>
      </c>
      <c r="AA113" s="216">
        <f>IF($U113="","",SUMPRODUCT(--(Lineups!AO$46:AO$83=$U113),--(Lineups!AA$46:AA$83&lt;&gt;"SP")))</f>
        <v>0</v>
      </c>
      <c r="AB113" s="216">
        <f>IF($U113="","",SUMPRODUCT(--(Lineups!AS$46:AS$83=$U113),--(Lineups!AA$46:AA$83&lt;&gt;"SP")))</f>
        <v>9</v>
      </c>
      <c r="AC113" s="207">
        <f t="shared" si="69"/>
        <v>10</v>
      </c>
      <c r="AD113" s="209">
        <f t="shared" si="70"/>
        <v>0.55555555555555558</v>
      </c>
      <c r="AE113" s="207">
        <f t="shared" si="71"/>
        <v>10</v>
      </c>
      <c r="AF113" s="209">
        <f t="shared" si="72"/>
        <v>0.55555555555555558</v>
      </c>
      <c r="AG113" s="214" t="str">
        <f ca="1">IF(U113="","",IF(OR(SK!U188="",SK!U188=0),"",SK!X188))</f>
        <v/>
      </c>
      <c r="AH113" s="207">
        <f>IF($U113="","",SUMPRODUCT(--(Lineups!AC$46:AC$83=$U113)))</f>
        <v>0</v>
      </c>
      <c r="AI113" s="209">
        <f t="shared" si="73"/>
        <v>0</v>
      </c>
      <c r="AJ113" s="207">
        <f t="shared" si="74"/>
        <v>10</v>
      </c>
      <c r="AK113" s="209">
        <f t="shared" si="75"/>
        <v>0.55555555555555558</v>
      </c>
    </row>
    <row r="114" spans="1:37" x14ac:dyDescent="0.3">
      <c r="A114" s="23">
        <f t="shared" si="56"/>
        <v>7</v>
      </c>
      <c r="B114" s="129" t="str">
        <f t="shared" si="57"/>
        <v>33</v>
      </c>
      <c r="C114" s="129" t="str">
        <f t="shared" si="57"/>
        <v>Suzy Slam</v>
      </c>
      <c r="D114" s="3">
        <f>IF($B114="","",SUMPRODUCT(--(Lineups!G$46:G$83=$B114),--(Lineups!B$46:B$83="")))</f>
        <v>0</v>
      </c>
      <c r="E114" s="208">
        <f t="shared" si="58"/>
        <v>0</v>
      </c>
      <c r="F114" s="216">
        <f>IF($B114="","",SUMPRODUCT(--(Lineups!G$46:G$83=$B114),--(Lineups!B$46:B$83="X")))</f>
        <v>0</v>
      </c>
      <c r="G114" s="216">
        <f>IF($B114="","",SUMPRODUCT(--(Lineups!K$46:K$83=$B114),--(Lineups!A$46:A$83&lt;&gt;"SP")))</f>
        <v>4</v>
      </c>
      <c r="H114" s="216">
        <f>IF($B114="","",SUMPRODUCT(--(Lineups!O$46:O$83=$B114),--(Lineups!A$46:A$83&lt;&gt;"SP")))</f>
        <v>0</v>
      </c>
      <c r="I114" s="216">
        <f>IF($B114="","",SUMPRODUCT(--(Lineups!S$46:S$83=$B114),--(Lineups!A$46:A$83&lt;&gt;"SP")))</f>
        <v>1</v>
      </c>
      <c r="J114" s="3">
        <f t="shared" si="59"/>
        <v>5</v>
      </c>
      <c r="K114" s="208">
        <f t="shared" si="60"/>
        <v>0.27777777777777779</v>
      </c>
      <c r="L114" s="3">
        <f t="shared" si="61"/>
        <v>5</v>
      </c>
      <c r="M114" s="208">
        <f t="shared" si="62"/>
        <v>0.27777777777777779</v>
      </c>
      <c r="N114" s="213">
        <f ca="1">IF(B114="","",IF(OR(SK!E191="",SK!E191=0),"",SK!H191))</f>
        <v>1</v>
      </c>
      <c r="O114" s="3">
        <f>IF($B114="","",SUMPRODUCT(--(Lineups!C$46:C$83=$B114)))</f>
        <v>1</v>
      </c>
      <c r="P114" s="208">
        <f t="shared" si="63"/>
        <v>5.5555555555555552E-2</v>
      </c>
      <c r="Q114" s="3">
        <f t="shared" si="64"/>
        <v>6</v>
      </c>
      <c r="R114" s="208">
        <f t="shared" si="65"/>
        <v>0.33333333333333331</v>
      </c>
      <c r="T114" s="23">
        <f t="shared" si="66"/>
        <v>7</v>
      </c>
      <c r="U114" s="129" t="str">
        <f t="shared" si="67"/>
        <v>45</v>
      </c>
      <c r="V114" s="129" t="str">
        <f t="shared" si="67"/>
        <v>Miss Carriage</v>
      </c>
      <c r="W114" s="3">
        <f>IF($U114="","",SUMPRODUCT(--(Lineups!AG$46:AG$83=$U114),--(Lineups!AB$46:AB$83="")))</f>
        <v>5</v>
      </c>
      <c r="X114" s="208">
        <f t="shared" si="68"/>
        <v>0.27777777777777779</v>
      </c>
      <c r="Y114" s="216">
        <f>IF($U114="","",SUMPRODUCT(--(Lineups!AG$46:AG$83=$U114),--(Lineups!AB$46:AB$83="X")))</f>
        <v>0</v>
      </c>
      <c r="Z114" s="216">
        <f>IF($U114="","",SUMPRODUCT(--(Lineups!AK$46:AK$83=$U114),--(Lineups!AA$46:AA$83&lt;&gt;"SP")))</f>
        <v>2</v>
      </c>
      <c r="AA114" s="216">
        <f>IF($U114="","",SUMPRODUCT(--(Lineups!AO$46:AO$83=$U114),--(Lineups!AA$46:AA$83&lt;&gt;"SP")))</f>
        <v>0</v>
      </c>
      <c r="AB114" s="216">
        <f>IF($U114="","",SUMPRODUCT(--(Lineups!AS$46:AS$83=$U114),--(Lineups!AA$46:AA$83&lt;&gt;"SP")))</f>
        <v>0</v>
      </c>
      <c r="AC114" s="3">
        <f t="shared" si="69"/>
        <v>2</v>
      </c>
      <c r="AD114" s="208">
        <f t="shared" si="70"/>
        <v>0.1111111111111111</v>
      </c>
      <c r="AE114" s="3">
        <f t="shared" si="71"/>
        <v>7</v>
      </c>
      <c r="AF114" s="208">
        <f t="shared" si="72"/>
        <v>0.3888888888888889</v>
      </c>
      <c r="AG114" s="213">
        <f ca="1">IF(U114="","",IF(OR(SK!U191="",SK!U191=0),"",SK!X191))</f>
        <v>0</v>
      </c>
      <c r="AH114" s="3">
        <f>IF($U114="","",SUMPRODUCT(--(Lineups!AC$46:AC$83=$U114)))</f>
        <v>2</v>
      </c>
      <c r="AI114" s="208">
        <f t="shared" si="73"/>
        <v>0.1111111111111111</v>
      </c>
      <c r="AJ114" s="3">
        <f t="shared" si="74"/>
        <v>9</v>
      </c>
      <c r="AK114" s="208">
        <f t="shared" si="75"/>
        <v>0.5</v>
      </c>
    </row>
    <row r="115" spans="1:37" x14ac:dyDescent="0.3">
      <c r="A115" s="205">
        <f t="shared" si="56"/>
        <v>8</v>
      </c>
      <c r="B115" s="206" t="str">
        <f t="shared" si="57"/>
        <v>4</v>
      </c>
      <c r="C115" s="206" t="str">
        <f t="shared" si="57"/>
        <v>Psykosonic</v>
      </c>
      <c r="D115" s="207">
        <f>IF($B115="","",SUMPRODUCT(--(Lineups!G$46:G$83=$B115),--(Lineups!B$46:B$83="")))</f>
        <v>0</v>
      </c>
      <c r="E115" s="209">
        <f t="shared" si="58"/>
        <v>0</v>
      </c>
      <c r="F115" s="216">
        <f>IF($B115="","",SUMPRODUCT(--(Lineups!G$46:G$83=$B115),--(Lineups!B$46:B$83="X")))</f>
        <v>0</v>
      </c>
      <c r="G115" s="216">
        <f>IF($B115="","",SUMPRODUCT(--(Lineups!K$46:K$83=$B115),--(Lineups!A$46:A$83&lt;&gt;"SP")))</f>
        <v>0</v>
      </c>
      <c r="H115" s="216">
        <f>IF($B115="","",SUMPRODUCT(--(Lineups!O$46:O$83=$B115),--(Lineups!A$46:A$83&lt;&gt;"SP")))</f>
        <v>0</v>
      </c>
      <c r="I115" s="216">
        <f>IF($B115="","",SUMPRODUCT(--(Lineups!S$46:S$83=$B115),--(Lineups!A$46:A$83&lt;&gt;"SP")))</f>
        <v>0</v>
      </c>
      <c r="J115" s="207">
        <f t="shared" si="59"/>
        <v>0</v>
      </c>
      <c r="K115" s="209">
        <f t="shared" si="60"/>
        <v>0</v>
      </c>
      <c r="L115" s="207">
        <f t="shared" si="61"/>
        <v>0</v>
      </c>
      <c r="M115" s="209">
        <f t="shared" si="62"/>
        <v>0</v>
      </c>
      <c r="N115" s="214">
        <f ca="1">IF(B115="","",IF(OR(SK!E194="",SK!E194=0),"",SK!H194))</f>
        <v>3</v>
      </c>
      <c r="O115" s="207">
        <f>IF($B115="","",SUMPRODUCT(--(Lineups!C$46:C$83=$B115)))</f>
        <v>6</v>
      </c>
      <c r="P115" s="209">
        <f t="shared" si="63"/>
        <v>0.33333333333333331</v>
      </c>
      <c r="Q115" s="207">
        <f t="shared" si="64"/>
        <v>6</v>
      </c>
      <c r="R115" s="209">
        <f t="shared" si="65"/>
        <v>0.33333333333333331</v>
      </c>
      <c r="T115" s="205">
        <f t="shared" si="66"/>
        <v>8</v>
      </c>
      <c r="U115" s="206" t="str">
        <f t="shared" si="67"/>
        <v>451</v>
      </c>
      <c r="V115" s="206" t="str">
        <f t="shared" si="67"/>
        <v>fErinheit</v>
      </c>
      <c r="W115" s="207">
        <f>IF($U115="","",SUMPRODUCT(--(Lineups!AG$46:AG$83=$U115),--(Lineups!AB$46:AB$83="")))</f>
        <v>1</v>
      </c>
      <c r="X115" s="209">
        <f t="shared" si="68"/>
        <v>5.5555555555555552E-2</v>
      </c>
      <c r="Y115" s="216">
        <f>IF($U115="","",SUMPRODUCT(--(Lineups!AG$46:AG$83=$U115),--(Lineups!AB$46:AB$83="X")))</f>
        <v>0</v>
      </c>
      <c r="Z115" s="216">
        <f>IF($U115="","",SUMPRODUCT(--(Lineups!AK$46:AK$83=$U115),--(Lineups!AA$46:AA$83&lt;&gt;"SP")))</f>
        <v>1</v>
      </c>
      <c r="AA115" s="216">
        <f>IF($U115="","",SUMPRODUCT(--(Lineups!AO$46:AO$83=$U115),--(Lineups!AA$46:AA$83&lt;&gt;"SP")))</f>
        <v>0</v>
      </c>
      <c r="AB115" s="216">
        <f>IF($U115="","",SUMPRODUCT(--(Lineups!AS$46:AS$83=$U115),--(Lineups!AA$46:AA$83&lt;&gt;"SP")))</f>
        <v>0</v>
      </c>
      <c r="AC115" s="207">
        <f t="shared" si="69"/>
        <v>1</v>
      </c>
      <c r="AD115" s="209">
        <f t="shared" si="70"/>
        <v>5.5555555555555552E-2</v>
      </c>
      <c r="AE115" s="207">
        <f t="shared" si="71"/>
        <v>2</v>
      </c>
      <c r="AF115" s="209">
        <f t="shared" si="72"/>
        <v>0.1111111111111111</v>
      </c>
      <c r="AG115" s="214">
        <f ca="1">IF(U115="","",IF(OR(SK!U194="",SK!U194=0),"",SK!X194))</f>
        <v>1</v>
      </c>
      <c r="AH115" s="207">
        <f>IF($U115="","",SUMPRODUCT(--(Lineups!AC$46:AC$83=$U115)))</f>
        <v>3</v>
      </c>
      <c r="AI115" s="209">
        <f t="shared" si="73"/>
        <v>0.16666666666666666</v>
      </c>
      <c r="AJ115" s="207">
        <f t="shared" si="74"/>
        <v>5</v>
      </c>
      <c r="AK115" s="209">
        <f t="shared" si="75"/>
        <v>0.27777777777777779</v>
      </c>
    </row>
    <row r="116" spans="1:37" x14ac:dyDescent="0.3">
      <c r="A116" s="23">
        <f t="shared" si="56"/>
        <v>9</v>
      </c>
      <c r="B116" s="129" t="str">
        <f t="shared" si="57"/>
        <v>42</v>
      </c>
      <c r="C116" s="129" t="str">
        <f t="shared" si="57"/>
        <v>Meg N' Plead</v>
      </c>
      <c r="D116" s="3">
        <f>IF($B116="","",SUMPRODUCT(--(Lineups!G$46:G$83=$B116),--(Lineups!B$46:B$83="")))</f>
        <v>0</v>
      </c>
      <c r="E116" s="208">
        <f t="shared" si="58"/>
        <v>0</v>
      </c>
      <c r="F116" s="216">
        <f>IF($B116="","",SUMPRODUCT(--(Lineups!G$46:G$83=$B116),--(Lineups!B$46:B$83="X")))</f>
        <v>0</v>
      </c>
      <c r="G116" s="216">
        <f>IF($B116="","",SUMPRODUCT(--(Lineups!K$46:K$83=$B116),--(Lineups!A$46:A$83&lt;&gt;"SP")))</f>
        <v>0</v>
      </c>
      <c r="H116" s="216">
        <f>IF($B116="","",SUMPRODUCT(--(Lineups!O$46:O$83=$B116),--(Lineups!A$46:A$83&lt;&gt;"SP")))</f>
        <v>4</v>
      </c>
      <c r="I116" s="216">
        <f>IF($B116="","",SUMPRODUCT(--(Lineups!S$46:S$83=$B116),--(Lineups!A$46:A$83&lt;&gt;"SP")))</f>
        <v>2</v>
      </c>
      <c r="J116" s="3">
        <f t="shared" si="59"/>
        <v>6</v>
      </c>
      <c r="K116" s="208">
        <f t="shared" si="60"/>
        <v>0.33333333333333331</v>
      </c>
      <c r="L116" s="3">
        <f t="shared" si="61"/>
        <v>6</v>
      </c>
      <c r="M116" s="208">
        <f t="shared" si="62"/>
        <v>0.33333333333333331</v>
      </c>
      <c r="N116" s="213" t="str">
        <f ca="1">IF(B116="","",IF(OR(SK!E197="",SK!E197=0),"",SK!H197))</f>
        <v/>
      </c>
      <c r="O116" s="3">
        <f>IF($B116="","",SUMPRODUCT(--(Lineups!C$46:C$83=$B116)))</f>
        <v>0</v>
      </c>
      <c r="P116" s="208">
        <f t="shared" si="63"/>
        <v>0</v>
      </c>
      <c r="Q116" s="3">
        <f t="shared" si="64"/>
        <v>6</v>
      </c>
      <c r="R116" s="208">
        <f t="shared" si="65"/>
        <v>0.33333333333333331</v>
      </c>
      <c r="T116" s="23">
        <f t="shared" si="66"/>
        <v>9</v>
      </c>
      <c r="U116" s="129" t="str">
        <f t="shared" si="67"/>
        <v>511</v>
      </c>
      <c r="V116" s="129" t="str">
        <f t="shared" si="67"/>
        <v>Bean Stalker</v>
      </c>
      <c r="W116" s="3">
        <f>IF($U116="","",SUMPRODUCT(--(Lineups!AG$46:AG$83=$U116),--(Lineups!AB$46:AB$83="")))</f>
        <v>4</v>
      </c>
      <c r="X116" s="208">
        <f t="shared" si="68"/>
        <v>0.22222222222222221</v>
      </c>
      <c r="Y116" s="216">
        <f>IF($U116="","",SUMPRODUCT(--(Lineups!AG$46:AG$83=$U116),--(Lineups!AB$46:AB$83="X")))</f>
        <v>0</v>
      </c>
      <c r="Z116" s="216">
        <f>IF($U116="","",SUMPRODUCT(--(Lineups!AK$46:AK$83=$U116),--(Lineups!AA$46:AA$83&lt;&gt;"SP")))</f>
        <v>0</v>
      </c>
      <c r="AA116" s="216">
        <f>IF($U116="","",SUMPRODUCT(--(Lineups!AO$46:AO$83=$U116),--(Lineups!AA$46:AA$83&lt;&gt;"SP")))</f>
        <v>1</v>
      </c>
      <c r="AB116" s="216">
        <f>IF($U116="","",SUMPRODUCT(--(Lineups!AS$46:AS$83=$U116),--(Lineups!AA$46:AA$83&lt;&gt;"SP")))</f>
        <v>2</v>
      </c>
      <c r="AC116" s="3">
        <f t="shared" si="69"/>
        <v>3</v>
      </c>
      <c r="AD116" s="208">
        <f t="shared" si="70"/>
        <v>0.16666666666666666</v>
      </c>
      <c r="AE116" s="3">
        <f t="shared" si="71"/>
        <v>7</v>
      </c>
      <c r="AF116" s="208">
        <f t="shared" si="72"/>
        <v>0.3888888888888889</v>
      </c>
      <c r="AG116" s="213">
        <f ca="1">IF(U116="","",IF(OR(SK!U197="",SK!U197=0),"",SK!X197))</f>
        <v>0</v>
      </c>
      <c r="AH116" s="3">
        <f>IF($U116="","",SUMPRODUCT(--(Lineups!AC$46:AC$83=$U116)))</f>
        <v>1</v>
      </c>
      <c r="AI116" s="208">
        <f t="shared" si="73"/>
        <v>5.5555555555555552E-2</v>
      </c>
      <c r="AJ116" s="3">
        <f t="shared" si="74"/>
        <v>8</v>
      </c>
      <c r="AK116" s="208">
        <f t="shared" si="75"/>
        <v>0.44444444444444442</v>
      </c>
    </row>
    <row r="117" spans="1:37" x14ac:dyDescent="0.3">
      <c r="A117" s="205">
        <f t="shared" si="56"/>
        <v>10</v>
      </c>
      <c r="B117" s="206" t="str">
        <f t="shared" si="57"/>
        <v>44</v>
      </c>
      <c r="C117" s="206" t="str">
        <f t="shared" si="57"/>
        <v>Brunt Force Bunny</v>
      </c>
      <c r="D117" s="207">
        <f>IF($B117="","",SUMPRODUCT(--(Lineups!G$46:G$83=$B117),--(Lineups!B$46:B$83="")))</f>
        <v>0</v>
      </c>
      <c r="E117" s="209">
        <f t="shared" si="58"/>
        <v>0</v>
      </c>
      <c r="F117" s="216">
        <f>IF($B117="","",SUMPRODUCT(--(Lineups!G$46:G$83=$B117),--(Lineups!B$46:B$83="X")))</f>
        <v>0</v>
      </c>
      <c r="G117" s="216">
        <f>IF($B117="","",SUMPRODUCT(--(Lineups!K$46:K$83=$B117),--(Lineups!A$46:A$83&lt;&gt;"SP")))</f>
        <v>0</v>
      </c>
      <c r="H117" s="216">
        <f>IF($B117="","",SUMPRODUCT(--(Lineups!O$46:O$83=$B117),--(Lineups!A$46:A$83&lt;&gt;"SP")))</f>
        <v>3</v>
      </c>
      <c r="I117" s="216">
        <f>IF($B117="","",SUMPRODUCT(--(Lineups!S$46:S$83=$B117),--(Lineups!A$46:A$83&lt;&gt;"SP")))</f>
        <v>2</v>
      </c>
      <c r="J117" s="207">
        <f t="shared" si="59"/>
        <v>5</v>
      </c>
      <c r="K117" s="209">
        <f t="shared" si="60"/>
        <v>0.27777777777777779</v>
      </c>
      <c r="L117" s="207">
        <f t="shared" si="61"/>
        <v>5</v>
      </c>
      <c r="M117" s="209">
        <f t="shared" si="62"/>
        <v>0.27777777777777779</v>
      </c>
      <c r="N117" s="214" t="str">
        <f ca="1">IF(B117="","",IF(OR(SK!E200="",SK!E200=0),"",SK!H200))</f>
        <v/>
      </c>
      <c r="O117" s="207">
        <f>IF($B117="","",SUMPRODUCT(--(Lineups!C$46:C$83=$B117)))</f>
        <v>0</v>
      </c>
      <c r="P117" s="209">
        <f t="shared" si="63"/>
        <v>0</v>
      </c>
      <c r="Q117" s="207">
        <f t="shared" si="64"/>
        <v>5</v>
      </c>
      <c r="R117" s="209">
        <f t="shared" si="65"/>
        <v>0.27777777777777779</v>
      </c>
      <c r="T117" s="205">
        <f t="shared" si="66"/>
        <v>10</v>
      </c>
      <c r="U117" s="206" t="str">
        <f t="shared" si="67"/>
        <v>519</v>
      </c>
      <c r="V117" s="206" t="str">
        <f t="shared" si="67"/>
        <v>Smashin' Good Time</v>
      </c>
      <c r="W117" s="207">
        <f>IF($U117="","",SUMPRODUCT(--(Lineups!AG$46:AG$83=$U117),--(Lineups!AB$46:AB$83="")))</f>
        <v>7</v>
      </c>
      <c r="X117" s="209">
        <f t="shared" si="68"/>
        <v>0.3888888888888889</v>
      </c>
      <c r="Y117" s="216">
        <f>IF($U117="","",SUMPRODUCT(--(Lineups!AG$46:AG$83=$U117),--(Lineups!AB$46:AB$83="X")))</f>
        <v>0</v>
      </c>
      <c r="Z117" s="216">
        <f>IF($U117="","",SUMPRODUCT(--(Lineups!AK$46:AK$83=$U117),--(Lineups!AA$46:AA$83&lt;&gt;"SP")))</f>
        <v>0</v>
      </c>
      <c r="AA117" s="216">
        <f>IF($U117="","",SUMPRODUCT(--(Lineups!AO$46:AO$83=$U117),--(Lineups!AA$46:AA$83&lt;&gt;"SP")))</f>
        <v>0</v>
      </c>
      <c r="AB117" s="216">
        <f>IF($U117="","",SUMPRODUCT(--(Lineups!AS$46:AS$83=$U117),--(Lineups!AA$46:AA$83&lt;&gt;"SP")))</f>
        <v>2</v>
      </c>
      <c r="AC117" s="207">
        <f t="shared" si="69"/>
        <v>2</v>
      </c>
      <c r="AD117" s="209">
        <f t="shared" si="70"/>
        <v>0.1111111111111111</v>
      </c>
      <c r="AE117" s="207">
        <f t="shared" si="71"/>
        <v>9</v>
      </c>
      <c r="AF117" s="209">
        <f t="shared" si="72"/>
        <v>0.5</v>
      </c>
      <c r="AG117" s="214">
        <f ca="1">IF(U117="","",IF(OR(SK!U200="",SK!U200=0),"",SK!X200))</f>
        <v>0</v>
      </c>
      <c r="AH117" s="207">
        <f>IF($U117="","",SUMPRODUCT(--(Lineups!AC$46:AC$83=$U117)))</f>
        <v>4</v>
      </c>
      <c r="AI117" s="209">
        <f t="shared" si="73"/>
        <v>0.22222222222222221</v>
      </c>
      <c r="AJ117" s="207">
        <f t="shared" si="74"/>
        <v>13</v>
      </c>
      <c r="AK117" s="209">
        <f t="shared" si="75"/>
        <v>0.72222222222222221</v>
      </c>
    </row>
    <row r="118" spans="1:37" x14ac:dyDescent="0.3">
      <c r="A118" s="23">
        <f t="shared" si="56"/>
        <v>11</v>
      </c>
      <c r="B118" s="129" t="str">
        <f t="shared" si="57"/>
        <v>480</v>
      </c>
      <c r="C118" s="129" t="str">
        <f t="shared" si="57"/>
        <v>Slaughterhouse Streeter</v>
      </c>
      <c r="D118" s="3">
        <f>IF($B118="","",SUMPRODUCT(--(Lineups!G$46:G$83=$B118),--(Lineups!B$46:B$83="")))</f>
        <v>0</v>
      </c>
      <c r="E118" s="208">
        <f t="shared" si="58"/>
        <v>0</v>
      </c>
      <c r="F118" s="216">
        <f>IF($B118="","",SUMPRODUCT(--(Lineups!G$46:G$83=$B118),--(Lineups!B$46:B$83="X")))</f>
        <v>0</v>
      </c>
      <c r="G118" s="216">
        <f>IF($B118="","",SUMPRODUCT(--(Lineups!K$46:K$83=$B118),--(Lineups!A$46:A$83&lt;&gt;"SP")))</f>
        <v>4</v>
      </c>
      <c r="H118" s="216">
        <f>IF($B118="","",SUMPRODUCT(--(Lineups!O$46:O$83=$B118),--(Lineups!A$46:A$83&lt;&gt;"SP")))</f>
        <v>4</v>
      </c>
      <c r="I118" s="216">
        <f>IF($B118="","",SUMPRODUCT(--(Lineups!S$46:S$83=$B118),--(Lineups!A$46:A$83&lt;&gt;"SP")))</f>
        <v>1</v>
      </c>
      <c r="J118" s="3">
        <f t="shared" si="59"/>
        <v>9</v>
      </c>
      <c r="K118" s="208">
        <f t="shared" si="60"/>
        <v>0.5</v>
      </c>
      <c r="L118" s="3">
        <f t="shared" si="61"/>
        <v>9</v>
      </c>
      <c r="M118" s="208">
        <f t="shared" si="62"/>
        <v>0.5</v>
      </c>
      <c r="N118" s="213" t="str">
        <f ca="1">IF(B118="","",IF(OR(SK!E203="",SK!E203=0),"",SK!H203))</f>
        <v/>
      </c>
      <c r="O118" s="3">
        <f>IF($B118="","",SUMPRODUCT(--(Lineups!C$46:C$83=$B118)))</f>
        <v>0</v>
      </c>
      <c r="P118" s="208">
        <f t="shared" si="63"/>
        <v>0</v>
      </c>
      <c r="Q118" s="3">
        <f t="shared" si="64"/>
        <v>9</v>
      </c>
      <c r="R118" s="208">
        <f t="shared" si="65"/>
        <v>0.5</v>
      </c>
      <c r="T118" s="23">
        <f t="shared" si="66"/>
        <v>11</v>
      </c>
      <c r="U118" s="129" t="str">
        <f t="shared" si="67"/>
        <v>58</v>
      </c>
      <c r="V118" s="129" t="str">
        <f t="shared" si="67"/>
        <v>Natty B</v>
      </c>
      <c r="W118" s="3">
        <f>IF($U118="","",SUMPRODUCT(--(Lineups!AG$46:AG$83=$U118),--(Lineups!AB$46:AB$83="")))</f>
        <v>1</v>
      </c>
      <c r="X118" s="208">
        <f t="shared" si="68"/>
        <v>5.5555555555555552E-2</v>
      </c>
      <c r="Y118" s="216">
        <f>IF($U118="","",SUMPRODUCT(--(Lineups!AG$46:AG$83=$U118),--(Lineups!AB$46:AB$83="X")))</f>
        <v>0</v>
      </c>
      <c r="Z118" s="216">
        <f>IF($U118="","",SUMPRODUCT(--(Lineups!AK$46:AK$83=$U118),--(Lineups!AA$46:AA$83&lt;&gt;"SP")))</f>
        <v>1</v>
      </c>
      <c r="AA118" s="216">
        <f>IF($U118="","",SUMPRODUCT(--(Lineups!AO$46:AO$83=$U118),--(Lineups!AA$46:AA$83&lt;&gt;"SP")))</f>
        <v>0</v>
      </c>
      <c r="AB118" s="216">
        <f>IF($U118="","",SUMPRODUCT(--(Lineups!AS$46:AS$83=$U118),--(Lineups!AA$46:AA$83&lt;&gt;"SP")))</f>
        <v>0</v>
      </c>
      <c r="AC118" s="3">
        <f t="shared" si="69"/>
        <v>1</v>
      </c>
      <c r="AD118" s="208">
        <f t="shared" si="70"/>
        <v>5.5555555555555552E-2</v>
      </c>
      <c r="AE118" s="3">
        <f t="shared" si="71"/>
        <v>2</v>
      </c>
      <c r="AF118" s="208">
        <f t="shared" si="72"/>
        <v>0.1111111111111111</v>
      </c>
      <c r="AG118" s="213">
        <f ca="1">IF(U118="","",IF(OR(SK!U203="",SK!U203=0),"",SK!X203))</f>
        <v>0</v>
      </c>
      <c r="AH118" s="3">
        <f>IF($U118="","",SUMPRODUCT(--(Lineups!AC$46:AC$83=$U118)))</f>
        <v>4</v>
      </c>
      <c r="AI118" s="208">
        <f t="shared" si="73"/>
        <v>0.22222222222222221</v>
      </c>
      <c r="AJ118" s="3">
        <f t="shared" si="74"/>
        <v>6</v>
      </c>
      <c r="AK118" s="208">
        <f t="shared" si="75"/>
        <v>0.33333333333333331</v>
      </c>
    </row>
    <row r="119" spans="1:37" x14ac:dyDescent="0.3">
      <c r="A119" s="205">
        <f t="shared" si="56"/>
        <v>12</v>
      </c>
      <c r="B119" s="206" t="str">
        <f t="shared" si="57"/>
        <v>64</v>
      </c>
      <c r="C119" s="206" t="str">
        <f t="shared" si="57"/>
        <v>Cannonball Doll</v>
      </c>
      <c r="D119" s="207">
        <f>IF($B119="","",SUMPRODUCT(--(Lineups!G$46:G$83=$B119),--(Lineups!B$46:B$83="")))</f>
        <v>0</v>
      </c>
      <c r="E119" s="209">
        <f t="shared" si="58"/>
        <v>0</v>
      </c>
      <c r="F119" s="216">
        <f>IF($B119="","",SUMPRODUCT(--(Lineups!G$46:G$83=$B119),--(Lineups!B$46:B$83="X")))</f>
        <v>0</v>
      </c>
      <c r="G119" s="216">
        <f>IF($B119="","",SUMPRODUCT(--(Lineups!K$46:K$83=$B119),--(Lineups!A$46:A$83&lt;&gt;"SP")))</f>
        <v>1</v>
      </c>
      <c r="H119" s="216">
        <f>IF($B119="","",SUMPRODUCT(--(Lineups!O$46:O$83=$B119),--(Lineups!A$46:A$83&lt;&gt;"SP")))</f>
        <v>2</v>
      </c>
      <c r="I119" s="216">
        <f>IF($B119="","",SUMPRODUCT(--(Lineups!S$46:S$83=$B119),--(Lineups!A$46:A$83&lt;&gt;"SP")))</f>
        <v>6</v>
      </c>
      <c r="J119" s="207">
        <f t="shared" si="59"/>
        <v>9</v>
      </c>
      <c r="K119" s="209">
        <f t="shared" si="60"/>
        <v>0.5</v>
      </c>
      <c r="L119" s="207">
        <f t="shared" si="61"/>
        <v>9</v>
      </c>
      <c r="M119" s="209">
        <f t="shared" si="62"/>
        <v>0.5</v>
      </c>
      <c r="N119" s="214" t="str">
        <f ca="1">IF(B119="","",IF(OR(SK!E206="",SK!E206=0),"",SK!H206))</f>
        <v/>
      </c>
      <c r="O119" s="207">
        <f>IF($B119="","",SUMPRODUCT(--(Lineups!C$46:C$83=$B119)))</f>
        <v>0</v>
      </c>
      <c r="P119" s="209">
        <f t="shared" si="63"/>
        <v>0</v>
      </c>
      <c r="Q119" s="207">
        <f t="shared" si="64"/>
        <v>9</v>
      </c>
      <c r="R119" s="209">
        <f t="shared" si="65"/>
        <v>0.5</v>
      </c>
      <c r="T119" s="205">
        <f t="shared" si="66"/>
        <v>12</v>
      </c>
      <c r="U119" s="206" t="str">
        <f t="shared" si="67"/>
        <v>932</v>
      </c>
      <c r="V119" s="206" t="str">
        <f t="shared" si="67"/>
        <v>Heaven Lee Bash</v>
      </c>
      <c r="W119" s="207">
        <f>IF($U119="","",SUMPRODUCT(--(Lineups!AG$46:AG$83=$U119),--(Lineups!AB$46:AB$83="")))</f>
        <v>0</v>
      </c>
      <c r="X119" s="209">
        <f t="shared" si="68"/>
        <v>0</v>
      </c>
      <c r="Y119" s="216">
        <f>IF($U119="","",SUMPRODUCT(--(Lineups!AG$46:AG$83=$U119),--(Lineups!AB$46:AB$83="X")))</f>
        <v>0</v>
      </c>
      <c r="Z119" s="216">
        <f>IF($U119="","",SUMPRODUCT(--(Lineups!AK$46:AK$83=$U119),--(Lineups!AA$46:AA$83&lt;&gt;"SP")))</f>
        <v>1</v>
      </c>
      <c r="AA119" s="216">
        <f>IF($U119="","",SUMPRODUCT(--(Lineups!AO$46:AO$83=$U119),--(Lineups!AA$46:AA$83&lt;&gt;"SP")))</f>
        <v>3</v>
      </c>
      <c r="AB119" s="216">
        <f>IF($U119="","",SUMPRODUCT(--(Lineups!AS$46:AS$83=$U119),--(Lineups!AA$46:AA$83&lt;&gt;"SP")))</f>
        <v>0</v>
      </c>
      <c r="AC119" s="207">
        <f t="shared" si="69"/>
        <v>4</v>
      </c>
      <c r="AD119" s="209">
        <f t="shared" si="70"/>
        <v>0.22222222222222221</v>
      </c>
      <c r="AE119" s="207">
        <f t="shared" si="71"/>
        <v>4</v>
      </c>
      <c r="AF119" s="209">
        <f t="shared" si="72"/>
        <v>0.22222222222222221</v>
      </c>
      <c r="AG119" s="214" t="str">
        <f ca="1">IF(U119="","",IF(OR(SK!U206="",SK!U206=0),"",SK!X206))</f>
        <v/>
      </c>
      <c r="AH119" s="207">
        <f>IF($U119="","",SUMPRODUCT(--(Lineups!AC$46:AC$83=$U119)))</f>
        <v>0</v>
      </c>
      <c r="AI119" s="209">
        <f t="shared" si="73"/>
        <v>0</v>
      </c>
      <c r="AJ119" s="207">
        <f t="shared" si="74"/>
        <v>4</v>
      </c>
      <c r="AK119" s="209">
        <f t="shared" si="75"/>
        <v>0.22222222222222221</v>
      </c>
    </row>
    <row r="120" spans="1:37" x14ac:dyDescent="0.3">
      <c r="A120" s="23">
        <f t="shared" si="56"/>
        <v>13</v>
      </c>
      <c r="B120" s="129" t="str">
        <f t="shared" si="57"/>
        <v>84</v>
      </c>
      <c r="C120" s="129" t="str">
        <f t="shared" si="57"/>
        <v>MEGAnTRON</v>
      </c>
      <c r="D120" s="3">
        <f>IF($B120="","",SUMPRODUCT(--(Lineups!G$46:G$83=$B120),--(Lineups!B$46:B$83="")))</f>
        <v>1</v>
      </c>
      <c r="E120" s="208">
        <f t="shared" si="58"/>
        <v>5.5555555555555552E-2</v>
      </c>
      <c r="F120" s="216">
        <f>IF($B120="","",SUMPRODUCT(--(Lineups!G$46:G$83=$B120),--(Lineups!B$46:B$83="X")))</f>
        <v>0</v>
      </c>
      <c r="G120" s="216">
        <f>IF($B120="","",SUMPRODUCT(--(Lineups!K$46:K$83=$B120),--(Lineups!A$46:A$83&lt;&gt;"SP")))</f>
        <v>0</v>
      </c>
      <c r="H120" s="216">
        <f>IF($B120="","",SUMPRODUCT(--(Lineups!O$46:O$83=$B120),--(Lineups!A$46:A$83&lt;&gt;"SP")))</f>
        <v>0</v>
      </c>
      <c r="I120" s="216">
        <f>IF($B120="","",SUMPRODUCT(--(Lineups!S$46:S$83=$B120),--(Lineups!A$46:A$83&lt;&gt;"SP")))</f>
        <v>0</v>
      </c>
      <c r="J120" s="3">
        <f t="shared" si="59"/>
        <v>0</v>
      </c>
      <c r="K120" s="208">
        <f t="shared" si="60"/>
        <v>0</v>
      </c>
      <c r="L120" s="3">
        <f t="shared" si="61"/>
        <v>1</v>
      </c>
      <c r="M120" s="208">
        <f t="shared" si="62"/>
        <v>5.5555555555555552E-2</v>
      </c>
      <c r="N120" s="213">
        <f ca="1">IF(B120="","",IF(OR(SK!E209="",SK!E209=0),"",SK!H209))</f>
        <v>1</v>
      </c>
      <c r="O120" s="3">
        <f>IF($B120="","",SUMPRODUCT(--(Lineups!C$46:C$83=$B120)))</f>
        <v>3</v>
      </c>
      <c r="P120" s="208">
        <f t="shared" si="63"/>
        <v>0.16666666666666666</v>
      </c>
      <c r="Q120" s="3">
        <f t="shared" si="64"/>
        <v>4</v>
      </c>
      <c r="R120" s="208">
        <f t="shared" si="65"/>
        <v>0.22222222222222221</v>
      </c>
      <c r="T120" s="23">
        <f t="shared" si="66"/>
        <v>13</v>
      </c>
      <c r="U120" s="129" t="str">
        <f t="shared" si="67"/>
        <v>H20</v>
      </c>
      <c r="V120" s="129" t="str">
        <f t="shared" si="67"/>
        <v>Lethal Mermaid</v>
      </c>
      <c r="W120" s="3">
        <f>IF($U120="","",SUMPRODUCT(--(Lineups!AG$46:AG$83=$U120),--(Lineups!AB$46:AB$83="")))</f>
        <v>0</v>
      </c>
      <c r="X120" s="208">
        <f t="shared" si="68"/>
        <v>0</v>
      </c>
      <c r="Y120" s="216">
        <f>IF($U120="","",SUMPRODUCT(--(Lineups!AG$46:AG$83=$U120),--(Lineups!AB$46:AB$83="X")))</f>
        <v>0</v>
      </c>
      <c r="Z120" s="216">
        <f>IF($U120="","",SUMPRODUCT(--(Lineups!AK$46:AK$83=$U120),--(Lineups!AA$46:AA$83&lt;&gt;"SP")))</f>
        <v>0</v>
      </c>
      <c r="AA120" s="216">
        <f>IF($U120="","",SUMPRODUCT(--(Lineups!AO$46:AO$83=$U120),--(Lineups!AA$46:AA$83&lt;&gt;"SP")))</f>
        <v>3</v>
      </c>
      <c r="AB120" s="216">
        <f>IF($U120="","",SUMPRODUCT(--(Lineups!AS$46:AS$83=$U120),--(Lineups!AA$46:AA$83&lt;&gt;"SP")))</f>
        <v>0</v>
      </c>
      <c r="AC120" s="3">
        <f t="shared" si="69"/>
        <v>3</v>
      </c>
      <c r="AD120" s="208">
        <f t="shared" si="70"/>
        <v>0.16666666666666666</v>
      </c>
      <c r="AE120" s="3">
        <f t="shared" si="71"/>
        <v>3</v>
      </c>
      <c r="AF120" s="208">
        <f t="shared" si="72"/>
        <v>0.16666666666666666</v>
      </c>
      <c r="AG120" s="213" t="str">
        <f ca="1">IF(U120="","",IF(OR(SK!U209="",SK!U209=0),"",SK!X209))</f>
        <v/>
      </c>
      <c r="AH120" s="3">
        <f>IF($U120="","",SUMPRODUCT(--(Lineups!AC$46:AC$83=$U120)))</f>
        <v>0</v>
      </c>
      <c r="AI120" s="208">
        <f t="shared" si="73"/>
        <v>0</v>
      </c>
      <c r="AJ120" s="3">
        <f t="shared" si="74"/>
        <v>3</v>
      </c>
      <c r="AK120" s="208">
        <f t="shared" si="75"/>
        <v>0.16666666666666666</v>
      </c>
    </row>
    <row r="121" spans="1:37" x14ac:dyDescent="0.3">
      <c r="A121" s="205">
        <f t="shared" si="56"/>
        <v>14</v>
      </c>
      <c r="B121" s="206" t="str">
        <f t="shared" si="57"/>
        <v>N01</v>
      </c>
      <c r="C121" s="206" t="str">
        <f t="shared" si="57"/>
        <v>Commander Will Wrecker</v>
      </c>
      <c r="D121" s="207">
        <f>IF($B121="","",SUMPRODUCT(--(Lineups!G$46:G$83=$B121),--(Lineups!B$46:B$83="")))</f>
        <v>8</v>
      </c>
      <c r="E121" s="209">
        <f t="shared" si="58"/>
        <v>0.44444444444444442</v>
      </c>
      <c r="F121" s="216">
        <f>IF($B121="","",SUMPRODUCT(--(Lineups!G$46:G$83=$B121),--(Lineups!B$46:B$83="X")))</f>
        <v>0</v>
      </c>
      <c r="G121" s="216">
        <f>IF($B121="","",SUMPRODUCT(--(Lineups!K$46:K$83=$B121),--(Lineups!A$46:A$83&lt;&gt;"SP")))</f>
        <v>0</v>
      </c>
      <c r="H121" s="216">
        <f>IF($B121="","",SUMPRODUCT(--(Lineups!O$46:O$83=$B121),--(Lineups!A$46:A$83&lt;&gt;"SP")))</f>
        <v>0</v>
      </c>
      <c r="I121" s="216">
        <f>IF($B121="","",SUMPRODUCT(--(Lineups!S$46:S$83=$B121),--(Lineups!A$46:A$83&lt;&gt;"SP")))</f>
        <v>1</v>
      </c>
      <c r="J121" s="207">
        <f t="shared" si="59"/>
        <v>1</v>
      </c>
      <c r="K121" s="209">
        <f t="shared" si="60"/>
        <v>5.5555555555555552E-2</v>
      </c>
      <c r="L121" s="207">
        <f t="shared" si="61"/>
        <v>9</v>
      </c>
      <c r="M121" s="209">
        <f t="shared" si="62"/>
        <v>0.5</v>
      </c>
      <c r="N121" s="214" t="str">
        <f ca="1">IF(B121="","",IF(OR(SK!E212="",SK!E212=0),"",SK!H212))</f>
        <v/>
      </c>
      <c r="O121" s="207">
        <f>IF($B121="","",SUMPRODUCT(--(Lineups!C$46:C$83=$B121)))</f>
        <v>0</v>
      </c>
      <c r="P121" s="209">
        <f t="shared" si="63"/>
        <v>0</v>
      </c>
      <c r="Q121" s="207">
        <f t="shared" si="64"/>
        <v>9</v>
      </c>
      <c r="R121" s="209">
        <f t="shared" si="65"/>
        <v>0.5</v>
      </c>
      <c r="T121" s="205">
        <f t="shared" si="66"/>
        <v>14</v>
      </c>
      <c r="U121" s="206" t="str">
        <f t="shared" si="67"/>
        <v>K9</v>
      </c>
      <c r="V121" s="206" t="str">
        <f t="shared" si="67"/>
        <v>Scooby Doom</v>
      </c>
      <c r="W121" s="207">
        <f>IF($U121="","",SUMPRODUCT(--(Lineups!AG$46:AG$83=$U121),--(Lineups!AB$46:AB$83="")))</f>
        <v>0</v>
      </c>
      <c r="X121" s="209">
        <f t="shared" si="68"/>
        <v>0</v>
      </c>
      <c r="Y121" s="216">
        <f>IF($U121="","",SUMPRODUCT(--(Lineups!AG$46:AG$83=$U121),--(Lineups!AB$46:AB$83="X")))</f>
        <v>0</v>
      </c>
      <c r="Z121" s="216">
        <f>IF($U121="","",SUMPRODUCT(--(Lineups!AK$46:AK$83=$U121),--(Lineups!AA$46:AA$83&lt;&gt;"SP")))</f>
        <v>0</v>
      </c>
      <c r="AA121" s="216">
        <f>IF($U121="","",SUMPRODUCT(--(Lineups!AO$46:AO$83=$U121),--(Lineups!AA$46:AA$83&lt;&gt;"SP")))</f>
        <v>0</v>
      </c>
      <c r="AB121" s="216">
        <f>IF($U121="","",SUMPRODUCT(--(Lineups!AS$46:AS$83=$U121),--(Lineups!AA$46:AA$83&lt;&gt;"SP")))</f>
        <v>0</v>
      </c>
      <c r="AC121" s="207">
        <f t="shared" si="69"/>
        <v>0</v>
      </c>
      <c r="AD121" s="209">
        <f t="shared" si="70"/>
        <v>0</v>
      </c>
      <c r="AE121" s="207">
        <f t="shared" si="71"/>
        <v>0</v>
      </c>
      <c r="AF121" s="209">
        <f t="shared" si="72"/>
        <v>0</v>
      </c>
      <c r="AG121" s="214">
        <f ca="1">IF(U121="","",IF(OR(SK!U212="",SK!U212=0),"",SK!X212))</f>
        <v>3</v>
      </c>
      <c r="AH121" s="207">
        <f>IF($U121="","",SUMPRODUCT(--(Lineups!AC$46:AC$83=$U121)))</f>
        <v>5</v>
      </c>
      <c r="AI121" s="209">
        <f t="shared" si="73"/>
        <v>0.27777777777777779</v>
      </c>
      <c r="AJ121" s="207">
        <f t="shared" si="74"/>
        <v>5</v>
      </c>
      <c r="AK121" s="209">
        <f t="shared" si="75"/>
        <v>0.27777777777777779</v>
      </c>
    </row>
    <row r="122" spans="1:37" x14ac:dyDescent="0.3">
      <c r="A122" s="23">
        <f t="shared" si="56"/>
        <v>15</v>
      </c>
      <c r="B122" s="129" t="str">
        <f t="shared" si="57"/>
        <v/>
      </c>
      <c r="C122" s="129" t="str">
        <f t="shared" si="57"/>
        <v/>
      </c>
      <c r="D122" s="3" t="str">
        <f>IF($B122="","",SUMPRODUCT(--(Lineups!G$46:G$83=$B122),--(Lineups!B$46:B$83="")))</f>
        <v/>
      </c>
      <c r="E122" s="208" t="str">
        <f t="shared" si="58"/>
        <v/>
      </c>
      <c r="F122" s="216" t="str">
        <f>IF($B122="","",SUMPRODUCT(--(Lineups!G$46:G$83=$B122),--(Lineups!B$46:B$83="X")))</f>
        <v/>
      </c>
      <c r="G122" s="216" t="str">
        <f>IF($B122="","",SUMPRODUCT(--(Lineups!K$46:K$83=$B122),--(Lineups!A$46:A$83&lt;&gt;"SP")))</f>
        <v/>
      </c>
      <c r="H122" s="216" t="str">
        <f>IF($B122="","",SUMPRODUCT(--(Lineups!O$46:O$83=$B122),--(Lineups!A$46:A$83&lt;&gt;"SP")))</f>
        <v/>
      </c>
      <c r="I122" s="216" t="str">
        <f>IF($B122="","",SUMPRODUCT(--(Lineups!S$46:S$83=$B122),--(Lineups!A$46:A$83&lt;&gt;"SP")))</f>
        <v/>
      </c>
      <c r="J122" s="3" t="str">
        <f t="shared" si="59"/>
        <v/>
      </c>
      <c r="K122" s="208" t="str">
        <f t="shared" si="60"/>
        <v/>
      </c>
      <c r="L122" s="3" t="str">
        <f t="shared" si="61"/>
        <v/>
      </c>
      <c r="M122" s="208" t="str">
        <f t="shared" si="62"/>
        <v/>
      </c>
      <c r="N122" s="213" t="str">
        <f>IF(B122="","",IF(OR(SK!E215="",SK!E215=0),"",SK!H215))</f>
        <v/>
      </c>
      <c r="O122" s="3" t="str">
        <f>IF($B122="","",SUMPRODUCT(--(Lineups!C$46:C$83=$B122)))</f>
        <v/>
      </c>
      <c r="P122" s="208" t="str">
        <f t="shared" si="63"/>
        <v/>
      </c>
      <c r="Q122" s="3" t="str">
        <f t="shared" si="64"/>
        <v/>
      </c>
      <c r="R122" s="208" t="str">
        <f t="shared" si="65"/>
        <v/>
      </c>
      <c r="T122" s="23">
        <f t="shared" si="66"/>
        <v>15</v>
      </c>
      <c r="U122" s="129" t="str">
        <f t="shared" si="67"/>
        <v/>
      </c>
      <c r="V122" s="129" t="str">
        <f t="shared" si="67"/>
        <v/>
      </c>
      <c r="W122" s="3" t="str">
        <f>IF($U122="","",SUMPRODUCT(--(Lineups!AG$46:AG$83=$U122),--(Lineups!AB$46:AB$83="")))</f>
        <v/>
      </c>
      <c r="X122" s="208" t="str">
        <f t="shared" si="68"/>
        <v/>
      </c>
      <c r="Y122" s="216" t="str">
        <f>IF($U122="","",SUMPRODUCT(--(Lineups!AG$46:AG$83=$U122),--(Lineups!AB$46:AB$83="X")))</f>
        <v/>
      </c>
      <c r="Z122" s="216" t="str">
        <f>IF($U122="","",SUMPRODUCT(--(Lineups!AK$46:AK$83=$U122),--(Lineups!AA$46:AA$83&lt;&gt;"SP")))</f>
        <v/>
      </c>
      <c r="AA122" s="216" t="str">
        <f>IF($U122="","",SUMPRODUCT(--(Lineups!AO$46:AO$83=$U122),--(Lineups!AA$46:AA$83&lt;&gt;"SP")))</f>
        <v/>
      </c>
      <c r="AB122" s="216" t="str">
        <f>IF($U122="","",SUMPRODUCT(--(Lineups!AS$46:AS$83=$U122),--(Lineups!AA$46:AA$83&lt;&gt;"SP")))</f>
        <v/>
      </c>
      <c r="AC122" s="3" t="str">
        <f t="shared" si="69"/>
        <v/>
      </c>
      <c r="AD122" s="208" t="str">
        <f t="shared" si="70"/>
        <v/>
      </c>
      <c r="AE122" s="3" t="str">
        <f t="shared" si="71"/>
        <v/>
      </c>
      <c r="AF122" s="208" t="str">
        <f t="shared" si="72"/>
        <v/>
      </c>
      <c r="AG122" s="213" t="str">
        <f>IF(U122="","",IF(OR(SK!U215="",SK!U215=0),"",SK!X215))</f>
        <v/>
      </c>
      <c r="AH122" s="3" t="str">
        <f>IF($U122="","",SUMPRODUCT(--(Lineups!AC$46:AC$83=$U122)))</f>
        <v/>
      </c>
      <c r="AI122" s="208" t="str">
        <f t="shared" si="73"/>
        <v/>
      </c>
      <c r="AJ122" s="3" t="str">
        <f t="shared" si="74"/>
        <v/>
      </c>
      <c r="AK122" s="208" t="str">
        <f t="shared" si="75"/>
        <v/>
      </c>
    </row>
    <row r="123" spans="1:37" x14ac:dyDescent="0.3">
      <c r="A123" s="205">
        <f t="shared" si="56"/>
        <v>16</v>
      </c>
      <c r="B123" s="206" t="str">
        <f t="shared" si="57"/>
        <v/>
      </c>
      <c r="C123" s="206" t="str">
        <f t="shared" si="57"/>
        <v/>
      </c>
      <c r="D123" s="207" t="str">
        <f>IF($B123="","",SUMPRODUCT(--(Lineups!G$46:G$83=$B123),--(Lineups!B$46:B$83="")))</f>
        <v/>
      </c>
      <c r="E123" s="209" t="str">
        <f t="shared" si="58"/>
        <v/>
      </c>
      <c r="F123" s="216" t="str">
        <f>IF($B123="","",SUMPRODUCT(--(Lineups!G$46:G$83=$B123),--(Lineups!B$46:B$83="X")))</f>
        <v/>
      </c>
      <c r="G123" s="216" t="str">
        <f>IF($B123="","",SUMPRODUCT(--(Lineups!K$46:K$83=$B123),--(Lineups!A$46:A$83&lt;&gt;"SP")))</f>
        <v/>
      </c>
      <c r="H123" s="216" t="str">
        <f>IF($B123="","",SUMPRODUCT(--(Lineups!O$46:O$83=$B123),--(Lineups!A$46:A$83&lt;&gt;"SP")))</f>
        <v/>
      </c>
      <c r="I123" s="216" t="str">
        <f>IF($B123="","",SUMPRODUCT(--(Lineups!S$46:S$83=$B123),--(Lineups!A$46:A$83&lt;&gt;"SP")))</f>
        <v/>
      </c>
      <c r="J123" s="207" t="str">
        <f t="shared" si="59"/>
        <v/>
      </c>
      <c r="K123" s="209" t="str">
        <f t="shared" si="60"/>
        <v/>
      </c>
      <c r="L123" s="207" t="str">
        <f t="shared" si="61"/>
        <v/>
      </c>
      <c r="M123" s="209" t="str">
        <f t="shared" si="62"/>
        <v/>
      </c>
      <c r="N123" s="214" t="str">
        <f>IF(B123="","",IF(OR(SK!E218="",SK!E218=0),"",SK!H218))</f>
        <v/>
      </c>
      <c r="O123" s="207" t="str">
        <f>IF($B123="","",SUMPRODUCT(--(Lineups!C$46:C$83=$B123)))</f>
        <v/>
      </c>
      <c r="P123" s="209" t="str">
        <f t="shared" si="63"/>
        <v/>
      </c>
      <c r="Q123" s="207" t="str">
        <f t="shared" si="64"/>
        <v/>
      </c>
      <c r="R123" s="209" t="str">
        <f t="shared" si="65"/>
        <v/>
      </c>
      <c r="T123" s="205">
        <f t="shared" si="66"/>
        <v>16</v>
      </c>
      <c r="U123" s="206" t="str">
        <f t="shared" si="67"/>
        <v/>
      </c>
      <c r="V123" s="206" t="str">
        <f t="shared" si="67"/>
        <v/>
      </c>
      <c r="W123" s="207" t="str">
        <f>IF($U123="","",SUMPRODUCT(--(Lineups!AG$46:AG$83=$U123),--(Lineups!AB$46:AB$83="")))</f>
        <v/>
      </c>
      <c r="X123" s="209" t="str">
        <f t="shared" si="68"/>
        <v/>
      </c>
      <c r="Y123" s="216" t="str">
        <f>IF($U123="","",SUMPRODUCT(--(Lineups!AG$46:AG$83=$U123),--(Lineups!AB$46:AB$83="X")))</f>
        <v/>
      </c>
      <c r="Z123" s="216" t="str">
        <f>IF($U123="","",SUMPRODUCT(--(Lineups!AK$46:AK$83=$U123),--(Lineups!AA$46:AA$83&lt;&gt;"SP")))</f>
        <v/>
      </c>
      <c r="AA123" s="216" t="str">
        <f>IF($U123="","",SUMPRODUCT(--(Lineups!AO$46:AO$83=$U123),--(Lineups!AA$46:AA$83&lt;&gt;"SP")))</f>
        <v/>
      </c>
      <c r="AB123" s="216" t="str">
        <f>IF($U123="","",SUMPRODUCT(--(Lineups!AS$46:AS$83=$U123),--(Lineups!AA$46:AA$83&lt;&gt;"SP")))</f>
        <v/>
      </c>
      <c r="AC123" s="207" t="str">
        <f t="shared" si="69"/>
        <v/>
      </c>
      <c r="AD123" s="209" t="str">
        <f t="shared" si="70"/>
        <v/>
      </c>
      <c r="AE123" s="207" t="str">
        <f t="shared" si="71"/>
        <v/>
      </c>
      <c r="AF123" s="209" t="str">
        <f t="shared" si="72"/>
        <v/>
      </c>
      <c r="AG123" s="214" t="str">
        <f>IF(U123="","",IF(OR(SK!U218="",SK!U218=0),"",SK!X218))</f>
        <v/>
      </c>
      <c r="AH123" s="207" t="str">
        <f>IF($U123="","",SUMPRODUCT(--(Lineups!AC$46:AC$83=$U123)))</f>
        <v/>
      </c>
      <c r="AI123" s="209" t="str">
        <f t="shared" si="73"/>
        <v/>
      </c>
      <c r="AJ123" s="207" t="str">
        <f t="shared" si="74"/>
        <v/>
      </c>
      <c r="AK123" s="209" t="str">
        <f t="shared" si="75"/>
        <v/>
      </c>
    </row>
    <row r="124" spans="1:37" x14ac:dyDescent="0.3">
      <c r="A124" s="23">
        <f t="shared" si="56"/>
        <v>17</v>
      </c>
      <c r="B124" s="129" t="str">
        <f t="shared" si="57"/>
        <v/>
      </c>
      <c r="C124" s="129" t="str">
        <f t="shared" si="57"/>
        <v/>
      </c>
      <c r="D124" s="3" t="str">
        <f>IF($B124="","",SUMPRODUCT(--(Lineups!G$46:G$83=$B124),--(Lineups!B$46:B$83="")))</f>
        <v/>
      </c>
      <c r="E124" s="208" t="str">
        <f t="shared" si="58"/>
        <v/>
      </c>
      <c r="F124" s="216" t="str">
        <f>IF($B124="","",SUMPRODUCT(--(Lineups!G$46:G$83=$B124),--(Lineups!B$46:B$83="X")))</f>
        <v/>
      </c>
      <c r="G124" s="216" t="str">
        <f>IF($B124="","",SUMPRODUCT(--(Lineups!K$46:K$83=$B124),--(Lineups!A$46:A$83&lt;&gt;"SP")))</f>
        <v/>
      </c>
      <c r="H124" s="216" t="str">
        <f>IF($B124="","",SUMPRODUCT(--(Lineups!O$46:O$83=$B124),--(Lineups!A$46:A$83&lt;&gt;"SP")))</f>
        <v/>
      </c>
      <c r="I124" s="216" t="str">
        <f>IF($B124="","",SUMPRODUCT(--(Lineups!S$46:S$83=$B124),--(Lineups!A$46:A$83&lt;&gt;"SP")))</f>
        <v/>
      </c>
      <c r="J124" s="3" t="str">
        <f t="shared" si="59"/>
        <v/>
      </c>
      <c r="K124" s="208" t="str">
        <f t="shared" si="60"/>
        <v/>
      </c>
      <c r="L124" s="3" t="str">
        <f t="shared" si="61"/>
        <v/>
      </c>
      <c r="M124" s="208" t="str">
        <f t="shared" si="62"/>
        <v/>
      </c>
      <c r="N124" s="213" t="str">
        <f>IF(B124="","",IF(OR(SK!E221="",SK!E221=0),"",SK!H221))</f>
        <v/>
      </c>
      <c r="O124" s="3" t="str">
        <f>IF($B124="","",SUMPRODUCT(--(Lineups!C$46:C$83=$B124)))</f>
        <v/>
      </c>
      <c r="P124" s="208" t="str">
        <f t="shared" si="63"/>
        <v/>
      </c>
      <c r="Q124" s="3" t="str">
        <f t="shared" si="64"/>
        <v/>
      </c>
      <c r="R124" s="208" t="str">
        <f t="shared" si="65"/>
        <v/>
      </c>
      <c r="T124" s="23">
        <f t="shared" si="66"/>
        <v>17</v>
      </c>
      <c r="U124" s="129" t="str">
        <f t="shared" si="67"/>
        <v/>
      </c>
      <c r="V124" s="129" t="str">
        <f t="shared" si="67"/>
        <v/>
      </c>
      <c r="W124" s="3" t="str">
        <f>IF($U124="","",SUMPRODUCT(--(Lineups!AG$46:AG$83=$U124),--(Lineups!AB$46:AB$83="")))</f>
        <v/>
      </c>
      <c r="X124" s="208" t="str">
        <f t="shared" si="68"/>
        <v/>
      </c>
      <c r="Y124" s="216" t="str">
        <f>IF($U124="","",SUMPRODUCT(--(Lineups!AG$46:AG$83=$U124),--(Lineups!AB$46:AB$83="X")))</f>
        <v/>
      </c>
      <c r="Z124" s="216" t="str">
        <f>IF($U124="","",SUMPRODUCT(--(Lineups!AK$46:AK$83=$U124),--(Lineups!AA$46:AA$83&lt;&gt;"SP")))</f>
        <v/>
      </c>
      <c r="AA124" s="216" t="str">
        <f>IF($U124="","",SUMPRODUCT(--(Lineups!AO$46:AO$83=$U124),--(Lineups!AA$46:AA$83&lt;&gt;"SP")))</f>
        <v/>
      </c>
      <c r="AB124" s="216" t="str">
        <f>IF($U124="","",SUMPRODUCT(--(Lineups!AS$46:AS$83=$U124),--(Lineups!AA$46:AA$83&lt;&gt;"SP")))</f>
        <v/>
      </c>
      <c r="AC124" s="3" t="str">
        <f t="shared" si="69"/>
        <v/>
      </c>
      <c r="AD124" s="208" t="str">
        <f t="shared" si="70"/>
        <v/>
      </c>
      <c r="AE124" s="3" t="str">
        <f t="shared" si="71"/>
        <v/>
      </c>
      <c r="AF124" s="208" t="str">
        <f t="shared" si="72"/>
        <v/>
      </c>
      <c r="AG124" s="213" t="str">
        <f>IF(U124="","",IF(OR(SK!U221="",SK!U221=0),"",SK!X221))</f>
        <v/>
      </c>
      <c r="AH124" s="3" t="str">
        <f>IF($U124="","",SUMPRODUCT(--(Lineups!AC$46:AC$83=$U124)))</f>
        <v/>
      </c>
      <c r="AI124" s="208" t="str">
        <f t="shared" si="73"/>
        <v/>
      </c>
      <c r="AJ124" s="3" t="str">
        <f t="shared" si="74"/>
        <v/>
      </c>
      <c r="AK124" s="208" t="str">
        <f t="shared" si="75"/>
        <v/>
      </c>
    </row>
    <row r="125" spans="1:37" x14ac:dyDescent="0.3">
      <c r="A125" s="205">
        <f t="shared" si="56"/>
        <v>18</v>
      </c>
      <c r="B125" s="206" t="str">
        <f t="shared" si="57"/>
        <v/>
      </c>
      <c r="C125" s="206" t="str">
        <f t="shared" si="57"/>
        <v/>
      </c>
      <c r="D125" s="207" t="str">
        <f>IF($B125="","",SUMPRODUCT(--(Lineups!G$46:G$83=$B125),--(Lineups!B$46:B$83="")))</f>
        <v/>
      </c>
      <c r="E125" s="209" t="str">
        <f t="shared" si="58"/>
        <v/>
      </c>
      <c r="F125" s="216" t="str">
        <f>IF($B125="","",SUMPRODUCT(--(Lineups!G$46:G$83=$B125),--(Lineups!B$46:B$83="X")))</f>
        <v/>
      </c>
      <c r="G125" s="216" t="str">
        <f>IF($B125="","",SUMPRODUCT(--(Lineups!K$46:K$83=$B125),--(Lineups!A$46:A$83&lt;&gt;"SP")))</f>
        <v/>
      </c>
      <c r="H125" s="216" t="str">
        <f>IF($B125="","",SUMPRODUCT(--(Lineups!O$46:O$83=$B125),--(Lineups!A$46:A$83&lt;&gt;"SP")))</f>
        <v/>
      </c>
      <c r="I125" s="216" t="str">
        <f>IF($B125="","",SUMPRODUCT(--(Lineups!S$46:S$83=$B125),--(Lineups!A$46:A$83&lt;&gt;"SP")))</f>
        <v/>
      </c>
      <c r="J125" s="207" t="str">
        <f t="shared" si="59"/>
        <v/>
      </c>
      <c r="K125" s="209" t="str">
        <f t="shared" si="60"/>
        <v/>
      </c>
      <c r="L125" s="207" t="str">
        <f t="shared" si="61"/>
        <v/>
      </c>
      <c r="M125" s="209" t="str">
        <f t="shared" si="62"/>
        <v/>
      </c>
      <c r="N125" s="214" t="str">
        <f>IF(B125="","",IF(OR(SK!E224="",SK!E224=0),"",SK!H224))</f>
        <v/>
      </c>
      <c r="O125" s="207" t="str">
        <f>IF($B125="","",SUMPRODUCT(--(Lineups!C$46:C$83=$B125)))</f>
        <v/>
      </c>
      <c r="P125" s="209" t="str">
        <f t="shared" si="63"/>
        <v/>
      </c>
      <c r="Q125" s="207" t="str">
        <f t="shared" si="64"/>
        <v/>
      </c>
      <c r="R125" s="209" t="str">
        <f t="shared" si="65"/>
        <v/>
      </c>
      <c r="T125" s="205">
        <f t="shared" si="66"/>
        <v>18</v>
      </c>
      <c r="U125" s="206" t="str">
        <f t="shared" si="67"/>
        <v/>
      </c>
      <c r="V125" s="206" t="str">
        <f t="shared" si="67"/>
        <v/>
      </c>
      <c r="W125" s="207" t="str">
        <f>IF($U125="","",SUMPRODUCT(--(Lineups!AG$46:AG$83=$U125),--(Lineups!AB$46:AB$83="")))</f>
        <v/>
      </c>
      <c r="X125" s="209" t="str">
        <f t="shared" si="68"/>
        <v/>
      </c>
      <c r="Y125" s="216" t="str">
        <f>IF($U125="","",SUMPRODUCT(--(Lineups!AG$46:AG$83=$U125),--(Lineups!AB$46:AB$83="X")))</f>
        <v/>
      </c>
      <c r="Z125" s="216" t="str">
        <f>IF($U125="","",SUMPRODUCT(--(Lineups!AK$46:AK$83=$U125),--(Lineups!AA$46:AA$83&lt;&gt;"SP")))</f>
        <v/>
      </c>
      <c r="AA125" s="216" t="str">
        <f>IF($U125="","",SUMPRODUCT(--(Lineups!AO$46:AO$83=$U125),--(Lineups!AA$46:AA$83&lt;&gt;"SP")))</f>
        <v/>
      </c>
      <c r="AB125" s="216" t="str">
        <f>IF($U125="","",SUMPRODUCT(--(Lineups!AS$46:AS$83=$U125),--(Lineups!AA$46:AA$83&lt;&gt;"SP")))</f>
        <v/>
      </c>
      <c r="AC125" s="207" t="str">
        <f t="shared" si="69"/>
        <v/>
      </c>
      <c r="AD125" s="209" t="str">
        <f t="shared" si="70"/>
        <v/>
      </c>
      <c r="AE125" s="207" t="str">
        <f t="shared" si="71"/>
        <v/>
      </c>
      <c r="AF125" s="209" t="str">
        <f t="shared" si="72"/>
        <v/>
      </c>
      <c r="AG125" s="214" t="str">
        <f>IF(U125="","",IF(OR(SK!U224="",SK!U224=0),"",SK!X224))</f>
        <v/>
      </c>
      <c r="AH125" s="207" t="str">
        <f>IF($U125="","",SUMPRODUCT(--(Lineups!AC$46:AC$83=$U125)))</f>
        <v/>
      </c>
      <c r="AI125" s="209" t="str">
        <f t="shared" si="73"/>
        <v/>
      </c>
      <c r="AJ125" s="207" t="str">
        <f t="shared" si="74"/>
        <v/>
      </c>
      <c r="AK125" s="209" t="str">
        <f t="shared" si="75"/>
        <v/>
      </c>
    </row>
    <row r="126" spans="1:37" x14ac:dyDescent="0.3">
      <c r="A126" s="23">
        <f t="shared" si="56"/>
        <v>19</v>
      </c>
      <c r="B126" s="129" t="str">
        <f t="shared" si="57"/>
        <v/>
      </c>
      <c r="C126" s="129" t="str">
        <f t="shared" si="57"/>
        <v/>
      </c>
      <c r="D126" s="3" t="str">
        <f>IF($B126="","",SUMPRODUCT(--(Lineups!G$46:G$83=$B126),--(Lineups!B$46:B$83="")))</f>
        <v/>
      </c>
      <c r="E126" s="208" t="str">
        <f t="shared" si="58"/>
        <v/>
      </c>
      <c r="F126" s="216" t="str">
        <f>IF($B126="","",SUMPRODUCT(--(Lineups!G$46:G$83=$B126),--(Lineups!B$46:B$83="X")))</f>
        <v/>
      </c>
      <c r="G126" s="216" t="str">
        <f>IF($B126="","",SUMPRODUCT(--(Lineups!K$46:K$83=$B126),--(Lineups!A$46:A$83&lt;&gt;"SP")))</f>
        <v/>
      </c>
      <c r="H126" s="216" t="str">
        <f>IF($B126="","",SUMPRODUCT(--(Lineups!O$46:O$83=$B126),--(Lineups!A$46:A$83&lt;&gt;"SP")))</f>
        <v/>
      </c>
      <c r="I126" s="216" t="str">
        <f>IF($B126="","",SUMPRODUCT(--(Lineups!S$46:S$83=$B126),--(Lineups!A$46:A$83&lt;&gt;"SP")))</f>
        <v/>
      </c>
      <c r="J126" s="3" t="str">
        <f t="shared" si="59"/>
        <v/>
      </c>
      <c r="K126" s="208" t="str">
        <f t="shared" si="60"/>
        <v/>
      </c>
      <c r="L126" s="3" t="str">
        <f t="shared" si="61"/>
        <v/>
      </c>
      <c r="M126" s="208" t="str">
        <f t="shared" si="62"/>
        <v/>
      </c>
      <c r="N126" s="213" t="str">
        <f>IF(B126="","",IF(OR(SK!E227="",SK!E227=0),"",SK!H227))</f>
        <v/>
      </c>
      <c r="O126" s="3" t="str">
        <f>IF($B126="","",SUMPRODUCT(--(Lineups!C$46:C$83=$B126)))</f>
        <v/>
      </c>
      <c r="P126" s="208" t="str">
        <f t="shared" si="63"/>
        <v/>
      </c>
      <c r="Q126" s="3" t="str">
        <f t="shared" si="64"/>
        <v/>
      </c>
      <c r="R126" s="208" t="str">
        <f t="shared" si="65"/>
        <v/>
      </c>
      <c r="T126" s="23">
        <f t="shared" si="66"/>
        <v>19</v>
      </c>
      <c r="U126" s="129" t="str">
        <f t="shared" si="67"/>
        <v/>
      </c>
      <c r="V126" s="129" t="str">
        <f t="shared" si="67"/>
        <v/>
      </c>
      <c r="W126" s="3" t="str">
        <f>IF($U126="","",SUMPRODUCT(--(Lineups!AG$46:AG$83=$U126),--(Lineups!AB$46:AB$83="")))</f>
        <v/>
      </c>
      <c r="X126" s="208" t="str">
        <f t="shared" si="68"/>
        <v/>
      </c>
      <c r="Y126" s="216" t="str">
        <f>IF($U126="","",SUMPRODUCT(--(Lineups!AG$46:AG$83=$U126),--(Lineups!AB$46:AB$83="X")))</f>
        <v/>
      </c>
      <c r="Z126" s="216" t="str">
        <f>IF($U126="","",SUMPRODUCT(--(Lineups!AK$46:AK$83=$U126),--(Lineups!AA$46:AA$83&lt;&gt;"SP")))</f>
        <v/>
      </c>
      <c r="AA126" s="216" t="str">
        <f>IF($U126="","",SUMPRODUCT(--(Lineups!AO$46:AO$83=$U126),--(Lineups!AA$46:AA$83&lt;&gt;"SP")))</f>
        <v/>
      </c>
      <c r="AB126" s="216" t="str">
        <f>IF($U126="","",SUMPRODUCT(--(Lineups!AS$46:AS$83=$U126),--(Lineups!AA$46:AA$83&lt;&gt;"SP")))</f>
        <v/>
      </c>
      <c r="AC126" s="3" t="str">
        <f t="shared" si="69"/>
        <v/>
      </c>
      <c r="AD126" s="208" t="str">
        <f t="shared" si="70"/>
        <v/>
      </c>
      <c r="AE126" s="3" t="str">
        <f t="shared" si="71"/>
        <v/>
      </c>
      <c r="AF126" s="208" t="str">
        <f t="shared" si="72"/>
        <v/>
      </c>
      <c r="AG126" s="213" t="str">
        <f>IF(U122="","",IF(OR(SK!U227="",SK!U227=0),"",SK!X227))</f>
        <v/>
      </c>
      <c r="AH126" s="3" t="str">
        <f>IF($U126="","",SUMPRODUCT(--(Lineups!AC$46:AC$83=$U126)))</f>
        <v/>
      </c>
      <c r="AI126" s="208" t="str">
        <f t="shared" si="73"/>
        <v/>
      </c>
      <c r="AJ126" s="3" t="str">
        <f t="shared" si="74"/>
        <v/>
      </c>
      <c r="AK126" s="208" t="str">
        <f t="shared" si="75"/>
        <v/>
      </c>
    </row>
    <row r="127" spans="1:37" x14ac:dyDescent="0.3">
      <c r="A127" s="205">
        <f t="shared" si="56"/>
        <v>20</v>
      </c>
      <c r="B127" s="206" t="str">
        <f t="shared" si="57"/>
        <v/>
      </c>
      <c r="C127" s="206" t="str">
        <f t="shared" si="57"/>
        <v/>
      </c>
      <c r="D127" s="207" t="str">
        <f>IF($B127="","",SUMPRODUCT(--(Lineups!G$46:G$83=$B127),--(Lineups!B$46:B$83="")))</f>
        <v/>
      </c>
      <c r="E127" s="209" t="str">
        <f t="shared" si="58"/>
        <v/>
      </c>
      <c r="F127" s="216" t="str">
        <f>IF($B127="","",SUMPRODUCT(--(Lineups!G$46:G$83=$B127),--(Lineups!B$46:B$83="X")))</f>
        <v/>
      </c>
      <c r="G127" s="216" t="str">
        <f>IF($B127="","",SUMPRODUCT(--(Lineups!K$46:K$83=$B127),--(Lineups!A$46:A$83&lt;&gt;"SP")))</f>
        <v/>
      </c>
      <c r="H127" s="216" t="str">
        <f>IF($B127="","",SUMPRODUCT(--(Lineups!O$46:O$83=$B127),--(Lineups!A$46:A$83&lt;&gt;"SP")))</f>
        <v/>
      </c>
      <c r="I127" s="216" t="str">
        <f>IF($B127="","",SUMPRODUCT(--(Lineups!S$46:S$83=$B127),--(Lineups!A$46:A$83&lt;&gt;"SP")))</f>
        <v/>
      </c>
      <c r="J127" s="207" t="str">
        <f t="shared" si="59"/>
        <v/>
      </c>
      <c r="K127" s="209" t="str">
        <f t="shared" si="60"/>
        <v/>
      </c>
      <c r="L127" s="207" t="str">
        <f t="shared" si="61"/>
        <v/>
      </c>
      <c r="M127" s="209" t="str">
        <f t="shared" si="62"/>
        <v/>
      </c>
      <c r="N127" s="214" t="str">
        <f>IF(B127="","",IF(OR(SK!E230="",SK!E230=0),"",SK!H230))</f>
        <v/>
      </c>
      <c r="O127" s="207" t="str">
        <f>IF($B127="","",SUMPRODUCT(--(Lineups!C$46:C$83=$B127)))</f>
        <v/>
      </c>
      <c r="P127" s="209" t="str">
        <f t="shared" si="63"/>
        <v/>
      </c>
      <c r="Q127" s="207" t="str">
        <f t="shared" si="64"/>
        <v/>
      </c>
      <c r="R127" s="209" t="str">
        <f t="shared" si="65"/>
        <v/>
      </c>
      <c r="T127" s="205">
        <f t="shared" si="66"/>
        <v>20</v>
      </c>
      <c r="U127" s="206" t="str">
        <f t="shared" si="67"/>
        <v/>
      </c>
      <c r="V127" s="206" t="str">
        <f t="shared" si="67"/>
        <v/>
      </c>
      <c r="W127" s="207" t="str">
        <f>IF($U127="","",SUMPRODUCT(--(Lineups!AG$46:AG$83=$U127),--(Lineups!AB$46:AB$83="")))</f>
        <v/>
      </c>
      <c r="X127" s="209" t="str">
        <f t="shared" si="68"/>
        <v/>
      </c>
      <c r="Y127" s="216" t="str">
        <f>IF($U127="","",SUMPRODUCT(--(Lineups!AG$46:AG$83=$U127),--(Lineups!AB$46:AB$83="X")))</f>
        <v/>
      </c>
      <c r="Z127" s="216" t="str">
        <f>IF($U127="","",SUMPRODUCT(--(Lineups!AK$46:AK$83=$U127),--(Lineups!AA$46:AA$83&lt;&gt;"SP")))</f>
        <v/>
      </c>
      <c r="AA127" s="216" t="str">
        <f>IF($U127="","",SUMPRODUCT(--(Lineups!AO$46:AO$83=$U127),--(Lineups!AA$46:AA$83&lt;&gt;"SP")))</f>
        <v/>
      </c>
      <c r="AB127" s="216" t="str">
        <f>IF($U127="","",SUMPRODUCT(--(Lineups!AS$46:AS$83=$U127),--(Lineups!AA$46:AA$83&lt;&gt;"SP")))</f>
        <v/>
      </c>
      <c r="AC127" s="207" t="str">
        <f t="shared" si="69"/>
        <v/>
      </c>
      <c r="AD127" s="209" t="str">
        <f t="shared" si="70"/>
        <v/>
      </c>
      <c r="AE127" s="207" t="str">
        <f t="shared" si="71"/>
        <v/>
      </c>
      <c r="AF127" s="209" t="str">
        <f t="shared" si="72"/>
        <v/>
      </c>
      <c r="AG127" s="214" t="str">
        <f>IF(U127="","",IF(OR(SK!U230="",SK!U230=0),"",SK!X230))</f>
        <v/>
      </c>
      <c r="AH127" s="207" t="str">
        <f>IF($U127="","",SUMPRODUCT(--(Lineups!AC$46:AC$83=$U127)))</f>
        <v/>
      </c>
      <c r="AI127" s="209" t="str">
        <f t="shared" si="73"/>
        <v/>
      </c>
      <c r="AJ127" s="207" t="str">
        <f t="shared" si="74"/>
        <v/>
      </c>
      <c r="AK127" s="209" t="str">
        <f t="shared" si="75"/>
        <v/>
      </c>
    </row>
    <row r="129" spans="1:37" x14ac:dyDescent="0.3">
      <c r="A129" s="1162" t="s">
        <v>52</v>
      </c>
      <c r="B129" s="1162"/>
      <c r="C129" s="1162"/>
      <c r="D129" s="151"/>
      <c r="E129" s="151"/>
      <c r="F129" s="151"/>
      <c r="G129" s="151"/>
      <c r="H129" s="151"/>
      <c r="I129" s="151"/>
      <c r="J129" s="151"/>
      <c r="K129" s="151"/>
      <c r="L129" s="151"/>
      <c r="M129" s="151"/>
      <c r="N129" s="151"/>
      <c r="O129" s="151"/>
      <c r="P129" s="151"/>
      <c r="Q129" s="151"/>
      <c r="R129" s="151"/>
      <c r="T129" s="1162" t="s">
        <v>52</v>
      </c>
      <c r="U129" s="1162"/>
      <c r="V129" s="1162"/>
      <c r="W129" s="151"/>
      <c r="X129" s="151"/>
      <c r="Y129" s="151"/>
      <c r="Z129" s="151"/>
      <c r="AA129" s="151"/>
      <c r="AB129" s="151"/>
      <c r="AC129" s="151"/>
      <c r="AD129" s="151"/>
      <c r="AE129" s="151"/>
      <c r="AF129" s="151"/>
      <c r="AG129" s="151"/>
      <c r="AH129" s="151"/>
      <c r="AI129" s="151"/>
      <c r="AJ129" s="151"/>
      <c r="AK129" s="151"/>
    </row>
    <row r="130" spans="1:37" x14ac:dyDescent="0.3">
      <c r="A130" s="210">
        <v>0</v>
      </c>
      <c r="B130" s="210" t="s">
        <v>36</v>
      </c>
      <c r="C130" s="210" t="s">
        <v>37</v>
      </c>
      <c r="D130" s="210" t="s">
        <v>122</v>
      </c>
      <c r="E130" s="149"/>
      <c r="F130" s="215" t="s">
        <v>123</v>
      </c>
      <c r="G130" s="215" t="s">
        <v>123</v>
      </c>
      <c r="H130" s="215" t="s">
        <v>123</v>
      </c>
      <c r="I130" s="215" t="s">
        <v>123</v>
      </c>
      <c r="J130" s="210" t="s">
        <v>46</v>
      </c>
      <c r="K130" s="149"/>
      <c r="L130" s="210" t="s">
        <v>48</v>
      </c>
      <c r="M130" s="149"/>
      <c r="N130" s="212" t="s">
        <v>25</v>
      </c>
      <c r="O130" s="210" t="s">
        <v>124</v>
      </c>
      <c r="P130" s="149"/>
      <c r="Q130" s="210" t="s">
        <v>19</v>
      </c>
      <c r="R130" s="149"/>
      <c r="T130" s="210">
        <v>0</v>
      </c>
      <c r="U130" s="210" t="s">
        <v>36</v>
      </c>
      <c r="V130" s="210" t="s">
        <v>37</v>
      </c>
      <c r="W130" s="210" t="s">
        <v>122</v>
      </c>
      <c r="X130" s="149"/>
      <c r="Y130" s="215" t="s">
        <v>123</v>
      </c>
      <c r="Z130" s="215" t="s">
        <v>123</v>
      </c>
      <c r="AA130" s="215" t="s">
        <v>123</v>
      </c>
      <c r="AB130" s="215" t="s">
        <v>123</v>
      </c>
      <c r="AC130" s="210" t="s">
        <v>46</v>
      </c>
      <c r="AD130" s="149"/>
      <c r="AE130" s="210" t="s">
        <v>48</v>
      </c>
      <c r="AF130" s="149"/>
      <c r="AG130" s="212" t="s">
        <v>25</v>
      </c>
      <c r="AH130" s="210" t="s">
        <v>124</v>
      </c>
      <c r="AI130" s="149"/>
      <c r="AJ130" s="210" t="s">
        <v>19</v>
      </c>
      <c r="AK130" s="149"/>
    </row>
    <row r="131" spans="1:37" x14ac:dyDescent="0.3">
      <c r="A131" s="23">
        <f t="shared" ref="A131:A150" si="76">A130+1</f>
        <v>1</v>
      </c>
      <c r="B131" s="23" t="str">
        <f t="shared" ref="B131:C150" si="77">B108</f>
        <v>0</v>
      </c>
      <c r="C131" s="23" t="str">
        <f t="shared" si="77"/>
        <v>Andi Slamberg</v>
      </c>
      <c r="D131" s="23">
        <f t="shared" ref="D131:D150" ca="1" si="78">IF($B131="","",D154-D177)</f>
        <v>42</v>
      </c>
      <c r="F131" s="216">
        <f t="shared" ref="F131:I150" ca="1" si="79">IF($B131="","",F154-F177)</f>
        <v>0</v>
      </c>
      <c r="G131" s="216">
        <f t="shared" ref="G131:G150" ca="1" si="80">IF($B131="","",G154-G177)</f>
        <v>0</v>
      </c>
      <c r="H131" s="216">
        <f t="shared" ca="1" si="79"/>
        <v>2</v>
      </c>
      <c r="I131" s="216">
        <f t="shared" ca="1" si="79"/>
        <v>0</v>
      </c>
      <c r="J131" s="23">
        <f t="shared" ref="J131:J150" ca="1" si="81">IF(B131="","",SUM(F131:I131))</f>
        <v>2</v>
      </c>
      <c r="L131" s="23">
        <f t="shared" ref="L131:L150" ca="1" si="82">IF(B131="","",SUM(D131,J131))</f>
        <v>44</v>
      </c>
      <c r="O131" s="23">
        <f t="shared" ref="O131:O150" ca="1" si="83">IF($B131="","",O154-O177)</f>
        <v>0</v>
      </c>
      <c r="Q131" s="23">
        <f t="shared" ref="Q131:Q150" ca="1" si="84">IF(B131="","",SUM(L131,O131))</f>
        <v>44</v>
      </c>
      <c r="T131" s="23">
        <f t="shared" ref="T131:T150" si="85">T130+1</f>
        <v>1</v>
      </c>
      <c r="U131" s="23" t="str">
        <f t="shared" ref="U131:V150" si="86">U108</f>
        <v>11</v>
      </c>
      <c r="V131" s="23" t="str">
        <f t="shared" si="86"/>
        <v>Typhoid Maggie</v>
      </c>
      <c r="W131" s="23">
        <f t="shared" ref="W131:W150" ca="1" si="87">IF($U131="","",W154-W177)</f>
        <v>0</v>
      </c>
      <c r="Y131" s="216">
        <f t="shared" ref="Y131:Y150" ca="1" si="88">IF($U131="","",Y154-Y177)</f>
        <v>0</v>
      </c>
      <c r="Z131" s="216">
        <f t="shared" ref="Z131:AB150" ca="1" si="89">IF($U131="","",Z154-Z177)</f>
        <v>-41</v>
      </c>
      <c r="AA131" s="216">
        <f t="shared" ca="1" si="89"/>
        <v>-6</v>
      </c>
      <c r="AB131" s="216">
        <f t="shared" ca="1" si="89"/>
        <v>0</v>
      </c>
      <c r="AC131" s="23">
        <f ca="1">IF(U131="","",SUM(Y131:AB131))</f>
        <v>-47</v>
      </c>
      <c r="AE131" s="23">
        <f t="shared" ref="AE131:AE150" ca="1" si="90">IF(U131="","",SUM(W131,AC131))</f>
        <v>-47</v>
      </c>
      <c r="AH131" s="23">
        <f t="shared" ref="AH131:AH150" ca="1" si="91">IF($U131="","",AH154-AH177)</f>
        <v>0</v>
      </c>
      <c r="AJ131" s="23">
        <f t="shared" ref="AJ131:AJ150" ca="1" si="92">IF(U131="","",SUM(AE131,AH131))</f>
        <v>-47</v>
      </c>
    </row>
    <row r="132" spans="1:37" x14ac:dyDescent="0.3">
      <c r="A132" s="205">
        <f t="shared" si="76"/>
        <v>2</v>
      </c>
      <c r="B132" s="205" t="str">
        <f t="shared" si="77"/>
        <v>1321</v>
      </c>
      <c r="C132" s="205" t="str">
        <f t="shared" si="77"/>
        <v>Kristy Skelton</v>
      </c>
      <c r="D132" s="205">
        <f t="shared" ca="1" si="78"/>
        <v>0</v>
      </c>
      <c r="F132" s="216">
        <f t="shared" ca="1" si="79"/>
        <v>0</v>
      </c>
      <c r="G132" s="216">
        <f t="shared" ca="1" si="80"/>
        <v>0</v>
      </c>
      <c r="H132" s="216">
        <f t="shared" ca="1" si="79"/>
        <v>0</v>
      </c>
      <c r="I132" s="216">
        <f t="shared" ca="1" si="79"/>
        <v>0</v>
      </c>
      <c r="J132" s="205">
        <f t="shared" ca="1" si="81"/>
        <v>0</v>
      </c>
      <c r="L132" s="205">
        <f t="shared" ca="1" si="82"/>
        <v>0</v>
      </c>
      <c r="O132" s="205">
        <f t="shared" ca="1" si="83"/>
        <v>0</v>
      </c>
      <c r="Q132" s="205">
        <f t="shared" ca="1" si="84"/>
        <v>0</v>
      </c>
      <c r="T132" s="205">
        <f t="shared" si="85"/>
        <v>2</v>
      </c>
      <c r="U132" s="205" t="str">
        <f t="shared" si="86"/>
        <v>11G6</v>
      </c>
      <c r="V132" s="205" t="str">
        <f t="shared" si="86"/>
        <v>Fista Krusher</v>
      </c>
      <c r="W132" s="205">
        <f t="shared" ca="1" si="87"/>
        <v>0</v>
      </c>
      <c r="Y132" s="216">
        <f t="shared" ca="1" si="88"/>
        <v>0</v>
      </c>
      <c r="Z132" s="216">
        <f t="shared" ca="1" si="89"/>
        <v>0</v>
      </c>
      <c r="AA132" s="216">
        <f t="shared" ca="1" si="89"/>
        <v>0</v>
      </c>
      <c r="AB132" s="216">
        <f t="shared" ca="1" si="89"/>
        <v>0</v>
      </c>
      <c r="AC132" s="205">
        <f t="shared" ref="AC132:AC150" ca="1" si="93">IF(U132="","",SUM(Y132:AB132))</f>
        <v>0</v>
      </c>
      <c r="AE132" s="205">
        <f t="shared" ca="1" si="90"/>
        <v>0</v>
      </c>
      <c r="AH132" s="205">
        <f t="shared" ca="1" si="91"/>
        <v>-12</v>
      </c>
      <c r="AJ132" s="205">
        <f t="shared" ca="1" si="92"/>
        <v>-12</v>
      </c>
    </row>
    <row r="133" spans="1:37" x14ac:dyDescent="0.3">
      <c r="A133" s="23">
        <f t="shared" si="76"/>
        <v>3</v>
      </c>
      <c r="B133" s="23" t="str">
        <f t="shared" si="77"/>
        <v>17</v>
      </c>
      <c r="C133" s="23" t="str">
        <f t="shared" si="77"/>
        <v>Justine Sane</v>
      </c>
      <c r="D133" s="23">
        <f t="shared" ca="1" si="78"/>
        <v>0</v>
      </c>
      <c r="F133" s="216">
        <f t="shared" ca="1" si="79"/>
        <v>0</v>
      </c>
      <c r="G133" s="216">
        <f t="shared" ca="1" si="80"/>
        <v>0</v>
      </c>
      <c r="H133" s="216">
        <f t="shared" ca="1" si="79"/>
        <v>0</v>
      </c>
      <c r="I133" s="216">
        <f t="shared" ca="1" si="79"/>
        <v>29</v>
      </c>
      <c r="J133" s="23">
        <f t="shared" ca="1" si="81"/>
        <v>29</v>
      </c>
      <c r="L133" s="23">
        <f t="shared" ca="1" si="82"/>
        <v>29</v>
      </c>
      <c r="O133" s="23">
        <f t="shared" ca="1" si="83"/>
        <v>0</v>
      </c>
      <c r="Q133" s="23">
        <f t="shared" ca="1" si="84"/>
        <v>29</v>
      </c>
      <c r="T133" s="23">
        <f t="shared" si="85"/>
        <v>3</v>
      </c>
      <c r="U133" s="23" t="str">
        <f t="shared" si="86"/>
        <v>152</v>
      </c>
      <c r="V133" s="23" t="str">
        <f t="shared" si="86"/>
        <v>Hitty Pryde</v>
      </c>
      <c r="W133" s="23">
        <f t="shared" ca="1" si="87"/>
        <v>0</v>
      </c>
      <c r="Y133" s="216">
        <f t="shared" ca="1" si="88"/>
        <v>0</v>
      </c>
      <c r="Z133" s="216">
        <f t="shared" ca="1" si="89"/>
        <v>0</v>
      </c>
      <c r="AA133" s="216">
        <f t="shared" ca="1" si="89"/>
        <v>-7</v>
      </c>
      <c r="AB133" s="216">
        <f t="shared" ca="1" si="89"/>
        <v>0</v>
      </c>
      <c r="AC133" s="23">
        <f t="shared" ca="1" si="93"/>
        <v>-7</v>
      </c>
      <c r="AE133" s="23">
        <f t="shared" ca="1" si="90"/>
        <v>-7</v>
      </c>
      <c r="AH133" s="23">
        <f t="shared" ca="1" si="91"/>
        <v>0</v>
      </c>
      <c r="AJ133" s="23">
        <f t="shared" ca="1" si="92"/>
        <v>-7</v>
      </c>
    </row>
    <row r="134" spans="1:37" x14ac:dyDescent="0.3">
      <c r="A134" s="205">
        <f t="shared" si="76"/>
        <v>4</v>
      </c>
      <c r="B134" s="205" t="str">
        <f t="shared" si="77"/>
        <v>19</v>
      </c>
      <c r="C134" s="205" t="str">
        <f t="shared" si="77"/>
        <v>Lippy Wrongstockings</v>
      </c>
      <c r="D134" s="205">
        <f t="shared" ca="1" si="78"/>
        <v>0</v>
      </c>
      <c r="F134" s="216">
        <f t="shared" ca="1" si="79"/>
        <v>0</v>
      </c>
      <c r="G134" s="216">
        <f t="shared" ca="1" si="80"/>
        <v>20</v>
      </c>
      <c r="H134" s="216">
        <f t="shared" ca="1" si="79"/>
        <v>0</v>
      </c>
      <c r="I134" s="216">
        <f t="shared" ca="1" si="79"/>
        <v>0</v>
      </c>
      <c r="J134" s="205">
        <f t="shared" ca="1" si="81"/>
        <v>20</v>
      </c>
      <c r="L134" s="205">
        <f t="shared" ca="1" si="82"/>
        <v>20</v>
      </c>
      <c r="O134" s="205">
        <f t="shared" ca="1" si="83"/>
        <v>40</v>
      </c>
      <c r="Q134" s="205">
        <f t="shared" ca="1" si="84"/>
        <v>60</v>
      </c>
      <c r="T134" s="205">
        <f t="shared" si="85"/>
        <v>4</v>
      </c>
      <c r="U134" s="205" t="str">
        <f t="shared" si="86"/>
        <v xml:space="preserve">237 </v>
      </c>
      <c r="V134" s="205" t="str">
        <f t="shared" si="86"/>
        <v>GuilloTina</v>
      </c>
      <c r="W134" s="205">
        <f t="shared" ca="1" si="87"/>
        <v>0</v>
      </c>
      <c r="Y134" s="216">
        <f t="shared" ca="1" si="88"/>
        <v>0</v>
      </c>
      <c r="Z134" s="216">
        <f t="shared" ca="1" si="89"/>
        <v>0</v>
      </c>
      <c r="AA134" s="216">
        <f t="shared" ca="1" si="89"/>
        <v>0</v>
      </c>
      <c r="AB134" s="216">
        <f t="shared" ca="1" si="89"/>
        <v>0</v>
      </c>
      <c r="AC134" s="205">
        <f t="shared" ca="1" si="93"/>
        <v>0</v>
      </c>
      <c r="AE134" s="205">
        <f t="shared" ca="1" si="90"/>
        <v>0</v>
      </c>
      <c r="AH134" s="205">
        <f t="shared" ca="1" si="91"/>
        <v>0</v>
      </c>
      <c r="AJ134" s="205">
        <f t="shared" ca="1" si="92"/>
        <v>0</v>
      </c>
    </row>
    <row r="135" spans="1:37" x14ac:dyDescent="0.3">
      <c r="A135" s="23">
        <f t="shared" si="76"/>
        <v>5</v>
      </c>
      <c r="B135" s="23" t="str">
        <f t="shared" si="77"/>
        <v>20</v>
      </c>
      <c r="C135" s="23" t="str">
        <f t="shared" si="77"/>
        <v>Zooks</v>
      </c>
      <c r="D135" s="23">
        <f t="shared" ca="1" si="78"/>
        <v>0</v>
      </c>
      <c r="F135" s="216">
        <f t="shared" ca="1" si="79"/>
        <v>0</v>
      </c>
      <c r="G135" s="216">
        <f t="shared" ca="1" si="80"/>
        <v>25</v>
      </c>
      <c r="H135" s="216">
        <f t="shared" ca="1" si="79"/>
        <v>-4</v>
      </c>
      <c r="I135" s="216">
        <f t="shared" ca="1" si="79"/>
        <v>-12</v>
      </c>
      <c r="J135" s="23">
        <f t="shared" ca="1" si="81"/>
        <v>9</v>
      </c>
      <c r="L135" s="23">
        <f t="shared" ca="1" si="82"/>
        <v>9</v>
      </c>
      <c r="O135" s="23">
        <f t="shared" ca="1" si="83"/>
        <v>34</v>
      </c>
      <c r="Q135" s="23">
        <f t="shared" ca="1" si="84"/>
        <v>43</v>
      </c>
      <c r="T135" s="23">
        <f t="shared" si="85"/>
        <v>5</v>
      </c>
      <c r="U135" s="23" t="str">
        <f t="shared" si="86"/>
        <v>26</v>
      </c>
      <c r="V135" s="23" t="str">
        <f t="shared" si="86"/>
        <v>Bam Bam Bigelow</v>
      </c>
      <c r="W135" s="23">
        <f t="shared" ca="1" si="87"/>
        <v>-33</v>
      </c>
      <c r="Y135" s="216">
        <f t="shared" ca="1" si="88"/>
        <v>0</v>
      </c>
      <c r="Z135" s="216">
        <f t="shared" ca="1" si="89"/>
        <v>-10</v>
      </c>
      <c r="AA135" s="216">
        <f t="shared" ca="1" si="89"/>
        <v>-4</v>
      </c>
      <c r="AB135" s="216">
        <f t="shared" ca="1" si="89"/>
        <v>0</v>
      </c>
      <c r="AC135" s="23">
        <f t="shared" ca="1" si="93"/>
        <v>-14</v>
      </c>
      <c r="AE135" s="23">
        <f t="shared" ca="1" si="90"/>
        <v>-47</v>
      </c>
      <c r="AH135" s="23">
        <f t="shared" ca="1" si="91"/>
        <v>-4</v>
      </c>
      <c r="AJ135" s="23">
        <f t="shared" ca="1" si="92"/>
        <v>-51</v>
      </c>
    </row>
    <row r="136" spans="1:37" x14ac:dyDescent="0.3">
      <c r="A136" s="205">
        <f t="shared" si="76"/>
        <v>6</v>
      </c>
      <c r="B136" s="205" t="str">
        <f t="shared" si="77"/>
        <v>303</v>
      </c>
      <c r="C136" s="205" t="str">
        <f t="shared" si="77"/>
        <v>Violent NoRegard</v>
      </c>
      <c r="D136" s="205">
        <f t="shared" ca="1" si="78"/>
        <v>0</v>
      </c>
      <c r="F136" s="216">
        <f t="shared" ca="1" si="79"/>
        <v>0</v>
      </c>
      <c r="G136" s="216">
        <f t="shared" ca="1" si="80"/>
        <v>19</v>
      </c>
      <c r="H136" s="216">
        <f t="shared" ca="1" si="79"/>
        <v>25</v>
      </c>
      <c r="I136" s="216">
        <f t="shared" ca="1" si="79"/>
        <v>0</v>
      </c>
      <c r="J136" s="205">
        <f t="shared" ca="1" si="81"/>
        <v>44</v>
      </c>
      <c r="L136" s="205">
        <f t="shared" ca="1" si="82"/>
        <v>44</v>
      </c>
      <c r="O136" s="205">
        <f t="shared" ca="1" si="83"/>
        <v>0</v>
      </c>
      <c r="Q136" s="205">
        <f t="shared" ca="1" si="84"/>
        <v>44</v>
      </c>
      <c r="T136" s="205">
        <f t="shared" si="85"/>
        <v>6</v>
      </c>
      <c r="U136" s="205" t="str">
        <f t="shared" si="86"/>
        <v>2611</v>
      </c>
      <c r="V136" s="205" t="str">
        <f t="shared" si="86"/>
        <v>Va Va BOOM</v>
      </c>
      <c r="W136" s="205">
        <f t="shared" ca="1" si="87"/>
        <v>0</v>
      </c>
      <c r="Y136" s="216">
        <f t="shared" ca="1" si="88"/>
        <v>0</v>
      </c>
      <c r="Z136" s="216">
        <f t="shared" ca="1" si="89"/>
        <v>-2</v>
      </c>
      <c r="AA136" s="216">
        <f t="shared" ca="1" si="89"/>
        <v>0</v>
      </c>
      <c r="AB136" s="216">
        <f t="shared" ca="1" si="89"/>
        <v>-62</v>
      </c>
      <c r="AC136" s="205">
        <f t="shared" ca="1" si="93"/>
        <v>-64</v>
      </c>
      <c r="AE136" s="205">
        <f t="shared" ca="1" si="90"/>
        <v>-64</v>
      </c>
      <c r="AH136" s="205">
        <f t="shared" ca="1" si="91"/>
        <v>0</v>
      </c>
      <c r="AJ136" s="205">
        <f t="shared" ca="1" si="92"/>
        <v>-64</v>
      </c>
    </row>
    <row r="137" spans="1:37" x14ac:dyDescent="0.3">
      <c r="A137" s="23">
        <f t="shared" si="76"/>
        <v>7</v>
      </c>
      <c r="B137" s="23" t="str">
        <f t="shared" si="77"/>
        <v>33</v>
      </c>
      <c r="C137" s="23" t="str">
        <f t="shared" si="77"/>
        <v>Suzy Slam</v>
      </c>
      <c r="D137" s="23">
        <f t="shared" ca="1" si="78"/>
        <v>0</v>
      </c>
      <c r="F137" s="216">
        <f t="shared" ca="1" si="79"/>
        <v>0</v>
      </c>
      <c r="G137" s="216">
        <f t="shared" ca="1" si="80"/>
        <v>37</v>
      </c>
      <c r="H137" s="216">
        <f t="shared" ca="1" si="79"/>
        <v>0</v>
      </c>
      <c r="I137" s="216">
        <f t="shared" ca="1" si="79"/>
        <v>0</v>
      </c>
      <c r="J137" s="23">
        <f t="shared" ca="1" si="81"/>
        <v>37</v>
      </c>
      <c r="L137" s="23">
        <f t="shared" ca="1" si="82"/>
        <v>37</v>
      </c>
      <c r="O137" s="23">
        <f t="shared" ca="1" si="83"/>
        <v>20</v>
      </c>
      <c r="Q137" s="23">
        <f t="shared" ca="1" si="84"/>
        <v>57</v>
      </c>
      <c r="T137" s="23">
        <f t="shared" si="85"/>
        <v>7</v>
      </c>
      <c r="U137" s="23" t="str">
        <f t="shared" si="86"/>
        <v>45</v>
      </c>
      <c r="V137" s="23" t="str">
        <f t="shared" si="86"/>
        <v>Miss Carriage</v>
      </c>
      <c r="W137" s="23">
        <f t="shared" ca="1" si="87"/>
        <v>-25</v>
      </c>
      <c r="Y137" s="216">
        <f t="shared" ca="1" si="88"/>
        <v>0</v>
      </c>
      <c r="Z137" s="216">
        <f t="shared" ca="1" si="89"/>
        <v>-13</v>
      </c>
      <c r="AA137" s="216">
        <f t="shared" ca="1" si="89"/>
        <v>0</v>
      </c>
      <c r="AB137" s="216">
        <f t="shared" ca="1" si="89"/>
        <v>0</v>
      </c>
      <c r="AC137" s="23">
        <f t="shared" ca="1" si="93"/>
        <v>-13</v>
      </c>
      <c r="AE137" s="23">
        <f t="shared" ca="1" si="90"/>
        <v>-38</v>
      </c>
      <c r="AH137" s="23">
        <f t="shared" ca="1" si="91"/>
        <v>-4</v>
      </c>
      <c r="AJ137" s="23">
        <f t="shared" ca="1" si="92"/>
        <v>-42</v>
      </c>
    </row>
    <row r="138" spans="1:37" x14ac:dyDescent="0.3">
      <c r="A138" s="205">
        <f t="shared" si="76"/>
        <v>8</v>
      </c>
      <c r="B138" s="205" t="str">
        <f t="shared" si="77"/>
        <v>4</v>
      </c>
      <c r="C138" s="205" t="str">
        <f t="shared" si="77"/>
        <v>Psykosonic</v>
      </c>
      <c r="D138" s="205">
        <f t="shared" ca="1" si="78"/>
        <v>0</v>
      </c>
      <c r="F138" s="216">
        <f t="shared" ca="1" si="79"/>
        <v>0</v>
      </c>
      <c r="G138" s="216">
        <f t="shared" ca="1" si="80"/>
        <v>0</v>
      </c>
      <c r="H138" s="216">
        <f t="shared" ca="1" si="79"/>
        <v>0</v>
      </c>
      <c r="I138" s="216">
        <f t="shared" ca="1" si="79"/>
        <v>0</v>
      </c>
      <c r="J138" s="205">
        <f t="shared" ca="1" si="81"/>
        <v>0</v>
      </c>
      <c r="L138" s="205">
        <f t="shared" ca="1" si="82"/>
        <v>0</v>
      </c>
      <c r="O138" s="205">
        <f t="shared" ca="1" si="83"/>
        <v>29</v>
      </c>
      <c r="Q138" s="205">
        <f t="shared" ca="1" si="84"/>
        <v>29</v>
      </c>
      <c r="T138" s="205">
        <f t="shared" si="85"/>
        <v>8</v>
      </c>
      <c r="U138" s="205" t="str">
        <f t="shared" si="86"/>
        <v>451</v>
      </c>
      <c r="V138" s="205" t="str">
        <f t="shared" si="86"/>
        <v>fErinheit</v>
      </c>
      <c r="W138" s="205">
        <f t="shared" ca="1" si="87"/>
        <v>0</v>
      </c>
      <c r="Y138" s="216">
        <f t="shared" ca="1" si="88"/>
        <v>0</v>
      </c>
      <c r="Z138" s="216">
        <f t="shared" ca="1" si="89"/>
        <v>4</v>
      </c>
      <c r="AA138" s="216">
        <f t="shared" ca="1" si="89"/>
        <v>0</v>
      </c>
      <c r="AB138" s="216">
        <f t="shared" ca="1" si="89"/>
        <v>0</v>
      </c>
      <c r="AC138" s="205">
        <f t="shared" ca="1" si="93"/>
        <v>4</v>
      </c>
      <c r="AE138" s="205">
        <f t="shared" ca="1" si="90"/>
        <v>4</v>
      </c>
      <c r="AH138" s="205">
        <f t="shared" ca="1" si="91"/>
        <v>-14</v>
      </c>
      <c r="AJ138" s="205">
        <f t="shared" ca="1" si="92"/>
        <v>-10</v>
      </c>
    </row>
    <row r="139" spans="1:37" x14ac:dyDescent="0.3">
      <c r="A139" s="23">
        <f t="shared" si="76"/>
        <v>9</v>
      </c>
      <c r="B139" s="23" t="str">
        <f t="shared" si="77"/>
        <v>42</v>
      </c>
      <c r="C139" s="23" t="str">
        <f t="shared" si="77"/>
        <v>Meg N' Plead</v>
      </c>
      <c r="D139" s="23">
        <f t="shared" ca="1" si="78"/>
        <v>0</v>
      </c>
      <c r="F139" s="216">
        <f t="shared" ca="1" si="79"/>
        <v>0</v>
      </c>
      <c r="G139" s="216">
        <f t="shared" ca="1" si="80"/>
        <v>0</v>
      </c>
      <c r="H139" s="216">
        <f t="shared" ca="1" si="79"/>
        <v>52</v>
      </c>
      <c r="I139" s="216">
        <f t="shared" ca="1" si="79"/>
        <v>20</v>
      </c>
      <c r="J139" s="23">
        <f t="shared" ca="1" si="81"/>
        <v>72</v>
      </c>
      <c r="L139" s="23">
        <f t="shared" ca="1" si="82"/>
        <v>72</v>
      </c>
      <c r="O139" s="23">
        <f t="shared" ca="1" si="83"/>
        <v>0</v>
      </c>
      <c r="Q139" s="23">
        <f t="shared" ca="1" si="84"/>
        <v>72</v>
      </c>
      <c r="T139" s="23">
        <f t="shared" si="85"/>
        <v>9</v>
      </c>
      <c r="U139" s="23" t="str">
        <f t="shared" si="86"/>
        <v>511</v>
      </c>
      <c r="V139" s="23" t="str">
        <f t="shared" si="86"/>
        <v>Bean Stalker</v>
      </c>
      <c r="W139" s="23">
        <f t="shared" ca="1" si="87"/>
        <v>-22</v>
      </c>
      <c r="Y139" s="216">
        <f t="shared" ca="1" si="88"/>
        <v>0</v>
      </c>
      <c r="Z139" s="216">
        <f t="shared" ca="1" si="89"/>
        <v>0</v>
      </c>
      <c r="AA139" s="216">
        <f t="shared" ca="1" si="89"/>
        <v>-4</v>
      </c>
      <c r="AB139" s="216">
        <f t="shared" ca="1" si="89"/>
        <v>-14</v>
      </c>
      <c r="AC139" s="23">
        <f t="shared" ca="1" si="93"/>
        <v>-18</v>
      </c>
      <c r="AE139" s="23">
        <f t="shared" ca="1" si="90"/>
        <v>-40</v>
      </c>
      <c r="AH139" s="23">
        <f t="shared" ca="1" si="91"/>
        <v>0</v>
      </c>
      <c r="AJ139" s="23">
        <f t="shared" ca="1" si="92"/>
        <v>-40</v>
      </c>
    </row>
    <row r="140" spans="1:37" x14ac:dyDescent="0.3">
      <c r="A140" s="205">
        <f t="shared" si="76"/>
        <v>10</v>
      </c>
      <c r="B140" s="205" t="str">
        <f t="shared" si="77"/>
        <v>44</v>
      </c>
      <c r="C140" s="205" t="str">
        <f t="shared" si="77"/>
        <v>Brunt Force Bunny</v>
      </c>
      <c r="D140" s="205">
        <f t="shared" ca="1" si="78"/>
        <v>0</v>
      </c>
      <c r="F140" s="216">
        <f t="shared" ca="1" si="79"/>
        <v>0</v>
      </c>
      <c r="G140" s="216">
        <f t="shared" ca="1" si="80"/>
        <v>0</v>
      </c>
      <c r="H140" s="216">
        <f t="shared" ca="1" si="79"/>
        <v>1</v>
      </c>
      <c r="I140" s="216">
        <f t="shared" ca="1" si="79"/>
        <v>8</v>
      </c>
      <c r="J140" s="205">
        <f t="shared" ca="1" si="81"/>
        <v>9</v>
      </c>
      <c r="L140" s="205">
        <f t="shared" ca="1" si="82"/>
        <v>9</v>
      </c>
      <c r="O140" s="205">
        <f t="shared" ca="1" si="83"/>
        <v>0</v>
      </c>
      <c r="Q140" s="205">
        <f t="shared" ca="1" si="84"/>
        <v>9</v>
      </c>
      <c r="T140" s="205">
        <f t="shared" si="85"/>
        <v>10</v>
      </c>
      <c r="U140" s="205" t="str">
        <f t="shared" si="86"/>
        <v>519</v>
      </c>
      <c r="V140" s="205" t="str">
        <f t="shared" si="86"/>
        <v>Smashin' Good Time</v>
      </c>
      <c r="W140" s="205">
        <f t="shared" ca="1" si="87"/>
        <v>-31</v>
      </c>
      <c r="Y140" s="216">
        <f t="shared" ca="1" si="88"/>
        <v>0</v>
      </c>
      <c r="Z140" s="216">
        <f t="shared" ca="1" si="89"/>
        <v>0</v>
      </c>
      <c r="AA140" s="216">
        <f t="shared" ca="1" si="89"/>
        <v>0</v>
      </c>
      <c r="AB140" s="216">
        <f t="shared" ca="1" si="89"/>
        <v>-3</v>
      </c>
      <c r="AC140" s="205">
        <f t="shared" ca="1" si="93"/>
        <v>-3</v>
      </c>
      <c r="AE140" s="205">
        <f t="shared" ca="1" si="90"/>
        <v>-34</v>
      </c>
      <c r="AH140" s="205">
        <f t="shared" ca="1" si="91"/>
        <v>24</v>
      </c>
      <c r="AJ140" s="205">
        <f t="shared" ca="1" si="92"/>
        <v>-10</v>
      </c>
    </row>
    <row r="141" spans="1:37" x14ac:dyDescent="0.3">
      <c r="A141" s="23">
        <f t="shared" si="76"/>
        <v>11</v>
      </c>
      <c r="B141" s="23" t="str">
        <f t="shared" si="77"/>
        <v>480</v>
      </c>
      <c r="C141" s="23" t="str">
        <f t="shared" si="77"/>
        <v>Slaughterhouse Streeter</v>
      </c>
      <c r="D141" s="23">
        <f t="shared" ca="1" si="78"/>
        <v>0</v>
      </c>
      <c r="F141" s="216">
        <f t="shared" ca="1" si="79"/>
        <v>0</v>
      </c>
      <c r="G141" s="216">
        <f t="shared" ca="1" si="80"/>
        <v>22</v>
      </c>
      <c r="H141" s="216">
        <f t="shared" ca="1" si="79"/>
        <v>27</v>
      </c>
      <c r="I141" s="216">
        <f t="shared" ca="1" si="79"/>
        <v>30</v>
      </c>
      <c r="J141" s="23">
        <f t="shared" ca="1" si="81"/>
        <v>79</v>
      </c>
      <c r="L141" s="23">
        <f t="shared" ca="1" si="82"/>
        <v>79</v>
      </c>
      <c r="O141" s="23">
        <f t="shared" ca="1" si="83"/>
        <v>0</v>
      </c>
      <c r="Q141" s="23">
        <f t="shared" ca="1" si="84"/>
        <v>79</v>
      </c>
      <c r="T141" s="23">
        <f t="shared" si="85"/>
        <v>11</v>
      </c>
      <c r="U141" s="23" t="str">
        <f t="shared" si="86"/>
        <v>58</v>
      </c>
      <c r="V141" s="23" t="str">
        <f t="shared" si="86"/>
        <v>Natty B</v>
      </c>
      <c r="W141" s="23">
        <f t="shared" ca="1" si="87"/>
        <v>0</v>
      </c>
      <c r="Y141" s="216">
        <f t="shared" ca="1" si="88"/>
        <v>0</v>
      </c>
      <c r="Z141" s="216">
        <f t="shared" ca="1" si="89"/>
        <v>-4</v>
      </c>
      <c r="AA141" s="216">
        <f t="shared" ca="1" si="89"/>
        <v>0</v>
      </c>
      <c r="AB141" s="216">
        <f t="shared" ca="1" si="89"/>
        <v>0</v>
      </c>
      <c r="AC141" s="23">
        <f t="shared" ca="1" si="93"/>
        <v>-4</v>
      </c>
      <c r="AE141" s="23">
        <f t="shared" ca="1" si="90"/>
        <v>-4</v>
      </c>
      <c r="AH141" s="23">
        <f t="shared" ca="1" si="91"/>
        <v>-69</v>
      </c>
      <c r="AJ141" s="23">
        <f t="shared" ca="1" si="92"/>
        <v>-73</v>
      </c>
    </row>
    <row r="142" spans="1:37" x14ac:dyDescent="0.3">
      <c r="A142" s="205">
        <f t="shared" si="76"/>
        <v>12</v>
      </c>
      <c r="B142" s="205" t="str">
        <f t="shared" si="77"/>
        <v>64</v>
      </c>
      <c r="C142" s="205" t="str">
        <f t="shared" si="77"/>
        <v>Cannonball Doll</v>
      </c>
      <c r="D142" s="205">
        <f t="shared" ca="1" si="78"/>
        <v>0</v>
      </c>
      <c r="F142" s="216">
        <f t="shared" ca="1" si="79"/>
        <v>0</v>
      </c>
      <c r="G142" s="216">
        <f t="shared" ca="1" si="80"/>
        <v>-12</v>
      </c>
      <c r="H142" s="216">
        <f t="shared" ca="1" si="79"/>
        <v>8</v>
      </c>
      <c r="I142" s="216">
        <f t="shared" ca="1" si="79"/>
        <v>36</v>
      </c>
      <c r="J142" s="205">
        <f t="shared" ca="1" si="81"/>
        <v>32</v>
      </c>
      <c r="L142" s="205">
        <f t="shared" ca="1" si="82"/>
        <v>32</v>
      </c>
      <c r="O142" s="205">
        <f t="shared" ca="1" si="83"/>
        <v>0</v>
      </c>
      <c r="Q142" s="205">
        <f t="shared" ca="1" si="84"/>
        <v>32</v>
      </c>
      <c r="T142" s="205">
        <f t="shared" si="85"/>
        <v>12</v>
      </c>
      <c r="U142" s="205" t="str">
        <f t="shared" si="86"/>
        <v>932</v>
      </c>
      <c r="V142" s="205" t="str">
        <f t="shared" si="86"/>
        <v>Heaven Lee Bash</v>
      </c>
      <c r="W142" s="205">
        <f t="shared" ca="1" si="87"/>
        <v>0</v>
      </c>
      <c r="Y142" s="216">
        <f t="shared" ca="1" si="88"/>
        <v>0</v>
      </c>
      <c r="Z142" s="216">
        <f t="shared" ca="1" si="89"/>
        <v>0</v>
      </c>
      <c r="AA142" s="216">
        <f t="shared" ca="1" si="89"/>
        <v>-55</v>
      </c>
      <c r="AB142" s="216">
        <f t="shared" ca="1" si="89"/>
        <v>0</v>
      </c>
      <c r="AC142" s="205">
        <f t="shared" ca="1" si="93"/>
        <v>-55</v>
      </c>
      <c r="AE142" s="205">
        <f t="shared" ca="1" si="90"/>
        <v>-55</v>
      </c>
      <c r="AH142" s="205">
        <f t="shared" ca="1" si="91"/>
        <v>0</v>
      </c>
      <c r="AJ142" s="205">
        <f t="shared" ca="1" si="92"/>
        <v>-55</v>
      </c>
    </row>
    <row r="143" spans="1:37" x14ac:dyDescent="0.3">
      <c r="A143" s="23">
        <f t="shared" si="76"/>
        <v>13</v>
      </c>
      <c r="B143" s="23" t="str">
        <f t="shared" si="77"/>
        <v>84</v>
      </c>
      <c r="C143" s="23" t="str">
        <f t="shared" si="77"/>
        <v>MEGAnTRON</v>
      </c>
      <c r="D143" s="23">
        <f t="shared" ca="1" si="78"/>
        <v>0</v>
      </c>
      <c r="F143" s="216">
        <f t="shared" ca="1" si="79"/>
        <v>0</v>
      </c>
      <c r="G143" s="216">
        <f t="shared" ca="1" si="80"/>
        <v>0</v>
      </c>
      <c r="H143" s="216">
        <f t="shared" ca="1" si="79"/>
        <v>0</v>
      </c>
      <c r="I143" s="216">
        <f t="shared" ca="1" si="79"/>
        <v>0</v>
      </c>
      <c r="J143" s="23">
        <f t="shared" ca="1" si="81"/>
        <v>0</v>
      </c>
      <c r="L143" s="23">
        <f t="shared" ca="1" si="82"/>
        <v>0</v>
      </c>
      <c r="O143" s="23">
        <f t="shared" ca="1" si="83"/>
        <v>-12</v>
      </c>
      <c r="Q143" s="23">
        <f t="shared" ca="1" si="84"/>
        <v>-12</v>
      </c>
      <c r="T143" s="23">
        <f t="shared" si="85"/>
        <v>13</v>
      </c>
      <c r="U143" s="23" t="str">
        <f t="shared" si="86"/>
        <v>H20</v>
      </c>
      <c r="V143" s="23" t="str">
        <f t="shared" si="86"/>
        <v>Lethal Mermaid</v>
      </c>
      <c r="W143" s="23">
        <f t="shared" ca="1" si="87"/>
        <v>0</v>
      </c>
      <c r="Y143" s="216">
        <f t="shared" ca="1" si="88"/>
        <v>0</v>
      </c>
      <c r="Z143" s="216">
        <f t="shared" ca="1" si="89"/>
        <v>0</v>
      </c>
      <c r="AA143" s="216">
        <f t="shared" ca="1" si="89"/>
        <v>-22</v>
      </c>
      <c r="AB143" s="216">
        <f t="shared" ca="1" si="89"/>
        <v>0</v>
      </c>
      <c r="AC143" s="23">
        <f t="shared" ca="1" si="93"/>
        <v>-22</v>
      </c>
      <c r="AE143" s="23">
        <f t="shared" ca="1" si="90"/>
        <v>-22</v>
      </c>
      <c r="AH143" s="23">
        <f t="shared" ca="1" si="91"/>
        <v>0</v>
      </c>
      <c r="AJ143" s="23">
        <f t="shared" ca="1" si="92"/>
        <v>-22</v>
      </c>
    </row>
    <row r="144" spans="1:37" x14ac:dyDescent="0.3">
      <c r="A144" s="205">
        <f t="shared" si="76"/>
        <v>14</v>
      </c>
      <c r="B144" s="205" t="str">
        <f t="shared" si="77"/>
        <v>N01</v>
      </c>
      <c r="C144" s="205" t="str">
        <f t="shared" si="77"/>
        <v>Commander Will Wrecker</v>
      </c>
      <c r="D144" s="205">
        <f t="shared" ca="1" si="78"/>
        <v>69</v>
      </c>
      <c r="F144" s="216">
        <f t="shared" ca="1" si="79"/>
        <v>0</v>
      </c>
      <c r="G144" s="216">
        <f t="shared" ca="1" si="80"/>
        <v>0</v>
      </c>
      <c r="H144" s="216">
        <f t="shared" ca="1" si="79"/>
        <v>0</v>
      </c>
      <c r="I144" s="216">
        <f t="shared" ca="1" si="79"/>
        <v>0</v>
      </c>
      <c r="J144" s="205">
        <f t="shared" ca="1" si="81"/>
        <v>0</v>
      </c>
      <c r="L144" s="205">
        <f t="shared" ca="1" si="82"/>
        <v>69</v>
      </c>
      <c r="O144" s="205">
        <f t="shared" ca="1" si="83"/>
        <v>0</v>
      </c>
      <c r="Q144" s="205">
        <f t="shared" ca="1" si="84"/>
        <v>69</v>
      </c>
      <c r="T144" s="205">
        <f t="shared" si="85"/>
        <v>14</v>
      </c>
      <c r="U144" s="205" t="str">
        <f t="shared" si="86"/>
        <v>K9</v>
      </c>
      <c r="V144" s="205" t="str">
        <f t="shared" si="86"/>
        <v>Scooby Doom</v>
      </c>
      <c r="W144" s="205">
        <f t="shared" ca="1" si="87"/>
        <v>0</v>
      </c>
      <c r="Y144" s="216">
        <f t="shared" ca="1" si="88"/>
        <v>0</v>
      </c>
      <c r="Z144" s="216">
        <f t="shared" ca="1" si="89"/>
        <v>0</v>
      </c>
      <c r="AA144" s="216">
        <f t="shared" ca="1" si="89"/>
        <v>0</v>
      </c>
      <c r="AB144" s="216">
        <f t="shared" ca="1" si="89"/>
        <v>0</v>
      </c>
      <c r="AC144" s="205">
        <f t="shared" ca="1" si="93"/>
        <v>0</v>
      </c>
      <c r="AE144" s="205">
        <f t="shared" ca="1" si="90"/>
        <v>0</v>
      </c>
      <c r="AH144" s="205">
        <f t="shared" ca="1" si="91"/>
        <v>-8</v>
      </c>
      <c r="AJ144" s="205">
        <f t="shared" ca="1" si="92"/>
        <v>-8</v>
      </c>
    </row>
    <row r="145" spans="1:37" x14ac:dyDescent="0.3">
      <c r="A145" s="23">
        <f t="shared" si="76"/>
        <v>15</v>
      </c>
      <c r="B145" s="23" t="str">
        <f t="shared" si="77"/>
        <v/>
      </c>
      <c r="C145" s="23" t="str">
        <f t="shared" si="77"/>
        <v/>
      </c>
      <c r="D145" s="23" t="str">
        <f t="shared" si="78"/>
        <v/>
      </c>
      <c r="F145" s="216" t="str">
        <f t="shared" si="79"/>
        <v/>
      </c>
      <c r="G145" s="216" t="str">
        <f t="shared" si="80"/>
        <v/>
      </c>
      <c r="H145" s="216" t="str">
        <f t="shared" si="79"/>
        <v/>
      </c>
      <c r="I145" s="216" t="str">
        <f t="shared" si="79"/>
        <v/>
      </c>
      <c r="J145" s="23" t="str">
        <f t="shared" si="81"/>
        <v/>
      </c>
      <c r="L145" s="23" t="str">
        <f t="shared" si="82"/>
        <v/>
      </c>
      <c r="O145" s="23" t="str">
        <f t="shared" si="83"/>
        <v/>
      </c>
      <c r="Q145" s="23" t="str">
        <f t="shared" si="84"/>
        <v/>
      </c>
      <c r="T145" s="23">
        <f t="shared" si="85"/>
        <v>15</v>
      </c>
      <c r="U145" s="23" t="str">
        <f t="shared" si="86"/>
        <v/>
      </c>
      <c r="V145" s="23" t="str">
        <f t="shared" si="86"/>
        <v/>
      </c>
      <c r="W145" s="23" t="str">
        <f t="shared" si="87"/>
        <v/>
      </c>
      <c r="Y145" s="216" t="str">
        <f t="shared" si="88"/>
        <v/>
      </c>
      <c r="Z145" s="216" t="str">
        <f t="shared" si="89"/>
        <v/>
      </c>
      <c r="AA145" s="216" t="str">
        <f t="shared" si="89"/>
        <v/>
      </c>
      <c r="AB145" s="216" t="str">
        <f t="shared" si="89"/>
        <v/>
      </c>
      <c r="AC145" s="23" t="str">
        <f t="shared" si="93"/>
        <v/>
      </c>
      <c r="AE145" s="23" t="str">
        <f t="shared" si="90"/>
        <v/>
      </c>
      <c r="AH145" s="23" t="str">
        <f t="shared" si="91"/>
        <v/>
      </c>
      <c r="AJ145" s="23" t="str">
        <f t="shared" si="92"/>
        <v/>
      </c>
    </row>
    <row r="146" spans="1:37" x14ac:dyDescent="0.3">
      <c r="A146" s="205">
        <f t="shared" si="76"/>
        <v>16</v>
      </c>
      <c r="B146" s="205" t="str">
        <f t="shared" si="77"/>
        <v/>
      </c>
      <c r="C146" s="205" t="str">
        <f t="shared" si="77"/>
        <v/>
      </c>
      <c r="D146" s="205" t="str">
        <f t="shared" si="78"/>
        <v/>
      </c>
      <c r="F146" s="216" t="str">
        <f t="shared" si="79"/>
        <v/>
      </c>
      <c r="G146" s="216" t="str">
        <f t="shared" si="80"/>
        <v/>
      </c>
      <c r="H146" s="216" t="str">
        <f t="shared" si="79"/>
        <v/>
      </c>
      <c r="I146" s="216" t="str">
        <f t="shared" si="79"/>
        <v/>
      </c>
      <c r="J146" s="205" t="str">
        <f t="shared" si="81"/>
        <v/>
      </c>
      <c r="L146" s="205" t="str">
        <f t="shared" si="82"/>
        <v/>
      </c>
      <c r="O146" s="205" t="str">
        <f t="shared" si="83"/>
        <v/>
      </c>
      <c r="Q146" s="205" t="str">
        <f t="shared" si="84"/>
        <v/>
      </c>
      <c r="T146" s="205">
        <f t="shared" si="85"/>
        <v>16</v>
      </c>
      <c r="U146" s="205" t="str">
        <f t="shared" si="86"/>
        <v/>
      </c>
      <c r="V146" s="205" t="str">
        <f t="shared" si="86"/>
        <v/>
      </c>
      <c r="W146" s="205" t="str">
        <f t="shared" si="87"/>
        <v/>
      </c>
      <c r="Y146" s="216" t="str">
        <f t="shared" si="88"/>
        <v/>
      </c>
      <c r="Z146" s="216" t="str">
        <f t="shared" si="89"/>
        <v/>
      </c>
      <c r="AA146" s="216" t="str">
        <f t="shared" si="89"/>
        <v/>
      </c>
      <c r="AB146" s="216" t="str">
        <f t="shared" si="89"/>
        <v/>
      </c>
      <c r="AC146" s="205" t="str">
        <f t="shared" si="93"/>
        <v/>
      </c>
      <c r="AE146" s="205" t="str">
        <f t="shared" si="90"/>
        <v/>
      </c>
      <c r="AH146" s="205" t="str">
        <f t="shared" si="91"/>
        <v/>
      </c>
      <c r="AJ146" s="205" t="str">
        <f t="shared" si="92"/>
        <v/>
      </c>
    </row>
    <row r="147" spans="1:37" x14ac:dyDescent="0.3">
      <c r="A147" s="23">
        <f t="shared" si="76"/>
        <v>17</v>
      </c>
      <c r="B147" s="23" t="str">
        <f t="shared" si="77"/>
        <v/>
      </c>
      <c r="C147" s="23" t="str">
        <f t="shared" si="77"/>
        <v/>
      </c>
      <c r="D147" s="23" t="str">
        <f t="shared" si="78"/>
        <v/>
      </c>
      <c r="F147" s="216" t="str">
        <f t="shared" si="79"/>
        <v/>
      </c>
      <c r="G147" s="216" t="str">
        <f t="shared" si="80"/>
        <v/>
      </c>
      <c r="H147" s="216" t="str">
        <f t="shared" si="79"/>
        <v/>
      </c>
      <c r="I147" s="216" t="str">
        <f t="shared" si="79"/>
        <v/>
      </c>
      <c r="J147" s="23" t="str">
        <f t="shared" si="81"/>
        <v/>
      </c>
      <c r="L147" s="23" t="str">
        <f t="shared" si="82"/>
        <v/>
      </c>
      <c r="O147" s="23" t="str">
        <f t="shared" si="83"/>
        <v/>
      </c>
      <c r="Q147" s="23" t="str">
        <f t="shared" si="84"/>
        <v/>
      </c>
      <c r="T147" s="23">
        <f t="shared" si="85"/>
        <v>17</v>
      </c>
      <c r="U147" s="23" t="str">
        <f t="shared" si="86"/>
        <v/>
      </c>
      <c r="V147" s="23" t="str">
        <f t="shared" si="86"/>
        <v/>
      </c>
      <c r="W147" s="23" t="str">
        <f t="shared" si="87"/>
        <v/>
      </c>
      <c r="Y147" s="216" t="str">
        <f t="shared" si="88"/>
        <v/>
      </c>
      <c r="Z147" s="216" t="str">
        <f t="shared" si="89"/>
        <v/>
      </c>
      <c r="AA147" s="216" t="str">
        <f t="shared" si="89"/>
        <v/>
      </c>
      <c r="AB147" s="216" t="str">
        <f t="shared" si="89"/>
        <v/>
      </c>
      <c r="AC147" s="23" t="str">
        <f t="shared" si="93"/>
        <v/>
      </c>
      <c r="AE147" s="23" t="str">
        <f t="shared" si="90"/>
        <v/>
      </c>
      <c r="AH147" s="23" t="str">
        <f t="shared" si="91"/>
        <v/>
      </c>
      <c r="AJ147" s="23" t="str">
        <f t="shared" si="92"/>
        <v/>
      </c>
    </row>
    <row r="148" spans="1:37" x14ac:dyDescent="0.3">
      <c r="A148" s="205">
        <f t="shared" si="76"/>
        <v>18</v>
      </c>
      <c r="B148" s="205" t="str">
        <f t="shared" si="77"/>
        <v/>
      </c>
      <c r="C148" s="205" t="str">
        <f t="shared" si="77"/>
        <v/>
      </c>
      <c r="D148" s="205" t="str">
        <f t="shared" si="78"/>
        <v/>
      </c>
      <c r="F148" s="216" t="str">
        <f t="shared" si="79"/>
        <v/>
      </c>
      <c r="G148" s="216" t="str">
        <f t="shared" si="80"/>
        <v/>
      </c>
      <c r="H148" s="216" t="str">
        <f t="shared" si="79"/>
        <v/>
      </c>
      <c r="I148" s="216" t="str">
        <f t="shared" si="79"/>
        <v/>
      </c>
      <c r="J148" s="205" t="str">
        <f t="shared" si="81"/>
        <v/>
      </c>
      <c r="L148" s="205" t="str">
        <f t="shared" si="82"/>
        <v/>
      </c>
      <c r="O148" s="205" t="str">
        <f t="shared" si="83"/>
        <v/>
      </c>
      <c r="Q148" s="205" t="str">
        <f t="shared" si="84"/>
        <v/>
      </c>
      <c r="T148" s="205">
        <f t="shared" si="85"/>
        <v>18</v>
      </c>
      <c r="U148" s="205" t="str">
        <f t="shared" si="86"/>
        <v/>
      </c>
      <c r="V148" s="205" t="str">
        <f t="shared" si="86"/>
        <v/>
      </c>
      <c r="W148" s="205" t="str">
        <f t="shared" si="87"/>
        <v/>
      </c>
      <c r="Y148" s="216" t="str">
        <f t="shared" si="88"/>
        <v/>
      </c>
      <c r="Z148" s="216" t="str">
        <f t="shared" si="89"/>
        <v/>
      </c>
      <c r="AA148" s="216" t="str">
        <f t="shared" si="89"/>
        <v/>
      </c>
      <c r="AB148" s="216" t="str">
        <f t="shared" si="89"/>
        <v/>
      </c>
      <c r="AC148" s="205" t="str">
        <f t="shared" si="93"/>
        <v/>
      </c>
      <c r="AE148" s="205" t="str">
        <f t="shared" si="90"/>
        <v/>
      </c>
      <c r="AH148" s="205" t="str">
        <f t="shared" si="91"/>
        <v/>
      </c>
      <c r="AJ148" s="205" t="str">
        <f t="shared" si="92"/>
        <v/>
      </c>
    </row>
    <row r="149" spans="1:37" x14ac:dyDescent="0.3">
      <c r="A149" s="23">
        <f t="shared" si="76"/>
        <v>19</v>
      </c>
      <c r="B149" s="23" t="str">
        <f t="shared" si="77"/>
        <v/>
      </c>
      <c r="C149" s="23" t="str">
        <f t="shared" si="77"/>
        <v/>
      </c>
      <c r="D149" s="23" t="str">
        <f t="shared" si="78"/>
        <v/>
      </c>
      <c r="F149" s="216" t="str">
        <f t="shared" si="79"/>
        <v/>
      </c>
      <c r="G149" s="216" t="str">
        <f t="shared" si="80"/>
        <v/>
      </c>
      <c r="H149" s="216" t="str">
        <f t="shared" si="79"/>
        <v/>
      </c>
      <c r="I149" s="216" t="str">
        <f t="shared" si="79"/>
        <v/>
      </c>
      <c r="J149" s="23" t="str">
        <f t="shared" si="81"/>
        <v/>
      </c>
      <c r="L149" s="23" t="str">
        <f t="shared" si="82"/>
        <v/>
      </c>
      <c r="O149" s="23" t="str">
        <f t="shared" si="83"/>
        <v/>
      </c>
      <c r="Q149" s="23" t="str">
        <f t="shared" si="84"/>
        <v/>
      </c>
      <c r="T149" s="23">
        <f t="shared" si="85"/>
        <v>19</v>
      </c>
      <c r="U149" s="23" t="str">
        <f t="shared" si="86"/>
        <v/>
      </c>
      <c r="V149" s="23" t="str">
        <f t="shared" si="86"/>
        <v/>
      </c>
      <c r="W149" s="23" t="str">
        <f t="shared" si="87"/>
        <v/>
      </c>
      <c r="Y149" s="216" t="str">
        <f t="shared" si="88"/>
        <v/>
      </c>
      <c r="Z149" s="216" t="str">
        <f t="shared" si="89"/>
        <v/>
      </c>
      <c r="AA149" s="216" t="str">
        <f t="shared" si="89"/>
        <v/>
      </c>
      <c r="AB149" s="216" t="str">
        <f t="shared" si="89"/>
        <v/>
      </c>
      <c r="AC149" s="23" t="str">
        <f t="shared" si="93"/>
        <v/>
      </c>
      <c r="AE149" s="23" t="str">
        <f t="shared" si="90"/>
        <v/>
      </c>
      <c r="AH149" s="23" t="str">
        <f t="shared" si="91"/>
        <v/>
      </c>
      <c r="AJ149" s="23" t="str">
        <f t="shared" si="92"/>
        <v/>
      </c>
    </row>
    <row r="150" spans="1:37" x14ac:dyDescent="0.3">
      <c r="A150" s="205">
        <f t="shared" si="76"/>
        <v>20</v>
      </c>
      <c r="B150" s="205" t="str">
        <f t="shared" si="77"/>
        <v/>
      </c>
      <c r="C150" s="205" t="str">
        <f t="shared" si="77"/>
        <v/>
      </c>
      <c r="D150" s="205" t="str">
        <f t="shared" si="78"/>
        <v/>
      </c>
      <c r="F150" s="216" t="str">
        <f t="shared" si="79"/>
        <v/>
      </c>
      <c r="G150" s="216" t="str">
        <f t="shared" si="80"/>
        <v/>
      </c>
      <c r="H150" s="216" t="str">
        <f t="shared" si="79"/>
        <v/>
      </c>
      <c r="I150" s="216" t="str">
        <f t="shared" si="79"/>
        <v/>
      </c>
      <c r="J150" s="205" t="str">
        <f t="shared" si="81"/>
        <v/>
      </c>
      <c r="L150" s="205" t="str">
        <f t="shared" si="82"/>
        <v/>
      </c>
      <c r="O150" s="205" t="str">
        <f t="shared" si="83"/>
        <v/>
      </c>
      <c r="Q150" s="205" t="str">
        <f t="shared" si="84"/>
        <v/>
      </c>
      <c r="T150" s="205">
        <f t="shared" si="85"/>
        <v>20</v>
      </c>
      <c r="U150" s="205" t="str">
        <f t="shared" si="86"/>
        <v/>
      </c>
      <c r="V150" s="205" t="str">
        <f t="shared" si="86"/>
        <v/>
      </c>
      <c r="W150" s="205" t="str">
        <f t="shared" si="87"/>
        <v/>
      </c>
      <c r="Y150" s="216" t="str">
        <f t="shared" si="88"/>
        <v/>
      </c>
      <c r="Z150" s="216" t="str">
        <f t="shared" si="89"/>
        <v/>
      </c>
      <c r="AA150" s="216" t="str">
        <f t="shared" si="89"/>
        <v/>
      </c>
      <c r="AB150" s="216" t="str">
        <f t="shared" si="89"/>
        <v/>
      </c>
      <c r="AC150" s="205" t="str">
        <f t="shared" si="93"/>
        <v/>
      </c>
      <c r="AE150" s="205" t="str">
        <f t="shared" si="90"/>
        <v/>
      </c>
      <c r="AH150" s="205" t="str">
        <f t="shared" si="91"/>
        <v/>
      </c>
      <c r="AJ150" s="205" t="str">
        <f t="shared" si="92"/>
        <v/>
      </c>
    </row>
    <row r="152" spans="1:37" x14ac:dyDescent="0.3">
      <c r="A152" s="1162" t="s">
        <v>53</v>
      </c>
      <c r="B152" s="1162"/>
      <c r="C152" s="1162"/>
      <c r="D152" s="151"/>
      <c r="E152" s="151"/>
      <c r="F152" s="151"/>
      <c r="G152" s="151"/>
      <c r="H152" s="151"/>
      <c r="I152" s="151"/>
      <c r="J152" s="151"/>
      <c r="K152" s="151"/>
      <c r="L152" s="151"/>
      <c r="M152" s="151"/>
      <c r="N152" s="151"/>
      <c r="O152" s="151"/>
      <c r="P152" s="151"/>
      <c r="Q152" s="151"/>
      <c r="R152" s="151"/>
      <c r="T152" s="1162" t="s">
        <v>53</v>
      </c>
      <c r="U152" s="1162"/>
      <c r="V152" s="1162"/>
      <c r="W152" s="151"/>
      <c r="X152" s="151"/>
      <c r="Y152" s="151"/>
      <c r="Z152" s="151"/>
      <c r="AA152" s="151"/>
      <c r="AB152" s="151"/>
      <c r="AC152" s="151"/>
      <c r="AD152" s="151"/>
      <c r="AE152" s="151"/>
      <c r="AF152" s="151"/>
      <c r="AG152" s="151"/>
      <c r="AH152" s="151"/>
      <c r="AI152" s="151"/>
      <c r="AJ152" s="151"/>
      <c r="AK152" s="151"/>
    </row>
    <row r="153" spans="1:37" x14ac:dyDescent="0.3">
      <c r="A153" s="210">
        <v>0</v>
      </c>
      <c r="B153" s="210" t="s">
        <v>36</v>
      </c>
      <c r="C153" s="210" t="s">
        <v>37</v>
      </c>
      <c r="D153" s="210" t="s">
        <v>122</v>
      </c>
      <c r="E153" s="149"/>
      <c r="F153" s="215" t="s">
        <v>123</v>
      </c>
      <c r="G153" s="215" t="s">
        <v>123</v>
      </c>
      <c r="H153" s="215" t="s">
        <v>123</v>
      </c>
      <c r="I153" s="215" t="s">
        <v>123</v>
      </c>
      <c r="J153" s="210" t="s">
        <v>46</v>
      </c>
      <c r="K153" s="149"/>
      <c r="L153" s="210" t="s">
        <v>48</v>
      </c>
      <c r="M153" s="149"/>
      <c r="N153" s="212" t="s">
        <v>25</v>
      </c>
      <c r="O153" s="210" t="s">
        <v>124</v>
      </c>
      <c r="P153" s="149"/>
      <c r="Q153" s="210" t="s">
        <v>19</v>
      </c>
      <c r="R153" s="149"/>
      <c r="T153" s="210">
        <v>0</v>
      </c>
      <c r="U153" s="210" t="s">
        <v>36</v>
      </c>
      <c r="V153" s="210" t="s">
        <v>37</v>
      </c>
      <c r="W153" s="210" t="s">
        <v>122</v>
      </c>
      <c r="X153" s="149"/>
      <c r="Y153" s="215" t="s">
        <v>123</v>
      </c>
      <c r="Z153" s="215" t="s">
        <v>123</v>
      </c>
      <c r="AA153" s="215" t="s">
        <v>123</v>
      </c>
      <c r="AB153" s="215" t="s">
        <v>123</v>
      </c>
      <c r="AC153" s="210" t="s">
        <v>46</v>
      </c>
      <c r="AD153" s="149"/>
      <c r="AE153" s="210" t="s">
        <v>48</v>
      </c>
      <c r="AF153" s="149"/>
      <c r="AG153" s="212" t="s">
        <v>25</v>
      </c>
      <c r="AH153" s="210" t="s">
        <v>124</v>
      </c>
      <c r="AI153" s="149"/>
      <c r="AJ153" s="210" t="s">
        <v>19</v>
      </c>
      <c r="AK153" s="149"/>
    </row>
    <row r="154" spans="1:37" x14ac:dyDescent="0.3">
      <c r="A154" s="23">
        <f t="shared" ref="A154:A173" si="94">A153+1</f>
        <v>1</v>
      </c>
      <c r="B154" s="23" t="str">
        <f t="shared" ref="B154:C173" si="95">B108</f>
        <v>0</v>
      </c>
      <c r="C154" s="23" t="str">
        <f t="shared" si="95"/>
        <v>Andi Slamberg</v>
      </c>
      <c r="D154" s="23">
        <f ca="1">IF($B154="","",SUMPRODUCT(--(Lineups!G$46:G$83=$B154),--(Lineups!B$46:B$83=""),Lineups!$W$46:$W$83))</f>
        <v>58</v>
      </c>
      <c r="F154" s="216">
        <f ca="1">IF($B154="","",SUMPRODUCT(--(Lineups!G$46:G$83=$B154),--(Lineups!B$46:B$83="X"),Lineups!$W$46:$W$83))</f>
        <v>0</v>
      </c>
      <c r="G154" s="216">
        <f ca="1">IF($B154="","",SUMPRODUCT(--(Lineups!$K$46:$K$83=$B154),Lineups!$W$46:$W$83))</f>
        <v>0</v>
      </c>
      <c r="H154" s="216">
        <f ca="1">IF($B154="","",SUMPRODUCT(--(Lineups!$O$46:$O$83=$B154),Lineups!$W$46:$W$83))</f>
        <v>4</v>
      </c>
      <c r="I154" s="216">
        <f ca="1">IF($B154="","",SUMPRODUCT(--(Lineups!$S$46:$S$83=$B154),Lineups!$W$46:$W$83))</f>
        <v>0</v>
      </c>
      <c r="J154" s="23">
        <f t="shared" ref="J154:J173" ca="1" si="96">IF(B154="","",SUM(F154:I154))</f>
        <v>4</v>
      </c>
      <c r="L154" s="23">
        <f t="shared" ref="L154:L173" ca="1" si="97">IF(B154="","",SUM(D154,J154))</f>
        <v>62</v>
      </c>
      <c r="O154" s="23">
        <f ca="1">IF($B154="","",SUMPRODUCT(--(Lineups!$C$46:$C$83=$B154),Lineups!$W$46:$W$83))</f>
        <v>0</v>
      </c>
      <c r="Q154" s="23">
        <f t="shared" ref="Q154:Q173" ca="1" si="98">IF(B154="","",SUM(L154,O154))</f>
        <v>62</v>
      </c>
      <c r="T154" s="23">
        <f t="shared" ref="T154:T173" si="99">T153+1</f>
        <v>1</v>
      </c>
      <c r="U154" s="23" t="str">
        <f t="shared" ref="U154:V173" si="100">U108</f>
        <v>11</v>
      </c>
      <c r="V154" s="23" t="str">
        <f t="shared" si="100"/>
        <v>Typhoid Maggie</v>
      </c>
      <c r="W154" s="23">
        <f ca="1">IF($U154="","",SUMPRODUCT(--(Lineups!$AG$46:$AG$83=$U154),--(Lineups!$AB$46:$AB$83=""),Lineups!$AW$46:$AW$83))</f>
        <v>0</v>
      </c>
      <c r="Y154" s="216">
        <f ca="1">IF($U154="","",SUMPRODUCT(--(Lineups!$AG$46:$AG$83=$U154),--(Lineups!$AB$46:$AB$83="X"),Lineups!$AW$46:$AW$83))</f>
        <v>0</v>
      </c>
      <c r="Z154" s="216">
        <f ca="1">IF($U154="","",SUMPRODUCT(--(Lineups!$AK$46:$AK$83=$U154),Lineups!$AW$46:$AW$83))</f>
        <v>8</v>
      </c>
      <c r="AA154" s="216">
        <f ca="1">IF($U154="","",SUMPRODUCT(--(Lineups!$AO$46:$AO$83=$U154),Lineups!$AW$46:$AW$83))</f>
        <v>4</v>
      </c>
      <c r="AB154" s="216">
        <f ca="1">IF($U154="","",SUMPRODUCT(--(Lineups!$AS$46:$AS$83=$U154),Lineups!$AW$46:$AW$83))</f>
        <v>0</v>
      </c>
      <c r="AC154" s="23">
        <f t="shared" ref="AC154:AC173" ca="1" si="101">IF(U154="",0,SUM(Y154:AB154))</f>
        <v>12</v>
      </c>
      <c r="AE154" s="23">
        <f t="shared" ref="AE154:AE173" ca="1" si="102">IF(U154="","",SUM(W154,AC154))</f>
        <v>12</v>
      </c>
      <c r="AH154" s="23">
        <f ca="1">IF($U154="","",SUMPRODUCT(--(Lineups!$AC$46:$AC$83=$U154),Lineups!$AW$46:$AW$83))</f>
        <v>0</v>
      </c>
      <c r="AJ154" s="23">
        <f t="shared" ref="AJ154:AJ173" ca="1" si="103">IF(U154="","",SUM(AE154,AH154))</f>
        <v>12</v>
      </c>
    </row>
    <row r="155" spans="1:37" x14ac:dyDescent="0.3">
      <c r="A155" s="205">
        <f t="shared" si="94"/>
        <v>2</v>
      </c>
      <c r="B155" s="205" t="str">
        <f t="shared" si="95"/>
        <v>1321</v>
      </c>
      <c r="C155" s="205" t="str">
        <f t="shared" si="95"/>
        <v>Kristy Skelton</v>
      </c>
      <c r="D155" s="205">
        <f ca="1">IF($B155="","",SUMPRODUCT(--(Lineups!G$46:G$83=$B155),--(Lineups!B$46:B$83=""),Lineups!$W$46:$W$83))</f>
        <v>0</v>
      </c>
      <c r="F155" s="216">
        <f ca="1">IF($B155="","",SUMPRODUCT(--(Lineups!G$46:G$83=$B155),--(Lineups!B$46:B$83="X"),Lineups!$W$46:$W$83))</f>
        <v>0</v>
      </c>
      <c r="G155" s="216">
        <f ca="1">IF($B155="","",SUMPRODUCT(--(Lineups!$K$46:$K$83=$B155),Lineups!$W$46:$W$83))</f>
        <v>0</v>
      </c>
      <c r="H155" s="216">
        <f ca="1">IF($B155="","",SUMPRODUCT(--(Lineups!$O$46:$O$83=$B155),Lineups!$W$46:$W$83))</f>
        <v>0</v>
      </c>
      <c r="I155" s="216">
        <f ca="1">IF($B155="","",SUMPRODUCT(--(Lineups!$S$46:$S$83=$B155),Lineups!$W$46:$W$83))</f>
        <v>0</v>
      </c>
      <c r="J155" s="205">
        <f t="shared" ca="1" si="96"/>
        <v>0</v>
      </c>
      <c r="L155" s="205">
        <f t="shared" ca="1" si="97"/>
        <v>0</v>
      </c>
      <c r="O155" s="205">
        <f ca="1">IF($B155="","",SUMPRODUCT(--(Lineups!$C$46:$C$83=$B155),Lineups!$W$46:$W$83))</f>
        <v>0</v>
      </c>
      <c r="Q155" s="205">
        <f t="shared" ca="1" si="98"/>
        <v>0</v>
      </c>
      <c r="T155" s="205">
        <f t="shared" si="99"/>
        <v>2</v>
      </c>
      <c r="U155" s="205" t="str">
        <f t="shared" si="100"/>
        <v>11G6</v>
      </c>
      <c r="V155" s="205" t="str">
        <f t="shared" si="100"/>
        <v>Fista Krusher</v>
      </c>
      <c r="W155" s="205">
        <f ca="1">IF($U155="","",SUMPRODUCT(--(Lineups!$AG$46:$AG$83=$U155),--(Lineups!$AB$46:$AB$83=""),Lineups!$AW$46:$AW$83))</f>
        <v>0</v>
      </c>
      <c r="Y155" s="216">
        <f ca="1">IF($U155="","",SUMPRODUCT(--(Lineups!$AG$46:$AG$83=$U155),--(Lineups!$AB$46:$AB$83="X"),Lineups!$AW$46:$AW$83))</f>
        <v>0</v>
      </c>
      <c r="Z155" s="216">
        <f ca="1">IF($U155="","",SUMPRODUCT(--(Lineups!$AK$46:$AK$83=$U155),Lineups!$AW$46:$AW$83))</f>
        <v>0</v>
      </c>
      <c r="AA155" s="216">
        <f ca="1">IF($U155="","",SUMPRODUCT(--(Lineups!$AO$46:$AO$83=$U155),Lineups!$AW$46:$AW$83))</f>
        <v>0</v>
      </c>
      <c r="AB155" s="216">
        <f ca="1">IF($U155="","",SUMPRODUCT(--(Lineups!$AS$46:$AS$83=$U155),Lineups!$AW$46:$AW$83))</f>
        <v>0</v>
      </c>
      <c r="AC155" s="205">
        <f t="shared" ca="1" si="101"/>
        <v>0</v>
      </c>
      <c r="AE155" s="205">
        <f t="shared" ca="1" si="102"/>
        <v>0</v>
      </c>
      <c r="AH155" s="205">
        <f ca="1">IF($U155="","",SUMPRODUCT(--(Lineups!$AC$46:$AC$83=$U155),Lineups!$AW$46:$AW$83))</f>
        <v>4</v>
      </c>
      <c r="AJ155" s="205">
        <f t="shared" ca="1" si="103"/>
        <v>4</v>
      </c>
    </row>
    <row r="156" spans="1:37" x14ac:dyDescent="0.3">
      <c r="A156" s="23">
        <f t="shared" si="94"/>
        <v>3</v>
      </c>
      <c r="B156" s="23" t="str">
        <f t="shared" si="95"/>
        <v>17</v>
      </c>
      <c r="C156" s="23" t="str">
        <f t="shared" si="95"/>
        <v>Justine Sane</v>
      </c>
      <c r="D156" s="23">
        <f ca="1">IF($B156="","",SUMPRODUCT(--(Lineups!G$46:G$83=$B156),--(Lineups!B$46:B$83=""),Lineups!$W$46:$W$83))</f>
        <v>0</v>
      </c>
      <c r="F156" s="216">
        <f ca="1">IF($B156="","",SUMPRODUCT(--(Lineups!G$46:G$83=$B156),--(Lineups!B$46:B$83="X"),Lineups!$W$46:$W$83))</f>
        <v>0</v>
      </c>
      <c r="G156" s="216">
        <f ca="1">IF($B156="","",SUMPRODUCT(--(Lineups!$K$46:$K$83=$B156),Lineups!$W$46:$W$83))</f>
        <v>0</v>
      </c>
      <c r="H156" s="216">
        <f ca="1">IF($B156="","",SUMPRODUCT(--(Lineups!$O$46:$O$83=$B156),Lineups!$W$46:$W$83))</f>
        <v>4</v>
      </c>
      <c r="I156" s="216">
        <f ca="1">IF($B156="","",SUMPRODUCT(--(Lineups!$S$46:$S$83=$B156),Lineups!$W$46:$W$83))</f>
        <v>29</v>
      </c>
      <c r="J156" s="23">
        <f t="shared" ca="1" si="96"/>
        <v>33</v>
      </c>
      <c r="L156" s="23">
        <f t="shared" ca="1" si="97"/>
        <v>33</v>
      </c>
      <c r="O156" s="23">
        <f ca="1">IF($B156="","",SUMPRODUCT(--(Lineups!$C$46:$C$83=$B156),Lineups!$W$46:$W$83))</f>
        <v>0</v>
      </c>
      <c r="Q156" s="23">
        <f t="shared" ca="1" si="98"/>
        <v>33</v>
      </c>
      <c r="T156" s="23">
        <f t="shared" si="99"/>
        <v>3</v>
      </c>
      <c r="U156" s="23" t="str">
        <f t="shared" si="100"/>
        <v>152</v>
      </c>
      <c r="V156" s="23" t="str">
        <f t="shared" si="100"/>
        <v>Hitty Pryde</v>
      </c>
      <c r="W156" s="23">
        <f ca="1">IF($U156="","",SUMPRODUCT(--(Lineups!$AG$46:$AG$83=$U156),--(Lineups!$AB$46:$AB$83=""),Lineups!$AW$46:$AW$83))</f>
        <v>0</v>
      </c>
      <c r="Y156" s="216">
        <f ca="1">IF($U156="","",SUMPRODUCT(--(Lineups!$AG$46:$AG$83=$U156),--(Lineups!$AB$46:$AB$83="X"),Lineups!$AW$46:$AW$83))</f>
        <v>0</v>
      </c>
      <c r="Z156" s="216">
        <f ca="1">IF($U156="","",SUMPRODUCT(--(Lineups!$AK$46:$AK$83=$U156),Lineups!$AW$46:$AW$83))</f>
        <v>0</v>
      </c>
      <c r="AA156" s="216">
        <f ca="1">IF($U156="","",SUMPRODUCT(--(Lineups!$AO$46:$AO$83=$U156),Lineups!$AW$46:$AW$83))</f>
        <v>12</v>
      </c>
      <c r="AB156" s="216">
        <f ca="1">IF($U156="","",SUMPRODUCT(--(Lineups!$AS$46:$AS$83=$U156),Lineups!$AW$46:$AW$83))</f>
        <v>4</v>
      </c>
      <c r="AC156" s="23">
        <f t="shared" ca="1" si="101"/>
        <v>16</v>
      </c>
      <c r="AE156" s="23">
        <f t="shared" ca="1" si="102"/>
        <v>16</v>
      </c>
      <c r="AH156" s="23">
        <f ca="1">IF($U156="","",SUMPRODUCT(--(Lineups!$AC$46:$AC$83=$U156),Lineups!$AW$46:$AW$83))</f>
        <v>0</v>
      </c>
      <c r="AJ156" s="23">
        <f t="shared" ca="1" si="103"/>
        <v>16</v>
      </c>
    </row>
    <row r="157" spans="1:37" x14ac:dyDescent="0.3">
      <c r="A157" s="205">
        <f t="shared" si="94"/>
        <v>4</v>
      </c>
      <c r="B157" s="205" t="str">
        <f t="shared" si="95"/>
        <v>19</v>
      </c>
      <c r="C157" s="205" t="str">
        <f t="shared" si="95"/>
        <v>Lippy Wrongstockings</v>
      </c>
      <c r="D157" s="205">
        <f ca="1">IF($B157="","",SUMPRODUCT(--(Lineups!G$46:G$83=$B157),--(Lineups!B$46:B$83=""),Lineups!$W$46:$W$83))</f>
        <v>0</v>
      </c>
      <c r="F157" s="216">
        <f ca="1">IF($B157="","",SUMPRODUCT(--(Lineups!G$46:G$83=$B157),--(Lineups!B$46:B$83="X"),Lineups!$W$46:$W$83))</f>
        <v>0</v>
      </c>
      <c r="G157" s="216">
        <f ca="1">IF($B157="","",SUMPRODUCT(--(Lineups!$K$46:$K$83=$B157),Lineups!$W$46:$W$83))</f>
        <v>20</v>
      </c>
      <c r="H157" s="216">
        <f ca="1">IF($B157="","",SUMPRODUCT(--(Lineups!$O$46:$O$83=$B157),Lineups!$W$46:$W$83))</f>
        <v>0</v>
      </c>
      <c r="I157" s="216">
        <f ca="1">IF($B157="","",SUMPRODUCT(--(Lineups!$S$46:$S$83=$B157),Lineups!$W$46:$W$83))</f>
        <v>0</v>
      </c>
      <c r="J157" s="205">
        <f t="shared" ca="1" si="96"/>
        <v>20</v>
      </c>
      <c r="L157" s="205">
        <f t="shared" ca="1" si="97"/>
        <v>20</v>
      </c>
      <c r="O157" s="205">
        <f ca="1">IF($B157="","",SUMPRODUCT(--(Lineups!$C$46:$C$83=$B157),Lineups!$W$46:$W$83))</f>
        <v>42</v>
      </c>
      <c r="Q157" s="205">
        <f t="shared" ca="1" si="98"/>
        <v>62</v>
      </c>
      <c r="T157" s="205">
        <f t="shared" si="99"/>
        <v>4</v>
      </c>
      <c r="U157" s="205" t="str">
        <f t="shared" si="100"/>
        <v xml:space="preserve">237 </v>
      </c>
      <c r="V157" s="205" t="str">
        <f t="shared" si="100"/>
        <v>GuilloTina</v>
      </c>
      <c r="W157" s="205">
        <f ca="1">IF($U157="","",SUMPRODUCT(--(Lineups!$AG$46:$AG$83=$U157),--(Lineups!$AB$46:$AB$83=""),Lineups!$AW$46:$AW$83))</f>
        <v>0</v>
      </c>
      <c r="Y157" s="216">
        <f ca="1">IF($U157="","",SUMPRODUCT(--(Lineups!$AG$46:$AG$83=$U157),--(Lineups!$AB$46:$AB$83="X"),Lineups!$AW$46:$AW$83))</f>
        <v>0</v>
      </c>
      <c r="Z157" s="216">
        <f ca="1">IF($U157="","",SUMPRODUCT(--(Lineups!$AK$46:$AK$83=$U157),Lineups!$AW$46:$AW$83))</f>
        <v>0</v>
      </c>
      <c r="AA157" s="216">
        <f ca="1">IF($U157="","",SUMPRODUCT(--(Lineups!$AO$46:$AO$83=$U157),Lineups!$AW$46:$AW$83))</f>
        <v>0</v>
      </c>
      <c r="AB157" s="216">
        <f ca="1">IF($U157="","",SUMPRODUCT(--(Lineups!$AS$46:$AS$83=$U157),Lineups!$AW$46:$AW$83))</f>
        <v>0</v>
      </c>
      <c r="AC157" s="205">
        <f t="shared" ca="1" si="101"/>
        <v>0</v>
      </c>
      <c r="AE157" s="205">
        <f t="shared" ca="1" si="102"/>
        <v>0</v>
      </c>
      <c r="AH157" s="205">
        <f ca="1">IF($U157="","",SUMPRODUCT(--(Lineups!$AC$46:$AC$83=$U157),Lineups!$AW$46:$AW$83))</f>
        <v>0</v>
      </c>
      <c r="AJ157" s="205">
        <f t="shared" ca="1" si="103"/>
        <v>0</v>
      </c>
    </row>
    <row r="158" spans="1:37" x14ac:dyDescent="0.3">
      <c r="A158" s="23">
        <f t="shared" si="94"/>
        <v>5</v>
      </c>
      <c r="B158" s="23" t="str">
        <f t="shared" si="95"/>
        <v>20</v>
      </c>
      <c r="C158" s="23" t="str">
        <f t="shared" si="95"/>
        <v>Zooks</v>
      </c>
      <c r="D158" s="23">
        <f ca="1">IF($B158="","",SUMPRODUCT(--(Lineups!G$46:G$83=$B158),--(Lineups!B$46:B$83=""),Lineups!$W$46:$W$83))</f>
        <v>0</v>
      </c>
      <c r="F158" s="216">
        <f ca="1">IF($B158="","",SUMPRODUCT(--(Lineups!G$46:G$83=$B158),--(Lineups!B$46:B$83="X"),Lineups!$W$46:$W$83))</f>
        <v>0</v>
      </c>
      <c r="G158" s="216">
        <f ca="1">IF($B158="","",SUMPRODUCT(--(Lineups!$K$46:$K$83=$B158),Lineups!$W$46:$W$83))</f>
        <v>25</v>
      </c>
      <c r="H158" s="216">
        <f ca="1">IF($B158="","",SUMPRODUCT(--(Lineups!$O$46:$O$83=$B158),Lineups!$W$46:$W$83))</f>
        <v>0</v>
      </c>
      <c r="I158" s="216">
        <f ca="1">IF($B158="","",SUMPRODUCT(--(Lineups!$S$46:$S$83=$B158),Lineups!$W$46:$W$83))</f>
        <v>0</v>
      </c>
      <c r="J158" s="23">
        <f t="shared" ca="1" si="96"/>
        <v>25</v>
      </c>
      <c r="L158" s="23">
        <f t="shared" ca="1" si="97"/>
        <v>25</v>
      </c>
      <c r="O158" s="23">
        <f ca="1">IF($B158="","",SUMPRODUCT(--(Lineups!$C$46:$C$83=$B158),Lineups!$W$46:$W$83))</f>
        <v>34</v>
      </c>
      <c r="Q158" s="23">
        <f t="shared" ca="1" si="98"/>
        <v>59</v>
      </c>
      <c r="T158" s="23">
        <f t="shared" si="99"/>
        <v>5</v>
      </c>
      <c r="U158" s="23" t="str">
        <f t="shared" si="100"/>
        <v>26</v>
      </c>
      <c r="V158" s="23" t="str">
        <f t="shared" si="100"/>
        <v>Bam Bam Bigelow</v>
      </c>
      <c r="W158" s="23">
        <f ca="1">IF($U158="","",SUMPRODUCT(--(Lineups!$AG$46:$AG$83=$U158),--(Lineups!$AB$46:$AB$83=""),Lineups!$AW$46:$AW$83))</f>
        <v>4</v>
      </c>
      <c r="Y158" s="216">
        <f ca="1">IF($U158="","",SUMPRODUCT(--(Lineups!$AG$46:$AG$83=$U158),--(Lineups!$AB$46:$AB$83="X"),Lineups!$AW$46:$AW$83))</f>
        <v>0</v>
      </c>
      <c r="Z158" s="216">
        <f ca="1">IF($U158="","",SUMPRODUCT(--(Lineups!$AK$46:$AK$83=$U158),Lineups!$AW$46:$AW$83))</f>
        <v>0</v>
      </c>
      <c r="AA158" s="216">
        <f ca="1">IF($U158="","",SUMPRODUCT(--(Lineups!$AO$46:$AO$83=$U158),Lineups!$AW$46:$AW$83))</f>
        <v>4</v>
      </c>
      <c r="AB158" s="216">
        <f ca="1">IF($U158="","",SUMPRODUCT(--(Lineups!$AS$46:$AS$83=$U158),Lineups!$AW$46:$AW$83))</f>
        <v>4</v>
      </c>
      <c r="AC158" s="23">
        <f t="shared" ca="1" si="101"/>
        <v>8</v>
      </c>
      <c r="AE158" s="23">
        <f t="shared" ca="1" si="102"/>
        <v>12</v>
      </c>
      <c r="AH158" s="23">
        <f ca="1">IF($U158="","",SUMPRODUCT(--(Lineups!$AC$46:$AC$83=$U158),Lineups!$AW$46:$AW$83))</f>
        <v>0</v>
      </c>
      <c r="AJ158" s="23">
        <f t="shared" ca="1" si="103"/>
        <v>12</v>
      </c>
    </row>
    <row r="159" spans="1:37" x14ac:dyDescent="0.3">
      <c r="A159" s="205">
        <f t="shared" si="94"/>
        <v>6</v>
      </c>
      <c r="B159" s="205" t="str">
        <f t="shared" si="95"/>
        <v>303</v>
      </c>
      <c r="C159" s="205" t="str">
        <f t="shared" si="95"/>
        <v>Violent NoRegard</v>
      </c>
      <c r="D159" s="205">
        <f ca="1">IF($B159="","",SUMPRODUCT(--(Lineups!G$46:G$83=$B159),--(Lineups!B$46:B$83=""),Lineups!$W$46:$W$83))</f>
        <v>0</v>
      </c>
      <c r="F159" s="216">
        <f ca="1">IF($B159="","",SUMPRODUCT(--(Lineups!G$46:G$83=$B159),--(Lineups!B$46:B$83="X"),Lineups!$W$46:$W$83))</f>
        <v>0</v>
      </c>
      <c r="G159" s="216">
        <f ca="1">IF($B159="","",SUMPRODUCT(--(Lineups!$K$46:$K$83=$B159),Lineups!$W$46:$W$83))</f>
        <v>25</v>
      </c>
      <c r="H159" s="216">
        <f ca="1">IF($B159="","",SUMPRODUCT(--(Lineups!$O$46:$O$83=$B159),Lineups!$W$46:$W$83))</f>
        <v>25</v>
      </c>
      <c r="I159" s="216">
        <f ca="1">IF($B159="","",SUMPRODUCT(--(Lineups!$S$46:$S$83=$B159),Lineups!$W$46:$W$83))</f>
        <v>0</v>
      </c>
      <c r="J159" s="205">
        <f t="shared" ca="1" si="96"/>
        <v>50</v>
      </c>
      <c r="L159" s="205">
        <f t="shared" ca="1" si="97"/>
        <v>50</v>
      </c>
      <c r="O159" s="205">
        <f ca="1">IF($B159="","",SUMPRODUCT(--(Lineups!$C$46:$C$83=$B159),Lineups!$W$46:$W$83))</f>
        <v>0</v>
      </c>
      <c r="Q159" s="205">
        <f t="shared" ca="1" si="98"/>
        <v>50</v>
      </c>
      <c r="T159" s="205">
        <f t="shared" si="99"/>
        <v>6</v>
      </c>
      <c r="U159" s="205" t="str">
        <f t="shared" si="100"/>
        <v>2611</v>
      </c>
      <c r="V159" s="205" t="str">
        <f t="shared" si="100"/>
        <v>Va Va BOOM</v>
      </c>
      <c r="W159" s="205">
        <f ca="1">IF($U159="","",SUMPRODUCT(--(Lineups!$AG$46:$AG$83=$U159),--(Lineups!$AB$46:$AB$83=""),Lineups!$AW$46:$AW$83))</f>
        <v>0</v>
      </c>
      <c r="Y159" s="216">
        <f ca="1">IF($U159="","",SUMPRODUCT(--(Lineups!$AG$46:$AG$83=$U159),--(Lineups!$AB$46:$AB$83="X"),Lineups!$AW$46:$AW$83))</f>
        <v>0</v>
      </c>
      <c r="Z159" s="216">
        <f ca="1">IF($U159="","",SUMPRODUCT(--(Lineups!$AK$46:$AK$83=$U159),Lineups!$AW$46:$AW$83))</f>
        <v>2</v>
      </c>
      <c r="AA159" s="216">
        <f ca="1">IF($U159="","",SUMPRODUCT(--(Lineups!$AO$46:$AO$83=$U159),Lineups!$AW$46:$AW$83))</f>
        <v>0</v>
      </c>
      <c r="AB159" s="216">
        <f ca="1">IF($U159="","",SUMPRODUCT(--(Lineups!$AS$46:$AS$83=$U159),Lineups!$AW$46:$AW$83))</f>
        <v>12</v>
      </c>
      <c r="AC159" s="205">
        <f t="shared" ca="1" si="101"/>
        <v>14</v>
      </c>
      <c r="AE159" s="205">
        <f t="shared" ca="1" si="102"/>
        <v>14</v>
      </c>
      <c r="AH159" s="205">
        <f ca="1">IF($U159="","",SUMPRODUCT(--(Lineups!$AC$46:$AC$83=$U159),Lineups!$AW$46:$AW$83))</f>
        <v>0</v>
      </c>
      <c r="AJ159" s="205">
        <f t="shared" ca="1" si="103"/>
        <v>14</v>
      </c>
    </row>
    <row r="160" spans="1:37" x14ac:dyDescent="0.3">
      <c r="A160" s="23">
        <f t="shared" si="94"/>
        <v>7</v>
      </c>
      <c r="B160" s="23" t="str">
        <f t="shared" si="95"/>
        <v>33</v>
      </c>
      <c r="C160" s="23" t="str">
        <f t="shared" si="95"/>
        <v>Suzy Slam</v>
      </c>
      <c r="D160" s="23">
        <f ca="1">IF($B160="","",SUMPRODUCT(--(Lineups!G$46:G$83=$B160),--(Lineups!B$46:B$83=""),Lineups!$W$46:$W$83))</f>
        <v>0</v>
      </c>
      <c r="F160" s="216">
        <f ca="1">IF($B160="","",SUMPRODUCT(--(Lineups!G$46:G$83=$B160),--(Lineups!B$46:B$83="X"),Lineups!$W$46:$W$83))</f>
        <v>0</v>
      </c>
      <c r="G160" s="216">
        <f ca="1">IF($B160="","",SUMPRODUCT(--(Lineups!$K$46:$K$83=$B160),Lineups!$W$46:$W$83))</f>
        <v>41</v>
      </c>
      <c r="H160" s="216">
        <f ca="1">IF($B160="","",SUMPRODUCT(--(Lineups!$O$46:$O$83=$B160),Lineups!$W$46:$W$83))</f>
        <v>0</v>
      </c>
      <c r="I160" s="216">
        <f ca="1">IF($B160="","",SUMPRODUCT(--(Lineups!$S$46:$S$83=$B160),Lineups!$W$46:$W$83))</f>
        <v>4</v>
      </c>
      <c r="J160" s="23">
        <f t="shared" ca="1" si="96"/>
        <v>45</v>
      </c>
      <c r="L160" s="23">
        <f t="shared" ca="1" si="97"/>
        <v>45</v>
      </c>
      <c r="O160" s="23">
        <f ca="1">IF($B160="","",SUMPRODUCT(--(Lineups!$C$46:$C$83=$B160),Lineups!$W$46:$W$83))</f>
        <v>20</v>
      </c>
      <c r="Q160" s="23">
        <f t="shared" ca="1" si="98"/>
        <v>65</v>
      </c>
      <c r="T160" s="23">
        <f t="shared" si="99"/>
        <v>7</v>
      </c>
      <c r="U160" s="23" t="str">
        <f t="shared" si="100"/>
        <v>45</v>
      </c>
      <c r="V160" s="23" t="str">
        <f t="shared" si="100"/>
        <v>Miss Carriage</v>
      </c>
      <c r="W160" s="23">
        <f ca="1">IF($U160="","",SUMPRODUCT(--(Lineups!$AG$46:$AG$83=$U160),--(Lineups!$AB$46:$AB$83=""),Lineups!$AW$46:$AW$83))</f>
        <v>14</v>
      </c>
      <c r="Y160" s="216">
        <f ca="1">IF($U160="","",SUMPRODUCT(--(Lineups!$AG$46:$AG$83=$U160),--(Lineups!$AB$46:$AB$83="X"),Lineups!$AW$46:$AW$83))</f>
        <v>0</v>
      </c>
      <c r="Z160" s="216">
        <f ca="1">IF($U160="","",SUMPRODUCT(--(Lineups!$AK$46:$AK$83=$U160),Lineups!$AW$46:$AW$83))</f>
        <v>0</v>
      </c>
      <c r="AA160" s="216">
        <f ca="1">IF($U160="","",SUMPRODUCT(--(Lineups!$AO$46:$AO$83=$U160),Lineups!$AW$46:$AW$83))</f>
        <v>0</v>
      </c>
      <c r="AB160" s="216">
        <f ca="1">IF($U160="","",SUMPRODUCT(--(Lineups!$AS$46:$AS$83=$U160),Lineups!$AW$46:$AW$83))</f>
        <v>0</v>
      </c>
      <c r="AC160" s="23">
        <f t="shared" ca="1" si="101"/>
        <v>0</v>
      </c>
      <c r="AE160" s="23">
        <f t="shared" ca="1" si="102"/>
        <v>14</v>
      </c>
      <c r="AH160" s="23">
        <f ca="1">IF($U160="","",SUMPRODUCT(--(Lineups!$AC$46:$AC$83=$U160),Lineups!$AW$46:$AW$83))</f>
        <v>0</v>
      </c>
      <c r="AJ160" s="23">
        <f t="shared" ca="1" si="103"/>
        <v>14</v>
      </c>
    </row>
    <row r="161" spans="1:37" x14ac:dyDescent="0.3">
      <c r="A161" s="205">
        <f t="shared" si="94"/>
        <v>8</v>
      </c>
      <c r="B161" s="205" t="str">
        <f t="shared" si="95"/>
        <v>4</v>
      </c>
      <c r="C161" s="205" t="str">
        <f t="shared" si="95"/>
        <v>Psykosonic</v>
      </c>
      <c r="D161" s="205">
        <f ca="1">IF($B161="","",SUMPRODUCT(--(Lineups!G$46:G$83=$B161),--(Lineups!B$46:B$83=""),Lineups!$W$46:$W$83))</f>
        <v>0</v>
      </c>
      <c r="F161" s="216">
        <f ca="1">IF($B161="","",SUMPRODUCT(--(Lineups!G$46:G$83=$B161),--(Lineups!B$46:B$83="X"),Lineups!$W$46:$W$83))</f>
        <v>0</v>
      </c>
      <c r="G161" s="216">
        <f ca="1">IF($B161="","",SUMPRODUCT(--(Lineups!$K$46:$K$83=$B161),Lineups!$W$46:$W$83))</f>
        <v>0</v>
      </c>
      <c r="H161" s="216">
        <f ca="1">IF($B161="","",SUMPRODUCT(--(Lineups!$O$46:$O$83=$B161),Lineups!$W$46:$W$83))</f>
        <v>0</v>
      </c>
      <c r="I161" s="216">
        <f ca="1">IF($B161="","",SUMPRODUCT(--(Lineups!$S$46:$S$83=$B161),Lineups!$W$46:$W$83))</f>
        <v>0</v>
      </c>
      <c r="J161" s="205">
        <f t="shared" ca="1" si="96"/>
        <v>0</v>
      </c>
      <c r="L161" s="205">
        <f t="shared" ca="1" si="97"/>
        <v>0</v>
      </c>
      <c r="O161" s="205">
        <f ca="1">IF($B161="","",SUMPRODUCT(--(Lineups!$C$46:$C$83=$B161),Lineups!$W$46:$W$83))</f>
        <v>37</v>
      </c>
      <c r="Q161" s="205">
        <f ca="1">IF(B161="","",SUM(L161,O161))</f>
        <v>37</v>
      </c>
      <c r="T161" s="205">
        <f t="shared" si="99"/>
        <v>8</v>
      </c>
      <c r="U161" s="205" t="str">
        <f t="shared" si="100"/>
        <v>451</v>
      </c>
      <c r="V161" s="205" t="str">
        <f t="shared" si="100"/>
        <v>fErinheit</v>
      </c>
      <c r="W161" s="205">
        <f ca="1">IF($U161="","",SUMPRODUCT(--(Lineups!$AG$46:$AG$83=$U161),--(Lineups!$AB$46:$AB$83=""),Lineups!$AW$46:$AW$83))</f>
        <v>0</v>
      </c>
      <c r="Y161" s="216">
        <f ca="1">IF($U161="","",SUMPRODUCT(--(Lineups!$AG$46:$AG$83=$U161),--(Lineups!$AB$46:$AB$83="X"),Lineups!$AW$46:$AW$83))</f>
        <v>0</v>
      </c>
      <c r="Z161" s="216">
        <f ca="1">IF($U161="","",SUMPRODUCT(--(Lineups!$AK$46:$AK$83=$U161),Lineups!$AW$46:$AW$83))</f>
        <v>4</v>
      </c>
      <c r="AA161" s="216">
        <f ca="1">IF($U161="","",SUMPRODUCT(--(Lineups!$AO$46:$AO$83=$U161),Lineups!$AW$46:$AW$83))</f>
        <v>0</v>
      </c>
      <c r="AB161" s="216">
        <f ca="1">IF($U161="","",SUMPRODUCT(--(Lineups!$AS$46:$AS$83=$U161),Lineups!$AW$46:$AW$83))</f>
        <v>0</v>
      </c>
      <c r="AC161" s="205">
        <f t="shared" ca="1" si="101"/>
        <v>4</v>
      </c>
      <c r="AE161" s="205">
        <f t="shared" ca="1" si="102"/>
        <v>4</v>
      </c>
      <c r="AH161" s="205">
        <f ca="1">IF($U161="","",SUMPRODUCT(--(Lineups!$AC$46:$AC$83=$U161),Lineups!$AW$46:$AW$83))</f>
        <v>6</v>
      </c>
      <c r="AJ161" s="205">
        <f t="shared" ca="1" si="103"/>
        <v>10</v>
      </c>
    </row>
    <row r="162" spans="1:37" x14ac:dyDescent="0.3">
      <c r="A162" s="23">
        <f t="shared" si="94"/>
        <v>9</v>
      </c>
      <c r="B162" s="23" t="str">
        <f t="shared" si="95"/>
        <v>42</v>
      </c>
      <c r="C162" s="23" t="str">
        <f t="shared" si="95"/>
        <v>Meg N' Plead</v>
      </c>
      <c r="D162" s="23">
        <f ca="1">IF($B162="","",SUMPRODUCT(--(Lineups!G$46:G$83=$B162),--(Lineups!B$46:B$83=""),Lineups!$W$46:$W$83))</f>
        <v>0</v>
      </c>
      <c r="F162" s="216">
        <f ca="1">IF($B162="","",SUMPRODUCT(--(Lineups!G$46:G$83=$B162),--(Lineups!B$46:B$83="X"),Lineups!$W$46:$W$83))</f>
        <v>0</v>
      </c>
      <c r="G162" s="216">
        <f ca="1">IF($B162="","",SUMPRODUCT(--(Lineups!$K$46:$K$83=$B162),Lineups!$W$46:$W$83))</f>
        <v>0</v>
      </c>
      <c r="H162" s="216">
        <f ca="1">IF($B162="","",SUMPRODUCT(--(Lineups!$O$46:$O$83=$B162),Lineups!$W$46:$W$83))</f>
        <v>52</v>
      </c>
      <c r="I162" s="216">
        <f ca="1">IF($B162="","",SUMPRODUCT(--(Lineups!$S$46:$S$83=$B162),Lineups!$W$46:$W$83))</f>
        <v>24</v>
      </c>
      <c r="J162" s="23">
        <f t="shared" ca="1" si="96"/>
        <v>76</v>
      </c>
      <c r="L162" s="23">
        <f t="shared" ca="1" si="97"/>
        <v>76</v>
      </c>
      <c r="O162" s="23">
        <f ca="1">IF($B162="","",SUMPRODUCT(--(Lineups!$C$46:$C$83=$B162),Lineups!$W$46:$W$83))</f>
        <v>0</v>
      </c>
      <c r="Q162" s="23">
        <f t="shared" ca="1" si="98"/>
        <v>76</v>
      </c>
      <c r="T162" s="23">
        <f t="shared" si="99"/>
        <v>9</v>
      </c>
      <c r="U162" s="23" t="str">
        <f t="shared" si="100"/>
        <v>511</v>
      </c>
      <c r="V162" s="23" t="str">
        <f t="shared" si="100"/>
        <v>Bean Stalker</v>
      </c>
      <c r="W162" s="23">
        <f ca="1">IF($U162="","",SUMPRODUCT(--(Lineups!$AG$46:$AG$83=$U162),--(Lineups!$AB$46:$AB$83=""),Lineups!$AW$46:$AW$83))</f>
        <v>4</v>
      </c>
      <c r="Y162" s="216">
        <f ca="1">IF($U162="","",SUMPRODUCT(--(Lineups!$AG$46:$AG$83=$U162),--(Lineups!$AB$46:$AB$83="X"),Lineups!$AW$46:$AW$83))</f>
        <v>0</v>
      </c>
      <c r="Z162" s="216">
        <f ca="1">IF($U162="","",SUMPRODUCT(--(Lineups!$AK$46:$AK$83=$U162),Lineups!$AW$46:$AW$83))</f>
        <v>0</v>
      </c>
      <c r="AA162" s="216">
        <f ca="1">IF($U162="","",SUMPRODUCT(--(Lineups!$AO$46:$AO$83=$U162),Lineups!$AW$46:$AW$83))</f>
        <v>0</v>
      </c>
      <c r="AB162" s="216">
        <f ca="1">IF($U162="","",SUMPRODUCT(--(Lineups!$AS$46:$AS$83=$U162),Lineups!$AW$46:$AW$83))</f>
        <v>0</v>
      </c>
      <c r="AC162" s="23">
        <f t="shared" ca="1" si="101"/>
        <v>0</v>
      </c>
      <c r="AE162" s="23">
        <f t="shared" ca="1" si="102"/>
        <v>4</v>
      </c>
      <c r="AH162" s="23">
        <f ca="1">IF($U162="","",SUMPRODUCT(--(Lineups!$AC$46:$AC$83=$U162),Lineups!$AW$46:$AW$83))</f>
        <v>0</v>
      </c>
      <c r="AJ162" s="23">
        <f t="shared" ca="1" si="103"/>
        <v>4</v>
      </c>
    </row>
    <row r="163" spans="1:37" x14ac:dyDescent="0.3">
      <c r="A163" s="205">
        <f t="shared" si="94"/>
        <v>10</v>
      </c>
      <c r="B163" s="205" t="str">
        <f t="shared" si="95"/>
        <v>44</v>
      </c>
      <c r="C163" s="205" t="str">
        <f t="shared" si="95"/>
        <v>Brunt Force Bunny</v>
      </c>
      <c r="D163" s="205">
        <f ca="1">IF($B163="","",SUMPRODUCT(--(Lineups!G$46:G$83=$B163),--(Lineups!B$46:B$83=""),Lineups!$W$46:$W$83))</f>
        <v>0</v>
      </c>
      <c r="F163" s="216">
        <f ca="1">IF($B163="","",SUMPRODUCT(--(Lineups!G$46:G$83=$B163),--(Lineups!B$46:B$83="X"),Lineups!$W$46:$W$83))</f>
        <v>0</v>
      </c>
      <c r="G163" s="216">
        <f ca="1">IF($B163="","",SUMPRODUCT(--(Lineups!$K$46:$K$83=$B163),Lineups!$W$46:$W$83))</f>
        <v>0</v>
      </c>
      <c r="H163" s="216">
        <f ca="1">IF($B163="","",SUMPRODUCT(--(Lineups!$O$46:$O$83=$B163),Lineups!$W$46:$W$83))</f>
        <v>13</v>
      </c>
      <c r="I163" s="216">
        <f ca="1">IF($B163="","",SUMPRODUCT(--(Lineups!$S$46:$S$83=$B163),Lineups!$W$46:$W$83))</f>
        <v>8</v>
      </c>
      <c r="J163" s="205">
        <f t="shared" ca="1" si="96"/>
        <v>21</v>
      </c>
      <c r="L163" s="205">
        <f t="shared" ca="1" si="97"/>
        <v>21</v>
      </c>
      <c r="O163" s="205">
        <f ca="1">IF($B163="","",SUMPRODUCT(--(Lineups!$C$46:$C$83=$B163),Lineups!$W$46:$W$83))</f>
        <v>0</v>
      </c>
      <c r="Q163" s="205">
        <f t="shared" ca="1" si="98"/>
        <v>21</v>
      </c>
      <c r="T163" s="205">
        <f t="shared" si="99"/>
        <v>10</v>
      </c>
      <c r="U163" s="205" t="str">
        <f t="shared" si="100"/>
        <v>519</v>
      </c>
      <c r="V163" s="205" t="str">
        <f t="shared" si="100"/>
        <v>Smashin' Good Time</v>
      </c>
      <c r="W163" s="205">
        <f ca="1">IF($U163="","",SUMPRODUCT(--(Lineups!$AG$46:$AG$83=$U163),--(Lineups!$AB$46:$AB$83=""),Lineups!$AW$46:$AW$83))</f>
        <v>4</v>
      </c>
      <c r="Y163" s="216">
        <f ca="1">IF($U163="","",SUMPRODUCT(--(Lineups!$AG$46:$AG$83=$U163),--(Lineups!$AB$46:$AB$83="X"),Lineups!$AW$46:$AW$83))</f>
        <v>0</v>
      </c>
      <c r="Z163" s="216">
        <f ca="1">IF($U163="","",SUMPRODUCT(--(Lineups!$AK$46:$AK$83=$U163),Lineups!$AW$46:$AW$83))</f>
        <v>0</v>
      </c>
      <c r="AA163" s="216">
        <f ca="1">IF($U163="","",SUMPRODUCT(--(Lineups!$AO$46:$AO$83=$U163),Lineups!$AW$46:$AW$83))</f>
        <v>0</v>
      </c>
      <c r="AB163" s="216">
        <f ca="1">IF($U163="","",SUMPRODUCT(--(Lineups!$AS$46:$AS$83=$U163),Lineups!$AW$46:$AW$83))</f>
        <v>4</v>
      </c>
      <c r="AC163" s="205">
        <f t="shared" ca="1" si="101"/>
        <v>4</v>
      </c>
      <c r="AE163" s="205">
        <f t="shared" ca="1" si="102"/>
        <v>8</v>
      </c>
      <c r="AH163" s="205">
        <f ca="1">IF($U163="","",SUMPRODUCT(--(Lineups!$AC$46:$AC$83=$U163),Lineups!$AW$46:$AW$83))</f>
        <v>24</v>
      </c>
      <c r="AJ163" s="205">
        <f t="shared" ca="1" si="103"/>
        <v>32</v>
      </c>
    </row>
    <row r="164" spans="1:37" x14ac:dyDescent="0.3">
      <c r="A164" s="23">
        <f t="shared" si="94"/>
        <v>11</v>
      </c>
      <c r="B164" s="23" t="str">
        <f t="shared" si="95"/>
        <v>480</v>
      </c>
      <c r="C164" s="23" t="str">
        <f t="shared" si="95"/>
        <v>Slaughterhouse Streeter</v>
      </c>
      <c r="D164" s="23">
        <f ca="1">IF($B164="","",SUMPRODUCT(--(Lineups!G$46:G$83=$B164),--(Lineups!B$46:B$83=""),Lineups!$W$46:$W$83))</f>
        <v>0</v>
      </c>
      <c r="F164" s="216">
        <f ca="1">IF($B164="","",SUMPRODUCT(--(Lineups!G$46:G$83=$B164),--(Lineups!B$46:B$83="X"),Lineups!$W$46:$W$83))</f>
        <v>0</v>
      </c>
      <c r="G164" s="216">
        <f ca="1">IF($B164="","",SUMPRODUCT(--(Lineups!$K$46:$K$83=$B164),Lineups!$W$46:$W$83))</f>
        <v>26</v>
      </c>
      <c r="H164" s="216">
        <f ca="1">IF($B164="","",SUMPRODUCT(--(Lineups!$O$46:$O$83=$B164),Lineups!$W$46:$W$83))</f>
        <v>31</v>
      </c>
      <c r="I164" s="216">
        <f ca="1">IF($B164="","",SUMPRODUCT(--(Lineups!$S$46:$S$83=$B164),Lineups!$W$46:$W$83))</f>
        <v>30</v>
      </c>
      <c r="J164" s="23">
        <f t="shared" ca="1" si="96"/>
        <v>87</v>
      </c>
      <c r="L164" s="23">
        <f t="shared" ca="1" si="97"/>
        <v>87</v>
      </c>
      <c r="O164" s="23">
        <f ca="1">IF($B164="","",SUMPRODUCT(--(Lineups!$C$46:$C$83=$B164),Lineups!$W$46:$W$83))</f>
        <v>0</v>
      </c>
      <c r="Q164" s="23">
        <f t="shared" ca="1" si="98"/>
        <v>87</v>
      </c>
      <c r="T164" s="23">
        <f t="shared" si="99"/>
        <v>11</v>
      </c>
      <c r="U164" s="23" t="str">
        <f t="shared" si="100"/>
        <v>58</v>
      </c>
      <c r="V164" s="23" t="str">
        <f t="shared" si="100"/>
        <v>Natty B</v>
      </c>
      <c r="W164" s="23">
        <f ca="1">IF($U164="","",SUMPRODUCT(--(Lineups!$AG$46:$AG$83=$U164),--(Lineups!$AB$46:$AB$83=""),Lineups!$AW$46:$AW$83))</f>
        <v>0</v>
      </c>
      <c r="Y164" s="216">
        <f ca="1">IF($U164="","",SUMPRODUCT(--(Lineups!$AG$46:$AG$83=$U164),--(Lineups!$AB$46:$AB$83="X"),Lineups!$AW$46:$AW$83))</f>
        <v>0</v>
      </c>
      <c r="Z164" s="216">
        <f ca="1">IF($U164="","",SUMPRODUCT(--(Lineups!$AK$46:$AK$83=$U164),Lineups!$AW$46:$AW$83))</f>
        <v>0</v>
      </c>
      <c r="AA164" s="216">
        <f ca="1">IF($U164="","",SUMPRODUCT(--(Lineups!$AO$46:$AO$83=$U164),Lineups!$AW$46:$AW$83))</f>
        <v>0</v>
      </c>
      <c r="AB164" s="216">
        <f ca="1">IF($U164="","",SUMPRODUCT(--(Lineups!$AS$46:$AS$83=$U164),Lineups!$AW$46:$AW$83))</f>
        <v>0</v>
      </c>
      <c r="AC164" s="23">
        <f t="shared" ca="1" si="101"/>
        <v>0</v>
      </c>
      <c r="AE164" s="23">
        <f t="shared" ca="1" si="102"/>
        <v>0</v>
      </c>
      <c r="AH164" s="23">
        <f ca="1">IF($U164="","",SUMPRODUCT(--(Lineups!$AC$46:$AC$83=$U164),Lineups!$AW$46:$AW$83))</f>
        <v>0</v>
      </c>
      <c r="AJ164" s="23">
        <f t="shared" ca="1" si="103"/>
        <v>0</v>
      </c>
    </row>
    <row r="165" spans="1:37" x14ac:dyDescent="0.3">
      <c r="A165" s="205">
        <f t="shared" si="94"/>
        <v>12</v>
      </c>
      <c r="B165" s="205" t="str">
        <f t="shared" si="95"/>
        <v>64</v>
      </c>
      <c r="C165" s="205" t="str">
        <f t="shared" si="95"/>
        <v>Cannonball Doll</v>
      </c>
      <c r="D165" s="205">
        <f ca="1">IF($B165="","",SUMPRODUCT(--(Lineups!G$46:G$83=$B165),--(Lineups!B$46:B$83=""),Lineups!$W$46:$W$83))</f>
        <v>0</v>
      </c>
      <c r="F165" s="216">
        <f ca="1">IF($B165="","",SUMPRODUCT(--(Lineups!G$46:G$83=$B165),--(Lineups!B$46:B$83="X"),Lineups!$W$46:$W$83))</f>
        <v>0</v>
      </c>
      <c r="G165" s="216">
        <f ca="1">IF($B165="","",SUMPRODUCT(--(Lineups!$K$46:$K$83=$B165),Lineups!$W$46:$W$83))</f>
        <v>0</v>
      </c>
      <c r="H165" s="216">
        <f ca="1">IF($B165="","",SUMPRODUCT(--(Lineups!$O$46:$O$83=$B165),Lineups!$W$46:$W$83))</f>
        <v>8</v>
      </c>
      <c r="I165" s="216">
        <f ca="1">IF($B165="","",SUMPRODUCT(--(Lineups!$S$46:$S$83=$B165),Lineups!$W$46:$W$83))</f>
        <v>42</v>
      </c>
      <c r="J165" s="205">
        <f t="shared" ca="1" si="96"/>
        <v>50</v>
      </c>
      <c r="L165" s="205">
        <f t="shared" ca="1" si="97"/>
        <v>50</v>
      </c>
      <c r="O165" s="205">
        <f ca="1">IF($B165="","",SUMPRODUCT(--(Lineups!$C$46:$C$83=$B165),Lineups!$W$46:$W$83))</f>
        <v>0</v>
      </c>
      <c r="Q165" s="205">
        <f t="shared" ca="1" si="98"/>
        <v>50</v>
      </c>
      <c r="T165" s="205">
        <f t="shared" si="99"/>
        <v>12</v>
      </c>
      <c r="U165" s="205" t="str">
        <f t="shared" si="100"/>
        <v>932</v>
      </c>
      <c r="V165" s="205" t="str">
        <f t="shared" si="100"/>
        <v>Heaven Lee Bash</v>
      </c>
      <c r="W165" s="205">
        <f ca="1">IF($U165="","",SUMPRODUCT(--(Lineups!$AG$46:$AG$83=$U165),--(Lineups!$AB$46:$AB$83=""),Lineups!$AW$46:$AW$83))</f>
        <v>0</v>
      </c>
      <c r="Y165" s="216">
        <f ca="1">IF($U165="","",SUMPRODUCT(--(Lineups!$AG$46:$AG$83=$U165),--(Lineups!$AB$46:$AB$83="X"),Lineups!$AW$46:$AW$83))</f>
        <v>0</v>
      </c>
      <c r="Z165" s="216">
        <f ca="1">IF($U165="","",SUMPRODUCT(--(Lineups!$AK$46:$AK$83=$U165),Lineups!$AW$46:$AW$83))</f>
        <v>0</v>
      </c>
      <c r="AA165" s="216">
        <f ca="1">IF($U165="","",SUMPRODUCT(--(Lineups!$AO$46:$AO$83=$U165),Lineups!$AW$46:$AW$83))</f>
        <v>0</v>
      </c>
      <c r="AB165" s="216">
        <f ca="1">IF($U165="","",SUMPRODUCT(--(Lineups!$AS$46:$AS$83=$U165),Lineups!$AW$46:$AW$83))</f>
        <v>0</v>
      </c>
      <c r="AC165" s="205">
        <f t="shared" ca="1" si="101"/>
        <v>0</v>
      </c>
      <c r="AE165" s="205">
        <f t="shared" ca="1" si="102"/>
        <v>0</v>
      </c>
      <c r="AH165" s="205">
        <f ca="1">IF($U165="","",SUMPRODUCT(--(Lineups!$AC$46:$AC$83=$U165),Lineups!$AW$46:$AW$83))</f>
        <v>0</v>
      </c>
      <c r="AJ165" s="205">
        <f t="shared" ca="1" si="103"/>
        <v>0</v>
      </c>
    </row>
    <row r="166" spans="1:37" x14ac:dyDescent="0.3">
      <c r="A166" s="23">
        <f t="shared" si="94"/>
        <v>13</v>
      </c>
      <c r="B166" s="23" t="str">
        <f t="shared" si="95"/>
        <v>84</v>
      </c>
      <c r="C166" s="23" t="str">
        <f t="shared" si="95"/>
        <v>MEGAnTRON</v>
      </c>
      <c r="D166" s="23">
        <f ca="1">IF($B166="","",SUMPRODUCT(--(Lineups!G$46:G$83=$B166),--(Lineups!B$46:B$83=""),Lineups!$W$46:$W$83))</f>
        <v>0</v>
      </c>
      <c r="F166" s="216">
        <f ca="1">IF($B166="","",SUMPRODUCT(--(Lineups!G$46:G$83=$B166),--(Lineups!B$46:B$83="X"),Lineups!$W$46:$W$83))</f>
        <v>0</v>
      </c>
      <c r="G166" s="216">
        <f ca="1">IF($B166="","",SUMPRODUCT(--(Lineups!$K$46:$K$83=$B166),Lineups!$W$46:$W$83))</f>
        <v>0</v>
      </c>
      <c r="H166" s="216">
        <f ca="1">IF($B166="","",SUMPRODUCT(--(Lineups!$O$46:$O$83=$B166),Lineups!$W$46:$W$83))</f>
        <v>0</v>
      </c>
      <c r="I166" s="216">
        <f ca="1">IF($B166="","",SUMPRODUCT(--(Lineups!$S$46:$S$83=$B166),Lineups!$W$46:$W$83))</f>
        <v>0</v>
      </c>
      <c r="J166" s="23">
        <f t="shared" ca="1" si="96"/>
        <v>0</v>
      </c>
      <c r="L166" s="23">
        <f t="shared" ca="1" si="97"/>
        <v>0</v>
      </c>
      <c r="O166" s="23">
        <f ca="1">IF($B166="","",SUMPRODUCT(--(Lineups!$C$46:$C$83=$B166),Lineups!$W$46:$W$83))</f>
        <v>4</v>
      </c>
      <c r="Q166" s="23">
        <f t="shared" ca="1" si="98"/>
        <v>4</v>
      </c>
      <c r="T166" s="23">
        <f t="shared" si="99"/>
        <v>13</v>
      </c>
      <c r="U166" s="23" t="str">
        <f t="shared" si="100"/>
        <v>H20</v>
      </c>
      <c r="V166" s="23" t="str">
        <f t="shared" si="100"/>
        <v>Lethal Mermaid</v>
      </c>
      <c r="W166" s="23">
        <f ca="1">IF($U166="","",SUMPRODUCT(--(Lineups!$AG$46:$AG$83=$U166),--(Lineups!$AB$46:$AB$83=""),Lineups!$AW$46:$AW$83))</f>
        <v>0</v>
      </c>
      <c r="Y166" s="216">
        <f ca="1">IF($U166="","",SUMPRODUCT(--(Lineups!$AG$46:$AG$83=$U166),--(Lineups!$AB$46:$AB$83="X"),Lineups!$AW$46:$AW$83))</f>
        <v>0</v>
      </c>
      <c r="Z166" s="216">
        <f ca="1">IF($U166="","",SUMPRODUCT(--(Lineups!$AK$46:$AK$83=$U166),Lineups!$AW$46:$AW$83))</f>
        <v>0</v>
      </c>
      <c r="AA166" s="216">
        <f ca="1">IF($U166="","",SUMPRODUCT(--(Lineups!$AO$46:$AO$83=$U166),Lineups!$AW$46:$AW$83))</f>
        <v>6</v>
      </c>
      <c r="AB166" s="216">
        <f ca="1">IF($U166="","",SUMPRODUCT(--(Lineups!$AS$46:$AS$83=$U166),Lineups!$AW$46:$AW$83))</f>
        <v>0</v>
      </c>
      <c r="AC166" s="23">
        <f t="shared" ca="1" si="101"/>
        <v>6</v>
      </c>
      <c r="AE166" s="23">
        <f t="shared" ca="1" si="102"/>
        <v>6</v>
      </c>
      <c r="AH166" s="23">
        <f ca="1">IF($U166="","",SUMPRODUCT(--(Lineups!$AC$46:$AC$83=$U166),Lineups!$AW$46:$AW$83))</f>
        <v>0</v>
      </c>
      <c r="AJ166" s="23">
        <f t="shared" ca="1" si="103"/>
        <v>6</v>
      </c>
    </row>
    <row r="167" spans="1:37" x14ac:dyDescent="0.3">
      <c r="A167" s="205">
        <f t="shared" si="94"/>
        <v>14</v>
      </c>
      <c r="B167" s="205" t="str">
        <f t="shared" si="95"/>
        <v>N01</v>
      </c>
      <c r="C167" s="205" t="str">
        <f t="shared" si="95"/>
        <v>Commander Will Wrecker</v>
      </c>
      <c r="D167" s="205">
        <f ca="1">IF($B167="","",SUMPRODUCT(--(Lineups!G$46:G$83=$B167),--(Lineups!B$46:B$83=""),Lineups!$W$46:$W$83))</f>
        <v>79</v>
      </c>
      <c r="F167" s="216">
        <f ca="1">IF($B167="","",SUMPRODUCT(--(Lineups!G$46:G$83=$B167),--(Lineups!B$46:B$83="X"),Lineups!$W$46:$W$83))</f>
        <v>0</v>
      </c>
      <c r="G167" s="216">
        <f ca="1">IF($B167="","",SUMPRODUCT(--(Lineups!$K$46:$K$83=$B167),Lineups!$W$46:$W$83))</f>
        <v>0</v>
      </c>
      <c r="H167" s="216">
        <f ca="1">IF($B167="","",SUMPRODUCT(--(Lineups!$O$46:$O$83=$B167),Lineups!$W$46:$W$83))</f>
        <v>0</v>
      </c>
      <c r="I167" s="216">
        <f ca="1">IF($B167="","",SUMPRODUCT(--(Lineups!$S$46:$S$83=$B167),Lineups!$W$46:$W$83))</f>
        <v>0</v>
      </c>
      <c r="J167" s="205">
        <f t="shared" ca="1" si="96"/>
        <v>0</v>
      </c>
      <c r="L167" s="205">
        <f t="shared" ca="1" si="97"/>
        <v>79</v>
      </c>
      <c r="O167" s="205">
        <f ca="1">IF($B167="","",SUMPRODUCT(--(Lineups!$C$46:$C$83=$B167),Lineups!$W$46:$W$83))</f>
        <v>0</v>
      </c>
      <c r="Q167" s="205">
        <f t="shared" ca="1" si="98"/>
        <v>79</v>
      </c>
      <c r="T167" s="205">
        <f t="shared" si="99"/>
        <v>14</v>
      </c>
      <c r="U167" s="205" t="str">
        <f t="shared" si="100"/>
        <v>K9</v>
      </c>
      <c r="V167" s="205" t="str">
        <f t="shared" si="100"/>
        <v>Scooby Doom</v>
      </c>
      <c r="W167" s="205">
        <f ca="1">IF($U167="","",SUMPRODUCT(--(Lineups!$AG$46:$AG$83=$U167),--(Lineups!$AB$46:$AB$83=""),Lineups!$AW$46:$AW$83))</f>
        <v>0</v>
      </c>
      <c r="Y167" s="216">
        <f ca="1">IF($U167="","",SUMPRODUCT(--(Lineups!$AG$46:$AG$83=$U167),--(Lineups!$AB$46:$AB$83="X"),Lineups!$AW$46:$AW$83))</f>
        <v>0</v>
      </c>
      <c r="Z167" s="216">
        <f ca="1">IF($U167="","",SUMPRODUCT(--(Lineups!$AK$46:$AK$83=$U167),Lineups!$AW$46:$AW$83))</f>
        <v>0</v>
      </c>
      <c r="AA167" s="216">
        <f ca="1">IF($U167="","",SUMPRODUCT(--(Lineups!$AO$46:$AO$83=$U167),Lineups!$AW$46:$AW$83))</f>
        <v>0</v>
      </c>
      <c r="AB167" s="216">
        <f ca="1">IF($U167="","",SUMPRODUCT(--(Lineups!$AS$46:$AS$83=$U167),Lineups!$AW$46:$AW$83))</f>
        <v>0</v>
      </c>
      <c r="AC167" s="205">
        <f t="shared" ca="1" si="101"/>
        <v>0</v>
      </c>
      <c r="AE167" s="205">
        <f t="shared" ca="1" si="102"/>
        <v>0</v>
      </c>
      <c r="AH167" s="205">
        <f ca="1">IF($U167="","",SUMPRODUCT(--(Lineups!$AC$46:$AC$83=$U167),Lineups!$AW$46:$AW$83))</f>
        <v>16</v>
      </c>
      <c r="AJ167" s="205">
        <f t="shared" ca="1" si="103"/>
        <v>16</v>
      </c>
    </row>
    <row r="168" spans="1:37" x14ac:dyDescent="0.3">
      <c r="A168" s="23">
        <f t="shared" si="94"/>
        <v>15</v>
      </c>
      <c r="B168" s="23" t="str">
        <f t="shared" si="95"/>
        <v/>
      </c>
      <c r="C168" s="23" t="str">
        <f t="shared" si="95"/>
        <v/>
      </c>
      <c r="D168" s="23" t="str">
        <f>IF($B168="","",SUMPRODUCT(--(Lineups!G$46:G$83=$B168),--(Lineups!B$46:B$83=""),Lineups!$W$46:$W$83))</f>
        <v/>
      </c>
      <c r="F168" s="216" t="str">
        <f>IF($B168="","",SUMPRODUCT(--(Lineups!G$46:G$83=$B168),--(Lineups!B$46:B$83="X"),Lineups!$W$46:$W$83))</f>
        <v/>
      </c>
      <c r="G168" s="216" t="str">
        <f>IF($B168="","",SUMPRODUCT(--(Lineups!$K$46:$K$83=$B168),Lineups!$W$46:$W$83))</f>
        <v/>
      </c>
      <c r="H168" s="216" t="str">
        <f>IF($B168="","",SUMPRODUCT(--(Lineups!$O$46:$O$83=$B168),Lineups!$W$46:$W$83))</f>
        <v/>
      </c>
      <c r="I168" s="216" t="str">
        <f>IF($B168="","",SUMPRODUCT(--(Lineups!$S$46:$S$83=$B168),Lineups!$W$46:$W$83))</f>
        <v/>
      </c>
      <c r="J168" s="23" t="str">
        <f t="shared" si="96"/>
        <v/>
      </c>
      <c r="L168" s="23" t="str">
        <f t="shared" si="97"/>
        <v/>
      </c>
      <c r="O168" s="23" t="str">
        <f>IF($B168="","",SUMPRODUCT(--(Lineups!$C$46:$C$83=$B168),Lineups!$W$46:$W$83))</f>
        <v/>
      </c>
      <c r="Q168" s="23" t="str">
        <f t="shared" si="98"/>
        <v/>
      </c>
      <c r="T168" s="23">
        <f t="shared" si="99"/>
        <v>15</v>
      </c>
      <c r="U168" s="23" t="str">
        <f t="shared" si="100"/>
        <v/>
      </c>
      <c r="V168" s="23" t="str">
        <f t="shared" si="100"/>
        <v/>
      </c>
      <c r="W168" s="23" t="str">
        <f>IF($U168="","",SUMPRODUCT(--(Lineups!$AG$46:$AG$83=$U168),--(Lineups!$AB$46:$AB$83=""),Lineups!$AW$46:$AW$83))</f>
        <v/>
      </c>
      <c r="Y168" s="216" t="str">
        <f>IF($U168="","",SUMPRODUCT(--(Lineups!$AG$46:$AG$83=$U168),--(Lineups!$AB$46:$AB$83="X"),Lineups!$AW$46:$AW$83))</f>
        <v/>
      </c>
      <c r="Z168" s="216" t="str">
        <f>IF($U168="","",SUMPRODUCT(--(Lineups!$AK$46:$AK$83=$U168),Lineups!$AW$46:$AW$83))</f>
        <v/>
      </c>
      <c r="AA168" s="216" t="str">
        <f>IF($U168="","",SUMPRODUCT(--(Lineups!$AO$46:$AO$83=$U168),Lineups!$AW$46:$AW$83))</f>
        <v/>
      </c>
      <c r="AB168" s="216" t="str">
        <f>IF($U168="","",SUMPRODUCT(--(Lineups!$AS$46:$AS$83=$U168),Lineups!$AW$46:$AW$83))</f>
        <v/>
      </c>
      <c r="AC168" s="23">
        <f t="shared" si="101"/>
        <v>0</v>
      </c>
      <c r="AE168" s="23" t="str">
        <f t="shared" si="102"/>
        <v/>
      </c>
      <c r="AH168" s="23" t="str">
        <f>IF($U168="","",SUMPRODUCT(--(Lineups!$AC$46:$AC$83=$U168),Lineups!$AW$46:$AW$83))</f>
        <v/>
      </c>
      <c r="AJ168" s="23" t="str">
        <f t="shared" si="103"/>
        <v/>
      </c>
    </row>
    <row r="169" spans="1:37" x14ac:dyDescent="0.3">
      <c r="A169" s="205">
        <f t="shared" si="94"/>
        <v>16</v>
      </c>
      <c r="B169" s="205" t="str">
        <f t="shared" si="95"/>
        <v/>
      </c>
      <c r="C169" s="205" t="str">
        <f t="shared" si="95"/>
        <v/>
      </c>
      <c r="D169" s="205" t="str">
        <f>IF($B169="","",SUMPRODUCT(--(Lineups!G$46:G$83=$B169),--(Lineups!B$46:B$83=""),Lineups!$W$46:$W$83))</f>
        <v/>
      </c>
      <c r="F169" s="216" t="str">
        <f>IF($B169="","",SUMPRODUCT(--(Lineups!G$46:G$83=$B169),--(Lineups!B$46:B$83="X"),Lineups!$W$46:$W$83))</f>
        <v/>
      </c>
      <c r="G169" s="216" t="str">
        <f>IF($B169="","",SUMPRODUCT(--(Lineups!$K$46:$K$83=$B169),Lineups!$W$46:$W$83))</f>
        <v/>
      </c>
      <c r="H169" s="216" t="str">
        <f>IF($B169="","",SUMPRODUCT(--(Lineups!$O$46:$O$83=$B169),Lineups!$W$46:$W$83))</f>
        <v/>
      </c>
      <c r="I169" s="216" t="str">
        <f>IF($B169="","",SUMPRODUCT(--(Lineups!$S$46:$S$83=$B169),Lineups!$W$46:$W$83))</f>
        <v/>
      </c>
      <c r="J169" s="205" t="str">
        <f t="shared" si="96"/>
        <v/>
      </c>
      <c r="L169" s="205" t="str">
        <f t="shared" si="97"/>
        <v/>
      </c>
      <c r="O169" s="205" t="str">
        <f>IF($B169="","",SUMPRODUCT(--(Lineups!$C$46:$C$83=$B169),Lineups!$W$46:$W$83))</f>
        <v/>
      </c>
      <c r="Q169" s="205" t="str">
        <f t="shared" si="98"/>
        <v/>
      </c>
      <c r="T169" s="205">
        <f t="shared" si="99"/>
        <v>16</v>
      </c>
      <c r="U169" s="205" t="str">
        <f t="shared" si="100"/>
        <v/>
      </c>
      <c r="V169" s="205" t="str">
        <f t="shared" si="100"/>
        <v/>
      </c>
      <c r="W169" s="205" t="str">
        <f>IF($U169="","",SUMPRODUCT(--(Lineups!$AG$46:$AG$83=$U169),--(Lineups!$AB$46:$AB$83=""),Lineups!$AW$46:$AW$83))</f>
        <v/>
      </c>
      <c r="Y169" s="216" t="str">
        <f>IF($U169="","",SUMPRODUCT(--(Lineups!$AG$46:$AG$83=$U169),--(Lineups!$AB$46:$AB$83="X"),Lineups!$AW$46:$AW$83))</f>
        <v/>
      </c>
      <c r="Z169" s="216" t="str">
        <f>IF($U169="","",SUMPRODUCT(--(Lineups!$AK$46:$AK$83=$U169),Lineups!$AW$46:$AW$83))</f>
        <v/>
      </c>
      <c r="AA169" s="216" t="str">
        <f>IF($U169="","",SUMPRODUCT(--(Lineups!$AO$46:$AO$83=$U169),Lineups!$AW$46:$AW$83))</f>
        <v/>
      </c>
      <c r="AB169" s="216" t="str">
        <f>IF($U169="","",SUMPRODUCT(--(Lineups!$AS$46:$AS$83=$U169),Lineups!$AW$46:$AW$83))</f>
        <v/>
      </c>
      <c r="AC169" s="205">
        <f t="shared" si="101"/>
        <v>0</v>
      </c>
      <c r="AE169" s="205" t="str">
        <f t="shared" si="102"/>
        <v/>
      </c>
      <c r="AH169" s="205" t="str">
        <f>IF($U169="","",SUMPRODUCT(--(Lineups!$AC$46:$AC$83=$U169),Lineups!$AW$46:$AW$83))</f>
        <v/>
      </c>
      <c r="AJ169" s="205" t="str">
        <f t="shared" si="103"/>
        <v/>
      </c>
    </row>
    <row r="170" spans="1:37" x14ac:dyDescent="0.3">
      <c r="A170" s="23">
        <f t="shared" si="94"/>
        <v>17</v>
      </c>
      <c r="B170" s="23" t="str">
        <f t="shared" si="95"/>
        <v/>
      </c>
      <c r="C170" s="23" t="str">
        <f t="shared" si="95"/>
        <v/>
      </c>
      <c r="D170" s="23" t="str">
        <f>IF($B170="","",SUMPRODUCT(--(Lineups!G$46:G$83=$B170),--(Lineups!B$46:B$83=""),Lineups!$W$46:$W$83))</f>
        <v/>
      </c>
      <c r="F170" s="216" t="str">
        <f>IF($B170="","",SUMPRODUCT(--(Lineups!G$46:G$83=$B170),--(Lineups!B$46:B$83="X"),Lineups!$W$46:$W$83))</f>
        <v/>
      </c>
      <c r="G170" s="216" t="str">
        <f>IF($B170="","",SUMPRODUCT(--(Lineups!$K$46:$K$83=$B170),Lineups!$W$46:$W$83))</f>
        <v/>
      </c>
      <c r="H170" s="216" t="str">
        <f>IF($B170="","",SUMPRODUCT(--(Lineups!$O$46:$O$83=$B170),Lineups!$W$46:$W$83))</f>
        <v/>
      </c>
      <c r="I170" s="216" t="str">
        <f>IF($B170="","",SUMPRODUCT(--(Lineups!$S$46:$S$83=$B170),Lineups!$W$46:$W$83))</f>
        <v/>
      </c>
      <c r="J170" s="23" t="str">
        <f t="shared" si="96"/>
        <v/>
      </c>
      <c r="L170" s="23" t="str">
        <f t="shared" si="97"/>
        <v/>
      </c>
      <c r="O170" s="23" t="str">
        <f>IF($B170="","",SUMPRODUCT(--(Lineups!$C$46:$C$83=$B170),Lineups!$W$46:$W$83))</f>
        <v/>
      </c>
      <c r="Q170" s="23" t="str">
        <f t="shared" si="98"/>
        <v/>
      </c>
      <c r="T170" s="23">
        <f t="shared" si="99"/>
        <v>17</v>
      </c>
      <c r="U170" s="23" t="str">
        <f t="shared" si="100"/>
        <v/>
      </c>
      <c r="V170" s="23" t="str">
        <f t="shared" si="100"/>
        <v/>
      </c>
      <c r="W170" s="23" t="str">
        <f>IF($U170="","",SUMPRODUCT(--(Lineups!$AG$46:$AG$83=$U170),--(Lineups!$AB$46:$AB$83=""),Lineups!$AW$46:$AW$83))</f>
        <v/>
      </c>
      <c r="Y170" s="216" t="str">
        <f>IF($U170="","",SUMPRODUCT(--(Lineups!$AG$46:$AG$83=$U170),--(Lineups!$AB$46:$AB$83="X"),Lineups!$AW$46:$AW$83))</f>
        <v/>
      </c>
      <c r="Z170" s="216" t="str">
        <f>IF($U170="","",SUMPRODUCT(--(Lineups!$AK$46:$AK$83=$U170),Lineups!$AW$46:$AW$83))</f>
        <v/>
      </c>
      <c r="AA170" s="216" t="str">
        <f>IF($U170="","",SUMPRODUCT(--(Lineups!$AO$46:$AO$83=$U170),Lineups!$AW$46:$AW$83))</f>
        <v/>
      </c>
      <c r="AB170" s="216" t="str">
        <f>IF($U170="","",SUMPRODUCT(--(Lineups!$AS$46:$AS$83=$U170),Lineups!$AW$46:$AW$83))</f>
        <v/>
      </c>
      <c r="AC170" s="23">
        <f t="shared" si="101"/>
        <v>0</v>
      </c>
      <c r="AE170" s="23" t="str">
        <f t="shared" si="102"/>
        <v/>
      </c>
      <c r="AH170" s="23" t="str">
        <f>IF($U170="","",SUMPRODUCT(--(Lineups!$AC$46:$AC$83=$U170),Lineups!$AW$46:$AW$83))</f>
        <v/>
      </c>
      <c r="AJ170" s="23" t="str">
        <f t="shared" si="103"/>
        <v/>
      </c>
    </row>
    <row r="171" spans="1:37" x14ac:dyDescent="0.3">
      <c r="A171" s="205">
        <f t="shared" si="94"/>
        <v>18</v>
      </c>
      <c r="B171" s="205" t="str">
        <f t="shared" si="95"/>
        <v/>
      </c>
      <c r="C171" s="205" t="str">
        <f t="shared" si="95"/>
        <v/>
      </c>
      <c r="D171" s="205" t="str">
        <f>IF($B171="","",SUMPRODUCT(--(Lineups!G$46:G$83=$B171),--(Lineups!B$46:B$83=""),Lineups!$W$46:$W$83))</f>
        <v/>
      </c>
      <c r="F171" s="216" t="str">
        <f>IF($B171="","",SUMPRODUCT(--(Lineups!G$46:G$83=$B171),--(Lineups!B$46:B$83="X"),Lineups!$W$46:$W$83))</f>
        <v/>
      </c>
      <c r="G171" s="216" t="str">
        <f>IF($B171="","",SUMPRODUCT(--(Lineups!$K$46:$K$83=$B171),Lineups!$W$46:$W$83))</f>
        <v/>
      </c>
      <c r="H171" s="216" t="str">
        <f>IF($B171="","",SUMPRODUCT(--(Lineups!$O$46:$O$83=$B171),Lineups!$W$46:$W$83))</f>
        <v/>
      </c>
      <c r="I171" s="216" t="str">
        <f>IF($B171="","",SUMPRODUCT(--(Lineups!$S$46:$S$83=$B171),Lineups!$W$46:$W$83))</f>
        <v/>
      </c>
      <c r="J171" s="205" t="str">
        <f t="shared" si="96"/>
        <v/>
      </c>
      <c r="L171" s="205" t="str">
        <f t="shared" si="97"/>
        <v/>
      </c>
      <c r="O171" s="205" t="str">
        <f>IF($B171="","",SUMPRODUCT(--(Lineups!$C$46:$C$83=$B171),Lineups!$W$46:$W$83))</f>
        <v/>
      </c>
      <c r="Q171" s="205" t="str">
        <f t="shared" si="98"/>
        <v/>
      </c>
      <c r="T171" s="205">
        <f t="shared" si="99"/>
        <v>18</v>
      </c>
      <c r="U171" s="205" t="str">
        <f t="shared" si="100"/>
        <v/>
      </c>
      <c r="V171" s="205" t="str">
        <f t="shared" si="100"/>
        <v/>
      </c>
      <c r="W171" s="205" t="str">
        <f>IF($U171="","",SUMPRODUCT(--(Lineups!$AG$46:$AG$83=$U171),--(Lineups!$AB$46:$AB$83=""),Lineups!$AW$46:$AW$83))</f>
        <v/>
      </c>
      <c r="Y171" s="216" t="str">
        <f>IF($U171="","",SUMPRODUCT(--(Lineups!$AG$46:$AG$83=$U171),--(Lineups!$AB$46:$AB$83="X"),Lineups!$AW$46:$AW$83))</f>
        <v/>
      </c>
      <c r="Z171" s="216" t="str">
        <f>IF($U171="","",SUMPRODUCT(--(Lineups!$AK$46:$AK$83=$U171),Lineups!$AW$46:$AW$83))</f>
        <v/>
      </c>
      <c r="AA171" s="216" t="str">
        <f>IF($U171="","",SUMPRODUCT(--(Lineups!$AO$46:$AO$83=$U171),Lineups!$AW$46:$AW$83))</f>
        <v/>
      </c>
      <c r="AB171" s="216" t="str">
        <f>IF($U171="","",SUMPRODUCT(--(Lineups!$AS$46:$AS$83=$U171),Lineups!$AW$46:$AW$83))</f>
        <v/>
      </c>
      <c r="AC171" s="205">
        <f t="shared" si="101"/>
        <v>0</v>
      </c>
      <c r="AE171" s="205" t="str">
        <f t="shared" si="102"/>
        <v/>
      </c>
      <c r="AH171" s="205" t="str">
        <f>IF($U171="","",SUMPRODUCT(--(Lineups!$AC$46:$AC$83=$U171),Lineups!$AW$46:$AW$83))</f>
        <v/>
      </c>
      <c r="AJ171" s="205" t="str">
        <f t="shared" si="103"/>
        <v/>
      </c>
    </row>
    <row r="172" spans="1:37" x14ac:dyDescent="0.3">
      <c r="A172" s="23">
        <f t="shared" si="94"/>
        <v>19</v>
      </c>
      <c r="B172" s="23" t="str">
        <f t="shared" si="95"/>
        <v/>
      </c>
      <c r="C172" s="23" t="str">
        <f t="shared" si="95"/>
        <v/>
      </c>
      <c r="D172" s="23" t="str">
        <f>IF($B172="","",SUMPRODUCT(--(Lineups!G$46:G$83=$B172),--(Lineups!B$46:B$83=""),Lineups!$W$46:$W$83))</f>
        <v/>
      </c>
      <c r="F172" s="216" t="str">
        <f>IF($B172="","",SUMPRODUCT(--(Lineups!G$46:G$83=$B172),--(Lineups!B$46:B$83="X"),Lineups!$W$46:$W$83))</f>
        <v/>
      </c>
      <c r="G172" s="216" t="str">
        <f>IF($B172="","",SUMPRODUCT(--(Lineups!$K$46:$K$83=$B172),Lineups!$W$46:$W$83))</f>
        <v/>
      </c>
      <c r="H172" s="216" t="str">
        <f>IF($B172="","",SUMPRODUCT(--(Lineups!$O$46:$O$83=$B172),Lineups!$W$46:$W$83))</f>
        <v/>
      </c>
      <c r="I172" s="216" t="str">
        <f>IF($B172="","",SUMPRODUCT(--(Lineups!$S$46:$S$83=$B172),Lineups!$W$46:$W$83))</f>
        <v/>
      </c>
      <c r="J172" s="23" t="str">
        <f t="shared" si="96"/>
        <v/>
      </c>
      <c r="L172" s="23" t="str">
        <f t="shared" si="97"/>
        <v/>
      </c>
      <c r="O172" s="23" t="str">
        <f>IF($B172="","",SUMPRODUCT(--(Lineups!$C$46:$C$83=$B172),Lineups!$W$46:$W$83))</f>
        <v/>
      </c>
      <c r="Q172" s="23" t="str">
        <f t="shared" si="98"/>
        <v/>
      </c>
      <c r="T172" s="23">
        <f t="shared" si="99"/>
        <v>19</v>
      </c>
      <c r="U172" s="23" t="str">
        <f t="shared" si="100"/>
        <v/>
      </c>
      <c r="V172" s="23" t="str">
        <f t="shared" si="100"/>
        <v/>
      </c>
      <c r="W172" s="23" t="str">
        <f>IF($U172="","",SUMPRODUCT(--(Lineups!$AG$46:$AG$83=$U172),--(Lineups!$AB$46:$AB$83=""),Lineups!$AW$46:$AW$83))</f>
        <v/>
      </c>
      <c r="Y172" s="216" t="str">
        <f>IF($U172="","",SUMPRODUCT(--(Lineups!$AG$46:$AG$83=$U172),--(Lineups!$AB$46:$AB$83="X"),Lineups!$AW$46:$AW$83))</f>
        <v/>
      </c>
      <c r="Z172" s="216" t="str">
        <f>IF($U172="","",SUMPRODUCT(--(Lineups!$AK$46:$AK$83=$U172),Lineups!$AW$46:$AW$83))</f>
        <v/>
      </c>
      <c r="AA172" s="216" t="str">
        <f>IF($U172="","",SUMPRODUCT(--(Lineups!$AO$46:$AO$83=$U172),Lineups!$AW$46:$AW$83))</f>
        <v/>
      </c>
      <c r="AB172" s="216" t="str">
        <f>IF($U172="","",SUMPRODUCT(--(Lineups!$AS$46:$AS$83=$U172),Lineups!$AW$46:$AW$83))</f>
        <v/>
      </c>
      <c r="AC172" s="23">
        <f t="shared" si="101"/>
        <v>0</v>
      </c>
      <c r="AE172" s="23" t="str">
        <f t="shared" si="102"/>
        <v/>
      </c>
      <c r="AH172" s="23" t="str">
        <f>IF($U172="","",SUMPRODUCT(--(Lineups!$AC$46:$AC$83=$U172),Lineups!$AW$46:$AW$83))</f>
        <v/>
      </c>
      <c r="AJ172" s="23" t="str">
        <f t="shared" si="103"/>
        <v/>
      </c>
    </row>
    <row r="173" spans="1:37" x14ac:dyDescent="0.3">
      <c r="A173" s="205">
        <f t="shared" si="94"/>
        <v>20</v>
      </c>
      <c r="B173" s="205" t="str">
        <f t="shared" si="95"/>
        <v/>
      </c>
      <c r="C173" s="205" t="str">
        <f t="shared" si="95"/>
        <v/>
      </c>
      <c r="D173" s="205" t="str">
        <f>IF($B173="","",SUMPRODUCT(--(Lineups!G$46:G$83=$B173),--(Lineups!B$46:B$83=""),Lineups!$W$46:$W$83))</f>
        <v/>
      </c>
      <c r="F173" s="216" t="str">
        <f>IF($B173="","",SUMPRODUCT(--(Lineups!G$46:G$83=$B173),--(Lineups!B$46:B$83="X"),Lineups!$W$46:$W$83))</f>
        <v/>
      </c>
      <c r="G173" s="216" t="str">
        <f>IF($B173="","",SUMPRODUCT(--(Lineups!$K$46:$K$83=$B173),Lineups!$W$46:$W$83))</f>
        <v/>
      </c>
      <c r="H173" s="216" t="str">
        <f>IF($B173="","",SUMPRODUCT(--(Lineups!$O$46:$O$83=$B173),Lineups!$W$46:$W$83))</f>
        <v/>
      </c>
      <c r="I173" s="216" t="str">
        <f>IF($B173="","",SUMPRODUCT(--(Lineups!$S$46:$S$83=$B173),Lineups!$W$46:$W$83))</f>
        <v/>
      </c>
      <c r="J173" s="205" t="str">
        <f t="shared" si="96"/>
        <v/>
      </c>
      <c r="L173" s="205" t="str">
        <f t="shared" si="97"/>
        <v/>
      </c>
      <c r="O173" s="205" t="str">
        <f>IF($B173="","",SUMPRODUCT(--(Lineups!$C$46:$C$83=$B173),Lineups!$W$46:$W$83))</f>
        <v/>
      </c>
      <c r="Q173" s="205" t="str">
        <f t="shared" si="98"/>
        <v/>
      </c>
      <c r="T173" s="205">
        <f t="shared" si="99"/>
        <v>20</v>
      </c>
      <c r="U173" s="205" t="str">
        <f t="shared" si="100"/>
        <v/>
      </c>
      <c r="V173" s="205" t="str">
        <f t="shared" si="100"/>
        <v/>
      </c>
      <c r="W173" s="205" t="str">
        <f>IF($U173="","",SUMPRODUCT(--(Lineups!$AG$46:$AG$83=$U173),--(Lineups!$AB$46:$AB$83=""),Lineups!$AW$46:$AW$83))</f>
        <v/>
      </c>
      <c r="Y173" s="216" t="str">
        <f>IF($U173="","",SUMPRODUCT(--(Lineups!$AG$46:$AG$83=$U173),--(Lineups!$AB$46:$AB$83="X"),Lineups!$AW$46:$AW$83))</f>
        <v/>
      </c>
      <c r="Z173" s="216" t="str">
        <f>IF($U173="","",SUMPRODUCT(--(Lineups!$AK$46:$AK$83=$U173),Lineups!$AW$46:$AW$83))</f>
        <v/>
      </c>
      <c r="AA173" s="216" t="str">
        <f>IF($U173="","",SUMPRODUCT(--(Lineups!$AO$46:$AO$83=$U173),Lineups!$AW$46:$AW$83))</f>
        <v/>
      </c>
      <c r="AB173" s="216" t="str">
        <f>IF($U173="","",SUMPRODUCT(--(Lineups!$AS$46:$AS$83=$U173),Lineups!$AW$46:$AW$83))</f>
        <v/>
      </c>
      <c r="AC173" s="205">
        <f t="shared" si="101"/>
        <v>0</v>
      </c>
      <c r="AE173" s="205" t="str">
        <f t="shared" si="102"/>
        <v/>
      </c>
      <c r="AH173" s="205" t="str">
        <f>IF($U173="","",SUMPRODUCT(--(Lineups!$AC$46:$AC$83=$U173),Lineups!$AW$46:$AW$83))</f>
        <v/>
      </c>
      <c r="AJ173" s="205" t="str">
        <f t="shared" si="103"/>
        <v/>
      </c>
    </row>
    <row r="175" spans="1:37" x14ac:dyDescent="0.3">
      <c r="A175" s="1162" t="s">
        <v>54</v>
      </c>
      <c r="B175" s="1162"/>
      <c r="C175" s="1162"/>
      <c r="D175" s="151"/>
      <c r="E175" s="151"/>
      <c r="F175" s="151"/>
      <c r="G175" s="151"/>
      <c r="H175" s="151"/>
      <c r="I175" s="151"/>
      <c r="J175" s="151"/>
      <c r="K175" s="151"/>
      <c r="L175" s="151"/>
      <c r="M175" s="151"/>
      <c r="N175" s="151"/>
      <c r="O175" s="151"/>
      <c r="P175" s="151"/>
      <c r="Q175" s="151"/>
      <c r="R175" s="151"/>
      <c r="T175" s="1162" t="s">
        <v>54</v>
      </c>
      <c r="U175" s="1162"/>
      <c r="V175" s="1162"/>
      <c r="W175" s="151"/>
      <c r="X175" s="151"/>
      <c r="Y175" s="151"/>
      <c r="Z175" s="151"/>
      <c r="AA175" s="151"/>
      <c r="AB175" s="151"/>
      <c r="AC175" s="151"/>
      <c r="AD175" s="151"/>
      <c r="AE175" s="151"/>
      <c r="AF175" s="151"/>
      <c r="AG175" s="151"/>
      <c r="AH175" s="151"/>
      <c r="AI175" s="151"/>
      <c r="AJ175" s="151"/>
      <c r="AK175" s="151"/>
    </row>
    <row r="176" spans="1:37" x14ac:dyDescent="0.3">
      <c r="A176" s="210">
        <v>0</v>
      </c>
      <c r="B176" s="210" t="s">
        <v>36</v>
      </c>
      <c r="C176" s="210" t="s">
        <v>37</v>
      </c>
      <c r="D176" s="210" t="s">
        <v>122</v>
      </c>
      <c r="E176" s="149"/>
      <c r="F176" s="215" t="s">
        <v>123</v>
      </c>
      <c r="G176" s="215" t="s">
        <v>123</v>
      </c>
      <c r="H176" s="215" t="s">
        <v>123</v>
      </c>
      <c r="I176" s="215" t="s">
        <v>123</v>
      </c>
      <c r="J176" s="210" t="s">
        <v>46</v>
      </c>
      <c r="K176" s="149"/>
      <c r="L176" s="210" t="s">
        <v>48</v>
      </c>
      <c r="M176" s="149"/>
      <c r="N176" s="212" t="s">
        <v>25</v>
      </c>
      <c r="O176" s="210" t="s">
        <v>124</v>
      </c>
      <c r="P176" s="149"/>
      <c r="Q176" s="210" t="s">
        <v>19</v>
      </c>
      <c r="R176" s="149"/>
      <c r="T176" s="210">
        <v>0</v>
      </c>
      <c r="U176" s="210" t="s">
        <v>36</v>
      </c>
      <c r="V176" s="210" t="s">
        <v>37</v>
      </c>
      <c r="W176" s="210" t="s">
        <v>122</v>
      </c>
      <c r="X176" s="149"/>
      <c r="Y176" s="215" t="s">
        <v>123</v>
      </c>
      <c r="Z176" s="215" t="s">
        <v>123</v>
      </c>
      <c r="AA176" s="215" t="s">
        <v>123</v>
      </c>
      <c r="AB176" s="215" t="s">
        <v>123</v>
      </c>
      <c r="AC176" s="210" t="s">
        <v>46</v>
      </c>
      <c r="AD176" s="149"/>
      <c r="AE176" s="210" t="s">
        <v>48</v>
      </c>
      <c r="AF176" s="149"/>
      <c r="AG176" s="212" t="s">
        <v>25</v>
      </c>
      <c r="AH176" s="210" t="s">
        <v>124</v>
      </c>
      <c r="AI176" s="149"/>
      <c r="AJ176" s="210" t="s">
        <v>19</v>
      </c>
      <c r="AK176" s="149"/>
    </row>
    <row r="177" spans="1:36" x14ac:dyDescent="0.3">
      <c r="A177" s="23">
        <f t="shared" ref="A177:A196" si="104">A176+1</f>
        <v>1</v>
      </c>
      <c r="B177" s="23" t="str">
        <f t="shared" ref="B177:C196" si="105">B108</f>
        <v>0</v>
      </c>
      <c r="C177" s="23" t="str">
        <f t="shared" si="105"/>
        <v>Andi Slamberg</v>
      </c>
      <c r="D177" s="23">
        <f ca="1">IF($B177="","",SUMPRODUCT(--(Lineups!$G$46:$G$83=$B177),--(Lineups!$B$46:$B$83=""),Lineups!$AW$46:$AW$83))</f>
        <v>16</v>
      </c>
      <c r="F177" s="216">
        <f ca="1">IF($B177="","",SUMPRODUCT(--(Lineups!$G$46:$G$83=$B177),--(Lineups!$B$46:$B$83="X"),Lineups!$AW$46:$AW$83))</f>
        <v>0</v>
      </c>
      <c r="G177" s="216">
        <f ca="1">IF($B177="","",SUMPRODUCT(--(Lineups!$K$46:$K$83=$B177),Lineups!$AW$46:$AW$83))</f>
        <v>0</v>
      </c>
      <c r="H177" s="216">
        <f ca="1">IF($B177="","",SUMPRODUCT(--(Lineups!$O$46:$O$83=$B177),Lineups!$AW$46:$AW$83))</f>
        <v>2</v>
      </c>
      <c r="I177" s="216">
        <f ca="1">IF($B177="","",SUMPRODUCT(--(Lineups!$S$46:$S$83=$B177),Lineups!$AW$46:$AW$83))</f>
        <v>0</v>
      </c>
      <c r="J177" s="23">
        <f t="shared" ref="J177:J196" ca="1" si="106">IF(B177="","",SUM(F177:I177))</f>
        <v>2</v>
      </c>
      <c r="L177" s="23">
        <f t="shared" ref="L177:L196" ca="1" si="107">IF(B177="","",SUM(D177,J177))</f>
        <v>18</v>
      </c>
      <c r="O177" s="23">
        <f ca="1">IF($B177="","",SUMPRODUCT(--(Lineups!$C$46:$C$83=$B177),Lineups!$AW$46:$AW$83))</f>
        <v>0</v>
      </c>
      <c r="Q177" s="23">
        <f t="shared" ref="Q177:Q196" ca="1" si="108">IF(B177="","",SUM(L177,O177))</f>
        <v>18</v>
      </c>
      <c r="T177" s="23">
        <f t="shared" ref="T177:T196" si="109">T176+1</f>
        <v>1</v>
      </c>
      <c r="U177" s="23" t="str">
        <f t="shared" ref="U177:V196" si="110">U108</f>
        <v>11</v>
      </c>
      <c r="V177" s="23" t="str">
        <f t="shared" si="110"/>
        <v>Typhoid Maggie</v>
      </c>
      <c r="W177" s="23">
        <f ca="1">IF($U177="","",SUMPRODUCT(--(Lineups!$AG$46:$AG$83=$U177),--(Lineups!$AB$46:$AB$83=""),Lineups!$W$46:$W$83))</f>
        <v>0</v>
      </c>
      <c r="Y177" s="216">
        <f ca="1">IF($U177="","",SUMPRODUCT(--(Lineups!$AG$46:$AG$83=$U177),--(Lineups!$AB$46:$AB$83="X"),Lineups!$W$46:$W$83))</f>
        <v>0</v>
      </c>
      <c r="Z177" s="216">
        <f ca="1">IF(U177="","",(SUMPRODUCT(--(Lineups!$AK$46:$AK$83=$U177),Lineups!$W$46:$W$83)))</f>
        <v>49</v>
      </c>
      <c r="AA177" s="216">
        <f ca="1">IF(U177="","",(SUMPRODUCT(--(Lineups!$AO$46:$AO$83=$U177),Lineups!$W$46:$W$83)))</f>
        <v>10</v>
      </c>
      <c r="AB177" s="216">
        <f ca="1">IF(U177="","",(SUMPRODUCT(--(Lineups!$AS$46:$AS$83=$U177),Lineups!$W$46:$W$83)))</f>
        <v>0</v>
      </c>
      <c r="AC177" s="23">
        <f t="shared" ref="AC177:AC196" ca="1" si="111">SUM(Y177:AB177)</f>
        <v>59</v>
      </c>
      <c r="AE177" s="23">
        <f t="shared" ref="AE177:AE196" ca="1" si="112">IF(U177="","",SUM(W177,AC177))</f>
        <v>59</v>
      </c>
      <c r="AH177" s="23">
        <f ca="1">IF($U177="","",SUMPRODUCT(--(Lineups!$AC$46:$AC$83=$U177),Lineups!$W$46:$W$83))</f>
        <v>0</v>
      </c>
      <c r="AJ177" s="23">
        <f t="shared" ref="AJ177:AJ196" ca="1" si="113">IF(U177="","",SUM(AE177,AH177))</f>
        <v>59</v>
      </c>
    </row>
    <row r="178" spans="1:36" x14ac:dyDescent="0.3">
      <c r="A178" s="205">
        <f t="shared" si="104"/>
        <v>2</v>
      </c>
      <c r="B178" s="205" t="str">
        <f t="shared" si="105"/>
        <v>1321</v>
      </c>
      <c r="C178" s="205" t="str">
        <f t="shared" si="105"/>
        <v>Kristy Skelton</v>
      </c>
      <c r="D178" s="205">
        <f ca="1">IF($B178="","",SUMPRODUCT(--(Lineups!$G$46:$G$83=$B178),--(Lineups!$B$46:$B$83=""),Lineups!$AW$46:$AW$83))</f>
        <v>0</v>
      </c>
      <c r="F178" s="216">
        <f ca="1">IF($B178="","",SUMPRODUCT(--(Lineups!$G$46:$G$83=$B178),--(Lineups!$B$46:$B$83="X"),Lineups!$AW$46:$AW$83))</f>
        <v>0</v>
      </c>
      <c r="G178" s="216">
        <f ca="1">IF($B178="","",SUMPRODUCT(--(Lineups!$K$46:$K$83=$B178),Lineups!$AW$46:$AW$83))</f>
        <v>0</v>
      </c>
      <c r="H178" s="216">
        <f ca="1">IF($B178="","",SUMPRODUCT(--(Lineups!$O$46:$O$83=$B178),Lineups!$AW$46:$AW$83))</f>
        <v>0</v>
      </c>
      <c r="I178" s="216">
        <f ca="1">IF($B178="","",SUMPRODUCT(--(Lineups!$S$46:$S$83=$B178),Lineups!$AW$46:$AW$83))</f>
        <v>0</v>
      </c>
      <c r="J178" s="205">
        <f t="shared" ca="1" si="106"/>
        <v>0</v>
      </c>
      <c r="L178" s="205">
        <f t="shared" ca="1" si="107"/>
        <v>0</v>
      </c>
      <c r="O178" s="205">
        <f ca="1">IF($B178="","",SUMPRODUCT(--(Lineups!$C$46:$C$83=$B178),Lineups!$AW$46:$AW$83))</f>
        <v>0</v>
      </c>
      <c r="Q178" s="205">
        <f t="shared" ca="1" si="108"/>
        <v>0</v>
      </c>
      <c r="T178" s="205">
        <f t="shared" si="109"/>
        <v>2</v>
      </c>
      <c r="U178" s="205" t="str">
        <f t="shared" si="110"/>
        <v>11G6</v>
      </c>
      <c r="V178" s="205" t="str">
        <f t="shared" si="110"/>
        <v>Fista Krusher</v>
      </c>
      <c r="W178" s="205">
        <f ca="1">IF($U178="","",SUMPRODUCT(--(Lineups!$AG$46:$AG$83=$U178),--(Lineups!$AB$46:$AB$83=""),Lineups!$W$46:$W$83))</f>
        <v>0</v>
      </c>
      <c r="Y178" s="216">
        <f ca="1">IF($U178="","",SUMPRODUCT(--(Lineups!$AG$46:$AG$83=$U178),--(Lineups!$AB$46:$AB$83="X"),Lineups!$W$46:$W$83))</f>
        <v>0</v>
      </c>
      <c r="Z178" s="216">
        <f ca="1">IF(U178="","",(SUMPRODUCT(--(Lineups!$AK$46:$AK$83=$U178),Lineups!$W$46:$W$83)))</f>
        <v>0</v>
      </c>
      <c r="AA178" s="216">
        <f ca="1">IF(U178="","",(SUMPRODUCT(--(Lineups!$AO$46:$AO$83=$U178),Lineups!$W$46:$W$83)))</f>
        <v>0</v>
      </c>
      <c r="AB178" s="216">
        <f ca="1">IF(U178="","",(SUMPRODUCT(--(Lineups!$AS$46:$AS$83=$U178),Lineups!$W$46:$W$83)))</f>
        <v>0</v>
      </c>
      <c r="AC178" s="205">
        <f t="shared" ca="1" si="111"/>
        <v>0</v>
      </c>
      <c r="AE178" s="205">
        <f t="shared" ca="1" si="112"/>
        <v>0</v>
      </c>
      <c r="AH178" s="205">
        <f ca="1">IF($U178="","",SUMPRODUCT(--(Lineups!$AC$46:$AC$83=$U178),Lineups!$W$46:$W$83))</f>
        <v>16</v>
      </c>
      <c r="AJ178" s="205">
        <f t="shared" ca="1" si="113"/>
        <v>16</v>
      </c>
    </row>
    <row r="179" spans="1:36" x14ac:dyDescent="0.3">
      <c r="A179" s="23">
        <f t="shared" si="104"/>
        <v>3</v>
      </c>
      <c r="B179" s="23" t="str">
        <f t="shared" si="105"/>
        <v>17</v>
      </c>
      <c r="C179" s="23" t="str">
        <f t="shared" si="105"/>
        <v>Justine Sane</v>
      </c>
      <c r="D179" s="23">
        <f ca="1">IF($B179="","",SUMPRODUCT(--(Lineups!$G$46:$G$83=$B179),--(Lineups!$B$46:$B$83=""),Lineups!$AW$46:$AW$83))</f>
        <v>0</v>
      </c>
      <c r="F179" s="216">
        <f ca="1">IF($B179="","",SUMPRODUCT(--(Lineups!$G$46:$G$83=$B179),--(Lineups!$B$46:$B$83="X"),Lineups!$AW$46:$AW$83))</f>
        <v>0</v>
      </c>
      <c r="G179" s="216">
        <f ca="1">IF($B179="","",SUMPRODUCT(--(Lineups!$K$46:$K$83=$B179),Lineups!$AW$46:$AW$83))</f>
        <v>0</v>
      </c>
      <c r="H179" s="216">
        <f ca="1">IF($B179="","",SUMPRODUCT(--(Lineups!$O$46:$O$83=$B179),Lineups!$AW$46:$AW$83))</f>
        <v>4</v>
      </c>
      <c r="I179" s="216">
        <f ca="1">IF($B179="","",SUMPRODUCT(--(Lineups!$S$46:$S$83=$B179),Lineups!$AW$46:$AW$83))</f>
        <v>0</v>
      </c>
      <c r="J179" s="23">
        <f t="shared" ca="1" si="106"/>
        <v>4</v>
      </c>
      <c r="L179" s="23">
        <f t="shared" ca="1" si="107"/>
        <v>4</v>
      </c>
      <c r="O179" s="23">
        <f ca="1">IF($B179="","",SUMPRODUCT(--(Lineups!$C$46:$C$83=$B179),Lineups!$AW$46:$AW$83))</f>
        <v>0</v>
      </c>
      <c r="Q179" s="23">
        <f t="shared" ca="1" si="108"/>
        <v>4</v>
      </c>
      <c r="T179" s="23">
        <f t="shared" si="109"/>
        <v>3</v>
      </c>
      <c r="U179" s="23" t="str">
        <f t="shared" si="110"/>
        <v>152</v>
      </c>
      <c r="V179" s="23" t="str">
        <f t="shared" si="110"/>
        <v>Hitty Pryde</v>
      </c>
      <c r="W179" s="23">
        <f ca="1">IF($U179="","",SUMPRODUCT(--(Lineups!$AG$46:$AG$83=$U179),--(Lineups!$AB$46:$AB$83=""),Lineups!$W$46:$W$83))</f>
        <v>0</v>
      </c>
      <c r="Y179" s="216">
        <f ca="1">IF($U179="","",SUMPRODUCT(--(Lineups!$AG$46:$AG$83=$U179),--(Lineups!$AB$46:$AB$83="X"),Lineups!$W$46:$W$83))</f>
        <v>0</v>
      </c>
      <c r="Z179" s="216">
        <f ca="1">IF(U179="","",(SUMPRODUCT(--(Lineups!$AK$46:$AK$83=$U179),Lineups!$W$46:$W$83)))</f>
        <v>0</v>
      </c>
      <c r="AA179" s="216">
        <f ca="1">IF(U179="","",(SUMPRODUCT(--(Lineups!$AO$46:$AO$83=$U179),Lineups!$W$46:$W$83)))</f>
        <v>19</v>
      </c>
      <c r="AB179" s="216">
        <f ca="1">IF(U179="","",(SUMPRODUCT(--(Lineups!$AS$46:$AS$83=$U179),Lineups!$W$46:$W$83)))</f>
        <v>4</v>
      </c>
      <c r="AC179" s="23">
        <f t="shared" ca="1" si="111"/>
        <v>23</v>
      </c>
      <c r="AE179" s="23">
        <f t="shared" ca="1" si="112"/>
        <v>23</v>
      </c>
      <c r="AH179" s="23">
        <f ca="1">IF($U179="","",SUMPRODUCT(--(Lineups!$AC$46:$AC$83=$U179),Lineups!$W$46:$W$83))</f>
        <v>0</v>
      </c>
      <c r="AJ179" s="23">
        <f t="shared" ca="1" si="113"/>
        <v>23</v>
      </c>
    </row>
    <row r="180" spans="1:36" x14ac:dyDescent="0.3">
      <c r="A180" s="205">
        <f t="shared" si="104"/>
        <v>4</v>
      </c>
      <c r="B180" s="205" t="str">
        <f t="shared" si="105"/>
        <v>19</v>
      </c>
      <c r="C180" s="205" t="str">
        <f t="shared" si="105"/>
        <v>Lippy Wrongstockings</v>
      </c>
      <c r="D180" s="205">
        <f ca="1">IF($B180="","",SUMPRODUCT(--(Lineups!$G$46:$G$83=$B180),--(Lineups!$B$46:$B$83=""),Lineups!$AW$46:$AW$83))</f>
        <v>0</v>
      </c>
      <c r="F180" s="216">
        <f ca="1">IF($B180="","",SUMPRODUCT(--(Lineups!$G$46:$G$83=$B180),--(Lineups!$B$46:$B$83="X"),Lineups!$AW$46:$AW$83))</f>
        <v>0</v>
      </c>
      <c r="G180" s="216">
        <f ca="1">IF($B180="","",SUMPRODUCT(--(Lineups!$K$46:$K$83=$B180),Lineups!$AW$46:$AW$83))</f>
        <v>0</v>
      </c>
      <c r="H180" s="216">
        <f ca="1">IF($B180="","",SUMPRODUCT(--(Lineups!$O$46:$O$83=$B180),Lineups!$AW$46:$AW$83))</f>
        <v>0</v>
      </c>
      <c r="I180" s="216">
        <f ca="1">IF($B180="","",SUMPRODUCT(--(Lineups!$S$46:$S$83=$B180),Lineups!$AW$46:$AW$83))</f>
        <v>0</v>
      </c>
      <c r="J180" s="205">
        <f t="shared" ca="1" si="106"/>
        <v>0</v>
      </c>
      <c r="L180" s="205">
        <f t="shared" ca="1" si="107"/>
        <v>0</v>
      </c>
      <c r="O180" s="205">
        <f ca="1">IF($B180="","",SUMPRODUCT(--(Lineups!$C$46:$C$83=$B180),Lineups!$AW$46:$AW$83))</f>
        <v>2</v>
      </c>
      <c r="Q180" s="205">
        <f t="shared" ca="1" si="108"/>
        <v>2</v>
      </c>
      <c r="T180" s="205">
        <f t="shared" si="109"/>
        <v>4</v>
      </c>
      <c r="U180" s="205" t="str">
        <f t="shared" si="110"/>
        <v xml:space="preserve">237 </v>
      </c>
      <c r="V180" s="205" t="str">
        <f t="shared" si="110"/>
        <v>GuilloTina</v>
      </c>
      <c r="W180" s="205">
        <f ca="1">IF($U180="","",SUMPRODUCT(--(Lineups!$AG$46:$AG$83=$U180),--(Lineups!$AB$46:$AB$83=""),Lineups!$W$46:$W$83))</f>
        <v>0</v>
      </c>
      <c r="Y180" s="216">
        <f ca="1">IF($U180="","",SUMPRODUCT(--(Lineups!$AG$46:$AG$83=$U180),--(Lineups!$AB$46:$AB$83="X"),Lineups!$W$46:$W$83))</f>
        <v>0</v>
      </c>
      <c r="Z180" s="216">
        <f ca="1">IF(U180="","",(SUMPRODUCT(--(Lineups!$AK$46:$AK$83=$U180),Lineups!$W$46:$W$83)))</f>
        <v>0</v>
      </c>
      <c r="AA180" s="216">
        <f ca="1">IF(U180="","",(SUMPRODUCT(--(Lineups!$AO$46:$AO$83=$U180),Lineups!$W$46:$W$83)))</f>
        <v>0</v>
      </c>
      <c r="AB180" s="216">
        <f ca="1">IF(U180="","",(SUMPRODUCT(--(Lineups!$AS$46:$AS$83=$U180),Lineups!$W$46:$W$83)))</f>
        <v>0</v>
      </c>
      <c r="AC180" s="205">
        <f t="shared" ca="1" si="111"/>
        <v>0</v>
      </c>
      <c r="AE180" s="205">
        <f t="shared" ca="1" si="112"/>
        <v>0</v>
      </c>
      <c r="AH180" s="205">
        <f ca="1">IF($U180="","",SUMPRODUCT(--(Lineups!$AC$46:$AC$83=$U180),Lineups!$W$46:$W$83))</f>
        <v>0</v>
      </c>
      <c r="AJ180" s="205">
        <f t="shared" ca="1" si="113"/>
        <v>0</v>
      </c>
    </row>
    <row r="181" spans="1:36" x14ac:dyDescent="0.3">
      <c r="A181" s="23">
        <f t="shared" si="104"/>
        <v>5</v>
      </c>
      <c r="B181" s="23" t="str">
        <f t="shared" si="105"/>
        <v>20</v>
      </c>
      <c r="C181" s="23" t="str">
        <f t="shared" si="105"/>
        <v>Zooks</v>
      </c>
      <c r="D181" s="23">
        <f ca="1">IF($B181="","",SUMPRODUCT(--(Lineups!$G$46:$G$83=$B181),--(Lineups!$B$46:$B$83=""),Lineups!$AW$46:$AW$83))</f>
        <v>0</v>
      </c>
      <c r="F181" s="216">
        <f ca="1">IF($B181="","",SUMPRODUCT(--(Lineups!$G$46:$G$83=$B181),--(Lineups!$B$46:$B$83="X"),Lineups!$AW$46:$AW$83))</f>
        <v>0</v>
      </c>
      <c r="G181" s="216">
        <f ca="1">IF($B181="","",SUMPRODUCT(--(Lineups!$K$46:$K$83=$B181),Lineups!$AW$46:$AW$83))</f>
        <v>0</v>
      </c>
      <c r="H181" s="216">
        <f ca="1">IF($B181="","",SUMPRODUCT(--(Lineups!$O$46:$O$83=$B181),Lineups!$AW$46:$AW$83))</f>
        <v>4</v>
      </c>
      <c r="I181" s="216">
        <f ca="1">IF($B181="","",SUMPRODUCT(--(Lineups!$S$46:$S$83=$B181),Lineups!$AW$46:$AW$83))</f>
        <v>12</v>
      </c>
      <c r="J181" s="23">
        <f t="shared" ca="1" si="106"/>
        <v>16</v>
      </c>
      <c r="L181" s="23">
        <f t="shared" ca="1" si="107"/>
        <v>16</v>
      </c>
      <c r="O181" s="23">
        <f ca="1">IF($B181="","",SUMPRODUCT(--(Lineups!$C$46:$C$83=$B181),Lineups!$AW$46:$AW$83))</f>
        <v>0</v>
      </c>
      <c r="Q181" s="23">
        <f t="shared" ca="1" si="108"/>
        <v>16</v>
      </c>
      <c r="T181" s="23">
        <f t="shared" si="109"/>
        <v>5</v>
      </c>
      <c r="U181" s="23" t="str">
        <f t="shared" si="110"/>
        <v>26</v>
      </c>
      <c r="V181" s="23" t="str">
        <f t="shared" si="110"/>
        <v>Bam Bam Bigelow</v>
      </c>
      <c r="W181" s="23">
        <f ca="1">IF($U181="","",SUMPRODUCT(--(Lineups!$AG$46:$AG$83=$U181),--(Lineups!$AB$46:$AB$83=""),Lineups!$W$46:$W$83))</f>
        <v>37</v>
      </c>
      <c r="Y181" s="216">
        <f ca="1">IF($U181="","",SUMPRODUCT(--(Lineups!$AG$46:$AG$83=$U181),--(Lineups!$AB$46:$AB$83="X"),Lineups!$W$46:$W$83))</f>
        <v>0</v>
      </c>
      <c r="Z181" s="216">
        <f ca="1">IF(U181="","",(SUMPRODUCT(--(Lineups!$AK$46:$AK$83=$U181),Lineups!$W$46:$W$83)))</f>
        <v>10</v>
      </c>
      <c r="AA181" s="216">
        <f ca="1">IF(U181="","",(SUMPRODUCT(--(Lineups!$AO$46:$AO$83=$U181),Lineups!$W$46:$W$83)))</f>
        <v>8</v>
      </c>
      <c r="AB181" s="216">
        <f ca="1">IF(U181="","",(SUMPRODUCT(--(Lineups!$AS$46:$AS$83=$U181),Lineups!$W$46:$W$83)))</f>
        <v>4</v>
      </c>
      <c r="AC181" s="23">
        <f t="shared" ca="1" si="111"/>
        <v>22</v>
      </c>
      <c r="AE181" s="23">
        <f t="shared" ca="1" si="112"/>
        <v>59</v>
      </c>
      <c r="AH181" s="23">
        <f ca="1">IF($U181="","",SUMPRODUCT(--(Lineups!$AC$46:$AC$83=$U181),Lineups!$W$46:$W$83))</f>
        <v>4</v>
      </c>
      <c r="AJ181" s="23">
        <f t="shared" ca="1" si="113"/>
        <v>63</v>
      </c>
    </row>
    <row r="182" spans="1:36" x14ac:dyDescent="0.3">
      <c r="A182" s="205">
        <f t="shared" si="104"/>
        <v>6</v>
      </c>
      <c r="B182" s="205" t="str">
        <f t="shared" si="105"/>
        <v>303</v>
      </c>
      <c r="C182" s="205" t="str">
        <f t="shared" si="105"/>
        <v>Violent NoRegard</v>
      </c>
      <c r="D182" s="205">
        <f ca="1">IF($B182="","",SUMPRODUCT(--(Lineups!$G$46:$G$83=$B182),--(Lineups!$B$46:$B$83=""),Lineups!$AW$46:$AW$83))</f>
        <v>0</v>
      </c>
      <c r="F182" s="216">
        <f ca="1">IF($B182="","",SUMPRODUCT(--(Lineups!$G$46:$G$83=$B182),--(Lineups!$B$46:$B$83="X"),Lineups!$AW$46:$AW$83))</f>
        <v>0</v>
      </c>
      <c r="G182" s="216">
        <f ca="1">IF($B182="","",SUMPRODUCT(--(Lineups!$K$46:$K$83=$B182),Lineups!$AW$46:$AW$83))</f>
        <v>6</v>
      </c>
      <c r="H182" s="216">
        <f ca="1">IF($B182="","",SUMPRODUCT(--(Lineups!$O$46:$O$83=$B182),Lineups!$AW$46:$AW$83))</f>
        <v>0</v>
      </c>
      <c r="I182" s="216">
        <f ca="1">IF($B182="","",SUMPRODUCT(--(Lineups!$S$46:$S$83=$B182),Lineups!$AW$46:$AW$83))</f>
        <v>0</v>
      </c>
      <c r="J182" s="205">
        <f t="shared" ca="1" si="106"/>
        <v>6</v>
      </c>
      <c r="L182" s="205">
        <f t="shared" ca="1" si="107"/>
        <v>6</v>
      </c>
      <c r="O182" s="205">
        <f ca="1">IF($B182="","",SUMPRODUCT(--(Lineups!$C$46:$C$83=$B182),Lineups!$AW$46:$AW$83))</f>
        <v>0</v>
      </c>
      <c r="Q182" s="205">
        <f t="shared" ca="1" si="108"/>
        <v>6</v>
      </c>
      <c r="T182" s="205">
        <f t="shared" si="109"/>
        <v>6</v>
      </c>
      <c r="U182" s="205" t="str">
        <f t="shared" si="110"/>
        <v>2611</v>
      </c>
      <c r="V182" s="205" t="str">
        <f t="shared" si="110"/>
        <v>Va Va BOOM</v>
      </c>
      <c r="W182" s="205">
        <f ca="1">IF($U182="","",SUMPRODUCT(--(Lineups!$AG$46:$AG$83=$U182),--(Lineups!$AB$46:$AB$83=""),Lineups!$W$46:$W$83))</f>
        <v>0</v>
      </c>
      <c r="Y182" s="216">
        <f ca="1">IF($U182="","",SUMPRODUCT(--(Lineups!$AG$46:$AG$83=$U182),--(Lineups!$AB$46:$AB$83="X"),Lineups!$W$46:$W$83))</f>
        <v>0</v>
      </c>
      <c r="Z182" s="216">
        <f ca="1">IF(U182="","",(SUMPRODUCT(--(Lineups!$AK$46:$AK$83=$U182),Lineups!$W$46:$W$83)))</f>
        <v>4</v>
      </c>
      <c r="AA182" s="216">
        <f ca="1">IF(U182="","",(SUMPRODUCT(--(Lineups!$AO$46:$AO$83=$U182),Lineups!$W$46:$W$83)))</f>
        <v>0</v>
      </c>
      <c r="AB182" s="216">
        <f ca="1">IF(U182="","",(SUMPRODUCT(--(Lineups!$AS$46:$AS$83=$U182),Lineups!$W$46:$W$83)))</f>
        <v>74</v>
      </c>
      <c r="AC182" s="205">
        <f t="shared" ca="1" si="111"/>
        <v>78</v>
      </c>
      <c r="AE182" s="205">
        <f t="shared" ca="1" si="112"/>
        <v>78</v>
      </c>
      <c r="AH182" s="205">
        <f ca="1">IF($U182="","",SUMPRODUCT(--(Lineups!$AC$46:$AC$83=$U182),Lineups!$W$46:$W$83))</f>
        <v>0</v>
      </c>
      <c r="AJ182" s="205">
        <f t="shared" ca="1" si="113"/>
        <v>78</v>
      </c>
    </row>
    <row r="183" spans="1:36" x14ac:dyDescent="0.3">
      <c r="A183" s="23">
        <f t="shared" si="104"/>
        <v>7</v>
      </c>
      <c r="B183" s="23" t="str">
        <f t="shared" si="105"/>
        <v>33</v>
      </c>
      <c r="C183" s="23" t="str">
        <f t="shared" si="105"/>
        <v>Suzy Slam</v>
      </c>
      <c r="D183" s="23">
        <f ca="1">IF($B183="","",SUMPRODUCT(--(Lineups!$G$46:$G$83=$B183),--(Lineups!$B$46:$B$83=""),Lineups!$AW$46:$AW$83))</f>
        <v>0</v>
      </c>
      <c r="F183" s="216">
        <f ca="1">IF($B183="","",SUMPRODUCT(--(Lineups!$G$46:$G$83=$B183),--(Lineups!$B$46:$B$83="X"),Lineups!$AW$46:$AW$83))</f>
        <v>0</v>
      </c>
      <c r="G183" s="216">
        <f ca="1">IF($B183="","",SUMPRODUCT(--(Lineups!$K$46:$K$83=$B183),Lineups!$AW$46:$AW$83))</f>
        <v>4</v>
      </c>
      <c r="H183" s="216">
        <f ca="1">IF($B183="","",SUMPRODUCT(--(Lineups!$O$46:$O$83=$B183),Lineups!$AW$46:$AW$83))</f>
        <v>0</v>
      </c>
      <c r="I183" s="216">
        <f ca="1">IF($B183="","",SUMPRODUCT(--(Lineups!$S$46:$S$83=$B183),Lineups!$AW$46:$AW$83))</f>
        <v>4</v>
      </c>
      <c r="J183" s="23">
        <f t="shared" ca="1" si="106"/>
        <v>8</v>
      </c>
      <c r="L183" s="23">
        <f t="shared" ca="1" si="107"/>
        <v>8</v>
      </c>
      <c r="O183" s="23">
        <f ca="1">IF($B183="","",SUMPRODUCT(--(Lineups!$C$46:$C$83=$B183),Lineups!$AW$46:$AW$83))</f>
        <v>0</v>
      </c>
      <c r="Q183" s="23">
        <f t="shared" ca="1" si="108"/>
        <v>8</v>
      </c>
      <c r="T183" s="23">
        <f t="shared" si="109"/>
        <v>7</v>
      </c>
      <c r="U183" s="23" t="str">
        <f t="shared" si="110"/>
        <v>45</v>
      </c>
      <c r="V183" s="23" t="str">
        <f t="shared" si="110"/>
        <v>Miss Carriage</v>
      </c>
      <c r="W183" s="23">
        <f ca="1">IF($U183="","",SUMPRODUCT(--(Lineups!$AG$46:$AG$83=$U183),--(Lineups!$AB$46:$AB$83=""),Lineups!$W$46:$W$83))</f>
        <v>39</v>
      </c>
      <c r="Y183" s="216">
        <f ca="1">IF($U183="","",SUMPRODUCT(--(Lineups!$AG$46:$AG$83=$U183),--(Lineups!$AB$46:$AB$83="X"),Lineups!$W$46:$W$83))</f>
        <v>0</v>
      </c>
      <c r="Z183" s="216">
        <f ca="1">IF(U183="","",(SUMPRODUCT(--(Lineups!$AK$46:$AK$83=$U183),Lineups!$W$46:$W$83)))</f>
        <v>13</v>
      </c>
      <c r="AA183" s="216">
        <f ca="1">IF(U183="","",(SUMPRODUCT(--(Lineups!$AO$46:$AO$83=$U183),Lineups!$W$46:$W$83)))</f>
        <v>0</v>
      </c>
      <c r="AB183" s="216">
        <f ca="1">IF(U183="","",(SUMPRODUCT(--(Lineups!$AS$46:$AS$83=$U183),Lineups!$W$46:$W$83)))</f>
        <v>0</v>
      </c>
      <c r="AC183" s="23">
        <f t="shared" ca="1" si="111"/>
        <v>13</v>
      </c>
      <c r="AE183" s="23">
        <f t="shared" ca="1" si="112"/>
        <v>52</v>
      </c>
      <c r="AH183" s="23">
        <f ca="1">IF($U183="","",SUMPRODUCT(--(Lineups!$AC$46:$AC$83=$U183),Lineups!$W$46:$W$83))</f>
        <v>4</v>
      </c>
      <c r="AJ183" s="23">
        <f t="shared" ca="1" si="113"/>
        <v>56</v>
      </c>
    </row>
    <row r="184" spans="1:36" x14ac:dyDescent="0.3">
      <c r="A184" s="205">
        <f t="shared" si="104"/>
        <v>8</v>
      </c>
      <c r="B184" s="205" t="str">
        <f t="shared" si="105"/>
        <v>4</v>
      </c>
      <c r="C184" s="205" t="str">
        <f t="shared" si="105"/>
        <v>Psykosonic</v>
      </c>
      <c r="D184" s="205">
        <f ca="1">IF($B184="","",SUMPRODUCT(--(Lineups!$G$46:$G$83=$B184),--(Lineups!$B$46:$B$83=""),Lineups!$AW$46:$AW$83))</f>
        <v>0</v>
      </c>
      <c r="F184" s="216">
        <f ca="1">IF($B184="","",SUMPRODUCT(--(Lineups!$G$46:$G$83=$B184),--(Lineups!$B$46:$B$83="X"),Lineups!$AW$46:$AW$83))</f>
        <v>0</v>
      </c>
      <c r="G184" s="216">
        <f ca="1">IF($B184="","",SUMPRODUCT(--(Lineups!$K$46:$K$83=$B184),Lineups!$AW$46:$AW$83))</f>
        <v>0</v>
      </c>
      <c r="H184" s="216">
        <f ca="1">IF($B184="","",SUMPRODUCT(--(Lineups!$O$46:$O$83=$B184),Lineups!$AW$46:$AW$83))</f>
        <v>0</v>
      </c>
      <c r="I184" s="216">
        <f ca="1">IF($B184="","",SUMPRODUCT(--(Lineups!$S$46:$S$83=$B184),Lineups!$AW$46:$AW$83))</f>
        <v>0</v>
      </c>
      <c r="J184" s="205">
        <f t="shared" ca="1" si="106"/>
        <v>0</v>
      </c>
      <c r="L184" s="205">
        <f t="shared" ca="1" si="107"/>
        <v>0</v>
      </c>
      <c r="O184" s="205">
        <f ca="1">IF($B184="","",SUMPRODUCT(--(Lineups!$C$46:$C$83=$B184),Lineups!$AW$46:$AW$83))</f>
        <v>8</v>
      </c>
      <c r="Q184" s="205">
        <f t="shared" ca="1" si="108"/>
        <v>8</v>
      </c>
      <c r="T184" s="205">
        <f t="shared" si="109"/>
        <v>8</v>
      </c>
      <c r="U184" s="205" t="str">
        <f t="shared" si="110"/>
        <v>451</v>
      </c>
      <c r="V184" s="205" t="str">
        <f t="shared" si="110"/>
        <v>fErinheit</v>
      </c>
      <c r="W184" s="205">
        <f ca="1">IF($U184="","",SUMPRODUCT(--(Lineups!$AG$46:$AG$83=$U184),--(Lineups!$AB$46:$AB$83=""),Lineups!$W$46:$W$83))</f>
        <v>0</v>
      </c>
      <c r="Y184" s="216">
        <f ca="1">IF($U184="","",SUMPRODUCT(--(Lineups!$AG$46:$AG$83=$U184),--(Lineups!$AB$46:$AB$83="X"),Lineups!$W$46:$W$83))</f>
        <v>0</v>
      </c>
      <c r="Z184" s="216">
        <f ca="1">IF(U184="","",(SUMPRODUCT(--(Lineups!$AK$46:$AK$83=$U184),Lineups!$W$46:$W$83)))</f>
        <v>0</v>
      </c>
      <c r="AA184" s="216">
        <f ca="1">IF(U184="","",(SUMPRODUCT(--(Lineups!$AO$46:$AO$83=$U184),Lineups!$W$46:$W$83)))</f>
        <v>0</v>
      </c>
      <c r="AB184" s="216">
        <f ca="1">IF(U184="","",(SUMPRODUCT(--(Lineups!$AS$46:$AS$83=$U184),Lineups!$W$46:$W$83)))</f>
        <v>0</v>
      </c>
      <c r="AC184" s="205">
        <f t="shared" ca="1" si="111"/>
        <v>0</v>
      </c>
      <c r="AE184" s="205">
        <f t="shared" ca="1" si="112"/>
        <v>0</v>
      </c>
      <c r="AH184" s="205">
        <f ca="1">IF($U184="","",SUMPRODUCT(--(Lineups!$AC$46:$AC$83=$U184),Lineups!$W$46:$W$83))</f>
        <v>20</v>
      </c>
      <c r="AJ184" s="205">
        <f t="shared" ca="1" si="113"/>
        <v>20</v>
      </c>
    </row>
    <row r="185" spans="1:36" x14ac:dyDescent="0.3">
      <c r="A185" s="23">
        <f t="shared" si="104"/>
        <v>9</v>
      </c>
      <c r="B185" s="23" t="str">
        <f t="shared" si="105"/>
        <v>42</v>
      </c>
      <c r="C185" s="23" t="str">
        <f t="shared" si="105"/>
        <v>Meg N' Plead</v>
      </c>
      <c r="D185" s="23">
        <f ca="1">IF($B185="","",SUMPRODUCT(--(Lineups!$G$46:$G$83=$B185),--(Lineups!$B$46:$B$83=""),Lineups!$AW$46:$AW$83))</f>
        <v>0</v>
      </c>
      <c r="F185" s="216">
        <f ca="1">IF($B185="","",SUMPRODUCT(--(Lineups!$G$46:$G$83=$B185),--(Lineups!$B$46:$B$83="X"),Lineups!$AW$46:$AW$83))</f>
        <v>0</v>
      </c>
      <c r="G185" s="216">
        <f ca="1">IF($B185="","",SUMPRODUCT(--(Lineups!$K$46:$K$83=$B185),Lineups!$AW$46:$AW$83))</f>
        <v>0</v>
      </c>
      <c r="H185" s="216">
        <f ca="1">IF($B185="","",SUMPRODUCT(--(Lineups!$O$46:$O$83=$B185),Lineups!$AW$46:$AW$83))</f>
        <v>0</v>
      </c>
      <c r="I185" s="216">
        <f ca="1">IF($B185="","",SUMPRODUCT(--(Lineups!$S$46:$S$83=$B185),Lineups!$AW$46:$AW$83))</f>
        <v>4</v>
      </c>
      <c r="J185" s="23">
        <f t="shared" ca="1" si="106"/>
        <v>4</v>
      </c>
      <c r="L185" s="23">
        <f t="shared" ca="1" si="107"/>
        <v>4</v>
      </c>
      <c r="O185" s="23">
        <f ca="1">IF($B185="","",SUMPRODUCT(--(Lineups!$C$46:$C$83=$B185),Lineups!$AW$46:$AW$83))</f>
        <v>0</v>
      </c>
      <c r="Q185" s="23">
        <f t="shared" ca="1" si="108"/>
        <v>4</v>
      </c>
      <c r="T185" s="23">
        <f t="shared" si="109"/>
        <v>9</v>
      </c>
      <c r="U185" s="23" t="str">
        <f t="shared" si="110"/>
        <v>511</v>
      </c>
      <c r="V185" s="23" t="str">
        <f t="shared" si="110"/>
        <v>Bean Stalker</v>
      </c>
      <c r="W185" s="23">
        <f ca="1">IF($U185="","",SUMPRODUCT(--(Lineups!$AG$46:$AG$83=$U185),--(Lineups!$AB$46:$AB$83=""),Lineups!$W$46:$W$83))</f>
        <v>26</v>
      </c>
      <c r="Y185" s="216">
        <f ca="1">IF($U185="","",SUMPRODUCT(--(Lineups!$AG$46:$AG$83=$U185),--(Lineups!$AB$46:$AB$83="X"),Lineups!$W$46:$W$83))</f>
        <v>0</v>
      </c>
      <c r="Z185" s="216">
        <f ca="1">IF(U185="","",(SUMPRODUCT(--(Lineups!$AK$46:$AK$83=$U185),Lineups!$W$46:$W$83)))</f>
        <v>0</v>
      </c>
      <c r="AA185" s="216">
        <f ca="1">IF(U185="","",(SUMPRODUCT(--(Lineups!$AO$46:$AO$83=$U185),Lineups!$W$46:$W$83)))</f>
        <v>4</v>
      </c>
      <c r="AB185" s="216">
        <f ca="1">IF(U185="","",(SUMPRODUCT(--(Lineups!$AS$46:$AS$83=$U185),Lineups!$W$46:$W$83)))</f>
        <v>14</v>
      </c>
      <c r="AC185" s="23">
        <f t="shared" ca="1" si="111"/>
        <v>18</v>
      </c>
      <c r="AE185" s="23">
        <f t="shared" ca="1" si="112"/>
        <v>44</v>
      </c>
      <c r="AH185" s="23">
        <f ca="1">IF($U185="","",SUMPRODUCT(--(Lineups!$AC$46:$AC$83=$U185),Lineups!$W$46:$W$83))</f>
        <v>0</v>
      </c>
      <c r="AJ185" s="23">
        <f t="shared" ca="1" si="113"/>
        <v>44</v>
      </c>
    </row>
    <row r="186" spans="1:36" x14ac:dyDescent="0.3">
      <c r="A186" s="205">
        <f t="shared" si="104"/>
        <v>10</v>
      </c>
      <c r="B186" s="205" t="str">
        <f t="shared" si="105"/>
        <v>44</v>
      </c>
      <c r="C186" s="205" t="str">
        <f t="shared" si="105"/>
        <v>Brunt Force Bunny</v>
      </c>
      <c r="D186" s="205">
        <f ca="1">IF($B186="","",SUMPRODUCT(--(Lineups!$G$46:$G$83=$B186),--(Lineups!$B$46:$B$83=""),Lineups!$AW$46:$AW$83))</f>
        <v>0</v>
      </c>
      <c r="F186" s="216">
        <f ca="1">IF($B186="","",SUMPRODUCT(--(Lineups!$G$46:$G$83=$B186),--(Lineups!$B$46:$B$83="X"),Lineups!$AW$46:$AW$83))</f>
        <v>0</v>
      </c>
      <c r="G186" s="216">
        <f ca="1">IF($B186="","",SUMPRODUCT(--(Lineups!$K$46:$K$83=$B186),Lineups!$AW$46:$AW$83))</f>
        <v>0</v>
      </c>
      <c r="H186" s="216">
        <f ca="1">IF($B186="","",SUMPRODUCT(--(Lineups!$O$46:$O$83=$B186),Lineups!$AW$46:$AW$83))</f>
        <v>12</v>
      </c>
      <c r="I186" s="216">
        <f ca="1">IF($B186="","",SUMPRODUCT(--(Lineups!$S$46:$S$83=$B186),Lineups!$AW$46:$AW$83))</f>
        <v>0</v>
      </c>
      <c r="J186" s="205">
        <f t="shared" ca="1" si="106"/>
        <v>12</v>
      </c>
      <c r="L186" s="205">
        <f t="shared" ca="1" si="107"/>
        <v>12</v>
      </c>
      <c r="O186" s="205">
        <f ca="1">IF($B186="","",SUMPRODUCT(--(Lineups!$C$46:$C$83=$B186),Lineups!$AW$46:$AW$83))</f>
        <v>0</v>
      </c>
      <c r="Q186" s="205">
        <f t="shared" ca="1" si="108"/>
        <v>12</v>
      </c>
      <c r="T186" s="205">
        <f t="shared" si="109"/>
        <v>10</v>
      </c>
      <c r="U186" s="205" t="str">
        <f t="shared" si="110"/>
        <v>519</v>
      </c>
      <c r="V186" s="205" t="str">
        <f t="shared" si="110"/>
        <v>Smashin' Good Time</v>
      </c>
      <c r="W186" s="205">
        <f ca="1">IF($U186="","",SUMPRODUCT(--(Lineups!$AG$46:$AG$83=$U186),--(Lineups!$AB$46:$AB$83=""),Lineups!$W$46:$W$83))</f>
        <v>35</v>
      </c>
      <c r="Y186" s="216">
        <f ca="1">IF($U186="","",SUMPRODUCT(--(Lineups!$AG$46:$AG$83=$U186),--(Lineups!$AB$46:$AB$83="X"),Lineups!$W$46:$W$83))</f>
        <v>0</v>
      </c>
      <c r="Z186" s="216">
        <f ca="1">IF(U186="","",(SUMPRODUCT(--(Lineups!$AK$46:$AK$83=$U186),Lineups!$W$46:$W$83)))</f>
        <v>0</v>
      </c>
      <c r="AA186" s="216">
        <f ca="1">IF(U186="","",(SUMPRODUCT(--(Lineups!$AO$46:$AO$83=$U186),Lineups!$W$46:$W$83)))</f>
        <v>0</v>
      </c>
      <c r="AB186" s="216">
        <f ca="1">IF(U186="","",(SUMPRODUCT(--(Lineups!$AS$46:$AS$83=$U186),Lineups!$W$46:$W$83)))</f>
        <v>7</v>
      </c>
      <c r="AC186" s="205">
        <f t="shared" ca="1" si="111"/>
        <v>7</v>
      </c>
      <c r="AE186" s="205">
        <f t="shared" ca="1" si="112"/>
        <v>42</v>
      </c>
      <c r="AH186" s="205">
        <f ca="1">IF($U186="","",SUMPRODUCT(--(Lineups!$AC$46:$AC$83=$U186),Lineups!$W$46:$W$83))</f>
        <v>0</v>
      </c>
      <c r="AJ186" s="205">
        <f t="shared" ca="1" si="113"/>
        <v>42</v>
      </c>
    </row>
    <row r="187" spans="1:36" x14ac:dyDescent="0.3">
      <c r="A187" s="23">
        <f t="shared" si="104"/>
        <v>11</v>
      </c>
      <c r="B187" s="23" t="str">
        <f t="shared" si="105"/>
        <v>480</v>
      </c>
      <c r="C187" s="23" t="str">
        <f t="shared" si="105"/>
        <v>Slaughterhouse Streeter</v>
      </c>
      <c r="D187" s="23">
        <f ca="1">IF($B187="","",SUMPRODUCT(--(Lineups!$G$46:$G$83=$B187),--(Lineups!$B$46:$B$83=""),Lineups!$AW$46:$AW$83))</f>
        <v>0</v>
      </c>
      <c r="F187" s="216">
        <f ca="1">IF($B187="","",SUMPRODUCT(--(Lineups!$G$46:$G$83=$B187),--(Lineups!$B$46:$B$83="X"),Lineups!$AW$46:$AW$83))</f>
        <v>0</v>
      </c>
      <c r="G187" s="216">
        <f ca="1">IF($B187="","",SUMPRODUCT(--(Lineups!$K$46:$K$83=$B187),Lineups!$AW$46:$AW$83))</f>
        <v>4</v>
      </c>
      <c r="H187" s="216">
        <f ca="1">IF($B187="","",SUMPRODUCT(--(Lineups!$O$46:$O$83=$B187),Lineups!$AW$46:$AW$83))</f>
        <v>4</v>
      </c>
      <c r="I187" s="216">
        <f ca="1">IF($B187="","",SUMPRODUCT(--(Lineups!$S$46:$S$83=$B187),Lineups!$AW$46:$AW$83))</f>
        <v>0</v>
      </c>
      <c r="J187" s="23">
        <f t="shared" ca="1" si="106"/>
        <v>8</v>
      </c>
      <c r="L187" s="23">
        <f t="shared" ca="1" si="107"/>
        <v>8</v>
      </c>
      <c r="O187" s="23">
        <f ca="1">IF($B187="","",SUMPRODUCT(--(Lineups!$C$46:$C$83=$B187),Lineups!$AW$46:$AW$83))</f>
        <v>0</v>
      </c>
      <c r="Q187" s="23">
        <f t="shared" ca="1" si="108"/>
        <v>8</v>
      </c>
      <c r="T187" s="23">
        <f t="shared" si="109"/>
        <v>11</v>
      </c>
      <c r="U187" s="23" t="str">
        <f t="shared" si="110"/>
        <v>58</v>
      </c>
      <c r="V187" s="23" t="str">
        <f t="shared" si="110"/>
        <v>Natty B</v>
      </c>
      <c r="W187" s="23">
        <f ca="1">IF($U187="","",SUMPRODUCT(--(Lineups!$AG$46:$AG$83=$U187),--(Lineups!$AB$46:$AB$83=""),Lineups!$W$46:$W$83))</f>
        <v>0</v>
      </c>
      <c r="Y187" s="216">
        <f ca="1">IF($U187="","",SUMPRODUCT(--(Lineups!$AG$46:$AG$83=$U187),--(Lineups!$AB$46:$AB$83="X"),Lineups!$W$46:$W$83))</f>
        <v>0</v>
      </c>
      <c r="Z187" s="216">
        <f ca="1">IF(U187="","",(SUMPRODUCT(--(Lineups!$AK$46:$AK$83=$U187),Lineups!$W$46:$W$83)))</f>
        <v>4</v>
      </c>
      <c r="AA187" s="216">
        <f ca="1">IF(U187="","",(SUMPRODUCT(--(Lineups!$AO$46:$AO$83=$U187),Lineups!$W$46:$W$83)))</f>
        <v>0</v>
      </c>
      <c r="AB187" s="216">
        <f ca="1">IF(U187="","",(SUMPRODUCT(--(Lineups!$AS$46:$AS$83=$U187),Lineups!$W$46:$W$83)))</f>
        <v>0</v>
      </c>
      <c r="AC187" s="23">
        <f t="shared" ca="1" si="111"/>
        <v>4</v>
      </c>
      <c r="AE187" s="23">
        <f t="shared" ca="1" si="112"/>
        <v>4</v>
      </c>
      <c r="AH187" s="23">
        <f ca="1">IF($U187="","",SUMPRODUCT(--(Lineups!$AC$46:$AC$83=$U187),Lineups!$W$46:$W$83))</f>
        <v>69</v>
      </c>
      <c r="AJ187" s="23">
        <f t="shared" ca="1" si="113"/>
        <v>73</v>
      </c>
    </row>
    <row r="188" spans="1:36" x14ac:dyDescent="0.3">
      <c r="A188" s="205">
        <f t="shared" si="104"/>
        <v>12</v>
      </c>
      <c r="B188" s="205" t="str">
        <f t="shared" si="105"/>
        <v>64</v>
      </c>
      <c r="C188" s="205" t="str">
        <f t="shared" si="105"/>
        <v>Cannonball Doll</v>
      </c>
      <c r="D188" s="205">
        <f ca="1">IF($B188="","",SUMPRODUCT(--(Lineups!$G$46:$G$83=$B188),--(Lineups!$B$46:$B$83=""),Lineups!$AW$46:$AW$83))</f>
        <v>0</v>
      </c>
      <c r="F188" s="216">
        <f ca="1">IF($B188="","",SUMPRODUCT(--(Lineups!$G$46:$G$83=$B188),--(Lineups!$B$46:$B$83="X"),Lineups!$AW$46:$AW$83))</f>
        <v>0</v>
      </c>
      <c r="G188" s="216">
        <f ca="1">IF($B188="","",SUMPRODUCT(--(Lineups!$K$46:$K$83=$B188),Lineups!$AW$46:$AW$83))</f>
        <v>12</v>
      </c>
      <c r="H188" s="216">
        <f ca="1">IF($B188="","",SUMPRODUCT(--(Lineups!$O$46:$O$83=$B188),Lineups!$AW$46:$AW$83))</f>
        <v>0</v>
      </c>
      <c r="I188" s="216">
        <f ca="1">IF($B188="","",SUMPRODUCT(--(Lineups!$S$46:$S$83=$B188),Lineups!$AW$46:$AW$83))</f>
        <v>6</v>
      </c>
      <c r="J188" s="205">
        <f t="shared" ca="1" si="106"/>
        <v>18</v>
      </c>
      <c r="L188" s="205">
        <f t="shared" ca="1" si="107"/>
        <v>18</v>
      </c>
      <c r="O188" s="205">
        <f ca="1">IF($B188="","",SUMPRODUCT(--(Lineups!$C$46:$C$83=$B188),Lineups!$AW$46:$AW$83))</f>
        <v>0</v>
      </c>
      <c r="Q188" s="205">
        <f t="shared" ca="1" si="108"/>
        <v>18</v>
      </c>
      <c r="T188" s="205">
        <f t="shared" si="109"/>
        <v>12</v>
      </c>
      <c r="U188" s="205" t="str">
        <f t="shared" si="110"/>
        <v>932</v>
      </c>
      <c r="V188" s="205" t="str">
        <f t="shared" si="110"/>
        <v>Heaven Lee Bash</v>
      </c>
      <c r="W188" s="205">
        <f ca="1">IF($U188="","",SUMPRODUCT(--(Lineups!$AG$46:$AG$83=$U188),--(Lineups!$AB$46:$AB$83=""),Lineups!$W$46:$W$83))</f>
        <v>0</v>
      </c>
      <c r="Y188" s="216">
        <f ca="1">IF($U188="","",SUMPRODUCT(--(Lineups!$AG$46:$AG$83=$U188),--(Lineups!$AB$46:$AB$83="X"),Lineups!$W$46:$W$83))</f>
        <v>0</v>
      </c>
      <c r="Z188" s="216">
        <f ca="1">IF(U188="","",(SUMPRODUCT(--(Lineups!$AK$46:$AK$83=$U188),Lineups!$W$46:$W$83)))</f>
        <v>0</v>
      </c>
      <c r="AA188" s="216">
        <f ca="1">IF(U188="","",(SUMPRODUCT(--(Lineups!$AO$46:$AO$83=$U188),Lineups!$W$46:$W$83)))</f>
        <v>55</v>
      </c>
      <c r="AB188" s="216">
        <f ca="1">IF(U188="","",(SUMPRODUCT(--(Lineups!$AS$46:$AS$83=$U188),Lineups!$W$46:$W$83)))</f>
        <v>0</v>
      </c>
      <c r="AC188" s="205">
        <f t="shared" ca="1" si="111"/>
        <v>55</v>
      </c>
      <c r="AE188" s="205">
        <f t="shared" ca="1" si="112"/>
        <v>55</v>
      </c>
      <c r="AH188" s="205">
        <f ca="1">IF($U188="","",SUMPRODUCT(--(Lineups!$AC$46:$AC$83=$U188),Lineups!$W$46:$W$83))</f>
        <v>0</v>
      </c>
      <c r="AJ188" s="205">
        <f t="shared" ca="1" si="113"/>
        <v>55</v>
      </c>
    </row>
    <row r="189" spans="1:36" x14ac:dyDescent="0.3">
      <c r="A189" s="23">
        <f t="shared" si="104"/>
        <v>13</v>
      </c>
      <c r="B189" s="23" t="str">
        <f t="shared" si="105"/>
        <v>84</v>
      </c>
      <c r="C189" s="23" t="str">
        <f t="shared" si="105"/>
        <v>MEGAnTRON</v>
      </c>
      <c r="D189" s="23">
        <f ca="1">IF($B189="","",SUMPRODUCT(--(Lineups!$G$46:$G$83=$B189),--(Lineups!$B$46:$B$83=""),Lineups!$AW$46:$AW$83))</f>
        <v>0</v>
      </c>
      <c r="F189" s="216">
        <f ca="1">IF($B189="","",SUMPRODUCT(--(Lineups!$G$46:$G$83=$B189),--(Lineups!$B$46:$B$83="X"),Lineups!$AW$46:$AW$83))</f>
        <v>0</v>
      </c>
      <c r="G189" s="216">
        <f ca="1">IF($B189="","",SUMPRODUCT(--(Lineups!$K$46:$K$83=$B189),Lineups!$AW$46:$AW$83))</f>
        <v>0</v>
      </c>
      <c r="H189" s="216">
        <f ca="1">IF($B189="","",SUMPRODUCT(--(Lineups!$O$46:$O$83=$B189),Lineups!$AW$46:$AW$83))</f>
        <v>0</v>
      </c>
      <c r="I189" s="216">
        <f ca="1">IF($B189="","",SUMPRODUCT(--(Lineups!$S$46:$S$83=$B189),Lineups!$AW$46:$AW$83))</f>
        <v>0</v>
      </c>
      <c r="J189" s="23">
        <f t="shared" ca="1" si="106"/>
        <v>0</v>
      </c>
      <c r="L189" s="23">
        <f t="shared" ca="1" si="107"/>
        <v>0</v>
      </c>
      <c r="O189" s="23">
        <f ca="1">IF($B189="","",SUMPRODUCT(--(Lineups!$C$46:$C$83=$B189),Lineups!$AW$46:$AW$83))</f>
        <v>16</v>
      </c>
      <c r="Q189" s="23">
        <f t="shared" ca="1" si="108"/>
        <v>16</v>
      </c>
      <c r="T189" s="23">
        <f t="shared" si="109"/>
        <v>13</v>
      </c>
      <c r="U189" s="23" t="str">
        <f t="shared" si="110"/>
        <v>H20</v>
      </c>
      <c r="V189" s="23" t="str">
        <f t="shared" si="110"/>
        <v>Lethal Mermaid</v>
      </c>
      <c r="W189" s="23">
        <f ca="1">IF($U189="","",SUMPRODUCT(--(Lineups!$AG$46:$AG$83=$U189),--(Lineups!$AB$46:$AB$83=""),Lineups!$W$46:$W$83))</f>
        <v>0</v>
      </c>
      <c r="Y189" s="216">
        <f ca="1">IF($U189="","",SUMPRODUCT(--(Lineups!$AG$46:$AG$83=$U189),--(Lineups!$AB$46:$AB$83="X"),Lineups!$W$46:$W$83))</f>
        <v>0</v>
      </c>
      <c r="Z189" s="216">
        <f ca="1">IF(U189="","",(SUMPRODUCT(--(Lineups!$AK$46:$AK$83=$U189),Lineups!$W$46:$W$83)))</f>
        <v>0</v>
      </c>
      <c r="AA189" s="216">
        <f ca="1">IF(U189="","",(SUMPRODUCT(--(Lineups!$AO$46:$AO$83=$U189),Lineups!$W$46:$W$83)))</f>
        <v>28</v>
      </c>
      <c r="AB189" s="216">
        <f ca="1">IF(U189="","",(SUMPRODUCT(--(Lineups!$AS$46:$AS$83=$U189),Lineups!$W$46:$W$83)))</f>
        <v>0</v>
      </c>
      <c r="AC189" s="23">
        <f t="shared" ca="1" si="111"/>
        <v>28</v>
      </c>
      <c r="AE189" s="23">
        <f t="shared" ca="1" si="112"/>
        <v>28</v>
      </c>
      <c r="AH189" s="23">
        <f ca="1">IF($U189="","",SUMPRODUCT(--(Lineups!$AC$46:$AC$83=$U189),Lineups!$W$46:$W$83))</f>
        <v>0</v>
      </c>
      <c r="AJ189" s="23">
        <f t="shared" ca="1" si="113"/>
        <v>28</v>
      </c>
    </row>
    <row r="190" spans="1:36" x14ac:dyDescent="0.3">
      <c r="A190" s="205">
        <f t="shared" si="104"/>
        <v>14</v>
      </c>
      <c r="B190" s="205" t="str">
        <f t="shared" si="105"/>
        <v>N01</v>
      </c>
      <c r="C190" s="205" t="str">
        <f t="shared" si="105"/>
        <v>Commander Will Wrecker</v>
      </c>
      <c r="D190" s="205">
        <f ca="1">IF($B190="","",SUMPRODUCT(--(Lineups!$G$46:$G$83=$B190),--(Lineups!$B$46:$B$83=""),Lineups!$AW$46:$AW$83))</f>
        <v>10</v>
      </c>
      <c r="F190" s="216">
        <f ca="1">IF($B190="","",SUMPRODUCT(--(Lineups!$G$46:$G$83=$B190),--(Lineups!$B$46:$B$83="X"),Lineups!$AW$46:$AW$83))</f>
        <v>0</v>
      </c>
      <c r="G190" s="216">
        <f ca="1">IF($B190="","",SUMPRODUCT(--(Lineups!$K$46:$K$83=$B190),Lineups!$AW$46:$AW$83))</f>
        <v>0</v>
      </c>
      <c r="H190" s="216">
        <f ca="1">IF($B190="","",SUMPRODUCT(--(Lineups!$O$46:$O$83=$B190),Lineups!$AW$46:$AW$83))</f>
        <v>0</v>
      </c>
      <c r="I190" s="216">
        <f ca="1">IF($B190="","",SUMPRODUCT(--(Lineups!$S$46:$S$83=$B190),Lineups!$AW$46:$AW$83))</f>
        <v>0</v>
      </c>
      <c r="J190" s="205">
        <f t="shared" ca="1" si="106"/>
        <v>0</v>
      </c>
      <c r="L190" s="205">
        <f t="shared" ca="1" si="107"/>
        <v>10</v>
      </c>
      <c r="O190" s="205">
        <f ca="1">IF($B190="","",SUMPRODUCT(--(Lineups!$C$46:$C$83=$B190),Lineups!$AW$46:$AW$83))</f>
        <v>0</v>
      </c>
      <c r="Q190" s="205">
        <f t="shared" ca="1" si="108"/>
        <v>10</v>
      </c>
      <c r="T190" s="205">
        <f t="shared" si="109"/>
        <v>14</v>
      </c>
      <c r="U190" s="205" t="str">
        <f t="shared" si="110"/>
        <v>K9</v>
      </c>
      <c r="V190" s="205" t="str">
        <f t="shared" si="110"/>
        <v>Scooby Doom</v>
      </c>
      <c r="W190" s="205">
        <f ca="1">IF($U190="","",SUMPRODUCT(--(Lineups!$AG$46:$AG$83=$U190),--(Lineups!$AB$46:$AB$83=""),Lineups!$W$46:$W$83))</f>
        <v>0</v>
      </c>
      <c r="Y190" s="216">
        <f ca="1">IF($U190="","",SUMPRODUCT(--(Lineups!$AG$46:$AG$83=$U190),--(Lineups!$AB$46:$AB$83="X"),Lineups!$W$46:$W$83))</f>
        <v>0</v>
      </c>
      <c r="Z190" s="216">
        <f ca="1">IF(U190="","",(SUMPRODUCT(--(Lineups!$AK$46:$AK$83=$U190),Lineups!$W$46:$W$83)))</f>
        <v>0</v>
      </c>
      <c r="AA190" s="216">
        <f ca="1">IF(U190="","",(SUMPRODUCT(--(Lineups!$AO$46:$AO$83=$U190),Lineups!$W$46:$W$83)))</f>
        <v>0</v>
      </c>
      <c r="AB190" s="216">
        <f ca="1">IF(U190="","",(SUMPRODUCT(--(Lineups!$AS$46:$AS$83=$U190),Lineups!$W$46:$W$83)))</f>
        <v>0</v>
      </c>
      <c r="AC190" s="205">
        <f t="shared" ca="1" si="111"/>
        <v>0</v>
      </c>
      <c r="AE190" s="205">
        <f t="shared" ca="1" si="112"/>
        <v>0</v>
      </c>
      <c r="AH190" s="205">
        <f ca="1">IF($U190="","",SUMPRODUCT(--(Lineups!$AC$46:$AC$83=$U190),Lineups!$W$46:$W$83))</f>
        <v>24</v>
      </c>
      <c r="AJ190" s="205">
        <f t="shared" ca="1" si="113"/>
        <v>24</v>
      </c>
    </row>
    <row r="191" spans="1:36" x14ac:dyDescent="0.3">
      <c r="A191" s="23">
        <f t="shared" si="104"/>
        <v>15</v>
      </c>
      <c r="B191" s="23" t="str">
        <f t="shared" si="105"/>
        <v/>
      </c>
      <c r="C191" s="23" t="str">
        <f t="shared" si="105"/>
        <v/>
      </c>
      <c r="D191" s="23" t="str">
        <f>IF($B191="","",SUMPRODUCT(--(Lineups!$G$46:$G$83=$B191),--(Lineups!$B$46:$B$83=""),Lineups!$AW$46:$AW$83))</f>
        <v/>
      </c>
      <c r="F191" s="216" t="str">
        <f>IF($B191="","",SUMPRODUCT(--(Lineups!$G$46:$G$83=$B191),--(Lineups!$B$46:$B$83="X"),Lineups!$AW$46:$AW$83))</f>
        <v/>
      </c>
      <c r="G191" s="216" t="str">
        <f>IF($B191="","",SUMPRODUCT(--(Lineups!$K$46:$K$83=$B191),Lineups!$AW$46:$AW$83))</f>
        <v/>
      </c>
      <c r="H191" s="216" t="str">
        <f>IF($B191="","",SUMPRODUCT(--(Lineups!$O$46:$O$83=$B191),Lineups!$AW$46:$AW$83))</f>
        <v/>
      </c>
      <c r="I191" s="216" t="str">
        <f>IF($B191="","",SUMPRODUCT(--(Lineups!$S$46:$S$83=$B191),Lineups!$AW$46:$AW$83))</f>
        <v/>
      </c>
      <c r="J191" s="23" t="str">
        <f t="shared" si="106"/>
        <v/>
      </c>
      <c r="L191" s="23" t="str">
        <f t="shared" si="107"/>
        <v/>
      </c>
      <c r="O191" s="23" t="str">
        <f>IF($B191="","",SUMPRODUCT(--(Lineups!$C$46:$C$83=$B191),Lineups!$AW$46:$AW$83))</f>
        <v/>
      </c>
      <c r="Q191" s="23" t="str">
        <f t="shared" si="108"/>
        <v/>
      </c>
      <c r="T191" s="23">
        <f t="shared" si="109"/>
        <v>15</v>
      </c>
      <c r="U191" s="23" t="str">
        <f t="shared" si="110"/>
        <v/>
      </c>
      <c r="V191" s="23" t="str">
        <f t="shared" si="110"/>
        <v/>
      </c>
      <c r="W191" s="23" t="str">
        <f>IF($U191="","",SUMPRODUCT(--(Lineups!$AG$46:$AG$83=$U191),--(Lineups!$AB$46:$AB$83=""),Lineups!$W$46:$W$83))</f>
        <v/>
      </c>
      <c r="Y191" s="216" t="str">
        <f>IF($U191="","",SUMPRODUCT(--(Lineups!$AG$46:$AG$83=$U191),--(Lineups!$AB$46:$AB$83="X"),Lineups!$W$46:$W$83))</f>
        <v/>
      </c>
      <c r="Z191" s="216" t="str">
        <f>IF(U191="","",(SUMPRODUCT(--(Lineups!$AK$46:$AK$83=$U191),Lineups!$W$46:$W$83)))</f>
        <v/>
      </c>
      <c r="AA191" s="216" t="str">
        <f>IF(U191="","",(SUMPRODUCT(--(Lineups!$AO$46:$AO$83=$U191),Lineups!$W$46:$W$83)))</f>
        <v/>
      </c>
      <c r="AB191" s="216" t="str">
        <f>IF(U191="","",(SUMPRODUCT(--(Lineups!$AS$46:$AS$83=$U191),Lineups!$W$46:$W$83)))</f>
        <v/>
      </c>
      <c r="AC191" s="23">
        <f t="shared" si="111"/>
        <v>0</v>
      </c>
      <c r="AE191" s="23" t="str">
        <f t="shared" si="112"/>
        <v/>
      </c>
      <c r="AH191" s="23" t="str">
        <f>IF($U191="","",SUMPRODUCT(--(Lineups!$AC$46:$AC$83=$U191),Lineups!$W$46:$W$83))</f>
        <v/>
      </c>
      <c r="AJ191" s="23" t="str">
        <f t="shared" si="113"/>
        <v/>
      </c>
    </row>
    <row r="192" spans="1:36" x14ac:dyDescent="0.3">
      <c r="A192" s="205">
        <f t="shared" si="104"/>
        <v>16</v>
      </c>
      <c r="B192" s="205" t="str">
        <f t="shared" si="105"/>
        <v/>
      </c>
      <c r="C192" s="205" t="str">
        <f t="shared" si="105"/>
        <v/>
      </c>
      <c r="D192" s="205" t="str">
        <f>IF($B192="","",SUMPRODUCT(--(Lineups!$G$46:$G$83=$B192),--(Lineups!$B$46:$B$83=""),Lineups!$AW$46:$AW$83))</f>
        <v/>
      </c>
      <c r="F192" s="216" t="str">
        <f>IF($B192="","",SUMPRODUCT(--(Lineups!$G$46:$G$83=$B192),--(Lineups!$B$46:$B$83="X"),Lineups!$AW$46:$AW$83))</f>
        <v/>
      </c>
      <c r="G192" s="216" t="str">
        <f>IF($B192="","",SUMPRODUCT(--(Lineups!$K$46:$K$83=$B192),Lineups!$AW$46:$AW$83))</f>
        <v/>
      </c>
      <c r="H192" s="216" t="str">
        <f>IF($B192="","",SUMPRODUCT(--(Lineups!$O$46:$O$83=$B192),Lineups!$AW$46:$AW$83))</f>
        <v/>
      </c>
      <c r="I192" s="216" t="str">
        <f>IF($B192="","",SUMPRODUCT(--(Lineups!$S$46:$S$83=$B192),Lineups!$AW$46:$AW$83))</f>
        <v/>
      </c>
      <c r="J192" s="205" t="str">
        <f t="shared" si="106"/>
        <v/>
      </c>
      <c r="L192" s="205" t="str">
        <f t="shared" si="107"/>
        <v/>
      </c>
      <c r="O192" s="205" t="str">
        <f>IF($B192="","",SUMPRODUCT(--(Lineups!$C$46:$C$83=$B192),Lineups!$AW$46:$AW$83))</f>
        <v/>
      </c>
      <c r="Q192" s="205" t="str">
        <f t="shared" si="108"/>
        <v/>
      </c>
      <c r="T192" s="205">
        <f t="shared" si="109"/>
        <v>16</v>
      </c>
      <c r="U192" s="205" t="str">
        <f t="shared" si="110"/>
        <v/>
      </c>
      <c r="V192" s="205" t="str">
        <f t="shared" si="110"/>
        <v/>
      </c>
      <c r="W192" s="205" t="str">
        <f>IF($U192="","",SUMPRODUCT(--(Lineups!$AG$46:$AG$83=$U192),--(Lineups!$AB$46:$AB$83=""),Lineups!$W$46:$W$83))</f>
        <v/>
      </c>
      <c r="Y192" s="216" t="str">
        <f>IF($U192="","",SUMPRODUCT(--(Lineups!$AG$46:$AG$83=$U192),--(Lineups!$AB$46:$AB$83="X"),Lineups!$W$46:$W$83))</f>
        <v/>
      </c>
      <c r="Z192" s="216" t="str">
        <f>IF(U192="","",(SUMPRODUCT(--(Lineups!$AK$46:$AK$83=$U192),Lineups!$W$46:$W$83)))</f>
        <v/>
      </c>
      <c r="AA192" s="216" t="str">
        <f>IF(U192="","",(SUMPRODUCT(--(Lineups!$AO$46:$AO$83=$U192),Lineups!$W$46:$W$83)))</f>
        <v/>
      </c>
      <c r="AB192" s="216" t="str">
        <f>IF(U192="","",(SUMPRODUCT(--(Lineups!$AS$46:$AS$83=$U192),Lineups!$W$46:$W$83)))</f>
        <v/>
      </c>
      <c r="AC192" s="205">
        <f t="shared" si="111"/>
        <v>0</v>
      </c>
      <c r="AE192" s="205" t="str">
        <f t="shared" si="112"/>
        <v/>
      </c>
      <c r="AH192" s="205" t="str">
        <f>IF($U192="","",SUMPRODUCT(--(Lineups!$AC$46:$AC$83=$U192),Lineups!$W$46:$W$83))</f>
        <v/>
      </c>
      <c r="AJ192" s="205" t="str">
        <f t="shared" si="113"/>
        <v/>
      </c>
    </row>
    <row r="193" spans="1:36" x14ac:dyDescent="0.3">
      <c r="A193" s="23">
        <f t="shared" si="104"/>
        <v>17</v>
      </c>
      <c r="B193" s="23" t="str">
        <f t="shared" si="105"/>
        <v/>
      </c>
      <c r="C193" s="23" t="str">
        <f t="shared" si="105"/>
        <v/>
      </c>
      <c r="D193" s="23" t="str">
        <f>IF($B193="","",SUMPRODUCT(--(Lineups!$G$46:$G$83=$B193),--(Lineups!$B$46:$B$83=""),Lineups!$AW$46:$AW$83))</f>
        <v/>
      </c>
      <c r="F193" s="216" t="str">
        <f>IF($B193="","",SUMPRODUCT(--(Lineups!$G$46:$G$83=$B193),--(Lineups!$B$46:$B$83="X"),Lineups!$AW$46:$AW$83))</f>
        <v/>
      </c>
      <c r="G193" s="216" t="str">
        <f>IF($B193="","",SUMPRODUCT(--(Lineups!$K$46:$K$83=$B193),Lineups!$AW$46:$AW$83))</f>
        <v/>
      </c>
      <c r="H193" s="216" t="str">
        <f>IF($B193="","",SUMPRODUCT(--(Lineups!$O$46:$O$83=$B193),Lineups!$AW$46:$AW$83))</f>
        <v/>
      </c>
      <c r="I193" s="216" t="str">
        <f>IF($B193="","",SUMPRODUCT(--(Lineups!$S$46:$S$83=$B193),Lineups!$AW$46:$AW$83))</f>
        <v/>
      </c>
      <c r="J193" s="23" t="str">
        <f t="shared" si="106"/>
        <v/>
      </c>
      <c r="L193" s="23" t="str">
        <f t="shared" si="107"/>
        <v/>
      </c>
      <c r="O193" s="23" t="str">
        <f>IF($B193="","",SUMPRODUCT(--(Lineups!$C$46:$C$83=$B193),Lineups!$AW$46:$AW$83))</f>
        <v/>
      </c>
      <c r="Q193" s="23" t="str">
        <f t="shared" si="108"/>
        <v/>
      </c>
      <c r="T193" s="23">
        <f t="shared" si="109"/>
        <v>17</v>
      </c>
      <c r="U193" s="23" t="str">
        <f t="shared" si="110"/>
        <v/>
      </c>
      <c r="V193" s="23" t="str">
        <f t="shared" si="110"/>
        <v/>
      </c>
      <c r="W193" s="23" t="str">
        <f>IF($U193="","",SUMPRODUCT(--(Lineups!$AG$46:$AG$83=$U193),--(Lineups!$AB$46:$AB$83=""),Lineups!$W$46:$W$83))</f>
        <v/>
      </c>
      <c r="Y193" s="216" t="str">
        <f>IF($U193="","",SUMPRODUCT(--(Lineups!$AG$46:$AG$83=$U193),--(Lineups!$AB$46:$AB$83="X"),Lineups!$W$46:$W$83))</f>
        <v/>
      </c>
      <c r="Z193" s="216" t="str">
        <f>IF(U193="","",(SUMPRODUCT(--(Lineups!$AK$46:$AK$83=$U193),Lineups!$W$46:$W$83)))</f>
        <v/>
      </c>
      <c r="AA193" s="216" t="str">
        <f>IF(U193="","",(SUMPRODUCT(--(Lineups!$AO$46:$AO$83=$U193),Lineups!$W$46:$W$83)))</f>
        <v/>
      </c>
      <c r="AB193" s="216" t="str">
        <f>IF(U193="","",(SUMPRODUCT(--(Lineups!$AS$46:$AS$83=$U193),Lineups!$W$46:$W$83)))</f>
        <v/>
      </c>
      <c r="AC193" s="23">
        <f t="shared" si="111"/>
        <v>0</v>
      </c>
      <c r="AE193" s="23" t="str">
        <f t="shared" si="112"/>
        <v/>
      </c>
      <c r="AH193" s="23" t="str">
        <f>IF($U193="","",SUMPRODUCT(--(Lineups!$AC$46:$AC$83=$U193),Lineups!$W$46:$W$83))</f>
        <v/>
      </c>
      <c r="AJ193" s="23" t="str">
        <f t="shared" si="113"/>
        <v/>
      </c>
    </row>
    <row r="194" spans="1:36" x14ac:dyDescent="0.3">
      <c r="A194" s="205">
        <f t="shared" si="104"/>
        <v>18</v>
      </c>
      <c r="B194" s="205" t="str">
        <f t="shared" si="105"/>
        <v/>
      </c>
      <c r="C194" s="205" t="str">
        <f t="shared" si="105"/>
        <v/>
      </c>
      <c r="D194" s="205" t="str">
        <f>IF($B194="","",SUMPRODUCT(--(Lineups!$G$46:$G$83=$B194),--(Lineups!$B$46:$B$83=""),Lineups!$AW$46:$AW$83))</f>
        <v/>
      </c>
      <c r="F194" s="216" t="str">
        <f>IF($B194="","",SUMPRODUCT(--(Lineups!$G$46:$G$83=$B194),--(Lineups!$B$46:$B$83="X"),Lineups!$AW$46:$AW$83))</f>
        <v/>
      </c>
      <c r="G194" s="216" t="str">
        <f>IF($B194="","",SUMPRODUCT(--(Lineups!$K$46:$K$83=$B194),Lineups!$AW$46:$AW$83))</f>
        <v/>
      </c>
      <c r="H194" s="216" t="str">
        <f>IF($B194="","",SUMPRODUCT(--(Lineups!$O$46:$O$83=$B194),Lineups!$AW$46:$AW$83))</f>
        <v/>
      </c>
      <c r="I194" s="216" t="str">
        <f>IF($B194="","",SUMPRODUCT(--(Lineups!$S$46:$S$83=$B194),Lineups!$AW$46:$AW$83))</f>
        <v/>
      </c>
      <c r="J194" s="205" t="str">
        <f t="shared" si="106"/>
        <v/>
      </c>
      <c r="L194" s="205" t="str">
        <f t="shared" si="107"/>
        <v/>
      </c>
      <c r="O194" s="205" t="str">
        <f>IF($B194="","",SUMPRODUCT(--(Lineups!$C$46:$C$83=$B194),Lineups!$AW$46:$AW$83))</f>
        <v/>
      </c>
      <c r="Q194" s="205" t="str">
        <f t="shared" si="108"/>
        <v/>
      </c>
      <c r="T194" s="205">
        <f t="shared" si="109"/>
        <v>18</v>
      </c>
      <c r="U194" s="205" t="str">
        <f t="shared" si="110"/>
        <v/>
      </c>
      <c r="V194" s="205" t="str">
        <f t="shared" si="110"/>
        <v/>
      </c>
      <c r="W194" s="205" t="str">
        <f>IF($U194="","",SUMPRODUCT(--(Lineups!$AG$46:$AG$83=$U194),--(Lineups!$AB$46:$AB$83=""),Lineups!$W$46:$W$83))</f>
        <v/>
      </c>
      <c r="Y194" s="216" t="str">
        <f>IF($U194="","",SUMPRODUCT(--(Lineups!$AG$46:$AG$83=$U194),--(Lineups!$AB$46:$AB$83="X"),Lineups!$W$46:$W$83))</f>
        <v/>
      </c>
      <c r="Z194" s="216" t="str">
        <f>IF(U194="","",(SUMPRODUCT(--(Lineups!$AK$46:$AK$83=$U194),Lineups!$W$46:$W$83)))</f>
        <v/>
      </c>
      <c r="AA194" s="216" t="str">
        <f>IF(U194="","",(SUMPRODUCT(--(Lineups!$AO$46:$AO$83=$U194),Lineups!$W$46:$W$83)))</f>
        <v/>
      </c>
      <c r="AB194" s="216" t="str">
        <f>IF(U194="","",(SUMPRODUCT(--(Lineups!$AS$46:$AS$83=$U194),Lineups!$W$46:$W$83)))</f>
        <v/>
      </c>
      <c r="AC194" s="205">
        <f t="shared" si="111"/>
        <v>0</v>
      </c>
      <c r="AE194" s="205" t="str">
        <f t="shared" si="112"/>
        <v/>
      </c>
      <c r="AH194" s="205" t="str">
        <f>IF($U194="","",SUMPRODUCT(--(Lineups!$AC$46:$AC$83=$U194),Lineups!$W$46:$W$83))</f>
        <v/>
      </c>
      <c r="AJ194" s="205" t="str">
        <f t="shared" si="113"/>
        <v/>
      </c>
    </row>
    <row r="195" spans="1:36" x14ac:dyDescent="0.3">
      <c r="A195" s="23">
        <f t="shared" si="104"/>
        <v>19</v>
      </c>
      <c r="B195" s="23" t="str">
        <f t="shared" si="105"/>
        <v/>
      </c>
      <c r="C195" s="23" t="str">
        <f t="shared" si="105"/>
        <v/>
      </c>
      <c r="D195" s="23" t="str">
        <f>IF($B195="","",SUMPRODUCT(--(Lineups!$G$46:$G$83=$B195),--(Lineups!$B$46:$B$83=""),Lineups!$AW$46:$AW$83))</f>
        <v/>
      </c>
      <c r="F195" s="216" t="str">
        <f>IF($B195="","",SUMPRODUCT(--(Lineups!$G$46:$G$83=$B195),--(Lineups!$B$46:$B$83="X"),Lineups!$AW$46:$AW$83))</f>
        <v/>
      </c>
      <c r="G195" s="216" t="str">
        <f>IF($B195="","",SUMPRODUCT(--(Lineups!$K$46:$K$83=$B195),Lineups!$AW$46:$AW$83))</f>
        <v/>
      </c>
      <c r="H195" s="216" t="str">
        <f>IF($B195="","",SUMPRODUCT(--(Lineups!$O$46:$O$83=$B195),Lineups!$AW$46:$AW$83))</f>
        <v/>
      </c>
      <c r="I195" s="216" t="str">
        <f>IF($B195="","",SUMPRODUCT(--(Lineups!$S$46:$S$83=$B195),Lineups!$AW$46:$AW$83))</f>
        <v/>
      </c>
      <c r="J195" s="23" t="str">
        <f t="shared" si="106"/>
        <v/>
      </c>
      <c r="L195" s="23" t="str">
        <f t="shared" si="107"/>
        <v/>
      </c>
      <c r="O195" s="23" t="str">
        <f>IF($B195="","",SUMPRODUCT(--(Lineups!$C$46:$C$83=$B195),Lineups!$AW$46:$AW$83))</f>
        <v/>
      </c>
      <c r="Q195" s="23" t="str">
        <f t="shared" si="108"/>
        <v/>
      </c>
      <c r="T195" s="23">
        <f t="shared" si="109"/>
        <v>19</v>
      </c>
      <c r="U195" s="23" t="str">
        <f t="shared" si="110"/>
        <v/>
      </c>
      <c r="V195" s="23" t="str">
        <f t="shared" si="110"/>
        <v/>
      </c>
      <c r="W195" s="23" t="str">
        <f>IF($U195="","",SUMPRODUCT(--(Lineups!$AG$46:$AG$83=$U195),--(Lineups!$AB$46:$AB$83=""),Lineups!$W$46:$W$83))</f>
        <v/>
      </c>
      <c r="Y195" s="216" t="str">
        <f>IF($U195="","",SUMPRODUCT(--(Lineups!$AG$46:$AG$83=$U195),--(Lineups!$AB$46:$AB$83="X"),Lineups!$W$46:$W$83))</f>
        <v/>
      </c>
      <c r="Z195" s="216" t="str">
        <f>IF(U195="","",(SUMPRODUCT(--(Lineups!$AK$46:$AK$83=$U195),Lineups!$W$46:$W$83)))</f>
        <v/>
      </c>
      <c r="AA195" s="216" t="str">
        <f>IF(U195="","",(SUMPRODUCT(--(Lineups!$AO$46:$AO$83=$U195),Lineups!$W$46:$W$83)))</f>
        <v/>
      </c>
      <c r="AB195" s="216" t="str">
        <f>IF(U195="","",(SUMPRODUCT(--(Lineups!$AS$46:$AS$83=$U195),Lineups!$W$46:$W$83)))</f>
        <v/>
      </c>
      <c r="AC195" s="23">
        <f t="shared" si="111"/>
        <v>0</v>
      </c>
      <c r="AE195" s="23" t="str">
        <f t="shared" si="112"/>
        <v/>
      </c>
      <c r="AH195" s="23" t="str">
        <f>IF($U195="","",SUMPRODUCT(--(Lineups!$AC$46:$AC$83=$U195),Lineups!$W$46:$W$83))</f>
        <v/>
      </c>
      <c r="AJ195" s="23" t="str">
        <f t="shared" si="113"/>
        <v/>
      </c>
    </row>
    <row r="196" spans="1:36" x14ac:dyDescent="0.3">
      <c r="A196" s="205">
        <f t="shared" si="104"/>
        <v>20</v>
      </c>
      <c r="B196" s="205" t="str">
        <f t="shared" si="105"/>
        <v/>
      </c>
      <c r="C196" s="205" t="str">
        <f t="shared" si="105"/>
        <v/>
      </c>
      <c r="D196" s="205" t="str">
        <f>IF($B196="","",SUMPRODUCT(--(Lineups!$G$46:$G$83=$B196),--(Lineups!$B$46:$B$83=""),Lineups!$AW$46:$AW$83))</f>
        <v/>
      </c>
      <c r="F196" s="216" t="str">
        <f>IF($B196="","",SUMPRODUCT(--(Lineups!$G$46:$G$83=$B196),--(Lineups!$B$46:$B$83="X"),Lineups!$AW$46:$AW$83))</f>
        <v/>
      </c>
      <c r="G196" s="216" t="str">
        <f>IF($B196="","",SUMPRODUCT(--(Lineups!$K$46:$K$83=$B196),Lineups!$AW$46:$AW$83))</f>
        <v/>
      </c>
      <c r="H196" s="216" t="str">
        <f>IF($B196="","",SUMPRODUCT(--(Lineups!$O$46:$O$83=$B196),Lineups!$AW$46:$AW$83))</f>
        <v/>
      </c>
      <c r="I196" s="216" t="str">
        <f>IF($B196="","",SUMPRODUCT(--(Lineups!$S$46:$S$83=$B196),Lineups!$AW$46:$AW$83))</f>
        <v/>
      </c>
      <c r="J196" s="205" t="str">
        <f t="shared" si="106"/>
        <v/>
      </c>
      <c r="L196" s="205" t="str">
        <f t="shared" si="107"/>
        <v/>
      </c>
      <c r="O196" s="205" t="str">
        <f>IF($B196="","",SUMPRODUCT(--(Lineups!$C$46:$C$83=$B196),Lineups!$AW$46:$AW$83))</f>
        <v/>
      </c>
      <c r="Q196" s="205" t="str">
        <f t="shared" si="108"/>
        <v/>
      </c>
      <c r="T196" s="205">
        <f t="shared" si="109"/>
        <v>20</v>
      </c>
      <c r="U196" s="205" t="str">
        <f t="shared" si="110"/>
        <v/>
      </c>
      <c r="V196" s="205" t="str">
        <f t="shared" si="110"/>
        <v/>
      </c>
      <c r="W196" s="205" t="str">
        <f>IF($U196="","",SUMPRODUCT(--(Lineups!$AG$46:$AG$83=$U196),--(Lineups!$AB$46:$AB$83=""),Lineups!$W$46:$W$83))</f>
        <v/>
      </c>
      <c r="Y196" s="216" t="str">
        <f>IF($U196="","",SUMPRODUCT(--(Lineups!$AG$46:$AG$83=$U196),--(Lineups!$AB$46:$AB$83="X"),Lineups!$W$46:$W$83))</f>
        <v/>
      </c>
      <c r="Z196" s="216" t="str">
        <f>IF(U196="","",(SUMPRODUCT(--(Lineups!$AK$46:$AK$83=$U196),Lineups!$W$46:$W$83)))</f>
        <v/>
      </c>
      <c r="AA196" s="216" t="str">
        <f>IF(U196="","",(SUMPRODUCT(--(Lineups!$AO$46:$AO$83=$U196),Lineups!$W$46:$W$83)))</f>
        <v/>
      </c>
      <c r="AB196" s="216" t="str">
        <f>IF(U196="","",(SUMPRODUCT(--(Lineups!$AS$46:$AS$83=$U196),Lineups!$W$46:$W$83)))</f>
        <v/>
      </c>
      <c r="AC196" s="205">
        <f t="shared" si="111"/>
        <v>0</v>
      </c>
      <c r="AE196" s="205" t="str">
        <f t="shared" si="112"/>
        <v/>
      </c>
      <c r="AH196" s="205" t="str">
        <f>IF($U196="","",SUMPRODUCT(--(Lineups!$AC$46:$AC$83=$U196),Lineups!$W$46:$W$83))</f>
        <v/>
      </c>
      <c r="AJ196" s="205" t="str">
        <f t="shared" si="113"/>
        <v/>
      </c>
    </row>
  </sheetData>
  <sheetProtection selectLockedCells="1" selectUnlockedCells="1"/>
  <mergeCells count="16">
    <mergeCell ref="A152:C152"/>
    <mergeCell ref="T152:V152"/>
    <mergeCell ref="A175:C175"/>
    <mergeCell ref="T175:V175"/>
    <mergeCell ref="A76:C76"/>
    <mergeCell ref="T76:V76"/>
    <mergeCell ref="A106:C106"/>
    <mergeCell ref="T106:V106"/>
    <mergeCell ref="A129:C129"/>
    <mergeCell ref="T129:V129"/>
    <mergeCell ref="A7:C7"/>
    <mergeCell ref="T7:V7"/>
    <mergeCell ref="A30:C30"/>
    <mergeCell ref="T30:V30"/>
    <mergeCell ref="A53:C53"/>
    <mergeCell ref="T53:V53"/>
  </mergeCells>
  <phoneticPr fontId="8" type="noConversion"/>
  <pageMargins left="0.7" right="0.7" top="0.75" bottom="0.75" header="0.51180555555555551" footer="0.51180555555555551"/>
  <pageSetup scale="53" firstPageNumber="0" orientation="portrait" horizontalDpi="300" verticalDpi="300" r:id="rId1"/>
  <headerFooter alignWithMargins="0"/>
  <rowBreaks count="1" manualBreakCount="1">
    <brk id="99" max="16383" man="1"/>
  </rowBreaks>
  <colBreaks count="3" manualBreakCount="3">
    <brk id="9" max="1048575" man="1"/>
    <brk id="19" max="1048575" man="1"/>
    <brk id="28" max="1048575" man="1"/>
  </colBreaks>
  <ignoredErrors>
    <ignoredError sqref="AG123" formula="1"/>
  </ignoredError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indexed="13"/>
  </sheetPr>
  <dimension ref="A1:AX102"/>
  <sheetViews>
    <sheetView zoomScaleSheetLayoutView="100" workbookViewId="0"/>
  </sheetViews>
  <sheetFormatPr defaultColWidth="8.88671875" defaultRowHeight="13.8" x14ac:dyDescent="0.3"/>
  <cols>
    <col min="1" max="1" width="5.6640625" style="109" customWidth="1"/>
    <col min="2" max="2" width="11.44140625" style="109" customWidth="1"/>
    <col min="3" max="3" width="20.6640625" style="109" customWidth="1"/>
    <col min="4" max="4" width="5.6640625" style="556" customWidth="1"/>
    <col min="5" max="20" width="3.6640625" style="556" customWidth="1"/>
    <col min="21" max="22" width="5.6640625" style="556" customWidth="1"/>
    <col min="23" max="35" width="3.6640625" style="556" customWidth="1"/>
    <col min="36" max="36" width="6.6640625" style="556" customWidth="1"/>
    <col min="37" max="37" width="11.44140625" style="556" customWidth="1"/>
    <col min="38" max="50" width="3.6640625" style="556" customWidth="1"/>
    <col min="51" max="51" width="3.44140625" style="109" bestFit="1" customWidth="1"/>
    <col min="52" max="55" width="11.44140625" style="109" customWidth="1"/>
    <col min="56" max="67" width="3.6640625" style="109" customWidth="1"/>
    <col min="68" max="68" width="6.6640625" style="109" customWidth="1"/>
    <col min="69" max="84" width="3.6640625" style="109" customWidth="1"/>
    <col min="85" max="85" width="6.6640625" style="109" customWidth="1"/>
    <col min="86" max="86" width="11.44140625" style="109" customWidth="1"/>
    <col min="87" max="90" width="3.6640625" style="109" customWidth="1"/>
    <col min="91" max="266" width="11.44140625" style="109" customWidth="1"/>
    <col min="267" max="16384" width="8.88671875" style="109"/>
  </cols>
  <sheetData>
    <row r="1" spans="1:36" s="109" customFormat="1" ht="12.75" customHeight="1" x14ac:dyDescent="0.3">
      <c r="A1" s="551"/>
      <c r="B1" s="551"/>
      <c r="C1" s="551"/>
      <c r="D1" s="549"/>
      <c r="E1" s="628" t="s">
        <v>443</v>
      </c>
      <c r="F1" s="629"/>
      <c r="G1" s="630"/>
      <c r="H1" s="630"/>
      <c r="I1" s="630"/>
      <c r="J1" s="552"/>
      <c r="K1" s="552"/>
      <c r="L1" s="552"/>
      <c r="M1" s="552"/>
      <c r="N1" s="552"/>
      <c r="O1" s="552"/>
      <c r="P1" s="552"/>
      <c r="Q1" s="552"/>
      <c r="R1" s="552"/>
      <c r="S1" s="552"/>
      <c r="T1" s="552"/>
      <c r="U1" s="552"/>
      <c r="V1" s="1169" t="s">
        <v>352</v>
      </c>
      <c r="W1" s="1170" t="s">
        <v>222</v>
      </c>
      <c r="X1" s="1170"/>
      <c r="Y1" s="1170"/>
      <c r="Z1" s="1170"/>
      <c r="AA1" s="1170"/>
      <c r="AB1" s="1170"/>
      <c r="AC1" s="1170"/>
      <c r="AD1" s="1170"/>
      <c r="AE1" s="1170"/>
      <c r="AF1" s="1170"/>
      <c r="AG1" s="1170"/>
      <c r="AH1" s="1170"/>
      <c r="AI1" s="1170"/>
      <c r="AJ1" s="1170"/>
    </row>
    <row r="2" spans="1:36" s="556" customFormat="1" ht="12.75" customHeight="1" thickBot="1" x14ac:dyDescent="0.35">
      <c r="A2" s="553" t="s">
        <v>18</v>
      </c>
      <c r="B2" s="553" t="s">
        <v>36</v>
      </c>
      <c r="C2" s="553" t="s">
        <v>37</v>
      </c>
      <c r="D2" s="553"/>
      <c r="E2" s="553" t="s">
        <v>136</v>
      </c>
      <c r="F2" s="553" t="s">
        <v>148</v>
      </c>
      <c r="G2" s="553" t="s">
        <v>151</v>
      </c>
      <c r="H2" s="553" t="s">
        <v>144</v>
      </c>
      <c r="I2" s="553" t="s">
        <v>146</v>
      </c>
      <c r="J2" s="553" t="s">
        <v>138</v>
      </c>
      <c r="K2" s="553" t="s">
        <v>153</v>
      </c>
      <c r="L2" s="553" t="s">
        <v>155</v>
      </c>
      <c r="M2" s="553" t="s">
        <v>142</v>
      </c>
      <c r="N2" s="553" t="s">
        <v>157</v>
      </c>
      <c r="O2" s="553" t="s">
        <v>140</v>
      </c>
      <c r="P2" s="553" t="s">
        <v>159</v>
      </c>
      <c r="Q2" s="553" t="s">
        <v>150</v>
      </c>
      <c r="R2" s="553" t="s">
        <v>162</v>
      </c>
      <c r="S2" s="553" t="s">
        <v>234</v>
      </c>
      <c r="T2" s="553" t="s">
        <v>164</v>
      </c>
      <c r="U2" s="554" t="s">
        <v>19</v>
      </c>
      <c r="V2" s="1169"/>
      <c r="W2" s="555" t="s">
        <v>403</v>
      </c>
      <c r="X2" s="555" t="s">
        <v>136</v>
      </c>
      <c r="Y2" s="555" t="s">
        <v>148</v>
      </c>
      <c r="Z2" s="555" t="s">
        <v>151</v>
      </c>
      <c r="AA2" s="555" t="s">
        <v>144</v>
      </c>
      <c r="AB2" s="555" t="s">
        <v>146</v>
      </c>
      <c r="AC2" s="555" t="s">
        <v>138</v>
      </c>
      <c r="AD2" s="555" t="s">
        <v>153</v>
      </c>
      <c r="AE2" s="555" t="s">
        <v>155</v>
      </c>
      <c r="AF2" s="555" t="s">
        <v>142</v>
      </c>
      <c r="AG2" s="555" t="s">
        <v>157</v>
      </c>
      <c r="AH2" s="555" t="s">
        <v>162</v>
      </c>
      <c r="AI2" s="555" t="s">
        <v>164</v>
      </c>
      <c r="AJ2" s="555"/>
    </row>
    <row r="3" spans="1:36" s="109" customFormat="1" x14ac:dyDescent="0.3">
      <c r="A3" s="1166">
        <v>1</v>
      </c>
      <c r="B3" s="1167" t="str">
        <f>IF(IGRF!B14="","",IGRF!B14)</f>
        <v>0</v>
      </c>
      <c r="C3" s="1168" t="str">
        <f>IF(IGRF!C14="","",IGRF!C14)</f>
        <v>Andi Slamberg</v>
      </c>
      <c r="D3" s="556" t="s">
        <v>17</v>
      </c>
      <c r="E3" s="549">
        <f>IF($B3="","",COUNTIF(Penalties!$B4:$J4,E$2))</f>
        <v>0</v>
      </c>
      <c r="F3" s="549">
        <f>IF($B3="","",COUNTIF(Penalties!$B4:$J4,F$2))</f>
        <v>0</v>
      </c>
      <c r="G3" s="549">
        <f>IF($B3="","",COUNTIF(Penalties!$B4:$J4,G$2))</f>
        <v>0</v>
      </c>
      <c r="H3" s="549">
        <f>IF($B3="","",COUNTIF(Penalties!$B4:$J4,H$2))</f>
        <v>0</v>
      </c>
      <c r="I3" s="549">
        <f>IF($B3="","",COUNTIF(Penalties!$B4:$J4,I$2))</f>
        <v>0</v>
      </c>
      <c r="J3" s="549">
        <f>IF($B3="","",COUNTIF(Penalties!$B4:$J4,J$2))</f>
        <v>0</v>
      </c>
      <c r="K3" s="549">
        <f>IF($B3="","",COUNTIF(Penalties!$B4:$J4,K$2))</f>
        <v>0</v>
      </c>
      <c r="L3" s="549">
        <f>IF($B3="","",COUNTIF(Penalties!$B4:$J4,L$2))</f>
        <v>0</v>
      </c>
      <c r="M3" s="549">
        <f>IF($B3="","",COUNTIF(Penalties!$B4:$J4,M$2))</f>
        <v>0</v>
      </c>
      <c r="N3" s="549">
        <f>IF($B3="","",COUNTIF(Penalties!$B4:$J4,N$2))</f>
        <v>1</v>
      </c>
      <c r="O3" s="549">
        <f>IF($B3="","",COUNTIF(Penalties!$B4:$J4,O$2))</f>
        <v>0</v>
      </c>
      <c r="P3" s="549">
        <f>IF($B3="","",COUNTIF(Penalties!$B4:$J4,P$2))</f>
        <v>0</v>
      </c>
      <c r="Q3" s="549">
        <f>IF($B3="","",COUNTIF(Penalties!$B4:$J4,Q$2))</f>
        <v>0</v>
      </c>
      <c r="R3" s="549">
        <f>IF($B3="","",COUNTIF(Penalties!$B4:$J4,R$2))</f>
        <v>0</v>
      </c>
      <c r="S3" s="549">
        <f>IF($B3="","",COUNTIF(Penalties!$B4:$J4,S$2))</f>
        <v>0</v>
      </c>
      <c r="T3" s="549">
        <f>IF($B3="","",COUNTIF(Penalties!$B4:$J4,T$2))</f>
        <v>0</v>
      </c>
      <c r="U3" s="557">
        <f>IF(B3="","",SUM(E3:T3))</f>
        <v>1</v>
      </c>
      <c r="V3" s="558">
        <f>IF(B3="","",SUM(E3:T3)*0.5)</f>
        <v>0.5</v>
      </c>
      <c r="W3" s="559" t="str">
        <f>IF($B3="","",IF(Penalties!$K4=W$2,1,""))</f>
        <v/>
      </c>
      <c r="X3" s="559" t="str">
        <f>IF($B3="","",IF(Penalties!$K4=X$2,1,""))</f>
        <v/>
      </c>
      <c r="Y3" s="559" t="str">
        <f>IF($B3="","",IF(Penalties!$K4=Y$2,1,""))</f>
        <v/>
      </c>
      <c r="Z3" s="559" t="str">
        <f>IF($B3="","",IF(Penalties!$K4=Z$2,1,""))</f>
        <v/>
      </c>
      <c r="AA3" s="559" t="str">
        <f>IF($B3="","",IF(Penalties!$K4=AA$2,1,""))</f>
        <v/>
      </c>
      <c r="AB3" s="559" t="str">
        <f>IF($B3="","",IF(Penalties!$K4=AB$2,1,""))</f>
        <v/>
      </c>
      <c r="AC3" s="559" t="str">
        <f>IF($B3="","",IF(Penalties!$K4=AC$2,1,""))</f>
        <v/>
      </c>
      <c r="AD3" s="559" t="str">
        <f>IF($B3="","",IF(Penalties!$K4=AD$2,1,""))</f>
        <v/>
      </c>
      <c r="AE3" s="559" t="str">
        <f>IF($B3="","",IF(Penalties!$K4=AE$2,1,""))</f>
        <v/>
      </c>
      <c r="AF3" s="559" t="str">
        <f>IF($B3="","",IF(Penalties!$K4=AF$2,1,""))</f>
        <v/>
      </c>
      <c r="AG3" s="559" t="str">
        <f>IF($B3="","",IF(Penalties!$K4=AG$2,1,""))</f>
        <v/>
      </c>
      <c r="AH3" s="559" t="str">
        <f>IF($B3="","",IF(Penalties!$K4=AH$2,1,""))</f>
        <v/>
      </c>
      <c r="AI3" s="559" t="str">
        <f>IF($B3="","",IF(Penalties!$K4=AI$2,1,""))</f>
        <v/>
      </c>
      <c r="AJ3" s="560"/>
    </row>
    <row r="4" spans="1:36" s="109" customFormat="1" x14ac:dyDescent="0.3">
      <c r="A4" s="1166"/>
      <c r="B4" s="1167"/>
      <c r="C4" s="1168"/>
      <c r="D4" s="556" t="s">
        <v>33</v>
      </c>
      <c r="E4" s="549">
        <f>IF($B3="","",COUNTIF(Penalties!$AD4:$AL4,E$2))</f>
        <v>0</v>
      </c>
      <c r="F4" s="549">
        <f>IF($B3="","",COUNTIF(Penalties!$AD4:$AL4,F$2))</f>
        <v>0</v>
      </c>
      <c r="G4" s="549">
        <f>IF($B3="","",COUNTIF(Penalties!$AD4:$AL4,G$2))</f>
        <v>0</v>
      </c>
      <c r="H4" s="549">
        <f>IF($B3="","",COUNTIF(Penalties!$AD4:$AL4,H$2))</f>
        <v>0</v>
      </c>
      <c r="I4" s="549">
        <f>IF($B3="","",COUNTIF(Penalties!$AD4:$AL4,I$2))</f>
        <v>1</v>
      </c>
      <c r="J4" s="549">
        <f>IF($B3="","",COUNTIF(Penalties!$AD4:$AL4,J$2))</f>
        <v>0</v>
      </c>
      <c r="K4" s="549">
        <f>IF($B3="","",COUNTIF(Penalties!$AD4:$AL4,K$2))</f>
        <v>0</v>
      </c>
      <c r="L4" s="549">
        <f>IF($B3="","",COUNTIF(Penalties!$AD4:$AL4,L$2))</f>
        <v>0</v>
      </c>
      <c r="M4" s="549">
        <f>IF($B3="","",COUNTIF(Penalties!$AD4:$AL4,M$2))</f>
        <v>0</v>
      </c>
      <c r="N4" s="549">
        <f>IF($B3="","",COUNTIF(Penalties!$AD4:$AL4,N$2))</f>
        <v>0</v>
      </c>
      <c r="O4" s="549">
        <f>IF($B3="","",COUNTIF(Penalties!$AD4:$AL4,O$2))</f>
        <v>0</v>
      </c>
      <c r="P4" s="549">
        <f>IF($B3="","",COUNTIF(Penalties!$AD4:$AL4,P$2))</f>
        <v>0</v>
      </c>
      <c r="Q4" s="549">
        <f>IF($B3="","",COUNTIF(Penalties!$AD4:$AL4,Q$2))</f>
        <v>0</v>
      </c>
      <c r="R4" s="549">
        <f>IF($B3="","",COUNTIF(Penalties!$AD4:$AL4,R$2))</f>
        <v>0</v>
      </c>
      <c r="S4" s="549">
        <f>IF($B3="","",COUNTIF(Penalties!$AD4:$AL4,S$2))</f>
        <v>0</v>
      </c>
      <c r="T4" s="549">
        <f>IF($B3="","",COUNTIF(Penalties!$AD4:$AL4,T$2))</f>
        <v>0</v>
      </c>
      <c r="U4" s="557">
        <f>IF(B3="","",SUM(E4:T4))</f>
        <v>1</v>
      </c>
      <c r="V4" s="558">
        <f>IF(B3="","",SUM(E4:T4)*0.5)</f>
        <v>0.5</v>
      </c>
      <c r="W4" s="559" t="str">
        <f>IF($B3="","",IF(Penalties!$AM4=W$2,1,""))</f>
        <v/>
      </c>
      <c r="X4" s="559" t="str">
        <f>IF($B3="","",IF(Penalties!$AM4=X$2,1,""))</f>
        <v/>
      </c>
      <c r="Y4" s="559" t="str">
        <f>IF($B3="","",IF(Penalties!$AM4=Y$2,1,""))</f>
        <v/>
      </c>
      <c r="Z4" s="559" t="str">
        <f>IF($B3="","",IF(Penalties!$AM4=Z$2,1,""))</f>
        <v/>
      </c>
      <c r="AA4" s="559" t="str">
        <f>IF($B3="","",IF(Penalties!$AM4=AA$2,1,""))</f>
        <v/>
      </c>
      <c r="AB4" s="559" t="str">
        <f>IF($B3="","",IF(Penalties!$AM4=AB$2,1,""))</f>
        <v/>
      </c>
      <c r="AC4" s="559" t="str">
        <f>IF($B3="","",IF(Penalties!$AM4=AC$2,1,""))</f>
        <v/>
      </c>
      <c r="AD4" s="559" t="str">
        <f>IF($B3="","",IF(Penalties!$AM4=AD$2,1,""))</f>
        <v/>
      </c>
      <c r="AE4" s="559" t="str">
        <f>IF($B3="","",IF(Penalties!$AM4=AE$2,1,""))</f>
        <v/>
      </c>
      <c r="AF4" s="559" t="str">
        <f>IF($B3="","",IF(Penalties!$AM4=AF$2,1,""))</f>
        <v/>
      </c>
      <c r="AG4" s="559" t="str">
        <f>IF($B3="","",IF(Penalties!$AM4=AG$2,1,""))</f>
        <v/>
      </c>
      <c r="AH4" s="559" t="str">
        <f>IF($B3="","",IF(Penalties!$AM4=AH$2,1,""))</f>
        <v/>
      </c>
      <c r="AI4" s="559" t="str">
        <f>IF($B3="","",IF(Penalties!$AM4=AI$2,1,""))</f>
        <v/>
      </c>
      <c r="AJ4" s="561" t="str">
        <f>IF(SUM(X3:AI4)=0, "", IF(SUM(X3:AI3)=1, LOOKUP(1, X3:AI3, $X$2:$AI$2), LOOKUP(1, X4:AI4, $X$2:$AI$2)))</f>
        <v/>
      </c>
    </row>
    <row r="5" spans="1:36" s="109" customFormat="1" x14ac:dyDescent="0.3">
      <c r="A5" s="1163">
        <f>A3+1</f>
        <v>2</v>
      </c>
      <c r="B5" s="1164" t="str">
        <f>IF(IGRF!B15="","",IGRF!B15)</f>
        <v>1321</v>
      </c>
      <c r="C5" s="1165" t="str">
        <f>IF(IGRF!C15="","",IGRF!C15)</f>
        <v>Kristy Skelton</v>
      </c>
      <c r="D5" s="550" t="s">
        <v>17</v>
      </c>
      <c r="E5" s="550">
        <f>IF($B5="","",COUNTIF(Penalties!$B6:$J6,E$2))</f>
        <v>0</v>
      </c>
      <c r="F5" s="550">
        <f>IF($B5="","",COUNTIF(Penalties!$B6:$J6,F$2))</f>
        <v>0</v>
      </c>
      <c r="G5" s="550">
        <f>IF($B5="","",COUNTIF(Penalties!$B6:$J6,G$2))</f>
        <v>0</v>
      </c>
      <c r="H5" s="550">
        <f>IF($B5="","",COUNTIF(Penalties!$B6:$J6,H$2))</f>
        <v>0</v>
      </c>
      <c r="I5" s="550">
        <f>IF($B5="","",COUNTIF(Penalties!$B6:$J6,I$2))</f>
        <v>0</v>
      </c>
      <c r="J5" s="550">
        <f>IF($B5="","",COUNTIF(Penalties!$B6:$J6,J$2))</f>
        <v>0</v>
      </c>
      <c r="K5" s="550">
        <f>IF($B5="","",COUNTIF(Penalties!$B6:$J6,K$2))</f>
        <v>0</v>
      </c>
      <c r="L5" s="550">
        <f>IF($B5="","",COUNTIF(Penalties!$B6:$J6,L$2))</f>
        <v>0</v>
      </c>
      <c r="M5" s="550">
        <f>IF($B5="","",COUNTIF(Penalties!$B6:$J6,M$2))</f>
        <v>0</v>
      </c>
      <c r="N5" s="550">
        <f>IF($B5="","",COUNTIF(Penalties!$B6:$J6,N$2))</f>
        <v>0</v>
      </c>
      <c r="O5" s="550">
        <f>IF($B5="","",COUNTIF(Penalties!$B6:$J6,O$2))</f>
        <v>0</v>
      </c>
      <c r="P5" s="550">
        <f>IF($B5="","",COUNTIF(Penalties!$B6:$J6,P$2))</f>
        <v>0</v>
      </c>
      <c r="Q5" s="550">
        <f>IF($B5="","",COUNTIF(Penalties!$B6:$J6,Q$2))</f>
        <v>0</v>
      </c>
      <c r="R5" s="550">
        <f>IF($B5="","",COUNTIF(Penalties!$B6:$J6,R$2))</f>
        <v>0</v>
      </c>
      <c r="S5" s="550">
        <f>IF($B5="","",COUNTIF(Penalties!$B6:$J6,S$2))</f>
        <v>0</v>
      </c>
      <c r="T5" s="550">
        <f>IF($B5="","",COUNTIF(Penalties!$B6:$J6,T$2))</f>
        <v>0</v>
      </c>
      <c r="U5" s="562">
        <f>IF(B5="","",SUM(E5:T5))</f>
        <v>0</v>
      </c>
      <c r="V5" s="563">
        <f>IF(B5="","",SUM(E5:T5)*0.5)</f>
        <v>0</v>
      </c>
      <c r="W5" s="564" t="str">
        <f>IF($B5="","",IF(Penalties!$K6=W$2,1,""))</f>
        <v/>
      </c>
      <c r="X5" s="564" t="str">
        <f>IF($B5="","",IF(Penalties!$K6=X$2,1,""))</f>
        <v/>
      </c>
      <c r="Y5" s="564" t="str">
        <f>IF($B5="","",IF(Penalties!$K6=Y$2,1,""))</f>
        <v/>
      </c>
      <c r="Z5" s="564" t="str">
        <f>IF($B5="","",IF(Penalties!$K6=Z$2,1,""))</f>
        <v/>
      </c>
      <c r="AA5" s="564" t="str">
        <f>IF($B5="","",IF(Penalties!$K6=AA$2,1,""))</f>
        <v/>
      </c>
      <c r="AB5" s="564" t="str">
        <f>IF($B5="","",IF(Penalties!$K6=AB$2,1,""))</f>
        <v/>
      </c>
      <c r="AC5" s="564" t="str">
        <f>IF($B5="","",IF(Penalties!$K6=AC$2,1,""))</f>
        <v/>
      </c>
      <c r="AD5" s="564" t="str">
        <f>IF($B5="","",IF(Penalties!$K6=AD$2,1,""))</f>
        <v/>
      </c>
      <c r="AE5" s="564" t="str">
        <f>IF($B5="","",IF(Penalties!$K6=AE$2,1,""))</f>
        <v/>
      </c>
      <c r="AF5" s="564" t="str">
        <f>IF($B5="","",IF(Penalties!$K6=AF$2,1,""))</f>
        <v/>
      </c>
      <c r="AG5" s="564" t="str">
        <f>IF($B5="","",IF(Penalties!$K6=AG$2,1,""))</f>
        <v/>
      </c>
      <c r="AH5" s="564" t="str">
        <f>IF($B5="","",IF(Penalties!$K6=AH$2,1,""))</f>
        <v/>
      </c>
      <c r="AI5" s="564" t="str">
        <f>IF($B5="","",IF(Penalties!$K6=AI$2,1,""))</f>
        <v/>
      </c>
      <c r="AJ5" s="565"/>
    </row>
    <row r="6" spans="1:36" s="109" customFormat="1" ht="14.4" thickBot="1" x14ac:dyDescent="0.35">
      <c r="A6" s="1163"/>
      <c r="B6" s="1164"/>
      <c r="C6" s="1165"/>
      <c r="D6" s="550" t="s">
        <v>33</v>
      </c>
      <c r="E6" s="550">
        <f>IF($B5="","",COUNTIF(Penalties!$AD6:$AL6,E$2))</f>
        <v>0</v>
      </c>
      <c r="F6" s="550">
        <f>IF($B5="","",COUNTIF(Penalties!$AD6:$AL6,F$2))</f>
        <v>0</v>
      </c>
      <c r="G6" s="550">
        <f>IF($B5="","",COUNTIF(Penalties!$AD6:$AL6,G$2))</f>
        <v>0</v>
      </c>
      <c r="H6" s="550">
        <f>IF($B5="","",COUNTIF(Penalties!$AD6:$AL6,H$2))</f>
        <v>0</v>
      </c>
      <c r="I6" s="550">
        <f>IF($B5="","",COUNTIF(Penalties!$AD6:$AL6,I$2))</f>
        <v>0</v>
      </c>
      <c r="J6" s="550">
        <f>IF($B5="","",COUNTIF(Penalties!$AD6:$AL6,J$2))</f>
        <v>0</v>
      </c>
      <c r="K6" s="550">
        <f>IF($B5="","",COUNTIF(Penalties!$AD6:$AL6,K$2))</f>
        <v>0</v>
      </c>
      <c r="L6" s="550">
        <f>IF($B5="","",COUNTIF(Penalties!$AD6:$AL6,L$2))</f>
        <v>0</v>
      </c>
      <c r="M6" s="550">
        <f>IF($B5="","",COUNTIF(Penalties!$AD6:$AL6,M$2))</f>
        <v>0</v>
      </c>
      <c r="N6" s="550">
        <f>IF($B5="","",COUNTIF(Penalties!$AD6:$AL6,N$2))</f>
        <v>0</v>
      </c>
      <c r="O6" s="550">
        <f>IF($B5="","",COUNTIF(Penalties!$AD6:$AL6,O$2))</f>
        <v>0</v>
      </c>
      <c r="P6" s="550">
        <f>IF($B5="","",COUNTIF(Penalties!$AD6:$AL6,P$2))</f>
        <v>0</v>
      </c>
      <c r="Q6" s="550">
        <f>IF($B5="","",COUNTIF(Penalties!$AD6:$AL6,Q$2))</f>
        <v>0</v>
      </c>
      <c r="R6" s="550">
        <f>IF($B5="","",COUNTIF(Penalties!$AD6:$AL6,R$2))</f>
        <v>0</v>
      </c>
      <c r="S6" s="550">
        <f>IF($B5="","",COUNTIF(Penalties!$AD6:$AL6,S$2))</f>
        <v>0</v>
      </c>
      <c r="T6" s="550">
        <f>IF($B5="","",COUNTIF(Penalties!$AD6:$AL6,T$2))</f>
        <v>0</v>
      </c>
      <c r="U6" s="562">
        <f>IF(B5="","",SUM(E6:T6))</f>
        <v>0</v>
      </c>
      <c r="V6" s="563">
        <f>IF(B5="","",SUM(E6:T6)*0.5)</f>
        <v>0</v>
      </c>
      <c r="W6" s="564" t="str">
        <f>IF($B5="","",IF(Penalties!$AM6=W$2,1,""))</f>
        <v/>
      </c>
      <c r="X6" s="564" t="str">
        <f>IF($B5="","",IF(Penalties!$AM6=X$2,1,""))</f>
        <v/>
      </c>
      <c r="Y6" s="564" t="str">
        <f>IF($B5="","",IF(Penalties!$AM6=Y$2,1,""))</f>
        <v/>
      </c>
      <c r="Z6" s="564" t="str">
        <f>IF($B5="","",IF(Penalties!$AM6=Z$2,1,""))</f>
        <v/>
      </c>
      <c r="AA6" s="564" t="str">
        <f>IF($B5="","",IF(Penalties!$AM6=AA$2,1,""))</f>
        <v/>
      </c>
      <c r="AB6" s="564" t="str">
        <f>IF($B5="","",IF(Penalties!$AM6=AB$2,1,""))</f>
        <v/>
      </c>
      <c r="AC6" s="564" t="str">
        <f>IF($B5="","",IF(Penalties!$AM6=AC$2,1,""))</f>
        <v/>
      </c>
      <c r="AD6" s="564" t="str">
        <f>IF($B5="","",IF(Penalties!$AM6=AD$2,1,""))</f>
        <v/>
      </c>
      <c r="AE6" s="564" t="str">
        <f>IF($B5="","",IF(Penalties!$AM6=AE$2,1,""))</f>
        <v/>
      </c>
      <c r="AF6" s="564" t="str">
        <f>IF($B5="","",IF(Penalties!$AM6=AF$2,1,""))</f>
        <v/>
      </c>
      <c r="AG6" s="564" t="str">
        <f>IF($B5="","",IF(Penalties!$AM6=AG$2,1,""))</f>
        <v/>
      </c>
      <c r="AH6" s="564" t="str">
        <f>IF($B5="","",IF(Penalties!$AM6=AH$2,1,""))</f>
        <v/>
      </c>
      <c r="AI6" s="564" t="str">
        <f>IF($B5="","",IF(Penalties!$AM6=AI$2,1,""))</f>
        <v/>
      </c>
      <c r="AJ6" s="566" t="str">
        <f>IF(SUM(X5:AI6)=0, "", IF(SUM(X5:AI5)=1, LOOKUP(1, X5:AI5, $X$2:$AI$2), LOOKUP(1, X6:AI6, $X$2:$AI$2)))</f>
        <v/>
      </c>
    </row>
    <row r="7" spans="1:36" s="109" customFormat="1" x14ac:dyDescent="0.3">
      <c r="A7" s="1166">
        <f>A5+1</f>
        <v>3</v>
      </c>
      <c r="B7" s="1167" t="str">
        <f>IF(IGRF!B16="","",IGRF!B16)</f>
        <v>17</v>
      </c>
      <c r="C7" s="1168" t="str">
        <f>IF(IGRF!C16="","",IGRF!C16)</f>
        <v>Justine Sane</v>
      </c>
      <c r="D7" s="556" t="s">
        <v>17</v>
      </c>
      <c r="E7" s="549">
        <f>IF($B7="","",COUNTIF(Penalties!$B8:$J8,E$2))</f>
        <v>0</v>
      </c>
      <c r="F7" s="549">
        <f>IF($B7="","",COUNTIF(Penalties!$B8:$J8,F$2))</f>
        <v>0</v>
      </c>
      <c r="G7" s="549">
        <f>IF($B7="","",COUNTIF(Penalties!$B8:$J8,G$2))</f>
        <v>0</v>
      </c>
      <c r="H7" s="549">
        <f>IF($B7="","",COUNTIF(Penalties!$B8:$J8,H$2))</f>
        <v>0</v>
      </c>
      <c r="I7" s="549">
        <f>IF($B7="","",COUNTIF(Penalties!$B8:$J8,I$2))</f>
        <v>0</v>
      </c>
      <c r="J7" s="549">
        <f>IF($B7="","",COUNTIF(Penalties!$B8:$J8,J$2))</f>
        <v>0</v>
      </c>
      <c r="K7" s="549">
        <f>IF($B7="","",COUNTIF(Penalties!$B8:$J8,K$2))</f>
        <v>0</v>
      </c>
      <c r="L7" s="549">
        <f>IF($B7="","",COUNTIF(Penalties!$B8:$J8,L$2))</f>
        <v>0</v>
      </c>
      <c r="M7" s="549">
        <f>IF($B7="","",COUNTIF(Penalties!$B8:$J8,M$2))</f>
        <v>0</v>
      </c>
      <c r="N7" s="549">
        <f>IF($B7="","",COUNTIF(Penalties!$B8:$J8,N$2))</f>
        <v>0</v>
      </c>
      <c r="O7" s="549">
        <f>IF($B7="","",COUNTIF(Penalties!$B8:$J8,O$2))</f>
        <v>1</v>
      </c>
      <c r="P7" s="549">
        <f>IF($B7="","",COUNTIF(Penalties!$B8:$J8,P$2))</f>
        <v>0</v>
      </c>
      <c r="Q7" s="549">
        <f>IF($B7="","",COUNTIF(Penalties!$B8:$J8,Q$2))</f>
        <v>0</v>
      </c>
      <c r="R7" s="549">
        <f>IF($B7="","",COUNTIF(Penalties!$B8:$J8,R$2))</f>
        <v>0</v>
      </c>
      <c r="S7" s="549">
        <f>IF($B7="","",COUNTIF(Penalties!$B8:$J8,S$2))</f>
        <v>0</v>
      </c>
      <c r="T7" s="549">
        <f>IF($B7="","",COUNTIF(Penalties!$B8:$J8,T$2))</f>
        <v>0</v>
      </c>
      <c r="U7" s="557">
        <f>IF(B7="","",SUM(E7:T7))</f>
        <v>1</v>
      </c>
      <c r="V7" s="558">
        <f>IF(B7="","",SUM(E7:T7)*0.5)</f>
        <v>0.5</v>
      </c>
      <c r="W7" s="559" t="str">
        <f>IF($B7="","",IF(Penalties!$K8=W$2,1,""))</f>
        <v/>
      </c>
      <c r="X7" s="559" t="str">
        <f>IF($B7="","",IF(Penalties!$K8=X$2,1,""))</f>
        <v/>
      </c>
      <c r="Y7" s="559" t="str">
        <f>IF($B7="","",IF(Penalties!$K8=Y$2,1,""))</f>
        <v/>
      </c>
      <c r="Z7" s="559" t="str">
        <f>IF($B7="","",IF(Penalties!$K8=Z$2,1,""))</f>
        <v/>
      </c>
      <c r="AA7" s="559" t="str">
        <f>IF($B7="","",IF(Penalties!$K8=AA$2,1,""))</f>
        <v/>
      </c>
      <c r="AB7" s="559" t="str">
        <f>IF($B7="","",IF(Penalties!$K8=AB$2,1,""))</f>
        <v/>
      </c>
      <c r="AC7" s="559" t="str">
        <f>IF($B7="","",IF(Penalties!$K8=AC$2,1,""))</f>
        <v/>
      </c>
      <c r="AD7" s="559" t="str">
        <f>IF($B7="","",IF(Penalties!$K8=AD$2,1,""))</f>
        <v/>
      </c>
      <c r="AE7" s="559" t="str">
        <f>IF($B7="","",IF(Penalties!$K8=AE$2,1,""))</f>
        <v/>
      </c>
      <c r="AF7" s="559" t="str">
        <f>IF($B7="","",IF(Penalties!$K8=AF$2,1,""))</f>
        <v/>
      </c>
      <c r="AG7" s="559" t="str">
        <f>IF($B7="","",IF(Penalties!$K8=AG$2,1,""))</f>
        <v/>
      </c>
      <c r="AH7" s="559" t="str">
        <f>IF($B7="","",IF(Penalties!$K8=AH$2,1,""))</f>
        <v/>
      </c>
      <c r="AI7" s="559" t="str">
        <f>IF($B7="","",IF(Penalties!$K8=AI$2,1,""))</f>
        <v/>
      </c>
      <c r="AJ7" s="560"/>
    </row>
    <row r="8" spans="1:36" s="109" customFormat="1" x14ac:dyDescent="0.3">
      <c r="A8" s="1166"/>
      <c r="B8" s="1167"/>
      <c r="C8" s="1168"/>
      <c r="D8" s="556" t="s">
        <v>33</v>
      </c>
      <c r="E8" s="549">
        <f>IF($B7="","",COUNTIF(Penalties!$AD8:$AL8,E$2))</f>
        <v>0</v>
      </c>
      <c r="F8" s="549">
        <f>IF($B7="","",COUNTIF(Penalties!$AD8:$AL8,F$2))</f>
        <v>0</v>
      </c>
      <c r="G8" s="549">
        <f>IF($B7="","",COUNTIF(Penalties!$AD8:$AL8,G$2))</f>
        <v>0</v>
      </c>
      <c r="H8" s="549">
        <f>IF($B7="","",COUNTIF(Penalties!$AD8:$AL8,H$2))</f>
        <v>0</v>
      </c>
      <c r="I8" s="549">
        <f>IF($B7="","",COUNTIF(Penalties!$AD8:$AL8,I$2))</f>
        <v>0</v>
      </c>
      <c r="J8" s="549">
        <f>IF($B7="","",COUNTIF(Penalties!$AD8:$AL8,J$2))</f>
        <v>0</v>
      </c>
      <c r="K8" s="549">
        <f>IF($B7="","",COUNTIF(Penalties!$AD8:$AL8,K$2))</f>
        <v>1</v>
      </c>
      <c r="L8" s="549">
        <f>IF($B7="","",COUNTIF(Penalties!$AD8:$AL8,L$2))</f>
        <v>0</v>
      </c>
      <c r="M8" s="549">
        <f>IF($B7="","",COUNTIF(Penalties!$AD8:$AL8,M$2))</f>
        <v>0</v>
      </c>
      <c r="N8" s="549">
        <f>IF($B7="","",COUNTIF(Penalties!$AD8:$AL8,N$2))</f>
        <v>0</v>
      </c>
      <c r="O8" s="549">
        <f>IF($B7="","",COUNTIF(Penalties!$AD8:$AL8,O$2))</f>
        <v>0</v>
      </c>
      <c r="P8" s="549">
        <f>IF($B7="","",COUNTIF(Penalties!$AD8:$AL8,P$2))</f>
        <v>0</v>
      </c>
      <c r="Q8" s="549">
        <f>IF($B7="","",COUNTIF(Penalties!$AD8:$AL8,Q$2))</f>
        <v>0</v>
      </c>
      <c r="R8" s="549">
        <f>IF($B7="","",COUNTIF(Penalties!$AD8:$AL8,R$2))</f>
        <v>0</v>
      </c>
      <c r="S8" s="549">
        <f>IF($B7="","",COUNTIF(Penalties!$AD8:$AL8,S$2))</f>
        <v>0</v>
      </c>
      <c r="T8" s="549">
        <f>IF($B7="","",COUNTIF(Penalties!$AD8:$AL8,T$2))</f>
        <v>0</v>
      </c>
      <c r="U8" s="557">
        <f>IF(B7="","",SUM(E8:T8))</f>
        <v>1</v>
      </c>
      <c r="V8" s="558">
        <f>IF(B7="","",SUM(E8:T8)*0.5)</f>
        <v>0.5</v>
      </c>
      <c r="W8" s="559" t="str">
        <f>IF($B7="","",IF(Penalties!$AM8=W$2,1,""))</f>
        <v/>
      </c>
      <c r="X8" s="559" t="str">
        <f>IF($B7="","",IF(Penalties!$AM8=X$2,1,""))</f>
        <v/>
      </c>
      <c r="Y8" s="559" t="str">
        <f>IF($B7="","",IF(Penalties!$AM8=Y$2,1,""))</f>
        <v/>
      </c>
      <c r="Z8" s="559" t="str">
        <f>IF($B7="","",IF(Penalties!$AM8=Z$2,1,""))</f>
        <v/>
      </c>
      <c r="AA8" s="559" t="str">
        <f>IF($B7="","",IF(Penalties!$AM8=AA$2,1,""))</f>
        <v/>
      </c>
      <c r="AB8" s="559" t="str">
        <f>IF($B7="","",IF(Penalties!$AM8=AB$2,1,""))</f>
        <v/>
      </c>
      <c r="AC8" s="559" t="str">
        <f>IF($B7="","",IF(Penalties!$AM8=AC$2,1,""))</f>
        <v/>
      </c>
      <c r="AD8" s="559" t="str">
        <f>IF($B7="","",IF(Penalties!$AM8=AD$2,1,""))</f>
        <v/>
      </c>
      <c r="AE8" s="559" t="str">
        <f>IF($B7="","",IF(Penalties!$AM8=AE$2,1,""))</f>
        <v/>
      </c>
      <c r="AF8" s="559" t="str">
        <f>IF($B7="","",IF(Penalties!$AM8=AF$2,1,""))</f>
        <v/>
      </c>
      <c r="AG8" s="559" t="str">
        <f>IF($B7="","",IF(Penalties!$AM8=AG$2,1,""))</f>
        <v/>
      </c>
      <c r="AH8" s="559" t="str">
        <f>IF($B7="","",IF(Penalties!$AM8=AH$2,1,""))</f>
        <v/>
      </c>
      <c r="AI8" s="559" t="str">
        <f>IF($B7="","",IF(Penalties!$AM8=AI$2,1,""))</f>
        <v/>
      </c>
      <c r="AJ8" s="561" t="str">
        <f>IF(SUM(X7:AI8)=0, "", IF(SUM(X7:AI7)=1, LOOKUP(1, X7:AI7, $X$2:$AI$2), LOOKUP(1, X8:AI8, $X$2:$AI$2)))</f>
        <v/>
      </c>
    </row>
    <row r="9" spans="1:36" s="109" customFormat="1" x14ac:dyDescent="0.3">
      <c r="A9" s="1163">
        <f>A7+1</f>
        <v>4</v>
      </c>
      <c r="B9" s="1164" t="str">
        <f>IF(IGRF!B17="","",IGRF!B17)</f>
        <v>19</v>
      </c>
      <c r="C9" s="1165" t="str">
        <f>IF(IGRF!C17="","",IGRF!C17)</f>
        <v>Lippy Wrongstockings</v>
      </c>
      <c r="D9" s="550" t="s">
        <v>17</v>
      </c>
      <c r="E9" s="550">
        <f>IF($B9="","",COUNTIF(Penalties!$B10:$J10,E$2))</f>
        <v>0</v>
      </c>
      <c r="F9" s="550">
        <f>IF($B9="","",COUNTIF(Penalties!$B10:$J10,F$2))</f>
        <v>0</v>
      </c>
      <c r="G9" s="550">
        <f>IF($B9="","",COUNTIF(Penalties!$B10:$J10,G$2))</f>
        <v>0</v>
      </c>
      <c r="H9" s="550">
        <f>IF($B9="","",COUNTIF(Penalties!$B10:$J10,H$2))</f>
        <v>0</v>
      </c>
      <c r="I9" s="550">
        <f>IF($B9="","",COUNTIF(Penalties!$B10:$J10,I$2))</f>
        <v>0</v>
      </c>
      <c r="J9" s="550">
        <f>IF($B9="","",COUNTIF(Penalties!$B10:$J10,J$2))</f>
        <v>0</v>
      </c>
      <c r="K9" s="550">
        <f>IF($B9="","",COUNTIF(Penalties!$B10:$J10,K$2))</f>
        <v>0</v>
      </c>
      <c r="L9" s="550">
        <f>IF($B9="","",COUNTIF(Penalties!$B10:$J10,L$2))</f>
        <v>0</v>
      </c>
      <c r="M9" s="550">
        <f>IF($B9="","",COUNTIF(Penalties!$B10:$J10,M$2))</f>
        <v>0</v>
      </c>
      <c r="N9" s="550">
        <f>IF($B9="","",COUNTIF(Penalties!$B10:$J10,N$2))</f>
        <v>0</v>
      </c>
      <c r="O9" s="550">
        <f>IF($B9="","",COUNTIF(Penalties!$B10:$J10,O$2))</f>
        <v>0</v>
      </c>
      <c r="P9" s="550">
        <f>IF($B9="","",COUNTIF(Penalties!$B10:$J10,P$2))</f>
        <v>0</v>
      </c>
      <c r="Q9" s="550">
        <f>IF($B9="","",COUNTIF(Penalties!$B10:$J10,Q$2))</f>
        <v>0</v>
      </c>
      <c r="R9" s="550">
        <f>IF($B9="","",COUNTIF(Penalties!$B10:$J10,R$2))</f>
        <v>0</v>
      </c>
      <c r="S9" s="550">
        <f>IF($B9="","",COUNTIF(Penalties!$B10:$J10,S$2))</f>
        <v>0</v>
      </c>
      <c r="T9" s="550">
        <f>IF($B9="","",COUNTIF(Penalties!$B10:$J10,T$2))</f>
        <v>0</v>
      </c>
      <c r="U9" s="562">
        <f>IF(B9="","",SUM(E9:T9))</f>
        <v>0</v>
      </c>
      <c r="V9" s="563">
        <f>IF(B9="","",SUM(E9:T9)*0.5)</f>
        <v>0</v>
      </c>
      <c r="W9" s="564" t="str">
        <f>IF($B9="","",IF(Penalties!$K10=W$2,1,""))</f>
        <v/>
      </c>
      <c r="X9" s="564" t="str">
        <f>IF($B9="","",IF(Penalties!$K10=X$2,1,""))</f>
        <v/>
      </c>
      <c r="Y9" s="564" t="str">
        <f>IF($B9="","",IF(Penalties!$K10=Y$2,1,""))</f>
        <v/>
      </c>
      <c r="Z9" s="564" t="str">
        <f>IF($B9="","",IF(Penalties!$K10=Z$2,1,""))</f>
        <v/>
      </c>
      <c r="AA9" s="564" t="str">
        <f>IF($B9="","",IF(Penalties!$K10=AA$2,1,""))</f>
        <v/>
      </c>
      <c r="AB9" s="564" t="str">
        <f>IF($B9="","",IF(Penalties!$K10=AB$2,1,""))</f>
        <v/>
      </c>
      <c r="AC9" s="564" t="str">
        <f>IF($B9="","",IF(Penalties!$K10=AC$2,1,""))</f>
        <v/>
      </c>
      <c r="AD9" s="564" t="str">
        <f>IF($B9="","",IF(Penalties!$K10=AD$2,1,""))</f>
        <v/>
      </c>
      <c r="AE9" s="564" t="str">
        <f>IF($B9="","",IF(Penalties!$K10=AE$2,1,""))</f>
        <v/>
      </c>
      <c r="AF9" s="564" t="str">
        <f>IF($B9="","",IF(Penalties!$K10=AF$2,1,""))</f>
        <v/>
      </c>
      <c r="AG9" s="564" t="str">
        <f>IF($B9="","",IF(Penalties!$K10=AG$2,1,""))</f>
        <v/>
      </c>
      <c r="AH9" s="564" t="str">
        <f>IF($B9="","",IF(Penalties!$K10=AH$2,1,""))</f>
        <v/>
      </c>
      <c r="AI9" s="564" t="str">
        <f>IF($B9="","",IF(Penalties!$K10=AI$2,1,""))</f>
        <v/>
      </c>
      <c r="AJ9" s="565"/>
    </row>
    <row r="10" spans="1:36" s="109" customFormat="1" ht="14.4" thickBot="1" x14ac:dyDescent="0.35">
      <c r="A10" s="1163"/>
      <c r="B10" s="1164"/>
      <c r="C10" s="1165"/>
      <c r="D10" s="550" t="s">
        <v>33</v>
      </c>
      <c r="E10" s="550">
        <f>IF($B9="","",COUNTIF(Penalties!$AD10:$AL10,E$2))</f>
        <v>1</v>
      </c>
      <c r="F10" s="550">
        <f>IF($B9="","",COUNTIF(Penalties!$AD10:$AL10,F$2))</f>
        <v>0</v>
      </c>
      <c r="G10" s="550">
        <f>IF($B9="","",COUNTIF(Penalties!$AD10:$AL10,G$2))</f>
        <v>0</v>
      </c>
      <c r="H10" s="550">
        <f>IF($B9="","",COUNTIF(Penalties!$AD10:$AL10,H$2))</f>
        <v>0</v>
      </c>
      <c r="I10" s="550">
        <f>IF($B9="","",COUNTIF(Penalties!$AD10:$AL10,I$2))</f>
        <v>0</v>
      </c>
      <c r="J10" s="550">
        <f>IF($B9="","",COUNTIF(Penalties!$AD10:$AL10,J$2))</f>
        <v>0</v>
      </c>
      <c r="K10" s="550">
        <f>IF($B9="","",COUNTIF(Penalties!$AD10:$AL10,K$2))</f>
        <v>0</v>
      </c>
      <c r="L10" s="550">
        <f>IF($B9="","",COUNTIF(Penalties!$AD10:$AL10,L$2))</f>
        <v>0</v>
      </c>
      <c r="M10" s="550">
        <f>IF($B9="","",COUNTIF(Penalties!$AD10:$AL10,M$2))</f>
        <v>0</v>
      </c>
      <c r="N10" s="550">
        <f>IF($B9="","",COUNTIF(Penalties!$AD10:$AL10,N$2))</f>
        <v>0</v>
      </c>
      <c r="O10" s="550">
        <f>IF($B9="","",COUNTIF(Penalties!$AD10:$AL10,O$2))</f>
        <v>0</v>
      </c>
      <c r="P10" s="550">
        <f>IF($B9="","",COUNTIF(Penalties!$AD10:$AL10,P$2))</f>
        <v>0</v>
      </c>
      <c r="Q10" s="550">
        <f>IF($B9="","",COUNTIF(Penalties!$AD10:$AL10,Q$2))</f>
        <v>0</v>
      </c>
      <c r="R10" s="550">
        <f>IF($B9="","",COUNTIF(Penalties!$AD10:$AL10,R$2))</f>
        <v>0</v>
      </c>
      <c r="S10" s="550">
        <f>IF($B9="","",COUNTIF(Penalties!$AD10:$AL10,S$2))</f>
        <v>0</v>
      </c>
      <c r="T10" s="550">
        <f>IF($B9="","",COUNTIF(Penalties!$AD10:$AL10,T$2))</f>
        <v>0</v>
      </c>
      <c r="U10" s="562">
        <f>IF(B9="","",SUM(E10:T10))</f>
        <v>1</v>
      </c>
      <c r="V10" s="563">
        <f>IF(B9="","",SUM(E10:T10)*0.5)</f>
        <v>0.5</v>
      </c>
      <c r="W10" s="564" t="str">
        <f>IF($B9="","",IF(Penalties!$AM10=W$2,1,""))</f>
        <v/>
      </c>
      <c r="X10" s="564" t="str">
        <f>IF($B9="","",IF(Penalties!$AM10=X$2,1,""))</f>
        <v/>
      </c>
      <c r="Y10" s="564" t="str">
        <f>IF($B9="","",IF(Penalties!$AM10=Y$2,1,""))</f>
        <v/>
      </c>
      <c r="Z10" s="564" t="str">
        <f>IF($B9="","",IF(Penalties!$AM10=Z$2,1,""))</f>
        <v/>
      </c>
      <c r="AA10" s="564" t="str">
        <f>IF($B9="","",IF(Penalties!$AM10=AA$2,1,""))</f>
        <v/>
      </c>
      <c r="AB10" s="564" t="str">
        <f>IF($B9="","",IF(Penalties!$AM10=AB$2,1,""))</f>
        <v/>
      </c>
      <c r="AC10" s="564" t="str">
        <f>IF($B9="","",IF(Penalties!$AM10=AC$2,1,""))</f>
        <v/>
      </c>
      <c r="AD10" s="564" t="str">
        <f>IF($B9="","",IF(Penalties!$AM10=AD$2,1,""))</f>
        <v/>
      </c>
      <c r="AE10" s="564" t="str">
        <f>IF($B9="","",IF(Penalties!$AM10=AE$2,1,""))</f>
        <v/>
      </c>
      <c r="AF10" s="564" t="str">
        <f>IF($B9="","",IF(Penalties!$AM10=AF$2,1,""))</f>
        <v/>
      </c>
      <c r="AG10" s="564" t="str">
        <f>IF($B9="","",IF(Penalties!$AM10=AG$2,1,""))</f>
        <v/>
      </c>
      <c r="AH10" s="564" t="str">
        <f>IF($B9="","",IF(Penalties!$AM10=AH$2,1,""))</f>
        <v/>
      </c>
      <c r="AI10" s="564" t="str">
        <f>IF($B9="","",IF(Penalties!$AM10=AI$2,1,""))</f>
        <v/>
      </c>
      <c r="AJ10" s="566" t="str">
        <f>IF(SUM(X9:AI10)=0, "", IF(SUM(X9:AI9)=1, LOOKUP(1, X9:AI9, $X$2:$AI$2), LOOKUP(1, X10:AI10, $X$2:$AI$2)))</f>
        <v/>
      </c>
    </row>
    <row r="11" spans="1:36" s="109" customFormat="1" x14ac:dyDescent="0.3">
      <c r="A11" s="1166">
        <f>A9+1</f>
        <v>5</v>
      </c>
      <c r="B11" s="1167" t="str">
        <f>IF(IGRF!B18="","",IGRF!B18)</f>
        <v>20</v>
      </c>
      <c r="C11" s="1168" t="str">
        <f>IF(IGRF!C18="","",IGRF!C18)</f>
        <v>Zooks</v>
      </c>
      <c r="D11" s="556" t="s">
        <v>17</v>
      </c>
      <c r="E11" s="549">
        <f>IF($B11="","",COUNTIF(Penalties!$B12:$J12,E$2))</f>
        <v>0</v>
      </c>
      <c r="F11" s="549">
        <f>IF($B11="","",COUNTIF(Penalties!$B12:$J12,F$2))</f>
        <v>0</v>
      </c>
      <c r="G11" s="549">
        <f>IF($B11="","",COUNTIF(Penalties!$B12:$J12,G$2))</f>
        <v>0</v>
      </c>
      <c r="H11" s="549">
        <f>IF($B11="","",COUNTIF(Penalties!$B12:$J12,H$2))</f>
        <v>0</v>
      </c>
      <c r="I11" s="549">
        <f>IF($B11="","",COUNTIF(Penalties!$B12:$J12,I$2))</f>
        <v>0</v>
      </c>
      <c r="J11" s="549">
        <f>IF($B11="","",COUNTIF(Penalties!$B12:$J12,J$2))</f>
        <v>0</v>
      </c>
      <c r="K11" s="549">
        <f>IF($B11="","",COUNTIF(Penalties!$B12:$J12,K$2))</f>
        <v>0</v>
      </c>
      <c r="L11" s="549">
        <f>IF($B11="","",COUNTIF(Penalties!$B12:$J12,L$2))</f>
        <v>0</v>
      </c>
      <c r="M11" s="549">
        <f>IF($B11="","",COUNTIF(Penalties!$B12:$J12,M$2))</f>
        <v>0</v>
      </c>
      <c r="N11" s="549">
        <f>IF($B11="","",COUNTIF(Penalties!$B12:$J12,N$2))</f>
        <v>1</v>
      </c>
      <c r="O11" s="549">
        <f>IF($B11="","",COUNTIF(Penalties!$B12:$J12,O$2))</f>
        <v>0</v>
      </c>
      <c r="P11" s="549">
        <f>IF($B11="","",COUNTIF(Penalties!$B12:$J12,P$2))</f>
        <v>0</v>
      </c>
      <c r="Q11" s="549">
        <f>IF($B11="","",COUNTIF(Penalties!$B12:$J12,Q$2))</f>
        <v>0</v>
      </c>
      <c r="R11" s="549">
        <f>IF($B11="","",COUNTIF(Penalties!$B12:$J12,R$2))</f>
        <v>0</v>
      </c>
      <c r="S11" s="549">
        <f>IF($B11="","",COUNTIF(Penalties!$B12:$J12,S$2))</f>
        <v>0</v>
      </c>
      <c r="T11" s="549">
        <f>IF($B11="","",COUNTIF(Penalties!$B12:$J12,T$2))</f>
        <v>0</v>
      </c>
      <c r="U11" s="557">
        <f>IF(B11="","",SUM(E11:T11))</f>
        <v>1</v>
      </c>
      <c r="V11" s="558">
        <f>IF(B11="","",SUM(E11:T11)*0.5)</f>
        <v>0.5</v>
      </c>
      <c r="W11" s="559" t="str">
        <f>IF($B11="","",IF(Penalties!$K12=W$2,1,""))</f>
        <v/>
      </c>
      <c r="X11" s="559" t="str">
        <f>IF($B11="","",IF(Penalties!$K12=X$2,1,""))</f>
        <v/>
      </c>
      <c r="Y11" s="559" t="str">
        <f>IF($B11="","",IF(Penalties!$K12=Y$2,1,""))</f>
        <v/>
      </c>
      <c r="Z11" s="559" t="str">
        <f>IF($B11="","",IF(Penalties!$K12=Z$2,1,""))</f>
        <v/>
      </c>
      <c r="AA11" s="559" t="str">
        <f>IF($B11="","",IF(Penalties!$K12=AA$2,1,""))</f>
        <v/>
      </c>
      <c r="AB11" s="559" t="str">
        <f>IF($B11="","",IF(Penalties!$K12=AB$2,1,""))</f>
        <v/>
      </c>
      <c r="AC11" s="559" t="str">
        <f>IF($B11="","",IF(Penalties!$K12=AC$2,1,""))</f>
        <v/>
      </c>
      <c r="AD11" s="559" t="str">
        <f>IF($B11="","",IF(Penalties!$K12=AD$2,1,""))</f>
        <v/>
      </c>
      <c r="AE11" s="559" t="str">
        <f>IF($B11="","",IF(Penalties!$K12=AE$2,1,""))</f>
        <v/>
      </c>
      <c r="AF11" s="559" t="str">
        <f>IF($B11="","",IF(Penalties!$K12=AF$2,1,""))</f>
        <v/>
      </c>
      <c r="AG11" s="559" t="str">
        <f>IF($B11="","",IF(Penalties!$K12=AG$2,1,""))</f>
        <v/>
      </c>
      <c r="AH11" s="559" t="str">
        <f>IF($B11="","",IF(Penalties!$K12=AH$2,1,""))</f>
        <v/>
      </c>
      <c r="AI11" s="559" t="str">
        <f>IF($B11="","",IF(Penalties!$K12=AI$2,1,""))</f>
        <v/>
      </c>
      <c r="AJ11" s="560"/>
    </row>
    <row r="12" spans="1:36" s="109" customFormat="1" x14ac:dyDescent="0.3">
      <c r="A12" s="1166"/>
      <c r="B12" s="1167"/>
      <c r="C12" s="1168"/>
      <c r="D12" s="556" t="s">
        <v>33</v>
      </c>
      <c r="E12" s="549">
        <f>IF($B11="","",COUNTIF(Penalties!$AD12:$AL12,E$2))</f>
        <v>0</v>
      </c>
      <c r="F12" s="549">
        <f>IF($B11="","",COUNTIF(Penalties!$AD12:$AL12,F$2))</f>
        <v>0</v>
      </c>
      <c r="G12" s="549">
        <f>IF($B11="","",COUNTIF(Penalties!$AD12:$AL12,G$2))</f>
        <v>0</v>
      </c>
      <c r="H12" s="549">
        <f>IF($B11="","",COUNTIF(Penalties!$AD12:$AL12,H$2))</f>
        <v>0</v>
      </c>
      <c r="I12" s="549">
        <f>IF($B11="","",COUNTIF(Penalties!$AD12:$AL12,I$2))</f>
        <v>0</v>
      </c>
      <c r="J12" s="549">
        <f>IF($B11="","",COUNTIF(Penalties!$AD12:$AL12,J$2))</f>
        <v>0</v>
      </c>
      <c r="K12" s="549">
        <f>IF($B11="","",COUNTIF(Penalties!$AD12:$AL12,K$2))</f>
        <v>0</v>
      </c>
      <c r="L12" s="549">
        <f>IF($B11="","",COUNTIF(Penalties!$AD12:$AL12,L$2))</f>
        <v>0</v>
      </c>
      <c r="M12" s="549">
        <f>IF($B11="","",COUNTIF(Penalties!$AD12:$AL12,M$2))</f>
        <v>0</v>
      </c>
      <c r="N12" s="549">
        <f>IF($B11="","",COUNTIF(Penalties!$AD12:$AL12,N$2))</f>
        <v>0</v>
      </c>
      <c r="O12" s="549">
        <f>IF($B11="","",COUNTIF(Penalties!$AD12:$AL12,O$2))</f>
        <v>1</v>
      </c>
      <c r="P12" s="549">
        <f>IF($B11="","",COUNTIF(Penalties!$AD12:$AL12,P$2))</f>
        <v>0</v>
      </c>
      <c r="Q12" s="549">
        <f>IF($B11="","",COUNTIF(Penalties!$AD12:$AL12,Q$2))</f>
        <v>0</v>
      </c>
      <c r="R12" s="549">
        <f>IF($B11="","",COUNTIF(Penalties!$AD12:$AL12,R$2))</f>
        <v>0</v>
      </c>
      <c r="S12" s="549">
        <f>IF($B11="","",COUNTIF(Penalties!$AD12:$AL12,S$2))</f>
        <v>0</v>
      </c>
      <c r="T12" s="549">
        <f>IF($B11="","",COUNTIF(Penalties!$AD12:$AL12,T$2))</f>
        <v>0</v>
      </c>
      <c r="U12" s="557">
        <f>IF(B11="","",SUM(E12:T12))</f>
        <v>1</v>
      </c>
      <c r="V12" s="558">
        <f>IF(B11="","",SUM(E12:T12)*0.5)</f>
        <v>0.5</v>
      </c>
      <c r="W12" s="559" t="str">
        <f>IF($B11="","",IF(Penalties!$AM12=W$2,1,""))</f>
        <v/>
      </c>
      <c r="X12" s="559" t="str">
        <f>IF($B11="","",IF(Penalties!$AM12=X$2,1,""))</f>
        <v/>
      </c>
      <c r="Y12" s="559" t="str">
        <f>IF($B11="","",IF(Penalties!$AM12=Y$2,1,""))</f>
        <v/>
      </c>
      <c r="Z12" s="559" t="str">
        <f>IF($B11="","",IF(Penalties!$AM12=Z$2,1,""))</f>
        <v/>
      </c>
      <c r="AA12" s="559" t="str">
        <f>IF($B11="","",IF(Penalties!$AM12=AA$2,1,""))</f>
        <v/>
      </c>
      <c r="AB12" s="559" t="str">
        <f>IF($B11="","",IF(Penalties!$AM12=AB$2,1,""))</f>
        <v/>
      </c>
      <c r="AC12" s="559" t="str">
        <f>IF($B11="","",IF(Penalties!$AM12=AC$2,1,""))</f>
        <v/>
      </c>
      <c r="AD12" s="559" t="str">
        <f>IF($B11="","",IF(Penalties!$AM12=AD$2,1,""))</f>
        <v/>
      </c>
      <c r="AE12" s="559" t="str">
        <f>IF($B11="","",IF(Penalties!$AM12=AE$2,1,""))</f>
        <v/>
      </c>
      <c r="AF12" s="559" t="str">
        <f>IF($B11="","",IF(Penalties!$AM12=AF$2,1,""))</f>
        <v/>
      </c>
      <c r="AG12" s="559" t="str">
        <f>IF($B11="","",IF(Penalties!$AM12=AG$2,1,""))</f>
        <v/>
      </c>
      <c r="AH12" s="559" t="str">
        <f>IF($B11="","",IF(Penalties!$AM12=AH$2,1,""))</f>
        <v/>
      </c>
      <c r="AI12" s="559" t="str">
        <f>IF($B11="","",IF(Penalties!$AM12=AI$2,1,""))</f>
        <v/>
      </c>
      <c r="AJ12" s="561" t="str">
        <f>IF(SUM(X11:AI12)=0, "", IF(SUM(X11:AI11)=1, LOOKUP(1, X11:AI11, $X$2:$AI$2), LOOKUP(1, X12:AI12, $X$2:$AI$2)))</f>
        <v/>
      </c>
    </row>
    <row r="13" spans="1:36" s="109" customFormat="1" x14ac:dyDescent="0.3">
      <c r="A13" s="1163">
        <f>A11+1</f>
        <v>6</v>
      </c>
      <c r="B13" s="1164" t="str">
        <f>IF(IGRF!B19="","",IGRF!B19)</f>
        <v>303</v>
      </c>
      <c r="C13" s="1165" t="str">
        <f>IF(IGRF!C19="","",IGRF!C19)</f>
        <v>Violent NoRegard</v>
      </c>
      <c r="D13" s="550" t="s">
        <v>17</v>
      </c>
      <c r="E13" s="550">
        <f>IF($B13="","",COUNTIF(Penalties!$B14:$J14,E$2))</f>
        <v>0</v>
      </c>
      <c r="F13" s="550">
        <f>IF($B13="","",COUNTIF(Penalties!$B14:$J14,F$2))</f>
        <v>0</v>
      </c>
      <c r="G13" s="550">
        <f>IF($B13="","",COUNTIF(Penalties!$B14:$J14,G$2))</f>
        <v>0</v>
      </c>
      <c r="H13" s="550">
        <f>IF($B13="","",COUNTIF(Penalties!$B14:$J14,H$2))</f>
        <v>0</v>
      </c>
      <c r="I13" s="550">
        <f>IF($B13="","",COUNTIF(Penalties!$B14:$J14,I$2))</f>
        <v>0</v>
      </c>
      <c r="J13" s="550">
        <f>IF($B13="","",COUNTIF(Penalties!$B14:$J14,J$2))</f>
        <v>0</v>
      </c>
      <c r="K13" s="550">
        <f>IF($B13="","",COUNTIF(Penalties!$B14:$J14,K$2))</f>
        <v>1</v>
      </c>
      <c r="L13" s="550">
        <f>IF($B13="","",COUNTIF(Penalties!$B14:$J14,L$2))</f>
        <v>0</v>
      </c>
      <c r="M13" s="550">
        <f>IF($B13="","",COUNTIF(Penalties!$B14:$J14,M$2))</f>
        <v>0</v>
      </c>
      <c r="N13" s="550">
        <f>IF($B13="","",COUNTIF(Penalties!$B14:$J14,N$2))</f>
        <v>0</v>
      </c>
      <c r="O13" s="550">
        <f>IF($B13="","",COUNTIF(Penalties!$B14:$J14,O$2))</f>
        <v>0</v>
      </c>
      <c r="P13" s="550">
        <f>IF($B13="","",COUNTIF(Penalties!$B14:$J14,P$2))</f>
        <v>0</v>
      </c>
      <c r="Q13" s="550">
        <f>IF($B13="","",COUNTIF(Penalties!$B14:$J14,Q$2))</f>
        <v>0</v>
      </c>
      <c r="R13" s="550">
        <f>IF($B13="","",COUNTIF(Penalties!$B14:$J14,R$2))</f>
        <v>0</v>
      </c>
      <c r="S13" s="550">
        <f>IF($B13="","",COUNTIF(Penalties!$B14:$J14,S$2))</f>
        <v>0</v>
      </c>
      <c r="T13" s="550">
        <f>IF($B13="","",COUNTIF(Penalties!$B14:$J14,T$2))</f>
        <v>0</v>
      </c>
      <c r="U13" s="562">
        <f>IF(B13="","",SUM(E13:T13))</f>
        <v>1</v>
      </c>
      <c r="V13" s="563">
        <f>IF(B13="","",SUM(E13:T13)*0.5)</f>
        <v>0.5</v>
      </c>
      <c r="W13" s="564" t="str">
        <f>IF($B13="","",IF(Penalties!$K14=W$2,1,""))</f>
        <v/>
      </c>
      <c r="X13" s="564" t="str">
        <f>IF($B13="","",IF(Penalties!$K14=X$2,1,""))</f>
        <v/>
      </c>
      <c r="Y13" s="564" t="str">
        <f>IF($B13="","",IF(Penalties!$K14=Y$2,1,""))</f>
        <v/>
      </c>
      <c r="Z13" s="564" t="str">
        <f>IF($B13="","",IF(Penalties!$K14=Z$2,1,""))</f>
        <v/>
      </c>
      <c r="AA13" s="564" t="str">
        <f>IF($B13="","",IF(Penalties!$K14=AA$2,1,""))</f>
        <v/>
      </c>
      <c r="AB13" s="564" t="str">
        <f>IF($B13="","",IF(Penalties!$K14=AB$2,1,""))</f>
        <v/>
      </c>
      <c r="AC13" s="564" t="str">
        <f>IF($B13="","",IF(Penalties!$K14=AC$2,1,""))</f>
        <v/>
      </c>
      <c r="AD13" s="564" t="str">
        <f>IF($B13="","",IF(Penalties!$K14=AD$2,1,""))</f>
        <v/>
      </c>
      <c r="AE13" s="564" t="str">
        <f>IF($B13="","",IF(Penalties!$K14=AE$2,1,""))</f>
        <v/>
      </c>
      <c r="AF13" s="564" t="str">
        <f>IF($B13="","",IF(Penalties!$K14=AF$2,1,""))</f>
        <v/>
      </c>
      <c r="AG13" s="564" t="str">
        <f>IF($B13="","",IF(Penalties!$K14=AG$2,1,""))</f>
        <v/>
      </c>
      <c r="AH13" s="564" t="str">
        <f>IF($B13="","",IF(Penalties!$K14=AH$2,1,""))</f>
        <v/>
      </c>
      <c r="AI13" s="564" t="str">
        <f>IF($B13="","",IF(Penalties!$K14=AI$2,1,""))</f>
        <v/>
      </c>
      <c r="AJ13" s="565"/>
    </row>
    <row r="14" spans="1:36" s="109" customFormat="1" ht="14.4" thickBot="1" x14ac:dyDescent="0.35">
      <c r="A14" s="1163"/>
      <c r="B14" s="1164"/>
      <c r="C14" s="1165"/>
      <c r="D14" s="550" t="s">
        <v>33</v>
      </c>
      <c r="E14" s="550">
        <f>IF($B13="","",COUNTIF(Penalties!$AD14:$AL14,E$2))</f>
        <v>0</v>
      </c>
      <c r="F14" s="550">
        <f>IF($B13="","",COUNTIF(Penalties!$AD14:$AL14,F$2))</f>
        <v>0</v>
      </c>
      <c r="G14" s="550">
        <f>IF($B13="","",COUNTIF(Penalties!$AD14:$AL14,G$2))</f>
        <v>0</v>
      </c>
      <c r="H14" s="550">
        <f>IF($B13="","",COUNTIF(Penalties!$AD14:$AL14,H$2))</f>
        <v>0</v>
      </c>
      <c r="I14" s="550">
        <f>IF($B13="","",COUNTIF(Penalties!$AD14:$AL14,I$2))</f>
        <v>0</v>
      </c>
      <c r="J14" s="550">
        <f>IF($B13="","",COUNTIF(Penalties!$AD14:$AL14,J$2))</f>
        <v>0</v>
      </c>
      <c r="K14" s="550">
        <f>IF($B13="","",COUNTIF(Penalties!$AD14:$AL14,K$2))</f>
        <v>1</v>
      </c>
      <c r="L14" s="550">
        <f>IF($B13="","",COUNTIF(Penalties!$AD14:$AL14,L$2))</f>
        <v>0</v>
      </c>
      <c r="M14" s="550">
        <f>IF($B13="","",COUNTIF(Penalties!$AD14:$AL14,M$2))</f>
        <v>1</v>
      </c>
      <c r="N14" s="550">
        <f>IF($B13="","",COUNTIF(Penalties!$AD14:$AL14,N$2))</f>
        <v>0</v>
      </c>
      <c r="O14" s="550">
        <f>IF($B13="","",COUNTIF(Penalties!$AD14:$AL14,O$2))</f>
        <v>0</v>
      </c>
      <c r="P14" s="550">
        <f>IF($B13="","",COUNTIF(Penalties!$AD14:$AL14,P$2))</f>
        <v>0</v>
      </c>
      <c r="Q14" s="550">
        <f>IF($B13="","",COUNTIF(Penalties!$AD14:$AL14,Q$2))</f>
        <v>0</v>
      </c>
      <c r="R14" s="550">
        <f>IF($B13="","",COUNTIF(Penalties!$AD14:$AL14,R$2))</f>
        <v>0</v>
      </c>
      <c r="S14" s="550">
        <f>IF($B13="","",COUNTIF(Penalties!$AD14:$AL14,S$2))</f>
        <v>0</v>
      </c>
      <c r="T14" s="550">
        <f>IF($B13="","",COUNTIF(Penalties!$AD14:$AL14,T$2))</f>
        <v>0</v>
      </c>
      <c r="U14" s="562">
        <f>IF(B13="","",SUM(E14:T14))</f>
        <v>2</v>
      </c>
      <c r="V14" s="563">
        <f>IF(B13="","",SUM(E14:T14)*0.5)</f>
        <v>1</v>
      </c>
      <c r="W14" s="564" t="str">
        <f>IF($B13="","",IF(Penalties!$AM14=W$2,1,""))</f>
        <v/>
      </c>
      <c r="X14" s="564" t="str">
        <f>IF($B13="","",IF(Penalties!$AM14=X$2,1,""))</f>
        <v/>
      </c>
      <c r="Y14" s="564" t="str">
        <f>IF($B13="","",IF(Penalties!$AM14=Y$2,1,""))</f>
        <v/>
      </c>
      <c r="Z14" s="564" t="str">
        <f>IF($B13="","",IF(Penalties!$AM14=Z$2,1,""))</f>
        <v/>
      </c>
      <c r="AA14" s="564" t="str">
        <f>IF($B13="","",IF(Penalties!$AM14=AA$2,1,""))</f>
        <v/>
      </c>
      <c r="AB14" s="564" t="str">
        <f>IF($B13="","",IF(Penalties!$AM14=AB$2,1,""))</f>
        <v/>
      </c>
      <c r="AC14" s="564" t="str">
        <f>IF($B13="","",IF(Penalties!$AM14=AC$2,1,""))</f>
        <v/>
      </c>
      <c r="AD14" s="564" t="str">
        <f>IF($B13="","",IF(Penalties!$AM14=AD$2,1,""))</f>
        <v/>
      </c>
      <c r="AE14" s="564" t="str">
        <f>IF($B13="","",IF(Penalties!$AM14=AE$2,1,""))</f>
        <v/>
      </c>
      <c r="AF14" s="564" t="str">
        <f>IF($B13="","",IF(Penalties!$AM14=AF$2,1,""))</f>
        <v/>
      </c>
      <c r="AG14" s="564" t="str">
        <f>IF($B13="","",IF(Penalties!$AM14=AG$2,1,""))</f>
        <v/>
      </c>
      <c r="AH14" s="564" t="str">
        <f>IF($B13="","",IF(Penalties!$AM14=AH$2,1,""))</f>
        <v/>
      </c>
      <c r="AI14" s="564" t="str">
        <f>IF($B13="","",IF(Penalties!$AM14=AI$2,1,""))</f>
        <v/>
      </c>
      <c r="AJ14" s="566" t="str">
        <f>IF(SUM(X13:AI14)=0, "", IF(SUM(X13:AI13)=1, LOOKUP(1, X13:AI13, $X$2:$AI$2), LOOKUP(1, X14:AI14, $X$2:$AI$2)))</f>
        <v/>
      </c>
    </row>
    <row r="15" spans="1:36" s="109" customFormat="1" x14ac:dyDescent="0.3">
      <c r="A15" s="1166">
        <f>A13+1</f>
        <v>7</v>
      </c>
      <c r="B15" s="1167" t="str">
        <f>IF(IGRF!B20="","",IGRF!B20)</f>
        <v>33</v>
      </c>
      <c r="C15" s="1168" t="str">
        <f>IF(IGRF!C20="","",IGRF!C20)</f>
        <v>Suzy Slam</v>
      </c>
      <c r="D15" s="556" t="s">
        <v>17</v>
      </c>
      <c r="E15" s="549">
        <f>IF($B15="","",COUNTIF(Penalties!$B16:$J16,E$2))</f>
        <v>0</v>
      </c>
      <c r="F15" s="549">
        <f>IF($B15="","",COUNTIF(Penalties!$B16:$J16,F$2))</f>
        <v>0</v>
      </c>
      <c r="G15" s="549">
        <f>IF($B15="","",COUNTIF(Penalties!$B16:$J16,G$2))</f>
        <v>0</v>
      </c>
      <c r="H15" s="549">
        <f>IF($B15="","",COUNTIF(Penalties!$B16:$J16,H$2))</f>
        <v>0</v>
      </c>
      <c r="I15" s="549">
        <f>IF($B15="","",COUNTIF(Penalties!$B16:$J16,I$2))</f>
        <v>0</v>
      </c>
      <c r="J15" s="549">
        <f>IF($B15="","",COUNTIF(Penalties!$B16:$J16,J$2))</f>
        <v>0</v>
      </c>
      <c r="K15" s="549">
        <f>IF($B15="","",COUNTIF(Penalties!$B16:$J16,K$2))</f>
        <v>0</v>
      </c>
      <c r="L15" s="549">
        <f>IF($B15="","",COUNTIF(Penalties!$B16:$J16,L$2))</f>
        <v>0</v>
      </c>
      <c r="M15" s="549">
        <f>IF($B15="","",COUNTIF(Penalties!$B16:$J16,M$2))</f>
        <v>0</v>
      </c>
      <c r="N15" s="549">
        <f>IF($B15="","",COUNTIF(Penalties!$B16:$J16,N$2))</f>
        <v>0</v>
      </c>
      <c r="O15" s="549">
        <f>IF($B15="","",COUNTIF(Penalties!$B16:$J16,O$2))</f>
        <v>0</v>
      </c>
      <c r="P15" s="549">
        <f>IF($B15="","",COUNTIF(Penalties!$B16:$J16,P$2))</f>
        <v>0</v>
      </c>
      <c r="Q15" s="549">
        <f>IF($B15="","",COUNTIF(Penalties!$B16:$J16,Q$2))</f>
        <v>0</v>
      </c>
      <c r="R15" s="549">
        <f>IF($B15="","",COUNTIF(Penalties!$B16:$J16,R$2))</f>
        <v>0</v>
      </c>
      <c r="S15" s="549">
        <f>IF($B15="","",COUNTIF(Penalties!$B16:$J16,S$2))</f>
        <v>0</v>
      </c>
      <c r="T15" s="549">
        <f>IF($B15="","",COUNTIF(Penalties!$B16:$J16,T$2))</f>
        <v>0</v>
      </c>
      <c r="U15" s="557">
        <f>IF(B15="","",SUM(E15:T15))</f>
        <v>0</v>
      </c>
      <c r="V15" s="558">
        <f>IF(B15="","",SUM(E15:T15)*0.5)</f>
        <v>0</v>
      </c>
      <c r="W15" s="559" t="str">
        <f>IF($B15="","",IF(Penalties!$K16=W$2,1,""))</f>
        <v/>
      </c>
      <c r="X15" s="559" t="str">
        <f>IF($B15="","",IF(Penalties!$K16=X$2,1,""))</f>
        <v/>
      </c>
      <c r="Y15" s="559" t="str">
        <f>IF($B15="","",IF(Penalties!$K16=Y$2,1,""))</f>
        <v/>
      </c>
      <c r="Z15" s="559" t="str">
        <f>IF($B15="","",IF(Penalties!$K16=Z$2,1,""))</f>
        <v/>
      </c>
      <c r="AA15" s="559" t="str">
        <f>IF($B15="","",IF(Penalties!$K16=AA$2,1,""))</f>
        <v/>
      </c>
      <c r="AB15" s="559" t="str">
        <f>IF($B15="","",IF(Penalties!$K16=AB$2,1,""))</f>
        <v/>
      </c>
      <c r="AC15" s="559" t="str">
        <f>IF($B15="","",IF(Penalties!$K16=AC$2,1,""))</f>
        <v/>
      </c>
      <c r="AD15" s="559" t="str">
        <f>IF($B15="","",IF(Penalties!$K16=AD$2,1,""))</f>
        <v/>
      </c>
      <c r="AE15" s="559" t="str">
        <f>IF($B15="","",IF(Penalties!$K16=AE$2,1,""))</f>
        <v/>
      </c>
      <c r="AF15" s="559" t="str">
        <f>IF($B15="","",IF(Penalties!$K16=AF$2,1,""))</f>
        <v/>
      </c>
      <c r="AG15" s="559" t="str">
        <f>IF($B15="","",IF(Penalties!$K16=AG$2,1,""))</f>
        <v/>
      </c>
      <c r="AH15" s="559" t="str">
        <f>IF($B15="","",IF(Penalties!$K16=AH$2,1,""))</f>
        <v/>
      </c>
      <c r="AI15" s="559" t="str">
        <f>IF($B15="","",IF(Penalties!$K16=AI$2,1,""))</f>
        <v/>
      </c>
      <c r="AJ15" s="560"/>
    </row>
    <row r="16" spans="1:36" s="109" customFormat="1" x14ac:dyDescent="0.3">
      <c r="A16" s="1166"/>
      <c r="B16" s="1167"/>
      <c r="C16" s="1168"/>
      <c r="D16" s="556" t="s">
        <v>33</v>
      </c>
      <c r="E16" s="549">
        <f>IF($B15="","",COUNTIF(Penalties!$AD16:$AL16,E$2))</f>
        <v>0</v>
      </c>
      <c r="F16" s="549">
        <f>IF($B15="","",COUNTIF(Penalties!$AD16:$AL16,F$2))</f>
        <v>0</v>
      </c>
      <c r="G16" s="549">
        <f>IF($B15="","",COUNTIF(Penalties!$AD16:$AL16,G$2))</f>
        <v>0</v>
      </c>
      <c r="H16" s="549">
        <f>IF($B15="","",COUNTIF(Penalties!$AD16:$AL16,H$2))</f>
        <v>0</v>
      </c>
      <c r="I16" s="549">
        <f>IF($B15="","",COUNTIF(Penalties!$AD16:$AL16,I$2))</f>
        <v>0</v>
      </c>
      <c r="J16" s="549">
        <f>IF($B15="","",COUNTIF(Penalties!$AD16:$AL16,J$2))</f>
        <v>0</v>
      </c>
      <c r="K16" s="549">
        <f>IF($B15="","",COUNTIF(Penalties!$AD16:$AL16,K$2))</f>
        <v>0</v>
      </c>
      <c r="L16" s="549">
        <f>IF($B15="","",COUNTIF(Penalties!$AD16:$AL16,L$2))</f>
        <v>1</v>
      </c>
      <c r="M16" s="549">
        <f>IF($B15="","",COUNTIF(Penalties!$AD16:$AL16,M$2))</f>
        <v>0</v>
      </c>
      <c r="N16" s="549">
        <f>IF($B15="","",COUNTIF(Penalties!$AD16:$AL16,N$2))</f>
        <v>0</v>
      </c>
      <c r="O16" s="549">
        <f>IF($B15="","",COUNTIF(Penalties!$AD16:$AL16,O$2))</f>
        <v>0</v>
      </c>
      <c r="P16" s="549">
        <f>IF($B15="","",COUNTIF(Penalties!$AD16:$AL16,P$2))</f>
        <v>0</v>
      </c>
      <c r="Q16" s="549">
        <f>IF($B15="","",COUNTIF(Penalties!$AD16:$AL16,Q$2))</f>
        <v>0</v>
      </c>
      <c r="R16" s="549">
        <f>IF($B15="","",COUNTIF(Penalties!$AD16:$AL16,R$2))</f>
        <v>0</v>
      </c>
      <c r="S16" s="549">
        <f>IF($B15="","",COUNTIF(Penalties!$AD16:$AL16,S$2))</f>
        <v>0</v>
      </c>
      <c r="T16" s="549">
        <f>IF($B15="","",COUNTIF(Penalties!$AD16:$AL16,T$2))</f>
        <v>0</v>
      </c>
      <c r="U16" s="557">
        <f>IF(B15="","",SUM(E16:T16))</f>
        <v>1</v>
      </c>
      <c r="V16" s="558">
        <f>IF(B15="","",SUM(E16:T16)*0.5)</f>
        <v>0.5</v>
      </c>
      <c r="W16" s="559" t="str">
        <f>IF($B15="","",IF(Penalties!$AM16=W$2,1,""))</f>
        <v/>
      </c>
      <c r="X16" s="559" t="str">
        <f>IF($B15="","",IF(Penalties!$AM16=X$2,1,""))</f>
        <v/>
      </c>
      <c r="Y16" s="559" t="str">
        <f>IF($B15="","",IF(Penalties!$AM16=Y$2,1,""))</f>
        <v/>
      </c>
      <c r="Z16" s="559" t="str">
        <f>IF($B15="","",IF(Penalties!$AM16=Z$2,1,""))</f>
        <v/>
      </c>
      <c r="AA16" s="559" t="str">
        <f>IF($B15="","",IF(Penalties!$AM16=AA$2,1,""))</f>
        <v/>
      </c>
      <c r="AB16" s="559" t="str">
        <f>IF($B15="","",IF(Penalties!$AM16=AB$2,1,""))</f>
        <v/>
      </c>
      <c r="AC16" s="559" t="str">
        <f>IF($B15="","",IF(Penalties!$AM16=AC$2,1,""))</f>
        <v/>
      </c>
      <c r="AD16" s="559" t="str">
        <f>IF($B15="","",IF(Penalties!$AM16=AD$2,1,""))</f>
        <v/>
      </c>
      <c r="AE16" s="559" t="str">
        <f>IF($B15="","",IF(Penalties!$AM16=AE$2,1,""))</f>
        <v/>
      </c>
      <c r="AF16" s="559" t="str">
        <f>IF($B15="","",IF(Penalties!$AM16=AF$2,1,""))</f>
        <v/>
      </c>
      <c r="AG16" s="559" t="str">
        <f>IF($B15="","",IF(Penalties!$AM16=AG$2,1,""))</f>
        <v/>
      </c>
      <c r="AH16" s="559" t="str">
        <f>IF($B15="","",IF(Penalties!$AM16=AH$2,1,""))</f>
        <v/>
      </c>
      <c r="AI16" s="559" t="str">
        <f>IF($B15="","",IF(Penalties!$AM16=AI$2,1,""))</f>
        <v/>
      </c>
      <c r="AJ16" s="561" t="str">
        <f>IF(SUM(X15:AI16)=0, "", IF(SUM(X15:AI15)=1, LOOKUP(1, X15:AI15, $X$2:$AI$2), LOOKUP(1, X16:AI16, $X$2:$AI$2)))</f>
        <v/>
      </c>
    </row>
    <row r="17" spans="1:36" s="109" customFormat="1" x14ac:dyDescent="0.3">
      <c r="A17" s="1163">
        <f>A15+1</f>
        <v>8</v>
      </c>
      <c r="B17" s="1164" t="str">
        <f>IF(IGRF!B21="","",IGRF!B21)</f>
        <v>4</v>
      </c>
      <c r="C17" s="1165" t="str">
        <f>IF(IGRF!C21="","",IGRF!C21)</f>
        <v>Psykosonic</v>
      </c>
      <c r="D17" s="550" t="s">
        <v>17</v>
      </c>
      <c r="E17" s="550">
        <f>IF($B17="","",COUNTIF(Penalties!$B18:$J18,E$2))</f>
        <v>0</v>
      </c>
      <c r="F17" s="550">
        <f>IF($B17="","",COUNTIF(Penalties!$B18:$J18,F$2))</f>
        <v>0</v>
      </c>
      <c r="G17" s="550">
        <f>IF($B17="","",COUNTIF(Penalties!$B18:$J18,G$2))</f>
        <v>0</v>
      </c>
      <c r="H17" s="550">
        <f>IF($B17="","",COUNTIF(Penalties!$B18:$J18,H$2))</f>
        <v>0</v>
      </c>
      <c r="I17" s="550">
        <f>IF($B17="","",COUNTIF(Penalties!$B18:$J18,I$2))</f>
        <v>0</v>
      </c>
      <c r="J17" s="550">
        <f>IF($B17="","",COUNTIF(Penalties!$B18:$J18,J$2))</f>
        <v>0</v>
      </c>
      <c r="K17" s="550">
        <f>IF($B17="","",COUNTIF(Penalties!$B18:$J18,K$2))</f>
        <v>0</v>
      </c>
      <c r="L17" s="550">
        <f>IF($B17="","",COUNTIF(Penalties!$B18:$J18,L$2))</f>
        <v>0</v>
      </c>
      <c r="M17" s="550">
        <f>IF($B17="","",COUNTIF(Penalties!$B18:$J18,M$2))</f>
        <v>0</v>
      </c>
      <c r="N17" s="550">
        <f>IF($B17="","",COUNTIF(Penalties!$B18:$J18,N$2))</f>
        <v>0</v>
      </c>
      <c r="O17" s="550">
        <f>IF($B17="","",COUNTIF(Penalties!$B18:$J18,O$2))</f>
        <v>1</v>
      </c>
      <c r="P17" s="550">
        <f>IF($B17="","",COUNTIF(Penalties!$B18:$J18,P$2))</f>
        <v>0</v>
      </c>
      <c r="Q17" s="550">
        <f>IF($B17="","",COUNTIF(Penalties!$B18:$J18,Q$2))</f>
        <v>0</v>
      </c>
      <c r="R17" s="550">
        <f>IF($B17="","",COUNTIF(Penalties!$B18:$J18,R$2))</f>
        <v>0</v>
      </c>
      <c r="S17" s="550">
        <f>IF($B17="","",COUNTIF(Penalties!$B18:$J18,S$2))</f>
        <v>0</v>
      </c>
      <c r="T17" s="550">
        <f>IF($B17="","",COUNTIF(Penalties!$B18:$J18,T$2))</f>
        <v>0</v>
      </c>
      <c r="U17" s="562">
        <f>IF(B17="","",SUM(E17:T17))</f>
        <v>1</v>
      </c>
      <c r="V17" s="563">
        <f>IF(B17="","",SUM(E17:T17)*0.5)</f>
        <v>0.5</v>
      </c>
      <c r="W17" s="564" t="str">
        <f>IF($B17="","",IF(Penalties!$K18=W$2,1,""))</f>
        <v/>
      </c>
      <c r="X17" s="564" t="str">
        <f>IF($B17="","",IF(Penalties!$K18=X$2,1,""))</f>
        <v/>
      </c>
      <c r="Y17" s="564" t="str">
        <f>IF($B17="","",IF(Penalties!$K18=Y$2,1,""))</f>
        <v/>
      </c>
      <c r="Z17" s="564" t="str">
        <f>IF($B17="","",IF(Penalties!$K18=Z$2,1,""))</f>
        <v/>
      </c>
      <c r="AA17" s="564" t="str">
        <f>IF($B17="","",IF(Penalties!$K18=AA$2,1,""))</f>
        <v/>
      </c>
      <c r="AB17" s="564" t="str">
        <f>IF($B17="","",IF(Penalties!$K18=AB$2,1,""))</f>
        <v/>
      </c>
      <c r="AC17" s="564" t="str">
        <f>IF($B17="","",IF(Penalties!$K18=AC$2,1,""))</f>
        <v/>
      </c>
      <c r="AD17" s="564" t="str">
        <f>IF($B17="","",IF(Penalties!$K18=AD$2,1,""))</f>
        <v/>
      </c>
      <c r="AE17" s="564" t="str">
        <f>IF($B17="","",IF(Penalties!$K18=AE$2,1,""))</f>
        <v/>
      </c>
      <c r="AF17" s="564" t="str">
        <f>IF($B17="","",IF(Penalties!$K18=AF$2,1,""))</f>
        <v/>
      </c>
      <c r="AG17" s="564" t="str">
        <f>IF($B17="","",IF(Penalties!$K18=AG$2,1,""))</f>
        <v/>
      </c>
      <c r="AH17" s="564" t="str">
        <f>IF($B17="","",IF(Penalties!$K18=AH$2,1,""))</f>
        <v/>
      </c>
      <c r="AI17" s="564" t="str">
        <f>IF($B17="","",IF(Penalties!$K18=AI$2,1,""))</f>
        <v/>
      </c>
      <c r="AJ17" s="565"/>
    </row>
    <row r="18" spans="1:36" s="109" customFormat="1" ht="14.4" thickBot="1" x14ac:dyDescent="0.35">
      <c r="A18" s="1163"/>
      <c r="B18" s="1164"/>
      <c r="C18" s="1165"/>
      <c r="D18" s="550" t="s">
        <v>33</v>
      </c>
      <c r="E18" s="550">
        <f>IF($B17="","",COUNTIF(Penalties!$AD18:$AL18,E$2))</f>
        <v>1</v>
      </c>
      <c r="F18" s="550">
        <f>IF($B17="","",COUNTIF(Penalties!$AD18:$AL18,F$2))</f>
        <v>0</v>
      </c>
      <c r="G18" s="550">
        <f>IF($B17="","",COUNTIF(Penalties!$AD18:$AL18,G$2))</f>
        <v>0</v>
      </c>
      <c r="H18" s="550">
        <f>IF($B17="","",COUNTIF(Penalties!$AD18:$AL18,H$2))</f>
        <v>0</v>
      </c>
      <c r="I18" s="550">
        <f>IF($B17="","",COUNTIF(Penalties!$AD18:$AL18,I$2))</f>
        <v>0</v>
      </c>
      <c r="J18" s="550">
        <f>IF($B17="","",COUNTIF(Penalties!$AD18:$AL18,J$2))</f>
        <v>0</v>
      </c>
      <c r="K18" s="550">
        <f>IF($B17="","",COUNTIF(Penalties!$AD18:$AL18,K$2))</f>
        <v>0</v>
      </c>
      <c r="L18" s="550">
        <f>IF($B17="","",COUNTIF(Penalties!$AD18:$AL18,L$2))</f>
        <v>0</v>
      </c>
      <c r="M18" s="550">
        <f>IF($B17="","",COUNTIF(Penalties!$AD18:$AL18,M$2))</f>
        <v>0</v>
      </c>
      <c r="N18" s="550">
        <f>IF($B17="","",COUNTIF(Penalties!$AD18:$AL18,N$2))</f>
        <v>0</v>
      </c>
      <c r="O18" s="550">
        <f>IF($B17="","",COUNTIF(Penalties!$AD18:$AL18,O$2))</f>
        <v>1</v>
      </c>
      <c r="P18" s="550">
        <f>IF($B17="","",COUNTIF(Penalties!$AD18:$AL18,P$2))</f>
        <v>0</v>
      </c>
      <c r="Q18" s="550">
        <f>IF($B17="","",COUNTIF(Penalties!$AD18:$AL18,Q$2))</f>
        <v>0</v>
      </c>
      <c r="R18" s="550">
        <f>IF($B17="","",COUNTIF(Penalties!$AD18:$AL18,R$2))</f>
        <v>0</v>
      </c>
      <c r="S18" s="550">
        <f>IF($B17="","",COUNTIF(Penalties!$AD18:$AL18,S$2))</f>
        <v>0</v>
      </c>
      <c r="T18" s="550">
        <f>IF($B17="","",COUNTIF(Penalties!$AD18:$AL18,T$2))</f>
        <v>0</v>
      </c>
      <c r="U18" s="562">
        <f>IF(B17="","",SUM(E18:T18))</f>
        <v>2</v>
      </c>
      <c r="V18" s="563">
        <f>IF(B17="","",SUM(E18:T18)*0.5)</f>
        <v>1</v>
      </c>
      <c r="W18" s="564" t="str">
        <f>IF($B17="","",IF(Penalties!$AM18=W$2,1,""))</f>
        <v/>
      </c>
      <c r="X18" s="564" t="str">
        <f>IF($B17="","",IF(Penalties!$AM18=X$2,1,""))</f>
        <v/>
      </c>
      <c r="Y18" s="564" t="str">
        <f>IF($B17="","",IF(Penalties!$AM18=Y$2,1,""))</f>
        <v/>
      </c>
      <c r="Z18" s="564" t="str">
        <f>IF($B17="","",IF(Penalties!$AM18=Z$2,1,""))</f>
        <v/>
      </c>
      <c r="AA18" s="564" t="str">
        <f>IF($B17="","",IF(Penalties!$AM18=AA$2,1,""))</f>
        <v/>
      </c>
      <c r="AB18" s="564" t="str">
        <f>IF($B17="","",IF(Penalties!$AM18=AB$2,1,""))</f>
        <v/>
      </c>
      <c r="AC18" s="564" t="str">
        <f>IF($B17="","",IF(Penalties!$AM18=AC$2,1,""))</f>
        <v/>
      </c>
      <c r="AD18" s="564" t="str">
        <f>IF($B17="","",IF(Penalties!$AM18=AD$2,1,""))</f>
        <v/>
      </c>
      <c r="AE18" s="564" t="str">
        <f>IF($B17="","",IF(Penalties!$AM18=AE$2,1,""))</f>
        <v/>
      </c>
      <c r="AF18" s="564" t="str">
        <f>IF($B17="","",IF(Penalties!$AM18=AF$2,1,""))</f>
        <v/>
      </c>
      <c r="AG18" s="564" t="str">
        <f>IF($B17="","",IF(Penalties!$AM18=AG$2,1,""))</f>
        <v/>
      </c>
      <c r="AH18" s="564" t="str">
        <f>IF($B17="","",IF(Penalties!$AM18=AH$2,1,""))</f>
        <v/>
      </c>
      <c r="AI18" s="564" t="str">
        <f>IF($B17="","",IF(Penalties!$AM18=AI$2,1,""))</f>
        <v/>
      </c>
      <c r="AJ18" s="566" t="str">
        <f>IF(SUM(X17:AI18)=0, "", IF(SUM(X17:AI17)=1, LOOKUP(1, X17:AI17, $X$2:$AI$2), LOOKUP(1, X18:AI18, $X$2:$AI$2)))</f>
        <v/>
      </c>
    </row>
    <row r="19" spans="1:36" s="109" customFormat="1" x14ac:dyDescent="0.3">
      <c r="A19" s="1166">
        <f>A17+1</f>
        <v>9</v>
      </c>
      <c r="B19" s="1167" t="str">
        <f>IF(IGRF!B22="","",IGRF!B22)</f>
        <v>42</v>
      </c>
      <c r="C19" s="1168" t="str">
        <f>IF(IGRF!C22="","",IGRF!C22)</f>
        <v>Meg N' Plead</v>
      </c>
      <c r="D19" s="556" t="s">
        <v>17</v>
      </c>
      <c r="E19" s="549">
        <f>IF($B19="","",COUNTIF(Penalties!$B20:$J20,E$2))</f>
        <v>0</v>
      </c>
      <c r="F19" s="549">
        <f>IF($B19="","",COUNTIF(Penalties!$B20:$J20,F$2))</f>
        <v>0</v>
      </c>
      <c r="G19" s="549">
        <f>IF($B19="","",COUNTIF(Penalties!$B20:$J20,G$2))</f>
        <v>0</v>
      </c>
      <c r="H19" s="549">
        <f>IF($B19="","",COUNTIF(Penalties!$B20:$J20,H$2))</f>
        <v>0</v>
      </c>
      <c r="I19" s="549">
        <f>IF($B19="","",COUNTIF(Penalties!$B20:$J20,I$2))</f>
        <v>0</v>
      </c>
      <c r="J19" s="549">
        <f>IF($B19="","",COUNTIF(Penalties!$B20:$J20,J$2))</f>
        <v>0</v>
      </c>
      <c r="K19" s="549">
        <f>IF($B19="","",COUNTIF(Penalties!$B20:$J20,K$2))</f>
        <v>0</v>
      </c>
      <c r="L19" s="549">
        <f>IF($B19="","",COUNTIF(Penalties!$B20:$J20,L$2))</f>
        <v>0</v>
      </c>
      <c r="M19" s="549">
        <f>IF($B19="","",COUNTIF(Penalties!$B20:$J20,M$2))</f>
        <v>0</v>
      </c>
      <c r="N19" s="549">
        <f>IF($B19="","",COUNTIF(Penalties!$B20:$J20,N$2))</f>
        <v>0</v>
      </c>
      <c r="O19" s="549">
        <f>IF($B19="","",COUNTIF(Penalties!$B20:$J20,O$2))</f>
        <v>0</v>
      </c>
      <c r="P19" s="549">
        <f>IF($B19="","",COUNTIF(Penalties!$B20:$J20,P$2))</f>
        <v>0</v>
      </c>
      <c r="Q19" s="549">
        <f>IF($B19="","",COUNTIF(Penalties!$B20:$J20,Q$2))</f>
        <v>0</v>
      </c>
      <c r="R19" s="549">
        <f>IF($B19="","",COUNTIF(Penalties!$B20:$J20,R$2))</f>
        <v>0</v>
      </c>
      <c r="S19" s="549">
        <f>IF($B19="","",COUNTIF(Penalties!$B20:$J20,S$2))</f>
        <v>0</v>
      </c>
      <c r="T19" s="549">
        <f>IF($B19="","",COUNTIF(Penalties!$B20:$J20,T$2))</f>
        <v>0</v>
      </c>
      <c r="U19" s="557">
        <f>IF(B19="","",SUM(E19:T19))</f>
        <v>0</v>
      </c>
      <c r="V19" s="558">
        <f>IF(B19="","",SUM(E19:T19)*0.5)</f>
        <v>0</v>
      </c>
      <c r="W19" s="559" t="str">
        <f>IF($B19="","",IF(Penalties!$K20=W$2,1,""))</f>
        <v/>
      </c>
      <c r="X19" s="559" t="str">
        <f>IF($B19="","",IF(Penalties!$K20=X$2,1,""))</f>
        <v/>
      </c>
      <c r="Y19" s="559" t="str">
        <f>IF($B19="","",IF(Penalties!$K20=Y$2,1,""))</f>
        <v/>
      </c>
      <c r="Z19" s="559" t="str">
        <f>IF($B19="","",IF(Penalties!$K20=Z$2,1,""))</f>
        <v/>
      </c>
      <c r="AA19" s="559" t="str">
        <f>IF($B19="","",IF(Penalties!$K20=AA$2,1,""))</f>
        <v/>
      </c>
      <c r="AB19" s="559" t="str">
        <f>IF($B19="","",IF(Penalties!$K20=AB$2,1,""))</f>
        <v/>
      </c>
      <c r="AC19" s="559" t="str">
        <f>IF($B19="","",IF(Penalties!$K20=AC$2,1,""))</f>
        <v/>
      </c>
      <c r="AD19" s="559" t="str">
        <f>IF($B19="","",IF(Penalties!$K20=AD$2,1,""))</f>
        <v/>
      </c>
      <c r="AE19" s="559" t="str">
        <f>IF($B19="","",IF(Penalties!$K20=AE$2,1,""))</f>
        <v/>
      </c>
      <c r="AF19" s="559" t="str">
        <f>IF($B19="","",IF(Penalties!$K20=AF$2,1,""))</f>
        <v/>
      </c>
      <c r="AG19" s="559" t="str">
        <f>IF($B19="","",IF(Penalties!$K20=AG$2,1,""))</f>
        <v/>
      </c>
      <c r="AH19" s="559" t="str">
        <f>IF($B19="","",IF(Penalties!$K20=AH$2,1,""))</f>
        <v/>
      </c>
      <c r="AI19" s="559" t="str">
        <f>IF($B19="","",IF(Penalties!$K20=AI$2,1,""))</f>
        <v/>
      </c>
      <c r="AJ19" s="560"/>
    </row>
    <row r="20" spans="1:36" s="109" customFormat="1" x14ac:dyDescent="0.3">
      <c r="A20" s="1166"/>
      <c r="B20" s="1167"/>
      <c r="C20" s="1168"/>
      <c r="D20" s="556" t="s">
        <v>33</v>
      </c>
      <c r="E20" s="549">
        <f>IF($B19="","",COUNTIF(Penalties!$AD20:$AL20,E$2))</f>
        <v>0</v>
      </c>
      <c r="F20" s="549">
        <f>IF($B19="","",COUNTIF(Penalties!$AD20:$AL20,F$2))</f>
        <v>0</v>
      </c>
      <c r="G20" s="549">
        <f>IF($B19="","",COUNTIF(Penalties!$AD20:$AL20,G$2))</f>
        <v>0</v>
      </c>
      <c r="H20" s="549">
        <f>IF($B19="","",COUNTIF(Penalties!$AD20:$AL20,H$2))</f>
        <v>0</v>
      </c>
      <c r="I20" s="549">
        <f>IF($B19="","",COUNTIF(Penalties!$AD20:$AL20,I$2))</f>
        <v>0</v>
      </c>
      <c r="J20" s="549">
        <f>IF($B19="","",COUNTIF(Penalties!$AD20:$AL20,J$2))</f>
        <v>0</v>
      </c>
      <c r="K20" s="549">
        <f>IF($B19="","",COUNTIF(Penalties!$AD20:$AL20,K$2))</f>
        <v>0</v>
      </c>
      <c r="L20" s="549">
        <f>IF($B19="","",COUNTIF(Penalties!$AD20:$AL20,L$2))</f>
        <v>0</v>
      </c>
      <c r="M20" s="549">
        <f>IF($B19="","",COUNTIF(Penalties!$AD20:$AL20,M$2))</f>
        <v>0</v>
      </c>
      <c r="N20" s="549">
        <f>IF($B19="","",COUNTIF(Penalties!$AD20:$AL20,N$2))</f>
        <v>2</v>
      </c>
      <c r="O20" s="549">
        <f>IF($B19="","",COUNTIF(Penalties!$AD20:$AL20,O$2))</f>
        <v>0</v>
      </c>
      <c r="P20" s="549">
        <f>IF($B19="","",COUNTIF(Penalties!$AD20:$AL20,P$2))</f>
        <v>0</v>
      </c>
      <c r="Q20" s="549">
        <f>IF($B19="","",COUNTIF(Penalties!$AD20:$AL20,Q$2))</f>
        <v>0</v>
      </c>
      <c r="R20" s="549">
        <f>IF($B19="","",COUNTIF(Penalties!$AD20:$AL20,R$2))</f>
        <v>0</v>
      </c>
      <c r="S20" s="549">
        <f>IF($B19="","",COUNTIF(Penalties!$AD20:$AL20,S$2))</f>
        <v>0</v>
      </c>
      <c r="T20" s="549">
        <f>IF($B19="","",COUNTIF(Penalties!$AD20:$AL20,T$2))</f>
        <v>0</v>
      </c>
      <c r="U20" s="557">
        <f>IF(B19="","",SUM(E20:T20))</f>
        <v>2</v>
      </c>
      <c r="V20" s="558">
        <f>IF(B19="","",SUM(E20:T20)*0.5)</f>
        <v>1</v>
      </c>
      <c r="W20" s="559" t="str">
        <f>IF($B19="","",IF(Penalties!$AM20=W$2,1,""))</f>
        <v/>
      </c>
      <c r="X20" s="559" t="str">
        <f>IF($B19="","",IF(Penalties!$AM20=X$2,1,""))</f>
        <v/>
      </c>
      <c r="Y20" s="559" t="str">
        <f>IF($B19="","",IF(Penalties!$AM20=Y$2,1,""))</f>
        <v/>
      </c>
      <c r="Z20" s="559" t="str">
        <f>IF($B19="","",IF(Penalties!$AM20=Z$2,1,""))</f>
        <v/>
      </c>
      <c r="AA20" s="559" t="str">
        <f>IF($B19="","",IF(Penalties!$AM20=AA$2,1,""))</f>
        <v/>
      </c>
      <c r="AB20" s="559" t="str">
        <f>IF($B19="","",IF(Penalties!$AM20=AB$2,1,""))</f>
        <v/>
      </c>
      <c r="AC20" s="559" t="str">
        <f>IF($B19="","",IF(Penalties!$AM20=AC$2,1,""))</f>
        <v/>
      </c>
      <c r="AD20" s="559" t="str">
        <f>IF($B19="","",IF(Penalties!$AM20=AD$2,1,""))</f>
        <v/>
      </c>
      <c r="AE20" s="559" t="str">
        <f>IF($B19="","",IF(Penalties!$AM20=AE$2,1,""))</f>
        <v/>
      </c>
      <c r="AF20" s="559" t="str">
        <f>IF($B19="","",IF(Penalties!$AM20=AF$2,1,""))</f>
        <v/>
      </c>
      <c r="AG20" s="559" t="str">
        <f>IF($B19="","",IF(Penalties!$AM20=AG$2,1,""))</f>
        <v/>
      </c>
      <c r="AH20" s="559" t="str">
        <f>IF($B19="","",IF(Penalties!$AM20=AH$2,1,""))</f>
        <v/>
      </c>
      <c r="AI20" s="559" t="str">
        <f>IF($B19="","",IF(Penalties!$AM20=AI$2,1,""))</f>
        <v/>
      </c>
      <c r="AJ20" s="561" t="str">
        <f>IF(SUM(X19:AI20)=0, "", IF(SUM(X19:AI19)=1, LOOKUP(1, X19:AI19, $X$2:$AI$2), LOOKUP(1, X20:AI20, $X$2:$AI$2)))</f>
        <v/>
      </c>
    </row>
    <row r="21" spans="1:36" s="109" customFormat="1" x14ac:dyDescent="0.3">
      <c r="A21" s="1163">
        <f>A19+1</f>
        <v>10</v>
      </c>
      <c r="B21" s="1164" t="str">
        <f>IF(IGRF!B23="","",IGRF!B23)</f>
        <v>44</v>
      </c>
      <c r="C21" s="1165" t="str">
        <f>IF(IGRF!C23="","",IGRF!C23)</f>
        <v>Brunt Force Bunny</v>
      </c>
      <c r="D21" s="550" t="s">
        <v>17</v>
      </c>
      <c r="E21" s="550">
        <f>IF($B21="","",COUNTIF(Penalties!$B22:$J22,E$2))</f>
        <v>0</v>
      </c>
      <c r="F21" s="550">
        <f>IF($B21="","",COUNTIF(Penalties!$B22:$J22,F$2))</f>
        <v>0</v>
      </c>
      <c r="G21" s="550">
        <f>IF($B21="","",COUNTIF(Penalties!$B22:$J22,G$2))</f>
        <v>0</v>
      </c>
      <c r="H21" s="550">
        <f>IF($B21="","",COUNTIF(Penalties!$B22:$J22,H$2))</f>
        <v>0</v>
      </c>
      <c r="I21" s="550">
        <f>IF($B21="","",COUNTIF(Penalties!$B22:$J22,I$2))</f>
        <v>0</v>
      </c>
      <c r="J21" s="550">
        <f>IF($B21="","",COUNTIF(Penalties!$B22:$J22,J$2))</f>
        <v>0</v>
      </c>
      <c r="K21" s="550">
        <f>IF($B21="","",COUNTIF(Penalties!$B22:$J22,K$2))</f>
        <v>0</v>
      </c>
      <c r="L21" s="550">
        <f>IF($B21="","",COUNTIF(Penalties!$B22:$J22,L$2))</f>
        <v>0</v>
      </c>
      <c r="M21" s="550">
        <f>IF($B21="","",COUNTIF(Penalties!$B22:$J22,M$2))</f>
        <v>0</v>
      </c>
      <c r="N21" s="550">
        <f>IF($B21="","",COUNTIF(Penalties!$B22:$J22,N$2))</f>
        <v>0</v>
      </c>
      <c r="O21" s="550">
        <f>IF($B21="","",COUNTIF(Penalties!$B22:$J22,O$2))</f>
        <v>0</v>
      </c>
      <c r="P21" s="550">
        <f>IF($B21="","",COUNTIF(Penalties!$B22:$J22,P$2))</f>
        <v>0</v>
      </c>
      <c r="Q21" s="550">
        <f>IF($B21="","",COUNTIF(Penalties!$B22:$J22,Q$2))</f>
        <v>0</v>
      </c>
      <c r="R21" s="550">
        <f>IF($B21="","",COUNTIF(Penalties!$B22:$J22,R$2))</f>
        <v>0</v>
      </c>
      <c r="S21" s="550">
        <f>IF($B21="","",COUNTIF(Penalties!$B22:$J22,S$2))</f>
        <v>0</v>
      </c>
      <c r="T21" s="550">
        <f>IF($B21="","",COUNTIF(Penalties!$B22:$J22,T$2))</f>
        <v>0</v>
      </c>
      <c r="U21" s="562">
        <f>IF(B21="","",SUM(E21:T21))</f>
        <v>0</v>
      </c>
      <c r="V21" s="563">
        <f>IF(B21="","",SUM(E21:T21)*0.5)</f>
        <v>0</v>
      </c>
      <c r="W21" s="564" t="str">
        <f>IF($B21="","",IF(Penalties!$K22=W$2,1,""))</f>
        <v/>
      </c>
      <c r="X21" s="564" t="str">
        <f>IF($B21="","",IF(Penalties!$K22=X$2,1,""))</f>
        <v/>
      </c>
      <c r="Y21" s="564" t="str">
        <f>IF($B21="","",IF(Penalties!$K22=Y$2,1,""))</f>
        <v/>
      </c>
      <c r="Z21" s="564" t="str">
        <f>IF($B21="","",IF(Penalties!$K22=Z$2,1,""))</f>
        <v/>
      </c>
      <c r="AA21" s="564" t="str">
        <f>IF($B21="","",IF(Penalties!$K22=AA$2,1,""))</f>
        <v/>
      </c>
      <c r="AB21" s="564" t="str">
        <f>IF($B21="","",IF(Penalties!$K22=AB$2,1,""))</f>
        <v/>
      </c>
      <c r="AC21" s="564" t="str">
        <f>IF($B21="","",IF(Penalties!$K22=AC$2,1,""))</f>
        <v/>
      </c>
      <c r="AD21" s="564" t="str">
        <f>IF($B21="","",IF(Penalties!$K22=AD$2,1,""))</f>
        <v/>
      </c>
      <c r="AE21" s="564" t="str">
        <f>IF($B21="","",IF(Penalties!$K22=AE$2,1,""))</f>
        <v/>
      </c>
      <c r="AF21" s="564" t="str">
        <f>IF($B21="","",IF(Penalties!$K22=AF$2,1,""))</f>
        <v/>
      </c>
      <c r="AG21" s="564" t="str">
        <f>IF($B21="","",IF(Penalties!$K22=AG$2,1,""))</f>
        <v/>
      </c>
      <c r="AH21" s="564" t="str">
        <f>IF($B21="","",IF(Penalties!$K22=AH$2,1,""))</f>
        <v/>
      </c>
      <c r="AI21" s="564" t="str">
        <f>IF($B21="","",IF(Penalties!$K22=AI$2,1,""))</f>
        <v/>
      </c>
      <c r="AJ21" s="565"/>
    </row>
    <row r="22" spans="1:36" s="109" customFormat="1" ht="14.4" thickBot="1" x14ac:dyDescent="0.35">
      <c r="A22" s="1163"/>
      <c r="B22" s="1164"/>
      <c r="C22" s="1165"/>
      <c r="D22" s="550" t="s">
        <v>33</v>
      </c>
      <c r="E22" s="550">
        <f>IF($B21="","",COUNTIF(Penalties!$AD22:$AL22,E$2))</f>
        <v>0</v>
      </c>
      <c r="F22" s="550">
        <f>IF($B21="","",COUNTIF(Penalties!$AD22:$AL22,F$2))</f>
        <v>0</v>
      </c>
      <c r="G22" s="550">
        <f>IF($B21="","",COUNTIF(Penalties!$AD22:$AL22,G$2))</f>
        <v>0</v>
      </c>
      <c r="H22" s="550">
        <f>IF($B21="","",COUNTIF(Penalties!$AD22:$AL22,H$2))</f>
        <v>0</v>
      </c>
      <c r="I22" s="550">
        <f>IF($B21="","",COUNTIF(Penalties!$AD22:$AL22,I$2))</f>
        <v>0</v>
      </c>
      <c r="J22" s="550">
        <f>IF($B21="","",COUNTIF(Penalties!$AD22:$AL22,J$2))</f>
        <v>0</v>
      </c>
      <c r="K22" s="550">
        <f>IF($B21="","",COUNTIF(Penalties!$AD22:$AL22,K$2))</f>
        <v>0</v>
      </c>
      <c r="L22" s="550">
        <f>IF($B21="","",COUNTIF(Penalties!$AD22:$AL22,L$2))</f>
        <v>0</v>
      </c>
      <c r="M22" s="550">
        <f>IF($B21="","",COUNTIF(Penalties!$AD22:$AL22,M$2))</f>
        <v>0</v>
      </c>
      <c r="N22" s="550">
        <f>IF($B21="","",COUNTIF(Penalties!$AD22:$AL22,N$2))</f>
        <v>0</v>
      </c>
      <c r="O22" s="550">
        <f>IF($B21="","",COUNTIF(Penalties!$AD22:$AL22,O$2))</f>
        <v>0</v>
      </c>
      <c r="P22" s="550">
        <f>IF($B21="","",COUNTIF(Penalties!$AD22:$AL22,P$2))</f>
        <v>0</v>
      </c>
      <c r="Q22" s="550">
        <f>IF($B21="","",COUNTIF(Penalties!$AD22:$AL22,Q$2))</f>
        <v>0</v>
      </c>
      <c r="R22" s="550">
        <f>IF($B21="","",COUNTIF(Penalties!$AD22:$AL22,R$2))</f>
        <v>0</v>
      </c>
      <c r="S22" s="550">
        <f>IF($B21="","",COUNTIF(Penalties!$AD22:$AL22,S$2))</f>
        <v>0</v>
      </c>
      <c r="T22" s="550">
        <f>IF($B21="","",COUNTIF(Penalties!$AD22:$AL22,T$2))</f>
        <v>0</v>
      </c>
      <c r="U22" s="562">
        <f>IF(B21="","",SUM(E22:T22))</f>
        <v>0</v>
      </c>
      <c r="V22" s="563">
        <f>IF(B21="","",SUM(E22:T22)*0.5)</f>
        <v>0</v>
      </c>
      <c r="W22" s="564" t="str">
        <f>IF($B21="","",IF(Penalties!$AM22=W$2,1,""))</f>
        <v/>
      </c>
      <c r="X22" s="564" t="str">
        <f>IF($B21="","",IF(Penalties!$AM22=X$2,1,""))</f>
        <v/>
      </c>
      <c r="Y22" s="564" t="str">
        <f>IF($B21="","",IF(Penalties!$AM22=Y$2,1,""))</f>
        <v/>
      </c>
      <c r="Z22" s="564" t="str">
        <f>IF($B21="","",IF(Penalties!$AM22=Z$2,1,""))</f>
        <v/>
      </c>
      <c r="AA22" s="564" t="str">
        <f>IF($B21="","",IF(Penalties!$AM22=AA$2,1,""))</f>
        <v/>
      </c>
      <c r="AB22" s="564" t="str">
        <f>IF($B21="","",IF(Penalties!$AM22=AB$2,1,""))</f>
        <v/>
      </c>
      <c r="AC22" s="564" t="str">
        <f>IF($B21="","",IF(Penalties!$AM22=AC$2,1,""))</f>
        <v/>
      </c>
      <c r="AD22" s="564" t="str">
        <f>IF($B21="","",IF(Penalties!$AM22=AD$2,1,""))</f>
        <v/>
      </c>
      <c r="AE22" s="564" t="str">
        <f>IF($B21="","",IF(Penalties!$AM22=AE$2,1,""))</f>
        <v/>
      </c>
      <c r="AF22" s="564" t="str">
        <f>IF($B21="","",IF(Penalties!$AM22=AF$2,1,""))</f>
        <v/>
      </c>
      <c r="AG22" s="564" t="str">
        <f>IF($B21="","",IF(Penalties!$AM22=AG$2,1,""))</f>
        <v/>
      </c>
      <c r="AH22" s="564" t="str">
        <f>IF($B21="","",IF(Penalties!$AM22=AH$2,1,""))</f>
        <v/>
      </c>
      <c r="AI22" s="564" t="str">
        <f>IF($B21="","",IF(Penalties!$AM22=AI$2,1,""))</f>
        <v/>
      </c>
      <c r="AJ22" s="566" t="str">
        <f>IF(SUM(X21:AI22)=0, "", IF(SUM(X21:AI21)=1, LOOKUP(1, X21:AI21, $X$2:$AI$2), LOOKUP(1, X22:AI22, $X$2:$AI$2)))</f>
        <v/>
      </c>
    </row>
    <row r="23" spans="1:36" s="109" customFormat="1" x14ac:dyDescent="0.3">
      <c r="A23" s="1166">
        <f>A21+1</f>
        <v>11</v>
      </c>
      <c r="B23" s="1167" t="str">
        <f>IF(IGRF!B24="","",IGRF!B24)</f>
        <v>480</v>
      </c>
      <c r="C23" s="1168" t="str">
        <f>IF(IGRF!C24="","",IGRF!C24)</f>
        <v>Slaughterhouse Streeter</v>
      </c>
      <c r="D23" s="556" t="s">
        <v>17</v>
      </c>
      <c r="E23" s="549">
        <f>IF($B23="","",COUNTIF(Penalties!$B24:$J24,E$2))</f>
        <v>0</v>
      </c>
      <c r="F23" s="549">
        <f>IF($B23="","",COUNTIF(Penalties!$B24:$J24,F$2))</f>
        <v>0</v>
      </c>
      <c r="G23" s="549">
        <f>IF($B23="","",COUNTIF(Penalties!$B24:$J24,G$2))</f>
        <v>1</v>
      </c>
      <c r="H23" s="549">
        <f>IF($B23="","",COUNTIF(Penalties!$B24:$J24,H$2))</f>
        <v>0</v>
      </c>
      <c r="I23" s="549">
        <f>IF($B23="","",COUNTIF(Penalties!$B24:$J24,I$2))</f>
        <v>0</v>
      </c>
      <c r="J23" s="549">
        <f>IF($B23="","",COUNTIF(Penalties!$B24:$J24,J$2))</f>
        <v>0</v>
      </c>
      <c r="K23" s="549">
        <f>IF($B23="","",COUNTIF(Penalties!$B24:$J24,K$2))</f>
        <v>0</v>
      </c>
      <c r="L23" s="549">
        <f>IF($B23="","",COUNTIF(Penalties!$B24:$J24,L$2))</f>
        <v>0</v>
      </c>
      <c r="M23" s="549">
        <f>IF($B23="","",COUNTIF(Penalties!$B24:$J24,M$2))</f>
        <v>0</v>
      </c>
      <c r="N23" s="549">
        <f>IF($B23="","",COUNTIF(Penalties!$B24:$J24,N$2))</f>
        <v>1</v>
      </c>
      <c r="O23" s="549">
        <f>IF($B23="","",COUNTIF(Penalties!$B24:$J24,O$2))</f>
        <v>0</v>
      </c>
      <c r="P23" s="549">
        <f>IF($B23="","",COUNTIF(Penalties!$B24:$J24,P$2))</f>
        <v>0</v>
      </c>
      <c r="Q23" s="549">
        <f>IF($B23="","",COUNTIF(Penalties!$B24:$J24,Q$2))</f>
        <v>0</v>
      </c>
      <c r="R23" s="549">
        <f>IF($B23="","",COUNTIF(Penalties!$B24:$J24,R$2))</f>
        <v>0</v>
      </c>
      <c r="S23" s="549">
        <f>IF($B23="","",COUNTIF(Penalties!$B24:$J24,S$2))</f>
        <v>0</v>
      </c>
      <c r="T23" s="549">
        <f>IF($B23="","",COUNTIF(Penalties!$B24:$J24,T$2))</f>
        <v>0</v>
      </c>
      <c r="U23" s="557">
        <f>IF(B23="","",SUM(E23:T23))</f>
        <v>2</v>
      </c>
      <c r="V23" s="558">
        <f>IF(B23="","",SUM(E23:T23)*0.5)</f>
        <v>1</v>
      </c>
      <c r="W23" s="559" t="str">
        <f>IF($B23="","",IF(Penalties!$K24=W$2,1,""))</f>
        <v/>
      </c>
      <c r="X23" s="559" t="str">
        <f>IF($B23="","",IF(Penalties!$K24=X$2,1,""))</f>
        <v/>
      </c>
      <c r="Y23" s="559" t="str">
        <f>IF($B23="","",IF(Penalties!$K24=Y$2,1,""))</f>
        <v/>
      </c>
      <c r="Z23" s="559" t="str">
        <f>IF($B23="","",IF(Penalties!$K24=Z$2,1,""))</f>
        <v/>
      </c>
      <c r="AA23" s="559" t="str">
        <f>IF($B23="","",IF(Penalties!$K24=AA$2,1,""))</f>
        <v/>
      </c>
      <c r="AB23" s="559" t="str">
        <f>IF($B23="","",IF(Penalties!$K24=AB$2,1,""))</f>
        <v/>
      </c>
      <c r="AC23" s="559" t="str">
        <f>IF($B23="","",IF(Penalties!$K24=AC$2,1,""))</f>
        <v/>
      </c>
      <c r="AD23" s="559" t="str">
        <f>IF($B23="","",IF(Penalties!$K24=AD$2,1,""))</f>
        <v/>
      </c>
      <c r="AE23" s="559" t="str">
        <f>IF($B23="","",IF(Penalties!$K24=AE$2,1,""))</f>
        <v/>
      </c>
      <c r="AF23" s="559" t="str">
        <f>IF($B23="","",IF(Penalties!$K24=AF$2,1,""))</f>
        <v/>
      </c>
      <c r="AG23" s="559" t="str">
        <f>IF($B23="","",IF(Penalties!$K24=AG$2,1,""))</f>
        <v/>
      </c>
      <c r="AH23" s="559" t="str">
        <f>IF($B23="","",IF(Penalties!$K24=AH$2,1,""))</f>
        <v/>
      </c>
      <c r="AI23" s="559" t="str">
        <f>IF($B23="","",IF(Penalties!$K24=AI$2,1,""))</f>
        <v/>
      </c>
      <c r="AJ23" s="560"/>
    </row>
    <row r="24" spans="1:36" s="109" customFormat="1" x14ac:dyDescent="0.3">
      <c r="A24" s="1166"/>
      <c r="B24" s="1167"/>
      <c r="C24" s="1168"/>
      <c r="D24" s="556" t="s">
        <v>33</v>
      </c>
      <c r="E24" s="549">
        <f>IF($B23="","",COUNTIF(Penalties!$AD24:$AL24,E$2))</f>
        <v>0</v>
      </c>
      <c r="F24" s="549">
        <f>IF($B23="","",COUNTIF(Penalties!$AD24:$AL24,F$2))</f>
        <v>0</v>
      </c>
      <c r="G24" s="549">
        <f>IF($B23="","",COUNTIF(Penalties!$AD24:$AL24,G$2))</f>
        <v>0</v>
      </c>
      <c r="H24" s="549">
        <f>IF($B23="","",COUNTIF(Penalties!$AD24:$AL24,H$2))</f>
        <v>0</v>
      </c>
      <c r="I24" s="549">
        <f>IF($B23="","",COUNTIF(Penalties!$AD24:$AL24,I$2))</f>
        <v>0</v>
      </c>
      <c r="J24" s="549">
        <f>IF($B23="","",COUNTIF(Penalties!$AD24:$AL24,J$2))</f>
        <v>0</v>
      </c>
      <c r="K24" s="549">
        <f>IF($B23="","",COUNTIF(Penalties!$AD24:$AL24,K$2))</f>
        <v>0</v>
      </c>
      <c r="L24" s="549">
        <f>IF($B23="","",COUNTIF(Penalties!$AD24:$AL24,L$2))</f>
        <v>0</v>
      </c>
      <c r="M24" s="549">
        <f>IF($B23="","",COUNTIF(Penalties!$AD24:$AL24,M$2))</f>
        <v>0</v>
      </c>
      <c r="N24" s="549">
        <f>IF($B23="","",COUNTIF(Penalties!$AD24:$AL24,N$2))</f>
        <v>1</v>
      </c>
      <c r="O24" s="549">
        <f>IF($B23="","",COUNTIF(Penalties!$AD24:$AL24,O$2))</f>
        <v>0</v>
      </c>
      <c r="P24" s="549">
        <f>IF($B23="","",COUNTIF(Penalties!$AD24:$AL24,P$2))</f>
        <v>0</v>
      </c>
      <c r="Q24" s="549">
        <f>IF($B23="","",COUNTIF(Penalties!$AD24:$AL24,Q$2))</f>
        <v>0</v>
      </c>
      <c r="R24" s="549">
        <f>IF($B23="","",COUNTIF(Penalties!$AD24:$AL24,R$2))</f>
        <v>0</v>
      </c>
      <c r="S24" s="549">
        <f>IF($B23="","",COUNTIF(Penalties!$AD24:$AL24,S$2))</f>
        <v>0</v>
      </c>
      <c r="T24" s="549">
        <f>IF($B23="","",COUNTIF(Penalties!$AD24:$AL24,T$2))</f>
        <v>0</v>
      </c>
      <c r="U24" s="557">
        <f>IF(B23="","",SUM(E24:T24))</f>
        <v>1</v>
      </c>
      <c r="V24" s="558">
        <f>IF(B23="","",SUM(E24:T24)*0.5)</f>
        <v>0.5</v>
      </c>
      <c r="W24" s="559" t="str">
        <f>IF($B23="","",IF(Penalties!$AM24=W$2,1,""))</f>
        <v/>
      </c>
      <c r="X24" s="559" t="str">
        <f>IF($B23="","",IF(Penalties!$AM24=X$2,1,""))</f>
        <v/>
      </c>
      <c r="Y24" s="559" t="str">
        <f>IF($B23="","",IF(Penalties!$AM24=Y$2,1,""))</f>
        <v/>
      </c>
      <c r="Z24" s="559" t="str">
        <f>IF($B23="","",IF(Penalties!$AM24=Z$2,1,""))</f>
        <v/>
      </c>
      <c r="AA24" s="559" t="str">
        <f>IF($B23="","",IF(Penalties!$AM24=AA$2,1,""))</f>
        <v/>
      </c>
      <c r="AB24" s="559" t="str">
        <f>IF($B23="","",IF(Penalties!$AM24=AB$2,1,""))</f>
        <v/>
      </c>
      <c r="AC24" s="559" t="str">
        <f>IF($B23="","",IF(Penalties!$AM24=AC$2,1,""))</f>
        <v/>
      </c>
      <c r="AD24" s="559" t="str">
        <f>IF($B23="","",IF(Penalties!$AM24=AD$2,1,""))</f>
        <v/>
      </c>
      <c r="AE24" s="559" t="str">
        <f>IF($B23="","",IF(Penalties!$AM24=AE$2,1,""))</f>
        <v/>
      </c>
      <c r="AF24" s="559" t="str">
        <f>IF($B23="","",IF(Penalties!$AM24=AF$2,1,""))</f>
        <v/>
      </c>
      <c r="AG24" s="559" t="str">
        <f>IF($B23="","",IF(Penalties!$AM24=AG$2,1,""))</f>
        <v/>
      </c>
      <c r="AH24" s="559" t="str">
        <f>IF($B23="","",IF(Penalties!$AM24=AH$2,1,""))</f>
        <v/>
      </c>
      <c r="AI24" s="559" t="str">
        <f>IF($B23="","",IF(Penalties!$AM24=AI$2,1,""))</f>
        <v/>
      </c>
      <c r="AJ24" s="561" t="str">
        <f>IF(SUM(X23:AI24)=0, "", IF(SUM(X23:AI23)=1, LOOKUP(1, X23:AI23, $X$2:$AI$2), LOOKUP(1, X24:AI24, $X$2:$AI$2)))</f>
        <v/>
      </c>
    </row>
    <row r="25" spans="1:36" s="109" customFormat="1" x14ac:dyDescent="0.3">
      <c r="A25" s="1163">
        <f>A23+1</f>
        <v>12</v>
      </c>
      <c r="B25" s="1164" t="str">
        <f>IF(IGRF!B25="","",IGRF!B25)</f>
        <v>64</v>
      </c>
      <c r="C25" s="1165" t="str">
        <f>IF(IGRF!C25="","",IGRF!C25)</f>
        <v>Cannonball Doll</v>
      </c>
      <c r="D25" s="550" t="s">
        <v>17</v>
      </c>
      <c r="E25" s="550">
        <f>IF($B25="","",COUNTIF(Penalties!$B26:$J26,E$2))</f>
        <v>0</v>
      </c>
      <c r="F25" s="550">
        <f>IF($B25="","",COUNTIF(Penalties!$B26:$J26,F$2))</f>
        <v>0</v>
      </c>
      <c r="G25" s="550">
        <f>IF($B25="","",COUNTIF(Penalties!$B26:$J26,G$2))</f>
        <v>0</v>
      </c>
      <c r="H25" s="550">
        <f>IF($B25="","",COUNTIF(Penalties!$B26:$J26,H$2))</f>
        <v>0</v>
      </c>
      <c r="I25" s="550">
        <f>IF($B25="","",COUNTIF(Penalties!$B26:$J26,I$2))</f>
        <v>0</v>
      </c>
      <c r="J25" s="550">
        <f>IF($B25="","",COUNTIF(Penalties!$B26:$J26,J$2))</f>
        <v>0</v>
      </c>
      <c r="K25" s="550">
        <f>IF($B25="","",COUNTIF(Penalties!$B26:$J26,K$2))</f>
        <v>0</v>
      </c>
      <c r="L25" s="550">
        <f>IF($B25="","",COUNTIF(Penalties!$B26:$J26,L$2))</f>
        <v>0</v>
      </c>
      <c r="M25" s="550">
        <f>IF($B25="","",COUNTIF(Penalties!$B26:$J26,M$2))</f>
        <v>0</v>
      </c>
      <c r="N25" s="550">
        <f>IF($B25="","",COUNTIF(Penalties!$B26:$J26,N$2))</f>
        <v>2</v>
      </c>
      <c r="O25" s="550">
        <f>IF($B25="","",COUNTIF(Penalties!$B26:$J26,O$2))</f>
        <v>0</v>
      </c>
      <c r="P25" s="550">
        <f>IF($B25="","",COUNTIF(Penalties!$B26:$J26,P$2))</f>
        <v>0</v>
      </c>
      <c r="Q25" s="550">
        <f>IF($B25="","",COUNTIF(Penalties!$B26:$J26,Q$2))</f>
        <v>0</v>
      </c>
      <c r="R25" s="550">
        <f>IF($B25="","",COUNTIF(Penalties!$B26:$J26,R$2))</f>
        <v>0</v>
      </c>
      <c r="S25" s="550">
        <f>IF($B25="","",COUNTIF(Penalties!$B26:$J26,S$2))</f>
        <v>0</v>
      </c>
      <c r="T25" s="550">
        <f>IF($B25="","",COUNTIF(Penalties!$B26:$J26,T$2))</f>
        <v>0</v>
      </c>
      <c r="U25" s="562">
        <f>IF(B25="","",SUM(E25:T25))</f>
        <v>2</v>
      </c>
      <c r="V25" s="563">
        <f>IF(B25="","",SUM(E25:T25)*0.5)</f>
        <v>1</v>
      </c>
      <c r="W25" s="564" t="str">
        <f>IF($B25="","",IF(Penalties!$K26=W$2,1,""))</f>
        <v/>
      </c>
      <c r="X25" s="564" t="str">
        <f>IF($B25="","",IF(Penalties!$K26=X$2,1,""))</f>
        <v/>
      </c>
      <c r="Y25" s="564" t="str">
        <f>IF($B25="","",IF(Penalties!$K26=Y$2,1,""))</f>
        <v/>
      </c>
      <c r="Z25" s="564" t="str">
        <f>IF($B25="","",IF(Penalties!$K26=Z$2,1,""))</f>
        <v/>
      </c>
      <c r="AA25" s="564" t="str">
        <f>IF($B25="","",IF(Penalties!$K26=AA$2,1,""))</f>
        <v/>
      </c>
      <c r="AB25" s="564" t="str">
        <f>IF($B25="","",IF(Penalties!$K26=AB$2,1,""))</f>
        <v/>
      </c>
      <c r="AC25" s="564" t="str">
        <f>IF($B25="","",IF(Penalties!$K26=AC$2,1,""))</f>
        <v/>
      </c>
      <c r="AD25" s="564" t="str">
        <f>IF($B25="","",IF(Penalties!$K26=AD$2,1,""))</f>
        <v/>
      </c>
      <c r="AE25" s="564" t="str">
        <f>IF($B25="","",IF(Penalties!$K26=AE$2,1,""))</f>
        <v/>
      </c>
      <c r="AF25" s="564" t="str">
        <f>IF($B25="","",IF(Penalties!$K26=AF$2,1,""))</f>
        <v/>
      </c>
      <c r="AG25" s="564" t="str">
        <f>IF($B25="","",IF(Penalties!$K26=AG$2,1,""))</f>
        <v/>
      </c>
      <c r="AH25" s="564" t="str">
        <f>IF($B25="","",IF(Penalties!$K26=AH$2,1,""))</f>
        <v/>
      </c>
      <c r="AI25" s="564" t="str">
        <f>IF($B25="","",IF(Penalties!$K26=AI$2,1,""))</f>
        <v/>
      </c>
      <c r="AJ25" s="565"/>
    </row>
    <row r="26" spans="1:36" s="109" customFormat="1" ht="14.4" thickBot="1" x14ac:dyDescent="0.35">
      <c r="A26" s="1163"/>
      <c r="B26" s="1164"/>
      <c r="C26" s="1165"/>
      <c r="D26" s="550" t="s">
        <v>33</v>
      </c>
      <c r="E26" s="550">
        <f>IF($B25="","",COUNTIF(Penalties!$AD26:$AL26,E$2))</f>
        <v>0</v>
      </c>
      <c r="F26" s="550">
        <f>IF($B25="","",COUNTIF(Penalties!$AD26:$AL26,F$2))</f>
        <v>0</v>
      </c>
      <c r="G26" s="550">
        <f>IF($B25="","",COUNTIF(Penalties!$AD26:$AL26,G$2))</f>
        <v>2</v>
      </c>
      <c r="H26" s="550">
        <f>IF($B25="","",COUNTIF(Penalties!$AD26:$AL26,H$2))</f>
        <v>0</v>
      </c>
      <c r="I26" s="550">
        <f>IF($B25="","",COUNTIF(Penalties!$AD26:$AL26,I$2))</f>
        <v>0</v>
      </c>
      <c r="J26" s="550">
        <f>IF($B25="","",COUNTIF(Penalties!$AD26:$AL26,J$2))</f>
        <v>0</v>
      </c>
      <c r="K26" s="550">
        <f>IF($B25="","",COUNTIF(Penalties!$AD26:$AL26,K$2))</f>
        <v>0</v>
      </c>
      <c r="L26" s="550">
        <f>IF($B25="","",COUNTIF(Penalties!$AD26:$AL26,L$2))</f>
        <v>0</v>
      </c>
      <c r="M26" s="550">
        <f>IF($B25="","",COUNTIF(Penalties!$AD26:$AL26,M$2))</f>
        <v>0</v>
      </c>
      <c r="N26" s="550">
        <f>IF($B25="","",COUNTIF(Penalties!$AD26:$AL26,N$2))</f>
        <v>1</v>
      </c>
      <c r="O26" s="550">
        <f>IF($B25="","",COUNTIF(Penalties!$AD26:$AL26,O$2))</f>
        <v>0</v>
      </c>
      <c r="P26" s="550">
        <f>IF($B25="","",COUNTIF(Penalties!$AD26:$AL26,P$2))</f>
        <v>0</v>
      </c>
      <c r="Q26" s="550">
        <f>IF($B25="","",COUNTIF(Penalties!$AD26:$AL26,Q$2))</f>
        <v>0</v>
      </c>
      <c r="R26" s="550">
        <f>IF($B25="","",COUNTIF(Penalties!$AD26:$AL26,R$2))</f>
        <v>0</v>
      </c>
      <c r="S26" s="550">
        <f>IF($B25="","",COUNTIF(Penalties!$AD26:$AL26,S$2))</f>
        <v>0</v>
      </c>
      <c r="T26" s="550">
        <f>IF($B25="","",COUNTIF(Penalties!$AD26:$AL26,T$2))</f>
        <v>0</v>
      </c>
      <c r="U26" s="562">
        <f>IF(B25="","",SUM(E26:T26))</f>
        <v>3</v>
      </c>
      <c r="V26" s="563">
        <f>IF(B25="","",SUM(E26:T26)*0.5)</f>
        <v>1.5</v>
      </c>
      <c r="W26" s="564" t="str">
        <f>IF($B25="","",IF(Penalties!$AM26=W$2,1,""))</f>
        <v/>
      </c>
      <c r="X26" s="564" t="str">
        <f>IF($B25="","",IF(Penalties!$AM26=X$2,1,""))</f>
        <v/>
      </c>
      <c r="Y26" s="564" t="str">
        <f>IF($B25="","",IF(Penalties!$AM26=Y$2,1,""))</f>
        <v/>
      </c>
      <c r="Z26" s="564" t="str">
        <f>IF($B25="","",IF(Penalties!$AM26=Z$2,1,""))</f>
        <v/>
      </c>
      <c r="AA26" s="564" t="str">
        <f>IF($B25="","",IF(Penalties!$AM26=AA$2,1,""))</f>
        <v/>
      </c>
      <c r="AB26" s="564" t="str">
        <f>IF($B25="","",IF(Penalties!$AM26=AB$2,1,""))</f>
        <v/>
      </c>
      <c r="AC26" s="564" t="str">
        <f>IF($B25="","",IF(Penalties!$AM26=AC$2,1,""))</f>
        <v/>
      </c>
      <c r="AD26" s="564" t="str">
        <f>IF($B25="","",IF(Penalties!$AM26=AD$2,1,""))</f>
        <v/>
      </c>
      <c r="AE26" s="564" t="str">
        <f>IF($B25="","",IF(Penalties!$AM26=AE$2,1,""))</f>
        <v/>
      </c>
      <c r="AF26" s="564" t="str">
        <f>IF($B25="","",IF(Penalties!$AM26=AF$2,1,""))</f>
        <v/>
      </c>
      <c r="AG26" s="564" t="str">
        <f>IF($B25="","",IF(Penalties!$AM26=AG$2,1,""))</f>
        <v/>
      </c>
      <c r="AH26" s="564" t="str">
        <f>IF($B25="","",IF(Penalties!$AM26=AH$2,1,""))</f>
        <v/>
      </c>
      <c r="AI26" s="564" t="str">
        <f>IF($B25="","",IF(Penalties!$AM26=AI$2,1,""))</f>
        <v/>
      </c>
      <c r="AJ26" s="566" t="str">
        <f>IF(SUM(X25:AI26)=0, "", IF(SUM(X25:AI25)=1, LOOKUP(1, X25:AI25, $X$2:$AI$2), LOOKUP(1, X26:AI26, $X$2:$AI$2)))</f>
        <v/>
      </c>
    </row>
    <row r="27" spans="1:36" s="109" customFormat="1" x14ac:dyDescent="0.3">
      <c r="A27" s="1166">
        <f>A25+1</f>
        <v>13</v>
      </c>
      <c r="B27" s="1167" t="str">
        <f>IF(IGRF!B26="","",IGRF!B26)</f>
        <v>84</v>
      </c>
      <c r="C27" s="1168" t="str">
        <f>IF(IGRF!C26="","",IGRF!C26)</f>
        <v>MEGAnTRON</v>
      </c>
      <c r="D27" s="556" t="s">
        <v>17</v>
      </c>
      <c r="E27" s="549">
        <f>IF($B27="","",COUNTIF(Penalties!$B28:$J28,E$2))</f>
        <v>1</v>
      </c>
      <c r="F27" s="549">
        <f>IF($B27="","",COUNTIF(Penalties!$B28:$J28,F$2))</f>
        <v>0</v>
      </c>
      <c r="G27" s="549">
        <f>IF($B27="","",COUNTIF(Penalties!$B28:$J28,G$2))</f>
        <v>0</v>
      </c>
      <c r="H27" s="549">
        <f>IF($B27="","",COUNTIF(Penalties!$B28:$J28,H$2))</f>
        <v>0</v>
      </c>
      <c r="I27" s="549">
        <f>IF($B27="","",COUNTIF(Penalties!$B28:$J28,I$2))</f>
        <v>0</v>
      </c>
      <c r="J27" s="549">
        <f>IF($B27="","",COUNTIF(Penalties!$B28:$J28,J$2))</f>
        <v>0</v>
      </c>
      <c r="K27" s="549">
        <f>IF($B27="","",COUNTIF(Penalties!$B28:$J28,K$2))</f>
        <v>0</v>
      </c>
      <c r="L27" s="549">
        <f>IF($B27="","",COUNTIF(Penalties!$B28:$J28,L$2))</f>
        <v>0</v>
      </c>
      <c r="M27" s="549">
        <f>IF($B27="","",COUNTIF(Penalties!$B28:$J28,M$2))</f>
        <v>0</v>
      </c>
      <c r="N27" s="549">
        <f>IF($B27="","",COUNTIF(Penalties!$B28:$J28,N$2))</f>
        <v>0</v>
      </c>
      <c r="O27" s="549">
        <f>IF($B27="","",COUNTIF(Penalties!$B28:$J28,O$2))</f>
        <v>0</v>
      </c>
      <c r="P27" s="549">
        <f>IF($B27="","",COUNTIF(Penalties!$B28:$J28,P$2))</f>
        <v>0</v>
      </c>
      <c r="Q27" s="549">
        <f>IF($B27="","",COUNTIF(Penalties!$B28:$J28,Q$2))</f>
        <v>0</v>
      </c>
      <c r="R27" s="549">
        <f>IF($B27="","",COUNTIF(Penalties!$B28:$J28,R$2))</f>
        <v>0</v>
      </c>
      <c r="S27" s="549">
        <f>IF($B27="","",COUNTIF(Penalties!$B28:$J28,S$2))</f>
        <v>0</v>
      </c>
      <c r="T27" s="549">
        <f>IF($B27="","",COUNTIF(Penalties!$B28:$J28,T$2))</f>
        <v>0</v>
      </c>
      <c r="U27" s="557">
        <f>IF(B27="","",SUM(E27:T27))</f>
        <v>1</v>
      </c>
      <c r="V27" s="558">
        <f>IF(B27="","",SUM(E27:T27)*0.5)</f>
        <v>0.5</v>
      </c>
      <c r="W27" s="559" t="str">
        <f>IF($B27="","",IF(Penalties!$K28=W$2,1,""))</f>
        <v/>
      </c>
      <c r="X27" s="559" t="str">
        <f>IF($B27="","",IF(Penalties!$K28=X$2,1,""))</f>
        <v/>
      </c>
      <c r="Y27" s="559" t="str">
        <f>IF($B27="","",IF(Penalties!$K28=Y$2,1,""))</f>
        <v/>
      </c>
      <c r="Z27" s="559" t="str">
        <f>IF($B27="","",IF(Penalties!$K28=Z$2,1,""))</f>
        <v/>
      </c>
      <c r="AA27" s="559" t="str">
        <f>IF($B27="","",IF(Penalties!$K28=AA$2,1,""))</f>
        <v/>
      </c>
      <c r="AB27" s="559" t="str">
        <f>IF($B27="","",IF(Penalties!$K28=AB$2,1,""))</f>
        <v/>
      </c>
      <c r="AC27" s="559" t="str">
        <f>IF($B27="","",IF(Penalties!$K28=AC$2,1,""))</f>
        <v/>
      </c>
      <c r="AD27" s="559" t="str">
        <f>IF($B27="","",IF(Penalties!$K28=AD$2,1,""))</f>
        <v/>
      </c>
      <c r="AE27" s="559" t="str">
        <f>IF($B27="","",IF(Penalties!$K28=AE$2,1,""))</f>
        <v/>
      </c>
      <c r="AF27" s="559" t="str">
        <f>IF($B27="","",IF(Penalties!$K28=AF$2,1,""))</f>
        <v/>
      </c>
      <c r="AG27" s="559" t="str">
        <f>IF($B27="","",IF(Penalties!$K28=AG$2,1,""))</f>
        <v/>
      </c>
      <c r="AH27" s="559" t="str">
        <f>IF($B27="","",IF(Penalties!$K28=AH$2,1,""))</f>
        <v/>
      </c>
      <c r="AI27" s="559" t="str">
        <f>IF($B27="","",IF(Penalties!$K28=AI$2,1,""))</f>
        <v/>
      </c>
      <c r="AJ27" s="560"/>
    </row>
    <row r="28" spans="1:36" s="109" customFormat="1" x14ac:dyDescent="0.3">
      <c r="A28" s="1166"/>
      <c r="B28" s="1167"/>
      <c r="C28" s="1168"/>
      <c r="D28" s="556" t="s">
        <v>33</v>
      </c>
      <c r="E28" s="549">
        <f>IF($B27="","",COUNTIF(Penalties!$AD28:$AL28,E$2))</f>
        <v>0</v>
      </c>
      <c r="F28" s="549">
        <f>IF($B27="","",COUNTIF(Penalties!$AD28:$AL28,F$2))</f>
        <v>0</v>
      </c>
      <c r="G28" s="549">
        <f>IF($B27="","",COUNTIF(Penalties!$AD28:$AL28,G$2))</f>
        <v>0</v>
      </c>
      <c r="H28" s="549">
        <f>IF($B27="","",COUNTIF(Penalties!$AD28:$AL28,H$2))</f>
        <v>0</v>
      </c>
      <c r="I28" s="549">
        <f>IF($B27="","",COUNTIF(Penalties!$AD28:$AL28,I$2))</f>
        <v>1</v>
      </c>
      <c r="J28" s="549">
        <f>IF($B27="","",COUNTIF(Penalties!$AD28:$AL28,J$2))</f>
        <v>0</v>
      </c>
      <c r="K28" s="549">
        <f>IF($B27="","",COUNTIF(Penalties!$AD28:$AL28,K$2))</f>
        <v>0</v>
      </c>
      <c r="L28" s="549">
        <f>IF($B27="","",COUNTIF(Penalties!$AD28:$AL28,L$2))</f>
        <v>0</v>
      </c>
      <c r="M28" s="549">
        <f>IF($B27="","",COUNTIF(Penalties!$AD28:$AL28,M$2))</f>
        <v>0</v>
      </c>
      <c r="N28" s="549">
        <f>IF($B27="","",COUNTIF(Penalties!$AD28:$AL28,N$2))</f>
        <v>0</v>
      </c>
      <c r="O28" s="549">
        <f>IF($B27="","",COUNTIF(Penalties!$AD28:$AL28,O$2))</f>
        <v>0</v>
      </c>
      <c r="P28" s="549">
        <f>IF($B27="","",COUNTIF(Penalties!$AD28:$AL28,P$2))</f>
        <v>0</v>
      </c>
      <c r="Q28" s="549">
        <f>IF($B27="","",COUNTIF(Penalties!$AD28:$AL28,Q$2))</f>
        <v>0</v>
      </c>
      <c r="R28" s="549">
        <f>IF($B27="","",COUNTIF(Penalties!$AD28:$AL28,R$2))</f>
        <v>0</v>
      </c>
      <c r="S28" s="549">
        <f>IF($B27="","",COUNTIF(Penalties!$AD28:$AL28,S$2))</f>
        <v>0</v>
      </c>
      <c r="T28" s="549">
        <f>IF($B27="","",COUNTIF(Penalties!$AD28:$AL28,T$2))</f>
        <v>0</v>
      </c>
      <c r="U28" s="557">
        <f>IF(B27="","",SUM(E28:T28))</f>
        <v>1</v>
      </c>
      <c r="V28" s="558">
        <f>IF(B27="","",SUM(E28:T28)*0.5)</f>
        <v>0.5</v>
      </c>
      <c r="W28" s="559" t="str">
        <f>IF($B27="","",IF(Penalties!$AM28=W$2,1,""))</f>
        <v/>
      </c>
      <c r="X28" s="559" t="str">
        <f>IF($B27="","",IF(Penalties!$AM28=X$2,1,""))</f>
        <v/>
      </c>
      <c r="Y28" s="559" t="str">
        <f>IF($B27="","",IF(Penalties!$AM28=Y$2,1,""))</f>
        <v/>
      </c>
      <c r="Z28" s="559" t="str">
        <f>IF($B27="","",IF(Penalties!$AM28=Z$2,1,""))</f>
        <v/>
      </c>
      <c r="AA28" s="559" t="str">
        <f>IF($B27="","",IF(Penalties!$AM28=AA$2,1,""))</f>
        <v/>
      </c>
      <c r="AB28" s="559" t="str">
        <f>IF($B27="","",IF(Penalties!$AM28=AB$2,1,""))</f>
        <v/>
      </c>
      <c r="AC28" s="559" t="str">
        <f>IF($B27="","",IF(Penalties!$AM28=AC$2,1,""))</f>
        <v/>
      </c>
      <c r="AD28" s="559" t="str">
        <f>IF($B27="","",IF(Penalties!$AM28=AD$2,1,""))</f>
        <v/>
      </c>
      <c r="AE28" s="559" t="str">
        <f>IF($B27="","",IF(Penalties!$AM28=AE$2,1,""))</f>
        <v/>
      </c>
      <c r="AF28" s="559" t="str">
        <f>IF($B27="","",IF(Penalties!$AM28=AF$2,1,""))</f>
        <v/>
      </c>
      <c r="AG28" s="559" t="str">
        <f>IF($B27="","",IF(Penalties!$AM28=AG$2,1,""))</f>
        <v/>
      </c>
      <c r="AH28" s="559" t="str">
        <f>IF($B27="","",IF(Penalties!$AM28=AH$2,1,""))</f>
        <v/>
      </c>
      <c r="AI28" s="559" t="str">
        <f>IF($B27="","",IF(Penalties!$AM28=AI$2,1,""))</f>
        <v/>
      </c>
      <c r="AJ28" s="561" t="str">
        <f>IF(SUM(X27:AI28)=0, "", IF(SUM(X27:AI27)=1, LOOKUP(1, X27:AI27, $X$2:$AI$2), LOOKUP(1, X28:AI28, $X$2:$AI$2)))</f>
        <v/>
      </c>
    </row>
    <row r="29" spans="1:36" s="109" customFormat="1" x14ac:dyDescent="0.3">
      <c r="A29" s="1163">
        <f>A27+1</f>
        <v>14</v>
      </c>
      <c r="B29" s="1164" t="str">
        <f>IF(IGRF!B27="","",IGRF!B27)</f>
        <v>N01</v>
      </c>
      <c r="C29" s="1165" t="str">
        <f>IF(IGRF!C27="","",IGRF!C27)</f>
        <v>Commander Will Wrecker</v>
      </c>
      <c r="D29" s="550" t="s">
        <v>17</v>
      </c>
      <c r="E29" s="550">
        <f>IF($B29="","",COUNTIF(Penalties!$B30:$J30,E$2))</f>
        <v>0</v>
      </c>
      <c r="F29" s="550">
        <f>IF($B29="","",COUNTIF(Penalties!$B30:$J30,F$2))</f>
        <v>0</v>
      </c>
      <c r="G29" s="550">
        <f>IF($B29="","",COUNTIF(Penalties!$B30:$J30,G$2))</f>
        <v>0</v>
      </c>
      <c r="H29" s="550">
        <f>IF($B29="","",COUNTIF(Penalties!$B30:$J30,H$2))</f>
        <v>0</v>
      </c>
      <c r="I29" s="550">
        <f>IF($B29="","",COUNTIF(Penalties!$B30:$J30,I$2))</f>
        <v>0</v>
      </c>
      <c r="J29" s="550">
        <f>IF($B29="","",COUNTIF(Penalties!$B30:$J30,J$2))</f>
        <v>0</v>
      </c>
      <c r="K29" s="550">
        <f>IF($B29="","",COUNTIF(Penalties!$B30:$J30,K$2))</f>
        <v>0</v>
      </c>
      <c r="L29" s="550">
        <f>IF($B29="","",COUNTIF(Penalties!$B30:$J30,L$2))</f>
        <v>0</v>
      </c>
      <c r="M29" s="550">
        <f>IF($B29="","",COUNTIF(Penalties!$B30:$J30,M$2))</f>
        <v>2</v>
      </c>
      <c r="N29" s="550">
        <f>IF($B29="","",COUNTIF(Penalties!$B30:$J30,N$2))</f>
        <v>0</v>
      </c>
      <c r="O29" s="550">
        <f>IF($B29="","",COUNTIF(Penalties!$B30:$J30,O$2))</f>
        <v>0</v>
      </c>
      <c r="P29" s="550">
        <f>IF($B29="","",COUNTIF(Penalties!$B30:$J30,P$2))</f>
        <v>0</v>
      </c>
      <c r="Q29" s="550">
        <f>IF($B29="","",COUNTIF(Penalties!$B30:$J30,Q$2))</f>
        <v>0</v>
      </c>
      <c r="R29" s="550">
        <f>IF($B29="","",COUNTIF(Penalties!$B30:$J30,R$2))</f>
        <v>0</v>
      </c>
      <c r="S29" s="550">
        <f>IF($B29="","",COUNTIF(Penalties!$B30:$J30,S$2))</f>
        <v>0</v>
      </c>
      <c r="T29" s="550">
        <f>IF($B29="","",COUNTIF(Penalties!$B30:$J30,T$2))</f>
        <v>0</v>
      </c>
      <c r="U29" s="562">
        <f>IF(B29="","",SUM(E29:T29))</f>
        <v>2</v>
      </c>
      <c r="V29" s="563">
        <f>IF(B29="","",SUM(E29:T29)*0.5)</f>
        <v>1</v>
      </c>
      <c r="W29" s="564" t="str">
        <f>IF($B29="","",IF(Penalties!$K30=W$2,1,""))</f>
        <v/>
      </c>
      <c r="X29" s="564" t="str">
        <f>IF($B29="","",IF(Penalties!$K30=X$2,1,""))</f>
        <v/>
      </c>
      <c r="Y29" s="564" t="str">
        <f>IF($B29="","",IF(Penalties!$K30=Y$2,1,""))</f>
        <v/>
      </c>
      <c r="Z29" s="564" t="str">
        <f>IF($B29="","",IF(Penalties!$K30=Z$2,1,""))</f>
        <v/>
      </c>
      <c r="AA29" s="564" t="str">
        <f>IF($B29="","",IF(Penalties!$K30=AA$2,1,""))</f>
        <v/>
      </c>
      <c r="AB29" s="564" t="str">
        <f>IF($B29="","",IF(Penalties!$K30=AB$2,1,""))</f>
        <v/>
      </c>
      <c r="AC29" s="564" t="str">
        <f>IF($B29="","",IF(Penalties!$K30=AC$2,1,""))</f>
        <v/>
      </c>
      <c r="AD29" s="564" t="str">
        <f>IF($B29="","",IF(Penalties!$K30=AD$2,1,""))</f>
        <v/>
      </c>
      <c r="AE29" s="564" t="str">
        <f>IF($B29="","",IF(Penalties!$K30=AE$2,1,""))</f>
        <v/>
      </c>
      <c r="AF29" s="564" t="str">
        <f>IF($B29="","",IF(Penalties!$K30=AF$2,1,""))</f>
        <v/>
      </c>
      <c r="AG29" s="564" t="str">
        <f>IF($B29="","",IF(Penalties!$K30=AG$2,1,""))</f>
        <v/>
      </c>
      <c r="AH29" s="564" t="str">
        <f>IF($B29="","",IF(Penalties!$K30=AH$2,1,""))</f>
        <v/>
      </c>
      <c r="AI29" s="564" t="str">
        <f>IF($B29="","",IF(Penalties!$K30=AI$2,1,""))</f>
        <v/>
      </c>
      <c r="AJ29" s="565"/>
    </row>
    <row r="30" spans="1:36" s="109" customFormat="1" ht="14.4" thickBot="1" x14ac:dyDescent="0.35">
      <c r="A30" s="1163"/>
      <c r="B30" s="1164"/>
      <c r="C30" s="1165"/>
      <c r="D30" s="550" t="s">
        <v>33</v>
      </c>
      <c r="E30" s="550">
        <f>IF($B29="","",COUNTIF(Penalties!$AD30:$AL30,E$2))</f>
        <v>0</v>
      </c>
      <c r="F30" s="550">
        <f>IF($B29="","",COUNTIF(Penalties!$AD30:$AL30,F$2))</f>
        <v>0</v>
      </c>
      <c r="G30" s="550">
        <f>IF($B29="","",COUNTIF(Penalties!$AD30:$AL30,G$2))</f>
        <v>0</v>
      </c>
      <c r="H30" s="550">
        <f>IF($B29="","",COUNTIF(Penalties!$AD30:$AL30,H$2))</f>
        <v>0</v>
      </c>
      <c r="I30" s="550">
        <f>IF($B29="","",COUNTIF(Penalties!$AD30:$AL30,I$2))</f>
        <v>2</v>
      </c>
      <c r="J30" s="550">
        <f>IF($B29="","",COUNTIF(Penalties!$AD30:$AL30,J$2))</f>
        <v>0</v>
      </c>
      <c r="K30" s="550">
        <f>IF($B29="","",COUNTIF(Penalties!$AD30:$AL30,K$2))</f>
        <v>0</v>
      </c>
      <c r="L30" s="550">
        <f>IF($B29="","",COUNTIF(Penalties!$AD30:$AL30,L$2))</f>
        <v>0</v>
      </c>
      <c r="M30" s="550">
        <f>IF($B29="","",COUNTIF(Penalties!$AD30:$AL30,M$2))</f>
        <v>0</v>
      </c>
      <c r="N30" s="550">
        <f>IF($B29="","",COUNTIF(Penalties!$AD30:$AL30,N$2))</f>
        <v>0</v>
      </c>
      <c r="O30" s="550">
        <f>IF($B29="","",COUNTIF(Penalties!$AD30:$AL30,O$2))</f>
        <v>0</v>
      </c>
      <c r="P30" s="550">
        <f>IF($B29="","",COUNTIF(Penalties!$AD30:$AL30,P$2))</f>
        <v>0</v>
      </c>
      <c r="Q30" s="550">
        <f>IF($B29="","",COUNTIF(Penalties!$AD30:$AL30,Q$2))</f>
        <v>0</v>
      </c>
      <c r="R30" s="550">
        <f>IF($B29="","",COUNTIF(Penalties!$AD30:$AL30,R$2))</f>
        <v>0</v>
      </c>
      <c r="S30" s="550">
        <f>IF($B29="","",COUNTIF(Penalties!$AD30:$AL30,S$2))</f>
        <v>0</v>
      </c>
      <c r="T30" s="550">
        <f>IF($B29="","",COUNTIF(Penalties!$AD30:$AL30,T$2))</f>
        <v>0</v>
      </c>
      <c r="U30" s="562">
        <f>IF(B29="","",SUM(E30:T30))</f>
        <v>2</v>
      </c>
      <c r="V30" s="563">
        <f>IF(B29="","",SUM(E30:T30)*0.5)</f>
        <v>1</v>
      </c>
      <c r="W30" s="564" t="str">
        <f>IF($B29="","",IF(Penalties!$AM30=W$2,1,""))</f>
        <v/>
      </c>
      <c r="X30" s="564" t="str">
        <f>IF($B29="","",IF(Penalties!$AM30=X$2,1,""))</f>
        <v/>
      </c>
      <c r="Y30" s="564" t="str">
        <f>IF($B29="","",IF(Penalties!$AM30=Y$2,1,""))</f>
        <v/>
      </c>
      <c r="Z30" s="564" t="str">
        <f>IF($B29="","",IF(Penalties!$AM30=Z$2,1,""))</f>
        <v/>
      </c>
      <c r="AA30" s="564" t="str">
        <f>IF($B29="","",IF(Penalties!$AM30=AA$2,1,""))</f>
        <v/>
      </c>
      <c r="AB30" s="564" t="str">
        <f>IF($B29="","",IF(Penalties!$AM30=AB$2,1,""))</f>
        <v/>
      </c>
      <c r="AC30" s="564" t="str">
        <f>IF($B29="","",IF(Penalties!$AM30=AC$2,1,""))</f>
        <v/>
      </c>
      <c r="AD30" s="564" t="str">
        <f>IF($B29="","",IF(Penalties!$AM30=AD$2,1,""))</f>
        <v/>
      </c>
      <c r="AE30" s="564" t="str">
        <f>IF($B29="","",IF(Penalties!$AM30=AE$2,1,""))</f>
        <v/>
      </c>
      <c r="AF30" s="564" t="str">
        <f>IF($B29="","",IF(Penalties!$AM30=AF$2,1,""))</f>
        <v/>
      </c>
      <c r="AG30" s="564" t="str">
        <f>IF($B29="","",IF(Penalties!$AM30=AG$2,1,""))</f>
        <v/>
      </c>
      <c r="AH30" s="564" t="str">
        <f>IF($B29="","",IF(Penalties!$AM30=AH$2,1,""))</f>
        <v/>
      </c>
      <c r="AI30" s="564" t="str">
        <f>IF($B29="","",IF(Penalties!$AM30=AI$2,1,""))</f>
        <v/>
      </c>
      <c r="AJ30" s="566" t="str">
        <f>IF(SUM(X29:AI30)=0, "", IF(SUM(X29:AI29)=1, LOOKUP(1, X29:AI29, $X$2:$AI$2), LOOKUP(1, X30:AI30, $X$2:$AI$2)))</f>
        <v/>
      </c>
    </row>
    <row r="31" spans="1:36" s="109" customFormat="1" x14ac:dyDescent="0.3">
      <c r="A31" s="1166">
        <f>A29+1</f>
        <v>15</v>
      </c>
      <c r="B31" s="1167" t="str">
        <f>IF(IGRF!B28="","",IGRF!B28)</f>
        <v/>
      </c>
      <c r="C31" s="1168" t="str">
        <f>IF(IGRF!C28="","",IGRF!C28)</f>
        <v/>
      </c>
      <c r="D31" s="556" t="s">
        <v>17</v>
      </c>
      <c r="E31" s="549" t="str">
        <f>IF($B31="","",COUNTIF(Penalties!$B32:$J32,E$2))</f>
        <v/>
      </c>
      <c r="F31" s="549" t="str">
        <f>IF($B31="","",COUNTIF(Penalties!$B32:$J32,F$2))</f>
        <v/>
      </c>
      <c r="G31" s="549" t="str">
        <f>IF($B31="","",COUNTIF(Penalties!$B32:$J32,G$2))</f>
        <v/>
      </c>
      <c r="H31" s="549" t="str">
        <f>IF($B31="","",COUNTIF(Penalties!$B32:$J32,H$2))</f>
        <v/>
      </c>
      <c r="I31" s="549" t="str">
        <f>IF($B31="","",COUNTIF(Penalties!$B32:$J32,I$2))</f>
        <v/>
      </c>
      <c r="J31" s="549" t="str">
        <f>IF($B31="","",COUNTIF(Penalties!$B32:$J32,J$2))</f>
        <v/>
      </c>
      <c r="K31" s="549" t="str">
        <f>IF($B31="","",COUNTIF(Penalties!$B32:$J32,K$2))</f>
        <v/>
      </c>
      <c r="L31" s="549" t="str">
        <f>IF($B31="","",COUNTIF(Penalties!$B32:$J32,L$2))</f>
        <v/>
      </c>
      <c r="M31" s="549" t="str">
        <f>IF($B31="","",COUNTIF(Penalties!$B32:$J32,M$2))</f>
        <v/>
      </c>
      <c r="N31" s="549" t="str">
        <f>IF($B31="","",COUNTIF(Penalties!$B32:$J32,N$2))</f>
        <v/>
      </c>
      <c r="O31" s="549" t="str">
        <f>IF($B31="","",COUNTIF(Penalties!$B32:$J32,O$2))</f>
        <v/>
      </c>
      <c r="P31" s="549" t="str">
        <f>IF($B31="","",COUNTIF(Penalties!$B32:$J32,P$2))</f>
        <v/>
      </c>
      <c r="Q31" s="549" t="str">
        <f>IF($B31="","",COUNTIF(Penalties!$B32:$J32,Q$2))</f>
        <v/>
      </c>
      <c r="R31" s="549" t="str">
        <f>IF($B31="","",COUNTIF(Penalties!$B32:$J32,R$2))</f>
        <v/>
      </c>
      <c r="S31" s="549" t="str">
        <f>IF($B31="","",COUNTIF(Penalties!$B32:$J32,S$2))</f>
        <v/>
      </c>
      <c r="T31" s="549" t="str">
        <f>IF($B31="","",COUNTIF(Penalties!$B32:$J32,T$2))</f>
        <v/>
      </c>
      <c r="U31" s="557" t="str">
        <f>IF(B31="","",SUM(E31:T31))</f>
        <v/>
      </c>
      <c r="V31" s="558" t="str">
        <f>IF(B31="","",SUM(E31:T31)*0.5)</f>
        <v/>
      </c>
      <c r="W31" s="559" t="str">
        <f>IF($B31="","",IF(Penalties!$K32=W$2,1,""))</f>
        <v/>
      </c>
      <c r="X31" s="559" t="str">
        <f>IF($B31="","",IF(Penalties!$K32=X$2,1,""))</f>
        <v/>
      </c>
      <c r="Y31" s="559" t="str">
        <f>IF($B31="","",IF(Penalties!$K32=Y$2,1,""))</f>
        <v/>
      </c>
      <c r="Z31" s="559" t="str">
        <f>IF($B31="","",IF(Penalties!$K32=Z$2,1,""))</f>
        <v/>
      </c>
      <c r="AA31" s="559" t="str">
        <f>IF($B31="","",IF(Penalties!$K32=AA$2,1,""))</f>
        <v/>
      </c>
      <c r="AB31" s="559" t="str">
        <f>IF($B31="","",IF(Penalties!$K32=AB$2,1,""))</f>
        <v/>
      </c>
      <c r="AC31" s="559" t="str">
        <f>IF($B31="","",IF(Penalties!$K32=AC$2,1,""))</f>
        <v/>
      </c>
      <c r="AD31" s="559" t="str">
        <f>IF($B31="","",IF(Penalties!$K32=AD$2,1,""))</f>
        <v/>
      </c>
      <c r="AE31" s="559" t="str">
        <f>IF($B31="","",IF(Penalties!$K32=AE$2,1,""))</f>
        <v/>
      </c>
      <c r="AF31" s="559" t="str">
        <f>IF($B31="","",IF(Penalties!$K32=AF$2,1,""))</f>
        <v/>
      </c>
      <c r="AG31" s="559" t="str">
        <f>IF($B31="","",IF(Penalties!$K32=AG$2,1,""))</f>
        <v/>
      </c>
      <c r="AH31" s="559" t="str">
        <f>IF($B31="","",IF(Penalties!$K32=AH$2,1,""))</f>
        <v/>
      </c>
      <c r="AI31" s="559" t="str">
        <f>IF($B31="","",IF(Penalties!$K32=AI$2,1,""))</f>
        <v/>
      </c>
      <c r="AJ31" s="560"/>
    </row>
    <row r="32" spans="1:36" s="109" customFormat="1" x14ac:dyDescent="0.3">
      <c r="A32" s="1166"/>
      <c r="B32" s="1167"/>
      <c r="C32" s="1168"/>
      <c r="D32" s="556" t="s">
        <v>33</v>
      </c>
      <c r="E32" s="549" t="str">
        <f>IF($B31="","",COUNTIF(Penalties!$AD32:$AL32,E$2))</f>
        <v/>
      </c>
      <c r="F32" s="549" t="str">
        <f>IF($B31="","",COUNTIF(Penalties!$AD32:$AL32,F$2))</f>
        <v/>
      </c>
      <c r="G32" s="549" t="str">
        <f>IF($B31="","",COUNTIF(Penalties!$AD32:$AL32,G$2))</f>
        <v/>
      </c>
      <c r="H32" s="549" t="str">
        <f>IF($B31="","",COUNTIF(Penalties!$AD32:$AL32,H$2))</f>
        <v/>
      </c>
      <c r="I32" s="549" t="str">
        <f>IF($B31="","",COUNTIF(Penalties!$AD32:$AL32,I$2))</f>
        <v/>
      </c>
      <c r="J32" s="549" t="str">
        <f>IF($B31="","",COUNTIF(Penalties!$AD32:$AL32,J$2))</f>
        <v/>
      </c>
      <c r="K32" s="549" t="str">
        <f>IF($B31="","",COUNTIF(Penalties!$AD32:$AL32,K$2))</f>
        <v/>
      </c>
      <c r="L32" s="549" t="str">
        <f>IF($B31="","",COUNTIF(Penalties!$AD32:$AL32,L$2))</f>
        <v/>
      </c>
      <c r="M32" s="549" t="str">
        <f>IF($B31="","",COUNTIF(Penalties!$AD32:$AL32,M$2))</f>
        <v/>
      </c>
      <c r="N32" s="549" t="str">
        <f>IF($B31="","",COUNTIF(Penalties!$AD32:$AL32,N$2))</f>
        <v/>
      </c>
      <c r="O32" s="549" t="str">
        <f>IF($B31="","",COUNTIF(Penalties!$AD32:$AL32,O$2))</f>
        <v/>
      </c>
      <c r="P32" s="549" t="str">
        <f>IF($B31="","",COUNTIF(Penalties!$AD32:$AL32,P$2))</f>
        <v/>
      </c>
      <c r="Q32" s="549" t="str">
        <f>IF($B31="","",COUNTIF(Penalties!$AD32:$AL32,Q$2))</f>
        <v/>
      </c>
      <c r="R32" s="549" t="str">
        <f>IF($B31="","",COUNTIF(Penalties!$AD32:$AL32,R$2))</f>
        <v/>
      </c>
      <c r="S32" s="549" t="str">
        <f>IF($B31="","",COUNTIF(Penalties!$AD32:$AL32,S$2))</f>
        <v/>
      </c>
      <c r="T32" s="549" t="str">
        <f>IF($B31="","",COUNTIF(Penalties!$AD32:$AL32,T$2))</f>
        <v/>
      </c>
      <c r="U32" s="557" t="str">
        <f>IF(B31="","",SUM(E32:T32))</f>
        <v/>
      </c>
      <c r="V32" s="558" t="str">
        <f>IF(B31="","",SUM(E32:T32)*0.5)</f>
        <v/>
      </c>
      <c r="W32" s="559" t="str">
        <f>IF($B31="","",IF(Penalties!$AM32=W$2,1,""))</f>
        <v/>
      </c>
      <c r="X32" s="559" t="str">
        <f>IF($B31="","",IF(Penalties!$AM32=X$2,1,""))</f>
        <v/>
      </c>
      <c r="Y32" s="559" t="str">
        <f>IF($B31="","",IF(Penalties!$AM32=Y$2,1,""))</f>
        <v/>
      </c>
      <c r="Z32" s="559" t="str">
        <f>IF($B31="","",IF(Penalties!$AM32=Z$2,1,""))</f>
        <v/>
      </c>
      <c r="AA32" s="559" t="str">
        <f>IF($B31="","",IF(Penalties!$AM32=AA$2,1,""))</f>
        <v/>
      </c>
      <c r="AB32" s="559" t="str">
        <f>IF($B31="","",IF(Penalties!$AM32=AB$2,1,""))</f>
        <v/>
      </c>
      <c r="AC32" s="559" t="str">
        <f>IF($B31="","",IF(Penalties!$AM32=AC$2,1,""))</f>
        <v/>
      </c>
      <c r="AD32" s="559" t="str">
        <f>IF($B31="","",IF(Penalties!$AM32=AD$2,1,""))</f>
        <v/>
      </c>
      <c r="AE32" s="559" t="str">
        <f>IF($B31="","",IF(Penalties!$AM32=AE$2,1,""))</f>
        <v/>
      </c>
      <c r="AF32" s="559" t="str">
        <f>IF($B31="","",IF(Penalties!$AM32=AF$2,1,""))</f>
        <v/>
      </c>
      <c r="AG32" s="559" t="str">
        <f>IF($B31="","",IF(Penalties!$AM32=AG$2,1,""))</f>
        <v/>
      </c>
      <c r="AH32" s="559" t="str">
        <f>IF($B31="","",IF(Penalties!$AM32=AH$2,1,""))</f>
        <v/>
      </c>
      <c r="AI32" s="559" t="str">
        <f>IF($B31="","",IF(Penalties!$AM32=AI$2,1,""))</f>
        <v/>
      </c>
      <c r="AJ32" s="561" t="str">
        <f>IF(SUM(X31:AI32)=0, "", IF(SUM(X31:AI31)=1, LOOKUP(1, X31:AI31, $X$2:$AI$2), LOOKUP(1, X32:AI32, $X$2:$AI$2)))</f>
        <v/>
      </c>
    </row>
    <row r="33" spans="1:50" x14ac:dyDescent="0.3">
      <c r="A33" s="1163">
        <f>A31+1</f>
        <v>16</v>
      </c>
      <c r="B33" s="1164" t="str">
        <f>IF(IGRF!B29="","",IGRF!B29)</f>
        <v/>
      </c>
      <c r="C33" s="1165" t="str">
        <f>IF(IGRF!C29="","",IGRF!C29)</f>
        <v/>
      </c>
      <c r="D33" s="550" t="s">
        <v>17</v>
      </c>
      <c r="E33" s="550" t="str">
        <f>IF($B33="","",COUNTIF(Penalties!$B34:$J34,E$2))</f>
        <v/>
      </c>
      <c r="F33" s="550" t="str">
        <f>IF($B33="","",COUNTIF(Penalties!$B34:$J34,F$2))</f>
        <v/>
      </c>
      <c r="G33" s="550" t="str">
        <f>IF($B33="","",COUNTIF(Penalties!$B34:$J34,G$2))</f>
        <v/>
      </c>
      <c r="H33" s="550" t="str">
        <f>IF($B33="","",COUNTIF(Penalties!$B34:$J34,H$2))</f>
        <v/>
      </c>
      <c r="I33" s="550" t="str">
        <f>IF($B33="","",COUNTIF(Penalties!$B34:$J34,I$2))</f>
        <v/>
      </c>
      <c r="J33" s="550" t="str">
        <f>IF($B33="","",COUNTIF(Penalties!$B34:$J34,J$2))</f>
        <v/>
      </c>
      <c r="K33" s="550" t="str">
        <f>IF($B33="","",COUNTIF(Penalties!$B34:$J34,K$2))</f>
        <v/>
      </c>
      <c r="L33" s="550" t="str">
        <f>IF($B33="","",COUNTIF(Penalties!$B34:$J34,L$2))</f>
        <v/>
      </c>
      <c r="M33" s="550" t="str">
        <f>IF($B33="","",COUNTIF(Penalties!$B34:$J34,M$2))</f>
        <v/>
      </c>
      <c r="N33" s="550" t="str">
        <f>IF($B33="","",COUNTIF(Penalties!$B34:$J34,N$2))</f>
        <v/>
      </c>
      <c r="O33" s="550" t="str">
        <f>IF($B33="","",COUNTIF(Penalties!$B34:$J34,O$2))</f>
        <v/>
      </c>
      <c r="P33" s="550" t="str">
        <f>IF($B33="","",COUNTIF(Penalties!$B34:$J34,P$2))</f>
        <v/>
      </c>
      <c r="Q33" s="550" t="str">
        <f>IF($B33="","",COUNTIF(Penalties!$B34:$J34,Q$2))</f>
        <v/>
      </c>
      <c r="R33" s="550" t="str">
        <f>IF($B33="","",COUNTIF(Penalties!$B34:$J34,R$2))</f>
        <v/>
      </c>
      <c r="S33" s="550" t="str">
        <f>IF($B33="","",COUNTIF(Penalties!$B34:$J34,S$2))</f>
        <v/>
      </c>
      <c r="T33" s="550" t="str">
        <f>IF($B33="","",COUNTIF(Penalties!$B34:$J34,T$2))</f>
        <v/>
      </c>
      <c r="U33" s="562" t="str">
        <f>IF(B33="","",SUM(E33:T33))</f>
        <v/>
      </c>
      <c r="V33" s="563" t="str">
        <f>IF(B33="","",SUM(E33:T33)*0.5)</f>
        <v/>
      </c>
      <c r="W33" s="564" t="str">
        <f>IF($B33="","",IF(Penalties!$K34=W$2,1,""))</f>
        <v/>
      </c>
      <c r="X33" s="564" t="str">
        <f>IF($B33="","",IF(Penalties!$K34=X$2,1,""))</f>
        <v/>
      </c>
      <c r="Y33" s="564" t="str">
        <f>IF($B33="","",IF(Penalties!$K34=Y$2,1,""))</f>
        <v/>
      </c>
      <c r="Z33" s="564" t="str">
        <f>IF($B33="","",IF(Penalties!$K34=Z$2,1,""))</f>
        <v/>
      </c>
      <c r="AA33" s="564" t="str">
        <f>IF($B33="","",IF(Penalties!$K34=AA$2,1,""))</f>
        <v/>
      </c>
      <c r="AB33" s="564" t="str">
        <f>IF($B33="","",IF(Penalties!$K34=AB$2,1,""))</f>
        <v/>
      </c>
      <c r="AC33" s="564" t="str">
        <f>IF($B33="","",IF(Penalties!$K34=AC$2,1,""))</f>
        <v/>
      </c>
      <c r="AD33" s="564" t="str">
        <f>IF($B33="","",IF(Penalties!$K34=AD$2,1,""))</f>
        <v/>
      </c>
      <c r="AE33" s="564" t="str">
        <f>IF($B33="","",IF(Penalties!$K34=AE$2,1,""))</f>
        <v/>
      </c>
      <c r="AF33" s="564" t="str">
        <f>IF($B33="","",IF(Penalties!$K34=AF$2,1,""))</f>
        <v/>
      </c>
      <c r="AG33" s="564" t="str">
        <f>IF($B33="","",IF(Penalties!$K34=AG$2,1,""))</f>
        <v/>
      </c>
      <c r="AH33" s="564" t="str">
        <f>IF($B33="","",IF(Penalties!$K34=AH$2,1,""))</f>
        <v/>
      </c>
      <c r="AI33" s="564" t="str">
        <f>IF($B33="","",IF(Penalties!$K34=AI$2,1,""))</f>
        <v/>
      </c>
      <c r="AJ33" s="565"/>
      <c r="AK33" s="109"/>
      <c r="AL33" s="109"/>
      <c r="AM33" s="109"/>
      <c r="AN33" s="109"/>
      <c r="AO33" s="109"/>
      <c r="AP33" s="109"/>
      <c r="AQ33" s="109"/>
      <c r="AR33" s="109"/>
      <c r="AS33" s="109"/>
      <c r="AT33" s="109"/>
      <c r="AU33" s="109"/>
      <c r="AV33" s="109"/>
      <c r="AW33" s="109"/>
      <c r="AX33" s="109"/>
    </row>
    <row r="34" spans="1:50" ht="14.4" thickBot="1" x14ac:dyDescent="0.35">
      <c r="A34" s="1163"/>
      <c r="B34" s="1164"/>
      <c r="C34" s="1165"/>
      <c r="D34" s="550" t="s">
        <v>33</v>
      </c>
      <c r="E34" s="550" t="str">
        <f>IF($B33="","",COUNTIF(Penalties!$AD34:$AL34,E$2))</f>
        <v/>
      </c>
      <c r="F34" s="550" t="str">
        <f>IF($B33="","",COUNTIF(Penalties!$AD34:$AL34,F$2))</f>
        <v/>
      </c>
      <c r="G34" s="550" t="str">
        <f>IF($B33="","",COUNTIF(Penalties!$AD34:$AL34,G$2))</f>
        <v/>
      </c>
      <c r="H34" s="550" t="str">
        <f>IF($B33="","",COUNTIF(Penalties!$AD34:$AL34,H$2))</f>
        <v/>
      </c>
      <c r="I34" s="550" t="str">
        <f>IF($B33="","",COUNTIF(Penalties!$AD34:$AL34,I$2))</f>
        <v/>
      </c>
      <c r="J34" s="550" t="str">
        <f>IF($B33="","",COUNTIF(Penalties!$AD34:$AL34,J$2))</f>
        <v/>
      </c>
      <c r="K34" s="550" t="str">
        <f>IF($B33="","",COUNTIF(Penalties!$AD34:$AL34,K$2))</f>
        <v/>
      </c>
      <c r="L34" s="550" t="str">
        <f>IF($B33="","",COUNTIF(Penalties!$AD34:$AL34,L$2))</f>
        <v/>
      </c>
      <c r="M34" s="550" t="str">
        <f>IF($B33="","",COUNTIF(Penalties!$AD34:$AL34,M$2))</f>
        <v/>
      </c>
      <c r="N34" s="550" t="str">
        <f>IF($B33="","",COUNTIF(Penalties!$AD34:$AL34,N$2))</f>
        <v/>
      </c>
      <c r="O34" s="550" t="str">
        <f>IF($B33="","",COUNTIF(Penalties!$AD34:$AL34,O$2))</f>
        <v/>
      </c>
      <c r="P34" s="550" t="str">
        <f>IF($B33="","",COUNTIF(Penalties!$AD34:$AL34,P$2))</f>
        <v/>
      </c>
      <c r="Q34" s="550" t="str">
        <f>IF($B33="","",COUNTIF(Penalties!$AD34:$AL34,Q$2))</f>
        <v/>
      </c>
      <c r="R34" s="550" t="str">
        <f>IF($B33="","",COUNTIF(Penalties!$AD34:$AL34,R$2))</f>
        <v/>
      </c>
      <c r="S34" s="550" t="str">
        <f>IF($B33="","",COUNTIF(Penalties!$AD34:$AL34,S$2))</f>
        <v/>
      </c>
      <c r="T34" s="550" t="str">
        <f>IF($B33="","",COUNTIF(Penalties!$AD34:$AL34,T$2))</f>
        <v/>
      </c>
      <c r="U34" s="562" t="str">
        <f>IF(B33="","",SUM(E34:T34))</f>
        <v/>
      </c>
      <c r="V34" s="563" t="str">
        <f>IF(B33="","",SUM(E34:T34)*0.5)</f>
        <v/>
      </c>
      <c r="W34" s="564" t="str">
        <f>IF($B33="","",IF(Penalties!$AM34=W$2,1,""))</f>
        <v/>
      </c>
      <c r="X34" s="564" t="str">
        <f>IF($B33="","",IF(Penalties!$AM34=X$2,1,""))</f>
        <v/>
      </c>
      <c r="Y34" s="564" t="str">
        <f>IF($B33="","",IF(Penalties!$AM34=Y$2,1,""))</f>
        <v/>
      </c>
      <c r="Z34" s="564" t="str">
        <f>IF($B33="","",IF(Penalties!$AM34=Z$2,1,""))</f>
        <v/>
      </c>
      <c r="AA34" s="564" t="str">
        <f>IF($B33="","",IF(Penalties!$AM34=AA$2,1,""))</f>
        <v/>
      </c>
      <c r="AB34" s="564" t="str">
        <f>IF($B33="","",IF(Penalties!$AM34=AB$2,1,""))</f>
        <v/>
      </c>
      <c r="AC34" s="564" t="str">
        <f>IF($B33="","",IF(Penalties!$AM34=AC$2,1,""))</f>
        <v/>
      </c>
      <c r="AD34" s="564" t="str">
        <f>IF($B33="","",IF(Penalties!$AM34=AD$2,1,""))</f>
        <v/>
      </c>
      <c r="AE34" s="564" t="str">
        <f>IF($B33="","",IF(Penalties!$AM34=AE$2,1,""))</f>
        <v/>
      </c>
      <c r="AF34" s="564" t="str">
        <f>IF($B33="","",IF(Penalties!$AM34=AF$2,1,""))</f>
        <v/>
      </c>
      <c r="AG34" s="564" t="str">
        <f>IF($B33="","",IF(Penalties!$AM34=AG$2,1,""))</f>
        <v/>
      </c>
      <c r="AH34" s="564" t="str">
        <f>IF($B33="","",IF(Penalties!$AM34=AH$2,1,""))</f>
        <v/>
      </c>
      <c r="AI34" s="564" t="str">
        <f>IF($B33="","",IF(Penalties!$AM34=AI$2,1,""))</f>
        <v/>
      </c>
      <c r="AJ34" s="566" t="str">
        <f>IF(SUM(X33:AI34)=0, "", IF(SUM(X33:AI33)=1, LOOKUP(1, X33:AI33, $X$2:$AI$2), LOOKUP(1, X34:AI34, $X$2:$AI$2)))</f>
        <v/>
      </c>
      <c r="AK34" s="109"/>
      <c r="AL34" s="109"/>
      <c r="AM34" s="109"/>
      <c r="AN34" s="109"/>
      <c r="AO34" s="109"/>
      <c r="AP34" s="109"/>
      <c r="AQ34" s="109"/>
      <c r="AR34" s="109"/>
      <c r="AS34" s="109"/>
      <c r="AT34" s="109"/>
      <c r="AU34" s="109"/>
      <c r="AV34" s="109"/>
      <c r="AW34" s="109"/>
      <c r="AX34" s="109"/>
    </row>
    <row r="35" spans="1:50" x14ac:dyDescent="0.3">
      <c r="A35" s="1166">
        <f>A33+1</f>
        <v>17</v>
      </c>
      <c r="B35" s="1167" t="str">
        <f>IF(IGRF!B30="","",IGRF!B30)</f>
        <v/>
      </c>
      <c r="C35" s="1168" t="str">
        <f>IF(IGRF!C30="","",IGRF!C30)</f>
        <v/>
      </c>
      <c r="D35" s="556" t="s">
        <v>17</v>
      </c>
      <c r="E35" s="549" t="str">
        <f>IF($B35="","",COUNTIF(Penalties!$B36:$J36,E$2))</f>
        <v/>
      </c>
      <c r="F35" s="549" t="str">
        <f>IF($B35="","",COUNTIF(Penalties!$B36:$J36,F$2))</f>
        <v/>
      </c>
      <c r="G35" s="549" t="str">
        <f>IF($B35="","",COUNTIF(Penalties!$B36:$J36,G$2))</f>
        <v/>
      </c>
      <c r="H35" s="549" t="str">
        <f>IF($B35="","",COUNTIF(Penalties!$B36:$J36,H$2))</f>
        <v/>
      </c>
      <c r="I35" s="549" t="str">
        <f>IF($B35="","",COUNTIF(Penalties!$B36:$J36,I$2))</f>
        <v/>
      </c>
      <c r="J35" s="549" t="str">
        <f>IF($B35="","",COUNTIF(Penalties!$B36:$J36,J$2))</f>
        <v/>
      </c>
      <c r="K35" s="549" t="str">
        <f>IF($B35="","",COUNTIF(Penalties!$B36:$J36,K$2))</f>
        <v/>
      </c>
      <c r="L35" s="549" t="str">
        <f>IF($B35="","",COUNTIF(Penalties!$B36:$J36,L$2))</f>
        <v/>
      </c>
      <c r="M35" s="549" t="str">
        <f>IF($B35="","",COUNTIF(Penalties!$B36:$J36,M$2))</f>
        <v/>
      </c>
      <c r="N35" s="549" t="str">
        <f>IF($B35="","",COUNTIF(Penalties!$B36:$J36,N$2))</f>
        <v/>
      </c>
      <c r="O35" s="549" t="str">
        <f>IF($B35="","",COUNTIF(Penalties!$B36:$J36,O$2))</f>
        <v/>
      </c>
      <c r="P35" s="549" t="str">
        <f>IF($B35="","",COUNTIF(Penalties!$B36:$J36,P$2))</f>
        <v/>
      </c>
      <c r="Q35" s="549" t="str">
        <f>IF($B35="","",COUNTIF(Penalties!$B36:$J36,Q$2))</f>
        <v/>
      </c>
      <c r="R35" s="549" t="str">
        <f>IF($B35="","",COUNTIF(Penalties!$B36:$J36,R$2))</f>
        <v/>
      </c>
      <c r="S35" s="549" t="str">
        <f>IF($B35="","",COUNTIF(Penalties!$B36:$J36,S$2))</f>
        <v/>
      </c>
      <c r="T35" s="549" t="str">
        <f>IF($B35="","",COUNTIF(Penalties!$B36:$J36,T$2))</f>
        <v/>
      </c>
      <c r="U35" s="557" t="str">
        <f>IF(B35="","",SUM(E35:T35))</f>
        <v/>
      </c>
      <c r="V35" s="558" t="str">
        <f>IF(B35="","",SUM(E35:T35)*0.5)</f>
        <v/>
      </c>
      <c r="W35" s="559" t="str">
        <f>IF($B35="","",IF(Penalties!$K36=W$2,1,""))</f>
        <v/>
      </c>
      <c r="X35" s="559" t="str">
        <f>IF($B35="","",IF(Penalties!$K36=X$2,1,""))</f>
        <v/>
      </c>
      <c r="Y35" s="559" t="str">
        <f>IF($B35="","",IF(Penalties!$K36=Y$2,1,""))</f>
        <v/>
      </c>
      <c r="Z35" s="559" t="str">
        <f>IF($B35="","",IF(Penalties!$K36=Z$2,1,""))</f>
        <v/>
      </c>
      <c r="AA35" s="559" t="str">
        <f>IF($B35="","",IF(Penalties!$K36=AA$2,1,""))</f>
        <v/>
      </c>
      <c r="AB35" s="559" t="str">
        <f>IF($B35="","",IF(Penalties!$K36=AB$2,1,""))</f>
        <v/>
      </c>
      <c r="AC35" s="559" t="str">
        <f>IF($B35="","",IF(Penalties!$K36=AC$2,1,""))</f>
        <v/>
      </c>
      <c r="AD35" s="559" t="str">
        <f>IF($B35="","",IF(Penalties!$K36=AD$2,1,""))</f>
        <v/>
      </c>
      <c r="AE35" s="559" t="str">
        <f>IF($B35="","",IF(Penalties!$K36=AE$2,1,""))</f>
        <v/>
      </c>
      <c r="AF35" s="559" t="str">
        <f>IF($B35="","",IF(Penalties!$K36=AF$2,1,""))</f>
        <v/>
      </c>
      <c r="AG35" s="559" t="str">
        <f>IF($B35="","",IF(Penalties!$K36=AG$2,1,""))</f>
        <v/>
      </c>
      <c r="AH35" s="559" t="str">
        <f>IF($B35="","",IF(Penalties!$K36=AH$2,1,""))</f>
        <v/>
      </c>
      <c r="AI35" s="559" t="str">
        <f>IF($B35="","",IF(Penalties!$K36=AI$2,1,""))</f>
        <v/>
      </c>
      <c r="AJ35" s="560"/>
      <c r="AK35" s="109"/>
      <c r="AL35" s="109"/>
      <c r="AM35" s="109"/>
      <c r="AN35" s="109"/>
      <c r="AO35" s="109"/>
      <c r="AP35" s="109"/>
      <c r="AQ35" s="109"/>
      <c r="AR35" s="109"/>
      <c r="AS35" s="109"/>
      <c r="AT35" s="109"/>
      <c r="AU35" s="109"/>
      <c r="AV35" s="109"/>
      <c r="AW35" s="109"/>
      <c r="AX35" s="109"/>
    </row>
    <row r="36" spans="1:50" x14ac:dyDescent="0.3">
      <c r="A36" s="1166"/>
      <c r="B36" s="1167"/>
      <c r="C36" s="1168"/>
      <c r="D36" s="556" t="s">
        <v>33</v>
      </c>
      <c r="E36" s="549" t="str">
        <f>IF($B35="","",COUNTIF(Penalties!$AD36:$AL36,E$2))</f>
        <v/>
      </c>
      <c r="F36" s="549" t="str">
        <f>IF($B35="","",COUNTIF(Penalties!$AD36:$AL36,F$2))</f>
        <v/>
      </c>
      <c r="G36" s="549" t="str">
        <f>IF($B35="","",COUNTIF(Penalties!$AD36:$AL36,G$2))</f>
        <v/>
      </c>
      <c r="H36" s="549" t="str">
        <f>IF($B35="","",COUNTIF(Penalties!$AD36:$AL36,H$2))</f>
        <v/>
      </c>
      <c r="I36" s="549" t="str">
        <f>IF($B35="","",COUNTIF(Penalties!$AD36:$AL36,I$2))</f>
        <v/>
      </c>
      <c r="J36" s="549" t="str">
        <f>IF($B35="","",COUNTIF(Penalties!$AD36:$AL36,J$2))</f>
        <v/>
      </c>
      <c r="K36" s="549" t="str">
        <f>IF($B35="","",COUNTIF(Penalties!$AD36:$AL36,K$2))</f>
        <v/>
      </c>
      <c r="L36" s="549" t="str">
        <f>IF($B35="","",COUNTIF(Penalties!$AD36:$AL36,L$2))</f>
        <v/>
      </c>
      <c r="M36" s="549" t="str">
        <f>IF($B35="","",COUNTIF(Penalties!$AD36:$AL36,M$2))</f>
        <v/>
      </c>
      <c r="N36" s="549" t="str">
        <f>IF($B35="","",COUNTIF(Penalties!$AD36:$AL36,N$2))</f>
        <v/>
      </c>
      <c r="O36" s="549" t="str">
        <f>IF($B35="","",COUNTIF(Penalties!$AD36:$AL36,O$2))</f>
        <v/>
      </c>
      <c r="P36" s="549" t="str">
        <f>IF($B35="","",COUNTIF(Penalties!$AD36:$AL36,P$2))</f>
        <v/>
      </c>
      <c r="Q36" s="549" t="str">
        <f>IF($B35="","",COUNTIF(Penalties!$AD36:$AL36,Q$2))</f>
        <v/>
      </c>
      <c r="R36" s="549" t="str">
        <f>IF($B35="","",COUNTIF(Penalties!$AD36:$AL36,R$2))</f>
        <v/>
      </c>
      <c r="S36" s="549" t="str">
        <f>IF($B35="","",COUNTIF(Penalties!$AD36:$AL36,S$2))</f>
        <v/>
      </c>
      <c r="T36" s="549" t="str">
        <f>IF($B35="","",COUNTIF(Penalties!$AD36:$AL36,T$2))</f>
        <v/>
      </c>
      <c r="U36" s="557" t="str">
        <f>IF(B35="","",SUM(E36:T36))</f>
        <v/>
      </c>
      <c r="V36" s="558" t="str">
        <f>IF(B35="","",SUM(E36:T36)*0.5)</f>
        <v/>
      </c>
      <c r="W36" s="559" t="str">
        <f>IF($B35="","",IF(Penalties!$AM36=W$2,1,""))</f>
        <v/>
      </c>
      <c r="X36" s="559" t="str">
        <f>IF($B35="","",IF(Penalties!$AM36=X$2,1,""))</f>
        <v/>
      </c>
      <c r="Y36" s="559" t="str">
        <f>IF($B35="","",IF(Penalties!$AM36=Y$2,1,""))</f>
        <v/>
      </c>
      <c r="Z36" s="559" t="str">
        <f>IF($B35="","",IF(Penalties!$AM36=Z$2,1,""))</f>
        <v/>
      </c>
      <c r="AA36" s="559" t="str">
        <f>IF($B35="","",IF(Penalties!$AM36=AA$2,1,""))</f>
        <v/>
      </c>
      <c r="AB36" s="559" t="str">
        <f>IF($B35="","",IF(Penalties!$AM36=AB$2,1,""))</f>
        <v/>
      </c>
      <c r="AC36" s="559" t="str">
        <f>IF($B35="","",IF(Penalties!$AM36=AC$2,1,""))</f>
        <v/>
      </c>
      <c r="AD36" s="559" t="str">
        <f>IF($B35="","",IF(Penalties!$AM36=AD$2,1,""))</f>
        <v/>
      </c>
      <c r="AE36" s="559" t="str">
        <f>IF($B35="","",IF(Penalties!$AM36=AE$2,1,""))</f>
        <v/>
      </c>
      <c r="AF36" s="559" t="str">
        <f>IF($B35="","",IF(Penalties!$AM36=AF$2,1,""))</f>
        <v/>
      </c>
      <c r="AG36" s="559" t="str">
        <f>IF($B35="","",IF(Penalties!$AM36=AG$2,1,""))</f>
        <v/>
      </c>
      <c r="AH36" s="559" t="str">
        <f>IF($B35="","",IF(Penalties!$AM36=AH$2,1,""))</f>
        <v/>
      </c>
      <c r="AI36" s="559" t="str">
        <f>IF($B35="","",IF(Penalties!$AM36=AI$2,1,""))</f>
        <v/>
      </c>
      <c r="AJ36" s="561" t="str">
        <f>IF(SUM(X35:AI36)=0, "", IF(SUM(X35:AI35)=1, LOOKUP(1, X35:AI35, $X$2:$AI$2), LOOKUP(1, X36:AI36, $X$2:$AI$2)))</f>
        <v/>
      </c>
      <c r="AK36" s="109"/>
      <c r="AL36" s="109"/>
      <c r="AM36" s="109"/>
      <c r="AN36" s="109"/>
      <c r="AO36" s="109"/>
      <c r="AP36" s="109"/>
      <c r="AQ36" s="109"/>
      <c r="AR36" s="109"/>
      <c r="AS36" s="109"/>
      <c r="AT36" s="109"/>
      <c r="AU36" s="109"/>
      <c r="AV36" s="109"/>
      <c r="AW36" s="109"/>
      <c r="AX36" s="109"/>
    </row>
    <row r="37" spans="1:50" x14ac:dyDescent="0.3">
      <c r="A37" s="1163">
        <f>A35+1</f>
        <v>18</v>
      </c>
      <c r="B37" s="1164" t="str">
        <f>IF(IGRF!B31="","",IGRF!B31)</f>
        <v/>
      </c>
      <c r="C37" s="1165" t="str">
        <f>IF(IGRF!C31="","",IGRF!C31)</f>
        <v/>
      </c>
      <c r="D37" s="550" t="s">
        <v>17</v>
      </c>
      <c r="E37" s="550" t="str">
        <f>IF($B37="","",COUNTIF(Penalties!$B38:$J38,E$2))</f>
        <v/>
      </c>
      <c r="F37" s="550" t="str">
        <f>IF($B37="","",COUNTIF(Penalties!$B38:$J38,F$2))</f>
        <v/>
      </c>
      <c r="G37" s="550" t="str">
        <f>IF($B37="","",COUNTIF(Penalties!$B38:$J38,G$2))</f>
        <v/>
      </c>
      <c r="H37" s="550" t="str">
        <f>IF($B37="","",COUNTIF(Penalties!$B38:$J38,H$2))</f>
        <v/>
      </c>
      <c r="I37" s="550" t="str">
        <f>IF($B37="","",COUNTIF(Penalties!$B38:$J38,I$2))</f>
        <v/>
      </c>
      <c r="J37" s="550" t="str">
        <f>IF($B37="","",COUNTIF(Penalties!$B38:$J38,J$2))</f>
        <v/>
      </c>
      <c r="K37" s="550" t="str">
        <f>IF($B37="","",COUNTIF(Penalties!$B38:$J38,K$2))</f>
        <v/>
      </c>
      <c r="L37" s="550" t="str">
        <f>IF($B37="","",COUNTIF(Penalties!$B38:$J38,L$2))</f>
        <v/>
      </c>
      <c r="M37" s="550" t="str">
        <f>IF($B37="","",COUNTIF(Penalties!$B38:$J38,M$2))</f>
        <v/>
      </c>
      <c r="N37" s="550" t="str">
        <f>IF($B37="","",COUNTIF(Penalties!$B38:$J38,N$2))</f>
        <v/>
      </c>
      <c r="O37" s="550" t="str">
        <f>IF($B37="","",COUNTIF(Penalties!$B38:$J38,O$2))</f>
        <v/>
      </c>
      <c r="P37" s="550" t="str">
        <f>IF($B37="","",COUNTIF(Penalties!$B38:$J38,P$2))</f>
        <v/>
      </c>
      <c r="Q37" s="550" t="str">
        <f>IF($B37="","",COUNTIF(Penalties!$B38:$J38,Q$2))</f>
        <v/>
      </c>
      <c r="R37" s="550" t="str">
        <f>IF($B37="","",COUNTIF(Penalties!$B38:$J38,R$2))</f>
        <v/>
      </c>
      <c r="S37" s="550" t="str">
        <f>IF($B37="","",COUNTIF(Penalties!$B38:$J38,S$2))</f>
        <v/>
      </c>
      <c r="T37" s="550" t="str">
        <f>IF($B37="","",COUNTIF(Penalties!$B38:$J38,T$2))</f>
        <v/>
      </c>
      <c r="U37" s="562" t="str">
        <f>IF(B37="","",SUM(E37:T37))</f>
        <v/>
      </c>
      <c r="V37" s="563" t="str">
        <f>IF(B37="","",SUM(E37:T37)*0.5)</f>
        <v/>
      </c>
      <c r="W37" s="564" t="str">
        <f>IF($B37="","",IF(Penalties!$K38=W$2,1,""))</f>
        <v/>
      </c>
      <c r="X37" s="564" t="str">
        <f>IF($B37="","",IF(Penalties!$K38=X$2,1,""))</f>
        <v/>
      </c>
      <c r="Y37" s="564" t="str">
        <f>IF($B37="","",IF(Penalties!$K38=Y$2,1,""))</f>
        <v/>
      </c>
      <c r="Z37" s="564" t="str">
        <f>IF($B37="","",IF(Penalties!$K38=Z$2,1,""))</f>
        <v/>
      </c>
      <c r="AA37" s="564" t="str">
        <f>IF($B37="","",IF(Penalties!$K38=AA$2,1,""))</f>
        <v/>
      </c>
      <c r="AB37" s="564" t="str">
        <f>IF($B37="","",IF(Penalties!$K38=AB$2,1,""))</f>
        <v/>
      </c>
      <c r="AC37" s="564" t="str">
        <f>IF($B37="","",IF(Penalties!$K38=AC$2,1,""))</f>
        <v/>
      </c>
      <c r="AD37" s="564" t="str">
        <f>IF($B37="","",IF(Penalties!$K38=AD$2,1,""))</f>
        <v/>
      </c>
      <c r="AE37" s="564" t="str">
        <f>IF($B37="","",IF(Penalties!$K38=AE$2,1,""))</f>
        <v/>
      </c>
      <c r="AF37" s="564" t="str">
        <f>IF($B37="","",IF(Penalties!$K38=AF$2,1,""))</f>
        <v/>
      </c>
      <c r="AG37" s="564" t="str">
        <f>IF($B37="","",IF(Penalties!$K38=AG$2,1,""))</f>
        <v/>
      </c>
      <c r="AH37" s="564" t="str">
        <f>IF($B37="","",IF(Penalties!$K38=AH$2,1,""))</f>
        <v/>
      </c>
      <c r="AI37" s="564" t="str">
        <f>IF($B37="","",IF(Penalties!$K38=AI$2,1,""))</f>
        <v/>
      </c>
      <c r="AJ37" s="565"/>
      <c r="AK37" s="109"/>
      <c r="AL37" s="109"/>
      <c r="AM37" s="109"/>
      <c r="AN37" s="109"/>
      <c r="AO37" s="109"/>
      <c r="AP37" s="109"/>
      <c r="AQ37" s="109"/>
      <c r="AR37" s="109"/>
      <c r="AS37" s="109"/>
      <c r="AT37" s="109"/>
      <c r="AU37" s="109"/>
      <c r="AV37" s="109"/>
      <c r="AW37" s="109"/>
      <c r="AX37" s="109"/>
    </row>
    <row r="38" spans="1:50" ht="14.4" thickBot="1" x14ac:dyDescent="0.35">
      <c r="A38" s="1163"/>
      <c r="B38" s="1164"/>
      <c r="C38" s="1165"/>
      <c r="D38" s="550" t="s">
        <v>33</v>
      </c>
      <c r="E38" s="550" t="str">
        <f>IF($B37="","",COUNTIF(Penalties!$AD38:$AL38,E$2))</f>
        <v/>
      </c>
      <c r="F38" s="550" t="str">
        <f>IF($B37="","",COUNTIF(Penalties!$AD38:$AL38,F$2))</f>
        <v/>
      </c>
      <c r="G38" s="550" t="str">
        <f>IF($B37="","",COUNTIF(Penalties!$AD38:$AL38,G$2))</f>
        <v/>
      </c>
      <c r="H38" s="550" t="str">
        <f>IF($B37="","",COUNTIF(Penalties!$AD38:$AL38,H$2))</f>
        <v/>
      </c>
      <c r="I38" s="550" t="str">
        <f>IF($B37="","",COUNTIF(Penalties!$AD38:$AL38,I$2))</f>
        <v/>
      </c>
      <c r="J38" s="550" t="str">
        <f>IF($B37="","",COUNTIF(Penalties!$AD38:$AL38,J$2))</f>
        <v/>
      </c>
      <c r="K38" s="550" t="str">
        <f>IF($B37="","",COUNTIF(Penalties!$AD38:$AL38,K$2))</f>
        <v/>
      </c>
      <c r="L38" s="550" t="str">
        <f>IF($B37="","",COUNTIF(Penalties!$AD38:$AL38,L$2))</f>
        <v/>
      </c>
      <c r="M38" s="550" t="str">
        <f>IF($B37="","",COUNTIF(Penalties!$AD38:$AL38,M$2))</f>
        <v/>
      </c>
      <c r="N38" s="550" t="str">
        <f>IF($B37="","",COUNTIF(Penalties!$AD38:$AL38,N$2))</f>
        <v/>
      </c>
      <c r="O38" s="550" t="str">
        <f>IF($B37="","",COUNTIF(Penalties!$AD38:$AL38,O$2))</f>
        <v/>
      </c>
      <c r="P38" s="550" t="str">
        <f>IF($B37="","",COUNTIF(Penalties!$AD38:$AL38,P$2))</f>
        <v/>
      </c>
      <c r="Q38" s="550" t="str">
        <f>IF($B37="","",COUNTIF(Penalties!$AD38:$AL38,Q$2))</f>
        <v/>
      </c>
      <c r="R38" s="550" t="str">
        <f>IF($B37="","",COUNTIF(Penalties!$AD38:$AL38,R$2))</f>
        <v/>
      </c>
      <c r="S38" s="550" t="str">
        <f>IF($B37="","",COUNTIF(Penalties!$AD38:$AL38,S$2))</f>
        <v/>
      </c>
      <c r="T38" s="550" t="str">
        <f>IF($B37="","",COUNTIF(Penalties!$AD38:$AL38,T$2))</f>
        <v/>
      </c>
      <c r="U38" s="562" t="str">
        <f>IF(B37="","",SUM(E38:T38))</f>
        <v/>
      </c>
      <c r="V38" s="563" t="str">
        <f>IF(B37="","",SUM(E38:T38)*0.5)</f>
        <v/>
      </c>
      <c r="W38" s="564" t="str">
        <f>IF($B37="","",IF(Penalties!$AM38=W$2,1,""))</f>
        <v/>
      </c>
      <c r="X38" s="564" t="str">
        <f>IF($B37="","",IF(Penalties!$AM38=X$2,1,""))</f>
        <v/>
      </c>
      <c r="Y38" s="564" t="str">
        <f>IF($B37="","",IF(Penalties!$AM38=Y$2,1,""))</f>
        <v/>
      </c>
      <c r="Z38" s="564" t="str">
        <f>IF($B37="","",IF(Penalties!$AM38=Z$2,1,""))</f>
        <v/>
      </c>
      <c r="AA38" s="564" t="str">
        <f>IF($B37="","",IF(Penalties!$AM38=AA$2,1,""))</f>
        <v/>
      </c>
      <c r="AB38" s="564" t="str">
        <f>IF($B37="","",IF(Penalties!$AM38=AB$2,1,""))</f>
        <v/>
      </c>
      <c r="AC38" s="564" t="str">
        <f>IF($B37="","",IF(Penalties!$AM38=AC$2,1,""))</f>
        <v/>
      </c>
      <c r="AD38" s="564" t="str">
        <f>IF($B37="","",IF(Penalties!$AM38=AD$2,1,""))</f>
        <v/>
      </c>
      <c r="AE38" s="564" t="str">
        <f>IF($B37="","",IF(Penalties!$AM38=AE$2,1,""))</f>
        <v/>
      </c>
      <c r="AF38" s="564" t="str">
        <f>IF($B37="","",IF(Penalties!$AM38=AF$2,1,""))</f>
        <v/>
      </c>
      <c r="AG38" s="564" t="str">
        <f>IF($B37="","",IF(Penalties!$AM38=AG$2,1,""))</f>
        <v/>
      </c>
      <c r="AH38" s="564" t="str">
        <f>IF($B37="","",IF(Penalties!$AM38=AH$2,1,""))</f>
        <v/>
      </c>
      <c r="AI38" s="564" t="str">
        <f>IF($B37="","",IF(Penalties!$AM38=AI$2,1,""))</f>
        <v/>
      </c>
      <c r="AJ38" s="566" t="str">
        <f>IF(SUM(X37:AI38)=0, "", IF(SUM(X37:AI37)=1, LOOKUP(1, X37:AI37, $X$2:$AI$2), LOOKUP(1, X38:AI38, $X$2:$AI$2)))</f>
        <v/>
      </c>
      <c r="AK38" s="109"/>
      <c r="AL38" s="109"/>
      <c r="AM38" s="109"/>
      <c r="AN38" s="109"/>
      <c r="AO38" s="109"/>
      <c r="AP38" s="109"/>
      <c r="AQ38" s="109"/>
      <c r="AR38" s="109"/>
      <c r="AS38" s="109"/>
      <c r="AT38" s="109"/>
      <c r="AU38" s="109"/>
      <c r="AV38" s="109"/>
      <c r="AW38" s="109"/>
      <c r="AX38" s="109"/>
    </row>
    <row r="39" spans="1:50" x14ac:dyDescent="0.3">
      <c r="A39" s="1166">
        <f>A37+1</f>
        <v>19</v>
      </c>
      <c r="B39" s="1167" t="str">
        <f>IF(IGRF!B32="","",IGRF!B32)</f>
        <v/>
      </c>
      <c r="C39" s="1168" t="str">
        <f>IF(IGRF!C32="","",IGRF!C32)</f>
        <v/>
      </c>
      <c r="D39" s="556" t="s">
        <v>17</v>
      </c>
      <c r="E39" s="549" t="str">
        <f>IF($B39="","",COUNTIF(Penalties!$B40:$J40,E$2))</f>
        <v/>
      </c>
      <c r="F39" s="549" t="str">
        <f>IF($B39="","",COUNTIF(Penalties!$B40:$J40,F$2))</f>
        <v/>
      </c>
      <c r="G39" s="549" t="str">
        <f>IF($B39="","",COUNTIF(Penalties!$B40:$J40,G$2))</f>
        <v/>
      </c>
      <c r="H39" s="549" t="str">
        <f>IF($B39="","",COUNTIF(Penalties!$B40:$J40,H$2))</f>
        <v/>
      </c>
      <c r="I39" s="549" t="str">
        <f>IF($B39="","",COUNTIF(Penalties!$B40:$J40,I$2))</f>
        <v/>
      </c>
      <c r="J39" s="549" t="str">
        <f>IF($B39="","",COUNTIF(Penalties!$B40:$J40,J$2))</f>
        <v/>
      </c>
      <c r="K39" s="549" t="str">
        <f>IF($B39="","",COUNTIF(Penalties!$B40:$J40,K$2))</f>
        <v/>
      </c>
      <c r="L39" s="549" t="str">
        <f>IF($B39="","",COUNTIF(Penalties!$B40:$J40,L$2))</f>
        <v/>
      </c>
      <c r="M39" s="549" t="str">
        <f>IF($B39="","",COUNTIF(Penalties!$B40:$J40,M$2))</f>
        <v/>
      </c>
      <c r="N39" s="549" t="str">
        <f>IF($B39="","",COUNTIF(Penalties!$B40:$J40,N$2))</f>
        <v/>
      </c>
      <c r="O39" s="549" t="str">
        <f>IF($B39="","",COUNTIF(Penalties!$B40:$J40,O$2))</f>
        <v/>
      </c>
      <c r="P39" s="549" t="str">
        <f>IF($B39="","",COUNTIF(Penalties!$B40:$J40,P$2))</f>
        <v/>
      </c>
      <c r="Q39" s="549" t="str">
        <f>IF($B39="","",COUNTIF(Penalties!$B40:$J40,Q$2))</f>
        <v/>
      </c>
      <c r="R39" s="549" t="str">
        <f>IF($B39="","",COUNTIF(Penalties!$B40:$J40,R$2))</f>
        <v/>
      </c>
      <c r="S39" s="549" t="str">
        <f>IF($B39="","",COUNTIF(Penalties!$B40:$J40,S$2))</f>
        <v/>
      </c>
      <c r="T39" s="549" t="str">
        <f>IF($B39="","",COUNTIF(Penalties!$B40:$J40,T$2))</f>
        <v/>
      </c>
      <c r="U39" s="557" t="str">
        <f>IF(B39="","",SUM(E39:T39))</f>
        <v/>
      </c>
      <c r="V39" s="558" t="str">
        <f>IF(B39="","",SUM(E39:T39)*0.5)</f>
        <v/>
      </c>
      <c r="W39" s="559" t="str">
        <f>IF($B39="","",IF(Penalties!$K40=W$2,1,""))</f>
        <v/>
      </c>
      <c r="X39" s="559" t="str">
        <f>IF($B39="","",IF(Penalties!$K40=X$2,1,""))</f>
        <v/>
      </c>
      <c r="Y39" s="559" t="str">
        <f>IF($B39="","",IF(Penalties!$K40=Y$2,1,""))</f>
        <v/>
      </c>
      <c r="Z39" s="559" t="str">
        <f>IF($B39="","",IF(Penalties!$K40=Z$2,1,""))</f>
        <v/>
      </c>
      <c r="AA39" s="559" t="str">
        <f>IF($B39="","",IF(Penalties!$K40=AA$2,1,""))</f>
        <v/>
      </c>
      <c r="AB39" s="559" t="str">
        <f>IF($B39="","",IF(Penalties!$K40=AB$2,1,""))</f>
        <v/>
      </c>
      <c r="AC39" s="559" t="str">
        <f>IF($B39="","",IF(Penalties!$K40=AC$2,1,""))</f>
        <v/>
      </c>
      <c r="AD39" s="559" t="str">
        <f>IF($B39="","",IF(Penalties!$K40=AD$2,1,""))</f>
        <v/>
      </c>
      <c r="AE39" s="559" t="str">
        <f>IF($B39="","",IF(Penalties!$K40=AE$2,1,""))</f>
        <v/>
      </c>
      <c r="AF39" s="559" t="str">
        <f>IF($B39="","",IF(Penalties!$K40=AF$2,1,""))</f>
        <v/>
      </c>
      <c r="AG39" s="559" t="str">
        <f>IF($B39="","",IF(Penalties!$K40=AG$2,1,""))</f>
        <v/>
      </c>
      <c r="AH39" s="559" t="str">
        <f>IF($B39="","",IF(Penalties!$K40=AH$2,1,""))</f>
        <v/>
      </c>
      <c r="AI39" s="559" t="str">
        <f>IF($B39="","",IF(Penalties!$K40=AI$2,1,""))</f>
        <v/>
      </c>
      <c r="AJ39" s="560"/>
      <c r="AK39" s="109"/>
      <c r="AL39" s="109"/>
      <c r="AM39" s="109"/>
      <c r="AN39" s="109"/>
      <c r="AO39" s="109"/>
      <c r="AP39" s="109"/>
      <c r="AQ39" s="109"/>
      <c r="AR39" s="109"/>
      <c r="AS39" s="109"/>
      <c r="AT39" s="109"/>
      <c r="AU39" s="109"/>
      <c r="AV39" s="109"/>
      <c r="AW39" s="109"/>
      <c r="AX39" s="109"/>
    </row>
    <row r="40" spans="1:50" x14ac:dyDescent="0.3">
      <c r="A40" s="1166"/>
      <c r="B40" s="1167"/>
      <c r="C40" s="1168"/>
      <c r="D40" s="556" t="s">
        <v>33</v>
      </c>
      <c r="E40" s="549" t="str">
        <f>IF($B39="","",COUNTIF(Penalties!$AD40:$AL40,E$2))</f>
        <v/>
      </c>
      <c r="F40" s="549" t="str">
        <f>IF($B39="","",COUNTIF(Penalties!$AD40:$AL40,F$2))</f>
        <v/>
      </c>
      <c r="G40" s="549" t="str">
        <f>IF($B39="","",COUNTIF(Penalties!$AD40:$AL40,G$2))</f>
        <v/>
      </c>
      <c r="H40" s="549" t="str">
        <f>IF($B39="","",COUNTIF(Penalties!$AD40:$AL40,H$2))</f>
        <v/>
      </c>
      <c r="I40" s="549" t="str">
        <f>IF($B39="","",COUNTIF(Penalties!$AD40:$AL40,I$2))</f>
        <v/>
      </c>
      <c r="J40" s="549" t="str">
        <f>IF($B39="","",COUNTIF(Penalties!$AD40:$AL40,J$2))</f>
        <v/>
      </c>
      <c r="K40" s="549" t="str">
        <f>IF($B39="","",COUNTIF(Penalties!$AD40:$AL40,K$2))</f>
        <v/>
      </c>
      <c r="L40" s="549" t="str">
        <f>IF($B39="","",COUNTIF(Penalties!$AD40:$AL40,L$2))</f>
        <v/>
      </c>
      <c r="M40" s="549" t="str">
        <f>IF($B39="","",COUNTIF(Penalties!$AD40:$AL40,M$2))</f>
        <v/>
      </c>
      <c r="N40" s="549" t="str">
        <f>IF($B39="","",COUNTIF(Penalties!$AD40:$AL40,N$2))</f>
        <v/>
      </c>
      <c r="O40" s="549" t="str">
        <f>IF($B39="","",COUNTIF(Penalties!$AD40:$AL40,O$2))</f>
        <v/>
      </c>
      <c r="P40" s="549" t="str">
        <f>IF($B39="","",COUNTIF(Penalties!$AD40:$AL40,P$2))</f>
        <v/>
      </c>
      <c r="Q40" s="549" t="str">
        <f>IF($B39="","",COUNTIF(Penalties!$AD40:$AL40,Q$2))</f>
        <v/>
      </c>
      <c r="R40" s="549" t="str">
        <f>IF($B39="","",COUNTIF(Penalties!$AD40:$AL40,R$2))</f>
        <v/>
      </c>
      <c r="S40" s="549" t="str">
        <f>IF($B39="","",COUNTIF(Penalties!$AD40:$AL40,S$2))</f>
        <v/>
      </c>
      <c r="T40" s="549" t="str">
        <f>IF($B39="","",COUNTIF(Penalties!$AD40:$AL40,T$2))</f>
        <v/>
      </c>
      <c r="U40" s="557" t="str">
        <f>IF(B39="","",SUM(E40:T40))</f>
        <v/>
      </c>
      <c r="V40" s="558" t="str">
        <f>IF(B39="","",SUM(E40:T40)*0.5)</f>
        <v/>
      </c>
      <c r="W40" s="559" t="str">
        <f>IF($B39="","",IF(Penalties!$AM40=W$2,1,""))</f>
        <v/>
      </c>
      <c r="X40" s="559" t="str">
        <f>IF($B39="","",IF(Penalties!$AM40=X$2,1,""))</f>
        <v/>
      </c>
      <c r="Y40" s="559" t="str">
        <f>IF($B39="","",IF(Penalties!$AM40=Y$2,1,""))</f>
        <v/>
      </c>
      <c r="Z40" s="559" t="str">
        <f>IF($B39="","",IF(Penalties!$AM40=Z$2,1,""))</f>
        <v/>
      </c>
      <c r="AA40" s="559" t="str">
        <f>IF($B39="","",IF(Penalties!$AM40=AA$2,1,""))</f>
        <v/>
      </c>
      <c r="AB40" s="559" t="str">
        <f>IF($B39="","",IF(Penalties!$AM40=AB$2,1,""))</f>
        <v/>
      </c>
      <c r="AC40" s="559" t="str">
        <f>IF($B39="","",IF(Penalties!$AM40=AC$2,1,""))</f>
        <v/>
      </c>
      <c r="AD40" s="559" t="str">
        <f>IF($B39="","",IF(Penalties!$AM40=AD$2,1,""))</f>
        <v/>
      </c>
      <c r="AE40" s="559" t="str">
        <f>IF($B39="","",IF(Penalties!$AM40=AE$2,1,""))</f>
        <v/>
      </c>
      <c r="AF40" s="559" t="str">
        <f>IF($B39="","",IF(Penalties!$AM40=AF$2,1,""))</f>
        <v/>
      </c>
      <c r="AG40" s="559" t="str">
        <f>IF($B39="","",IF(Penalties!$AM40=AG$2,1,""))</f>
        <v/>
      </c>
      <c r="AH40" s="559" t="str">
        <f>IF($B39="","",IF(Penalties!$AM40=AH$2,1,""))</f>
        <v/>
      </c>
      <c r="AI40" s="559" t="str">
        <f>IF($B39="","",IF(Penalties!$AM40=AI$2,1,""))</f>
        <v/>
      </c>
      <c r="AJ40" s="561" t="str">
        <f>IF(SUM(X39:AI40)=0, "", IF(SUM(X39:AI39)=1, LOOKUP(1, X39:AI39, $X$2:$AI$2), LOOKUP(1, X40:AI40, $X$2:$AI$2)))</f>
        <v/>
      </c>
      <c r="AK40" s="109"/>
      <c r="AL40" s="109"/>
      <c r="AM40" s="109"/>
      <c r="AN40" s="109"/>
      <c r="AO40" s="109"/>
      <c r="AP40" s="109"/>
      <c r="AQ40" s="109"/>
      <c r="AR40" s="109"/>
      <c r="AS40" s="109"/>
      <c r="AT40" s="109"/>
      <c r="AU40" s="109"/>
      <c r="AV40" s="109"/>
      <c r="AW40" s="109"/>
      <c r="AX40" s="109"/>
    </row>
    <row r="41" spans="1:50" x14ac:dyDescent="0.3">
      <c r="A41" s="1163">
        <f>A39+1</f>
        <v>20</v>
      </c>
      <c r="B41" s="1164" t="str">
        <f>IF(IGRF!B33="","",IGRF!B33)</f>
        <v/>
      </c>
      <c r="C41" s="1165" t="str">
        <f>IF(IGRF!C33="","",IGRF!C33)</f>
        <v/>
      </c>
      <c r="D41" s="550" t="s">
        <v>17</v>
      </c>
      <c r="E41" s="550" t="str">
        <f>IF($B41="","",COUNTIF(Penalties!$B42:$J42,E$2))</f>
        <v/>
      </c>
      <c r="F41" s="550" t="str">
        <f>IF($B41="","",COUNTIF(Penalties!$B42:$J42,F$2))</f>
        <v/>
      </c>
      <c r="G41" s="550" t="str">
        <f>IF($B41="","",COUNTIF(Penalties!$B42:$J42,G$2))</f>
        <v/>
      </c>
      <c r="H41" s="550" t="str">
        <f>IF($B41="","",COUNTIF(Penalties!$B42:$J42,H$2))</f>
        <v/>
      </c>
      <c r="I41" s="550" t="str">
        <f>IF($B41="","",COUNTIF(Penalties!$B42:$J42,I$2))</f>
        <v/>
      </c>
      <c r="J41" s="550" t="str">
        <f>IF($B41="","",COUNTIF(Penalties!$B42:$J42,J$2))</f>
        <v/>
      </c>
      <c r="K41" s="550" t="str">
        <f>IF($B41="","",COUNTIF(Penalties!$B42:$J42,K$2))</f>
        <v/>
      </c>
      <c r="L41" s="550" t="str">
        <f>IF($B41="","",COUNTIF(Penalties!$B42:$J42,L$2))</f>
        <v/>
      </c>
      <c r="M41" s="550" t="str">
        <f>IF($B41="","",COUNTIF(Penalties!$B42:$J42,M$2))</f>
        <v/>
      </c>
      <c r="N41" s="550" t="str">
        <f>IF($B41="","",COUNTIF(Penalties!$B42:$J42,N$2))</f>
        <v/>
      </c>
      <c r="O41" s="550" t="str">
        <f>IF($B41="","",COUNTIF(Penalties!$B42:$J42,O$2))</f>
        <v/>
      </c>
      <c r="P41" s="550" t="str">
        <f>IF($B41="","",COUNTIF(Penalties!$B42:$J42,P$2))</f>
        <v/>
      </c>
      <c r="Q41" s="550" t="str">
        <f>IF($B41="","",COUNTIF(Penalties!$B42:$J42,Q$2))</f>
        <v/>
      </c>
      <c r="R41" s="550" t="str">
        <f>IF($B41="","",COUNTIF(Penalties!$B42:$J42,R$2))</f>
        <v/>
      </c>
      <c r="S41" s="550" t="str">
        <f>IF($B41="","",COUNTIF(Penalties!$B42:$J42,S$2))</f>
        <v/>
      </c>
      <c r="T41" s="550" t="str">
        <f>IF($B41="","",COUNTIF(Penalties!$B42:$J42,T$2))</f>
        <v/>
      </c>
      <c r="U41" s="562" t="str">
        <f>IF(B41="","",SUM(E41:T41))</f>
        <v/>
      </c>
      <c r="V41" s="563" t="str">
        <f>IF(B41="","",SUM(E41:T41)*0.5)</f>
        <v/>
      </c>
      <c r="W41" s="564" t="str">
        <f>IF($B41="","",IF(Penalties!$K42=W$2,1,""))</f>
        <v/>
      </c>
      <c r="X41" s="564" t="str">
        <f>IF($B41="","",IF(Penalties!$K42=X$2,1,""))</f>
        <v/>
      </c>
      <c r="Y41" s="564" t="str">
        <f>IF($B41="","",IF(Penalties!$K42=Y$2,1,""))</f>
        <v/>
      </c>
      <c r="Z41" s="564" t="str">
        <f>IF($B41="","",IF(Penalties!$K42=Z$2,1,""))</f>
        <v/>
      </c>
      <c r="AA41" s="564" t="str">
        <f>IF($B41="","",IF(Penalties!$K42=AA$2,1,""))</f>
        <v/>
      </c>
      <c r="AB41" s="564" t="str">
        <f>IF($B41="","",IF(Penalties!$K42=AB$2,1,""))</f>
        <v/>
      </c>
      <c r="AC41" s="564" t="str">
        <f>IF($B41="","",IF(Penalties!$K42=AC$2,1,""))</f>
        <v/>
      </c>
      <c r="AD41" s="564" t="str">
        <f>IF($B41="","",IF(Penalties!$K42=AD$2,1,""))</f>
        <v/>
      </c>
      <c r="AE41" s="564" t="str">
        <f>IF($B41="","",IF(Penalties!$K42=AE$2,1,""))</f>
        <v/>
      </c>
      <c r="AF41" s="564" t="str">
        <f>IF($B41="","",IF(Penalties!$K42=AF$2,1,""))</f>
        <v/>
      </c>
      <c r="AG41" s="564" t="str">
        <f>IF($B41="","",IF(Penalties!$K42=AG$2,1,""))</f>
        <v/>
      </c>
      <c r="AH41" s="564" t="str">
        <f>IF($B41="","",IF(Penalties!$K42=AH$2,1,""))</f>
        <v/>
      </c>
      <c r="AI41" s="564" t="str">
        <f>IF($B41="","",IF(Penalties!$K42=AI$2,1,""))</f>
        <v/>
      </c>
      <c r="AJ41" s="565"/>
      <c r="AK41" s="109"/>
      <c r="AL41" s="109"/>
      <c r="AM41" s="109"/>
      <c r="AN41" s="109"/>
      <c r="AO41" s="109"/>
      <c r="AP41" s="109"/>
      <c r="AQ41" s="109"/>
      <c r="AR41" s="109"/>
      <c r="AS41" s="109"/>
      <c r="AT41" s="109"/>
      <c r="AU41" s="109"/>
      <c r="AV41" s="109"/>
      <c r="AW41" s="109"/>
      <c r="AX41" s="109"/>
    </row>
    <row r="42" spans="1:50" ht="12.75" customHeight="1" thickBot="1" x14ac:dyDescent="0.35">
      <c r="A42" s="1163"/>
      <c r="B42" s="1164"/>
      <c r="C42" s="1165"/>
      <c r="D42" s="550" t="s">
        <v>33</v>
      </c>
      <c r="E42" s="550" t="str">
        <f>IF($B41="","",COUNTIF(Penalties!$AD42:$AL42,E$2))</f>
        <v/>
      </c>
      <c r="F42" s="550" t="str">
        <f>IF($B41="","",COUNTIF(Penalties!$AD42:$AL42,F$2))</f>
        <v/>
      </c>
      <c r="G42" s="550" t="str">
        <f>IF($B41="","",COUNTIF(Penalties!$AD42:$AL42,G$2))</f>
        <v/>
      </c>
      <c r="H42" s="550" t="str">
        <f>IF($B41="","",COUNTIF(Penalties!$AD42:$AL42,H$2))</f>
        <v/>
      </c>
      <c r="I42" s="550" t="str">
        <f>IF($B41="","",COUNTIF(Penalties!$AD42:$AL42,I$2))</f>
        <v/>
      </c>
      <c r="J42" s="550" t="str">
        <f>IF($B41="","",COUNTIF(Penalties!$AD42:$AL42,J$2))</f>
        <v/>
      </c>
      <c r="K42" s="550" t="str">
        <f>IF($B41="","",COUNTIF(Penalties!$AD42:$AL42,K$2))</f>
        <v/>
      </c>
      <c r="L42" s="550" t="str">
        <f>IF($B41="","",COUNTIF(Penalties!$AD42:$AL42,L$2))</f>
        <v/>
      </c>
      <c r="M42" s="550" t="str">
        <f>IF($B41="","",COUNTIF(Penalties!$AD42:$AL42,M$2))</f>
        <v/>
      </c>
      <c r="N42" s="550" t="str">
        <f>IF($B41="","",COUNTIF(Penalties!$AD42:$AL42,N$2))</f>
        <v/>
      </c>
      <c r="O42" s="550" t="str">
        <f>IF($B41="","",COUNTIF(Penalties!$AD42:$AL42,O$2))</f>
        <v/>
      </c>
      <c r="P42" s="550" t="str">
        <f>IF($B41="","",COUNTIF(Penalties!$AD42:$AL42,P$2))</f>
        <v/>
      </c>
      <c r="Q42" s="550" t="str">
        <f>IF($B41="","",COUNTIF(Penalties!$AD42:$AL42,Q$2))</f>
        <v/>
      </c>
      <c r="R42" s="550" t="str">
        <f>IF($B41="","",COUNTIF(Penalties!$AD42:$AL42,R$2))</f>
        <v/>
      </c>
      <c r="S42" s="550" t="str">
        <f>IF($B41="","",COUNTIF(Penalties!$AD42:$AL42,S$2))</f>
        <v/>
      </c>
      <c r="T42" s="550" t="str">
        <f>IF($B41="","",COUNTIF(Penalties!$AD42:$AL42,T$2))</f>
        <v/>
      </c>
      <c r="U42" s="562" t="str">
        <f>IF(B41="","",SUM(E42:T42))</f>
        <v/>
      </c>
      <c r="V42" s="563" t="str">
        <f>IF(B41="","",SUM(E42:T42)*0.5)</f>
        <v/>
      </c>
      <c r="W42" s="564" t="str">
        <f>IF($B41="","",IF(Penalties!$AM42=W$2,1,""))</f>
        <v/>
      </c>
      <c r="X42" s="564" t="str">
        <f>IF($B41="","",IF(Penalties!$AM42=X$2,1,""))</f>
        <v/>
      </c>
      <c r="Y42" s="564" t="str">
        <f>IF($B41="","",IF(Penalties!$AM42=Y$2,1,""))</f>
        <v/>
      </c>
      <c r="Z42" s="564" t="str">
        <f>IF($B41="","",IF(Penalties!$AM42=Z$2,1,""))</f>
        <v/>
      </c>
      <c r="AA42" s="564" t="str">
        <f>IF($B41="","",IF(Penalties!$AM42=AA$2,1,""))</f>
        <v/>
      </c>
      <c r="AB42" s="564" t="str">
        <f>IF($B41="","",IF(Penalties!$AM42=AB$2,1,""))</f>
        <v/>
      </c>
      <c r="AC42" s="564" t="str">
        <f>IF($B41="","",IF(Penalties!$AM42=AC$2,1,""))</f>
        <v/>
      </c>
      <c r="AD42" s="564" t="str">
        <f>IF($B41="","",IF(Penalties!$AM42=AD$2,1,""))</f>
        <v/>
      </c>
      <c r="AE42" s="564" t="str">
        <f>IF($B41="","",IF(Penalties!$AM42=AE$2,1,""))</f>
        <v/>
      </c>
      <c r="AF42" s="564" t="str">
        <f>IF($B41="","",IF(Penalties!$AM42=AF$2,1,""))</f>
        <v/>
      </c>
      <c r="AG42" s="564" t="str">
        <f>IF($B41="","",IF(Penalties!$AM42=AG$2,1,""))</f>
        <v/>
      </c>
      <c r="AH42" s="564" t="str">
        <f>IF($B41="","",IF(Penalties!$AM42=AH$2,1,""))</f>
        <v/>
      </c>
      <c r="AI42" s="564" t="str">
        <f>IF($B41="","",IF(Penalties!$AM42=AI$2,1,""))</f>
        <v/>
      </c>
      <c r="AJ42" s="567" t="str">
        <f>IF(SUM(X41:AI42)=0, "", IF(SUM(X41:AI41)=1, LOOKUP(1, X41:AI41, $X$2:$AI$2), LOOKUP(1, X42:AI42, $X$2:$AI$2)))</f>
        <v/>
      </c>
      <c r="AK42" s="109"/>
      <c r="AL42" s="109"/>
      <c r="AM42" s="109"/>
      <c r="AN42" s="109"/>
      <c r="AO42" s="109"/>
      <c r="AP42" s="109"/>
      <c r="AQ42" s="109"/>
      <c r="AR42" s="109"/>
      <c r="AS42" s="109"/>
      <c r="AT42" s="109"/>
      <c r="AU42" s="109"/>
      <c r="AV42" s="109"/>
      <c r="AW42" s="109"/>
      <c r="AX42" s="109"/>
    </row>
    <row r="43" spans="1:50" ht="12.75" customHeight="1" x14ac:dyDescent="0.3">
      <c r="A43" s="1171" t="s">
        <v>404</v>
      </c>
      <c r="B43" s="1171"/>
      <c r="C43" s="1171"/>
      <c r="D43" s="568" t="s">
        <v>17</v>
      </c>
      <c r="E43" s="569"/>
      <c r="F43" s="569"/>
      <c r="G43" s="569"/>
      <c r="H43" s="569"/>
      <c r="I43" s="569"/>
      <c r="J43" s="569"/>
      <c r="K43" s="569"/>
      <c r="L43" s="569"/>
      <c r="M43" s="569"/>
      <c r="N43" s="569"/>
      <c r="O43" s="569"/>
      <c r="P43" s="569"/>
      <c r="Q43" s="569"/>
      <c r="R43" s="569"/>
      <c r="S43" s="569"/>
      <c r="T43" s="569"/>
      <c r="U43" s="562"/>
      <c r="V43" s="563"/>
      <c r="W43" s="559"/>
      <c r="X43" s="559"/>
      <c r="Y43" s="559"/>
      <c r="Z43" s="559"/>
      <c r="AA43" s="559"/>
      <c r="AB43" s="559"/>
      <c r="AC43" s="559"/>
      <c r="AD43" s="559"/>
      <c r="AE43" s="559"/>
      <c r="AF43" s="559"/>
      <c r="AG43" s="559"/>
      <c r="AH43" s="559" t="str">
        <f>IF(Penalties!$C44=AH$2,1,"")</f>
        <v/>
      </c>
      <c r="AI43" s="559" t="str">
        <f>IF(Penalties!$C44=AI$2,1,"")</f>
        <v/>
      </c>
      <c r="AJ43" s="560"/>
      <c r="AK43" s="109"/>
      <c r="AL43" s="109"/>
      <c r="AM43" s="109"/>
      <c r="AN43" s="109"/>
      <c r="AO43" s="109"/>
      <c r="AP43" s="109"/>
      <c r="AQ43" s="109"/>
      <c r="AR43" s="109"/>
      <c r="AS43" s="109"/>
      <c r="AT43" s="109"/>
      <c r="AU43" s="109"/>
      <c r="AV43" s="109"/>
      <c r="AW43" s="109"/>
      <c r="AX43" s="109"/>
    </row>
    <row r="44" spans="1:50" ht="12.75" customHeight="1" x14ac:dyDescent="0.3">
      <c r="A44" s="1171"/>
      <c r="B44" s="1171"/>
      <c r="C44" s="1171"/>
      <c r="D44" s="568" t="s">
        <v>33</v>
      </c>
      <c r="E44" s="569"/>
      <c r="F44" s="569"/>
      <c r="G44" s="569"/>
      <c r="H44" s="569"/>
      <c r="I44" s="569"/>
      <c r="J44" s="569"/>
      <c r="K44" s="569"/>
      <c r="L44" s="569"/>
      <c r="M44" s="569"/>
      <c r="N44" s="569"/>
      <c r="O44" s="569"/>
      <c r="P44" s="569"/>
      <c r="Q44" s="569"/>
      <c r="R44" s="569"/>
      <c r="S44" s="569"/>
      <c r="T44" s="569"/>
      <c r="U44" s="562"/>
      <c r="V44" s="563"/>
      <c r="W44" s="559"/>
      <c r="X44" s="559"/>
      <c r="Y44" s="559"/>
      <c r="Z44" s="559"/>
      <c r="AA44" s="559"/>
      <c r="AB44" s="559"/>
      <c r="AC44" s="559"/>
      <c r="AD44" s="559"/>
      <c r="AE44" s="559"/>
      <c r="AF44" s="559"/>
      <c r="AG44" s="559"/>
      <c r="AH44" s="559" t="str">
        <f>IF(Penalties!$AE44=AH$2,1,"")</f>
        <v/>
      </c>
      <c r="AI44" s="559" t="str">
        <f>IF(Penalties!$AE44=AI$2,1,"")</f>
        <v/>
      </c>
      <c r="AJ44" s="561" t="str">
        <f>IF(SUM(X43:AI44)=0, "", IF(SUM(X43:AI43)=1, LOOKUP(1, X43:AI43, $X$2:$AI$2), LOOKUP(1, X44:AI44, $X$2:$AI$2)))</f>
        <v/>
      </c>
      <c r="AK44" s="109"/>
      <c r="AL44" s="109"/>
      <c r="AM44" s="109"/>
      <c r="AN44" s="109"/>
      <c r="AO44" s="109"/>
      <c r="AP44" s="109"/>
      <c r="AQ44" s="109"/>
      <c r="AR44" s="109"/>
      <c r="AS44" s="109"/>
      <c r="AT44" s="109"/>
      <c r="AU44" s="109"/>
      <c r="AV44" s="109"/>
      <c r="AW44" s="109"/>
      <c r="AX44" s="109"/>
    </row>
    <row r="45" spans="1:50" ht="12.75" customHeight="1" x14ac:dyDescent="0.3">
      <c r="A45" s="1172" t="s">
        <v>404</v>
      </c>
      <c r="B45" s="1172"/>
      <c r="C45" s="1172"/>
      <c r="D45" s="550" t="s">
        <v>17</v>
      </c>
      <c r="E45" s="569"/>
      <c r="F45" s="569"/>
      <c r="G45" s="569"/>
      <c r="H45" s="569"/>
      <c r="I45" s="569"/>
      <c r="J45" s="569"/>
      <c r="K45" s="569"/>
      <c r="L45" s="569"/>
      <c r="M45" s="569"/>
      <c r="N45" s="569"/>
      <c r="O45" s="569"/>
      <c r="P45" s="569"/>
      <c r="Q45" s="569"/>
      <c r="R45" s="569"/>
      <c r="S45" s="569"/>
      <c r="T45" s="569"/>
      <c r="U45" s="562"/>
      <c r="V45" s="563"/>
      <c r="W45" s="564"/>
      <c r="X45" s="564"/>
      <c r="Y45" s="564"/>
      <c r="Z45" s="564"/>
      <c r="AA45" s="564"/>
      <c r="AB45" s="564"/>
      <c r="AC45" s="564"/>
      <c r="AD45" s="564"/>
      <c r="AE45" s="564"/>
      <c r="AF45" s="564"/>
      <c r="AG45" s="564"/>
      <c r="AH45" s="564" t="str">
        <f>IF(Penalties!$D44=AH$2,1,"")</f>
        <v/>
      </c>
      <c r="AI45" s="564" t="str">
        <f>IF(Penalties!$D44=AI$2,1,"")</f>
        <v/>
      </c>
      <c r="AJ45" s="565"/>
      <c r="AK45" s="109"/>
      <c r="AL45" s="109"/>
      <c r="AM45" s="109"/>
      <c r="AN45" s="109"/>
      <c r="AO45" s="109"/>
      <c r="AP45" s="109"/>
      <c r="AQ45" s="109"/>
      <c r="AR45" s="109"/>
      <c r="AS45" s="109"/>
      <c r="AT45" s="109"/>
      <c r="AU45" s="109"/>
      <c r="AV45" s="109"/>
      <c r="AW45" s="109"/>
      <c r="AX45" s="109"/>
    </row>
    <row r="46" spans="1:50" ht="12.75" customHeight="1" thickBot="1" x14ac:dyDescent="0.35">
      <c r="A46" s="1172"/>
      <c r="B46" s="1172"/>
      <c r="C46" s="1172"/>
      <c r="D46" s="550" t="s">
        <v>33</v>
      </c>
      <c r="E46" s="569"/>
      <c r="F46" s="569"/>
      <c r="G46" s="569"/>
      <c r="H46" s="569"/>
      <c r="I46" s="569"/>
      <c r="J46" s="569"/>
      <c r="K46" s="569"/>
      <c r="L46" s="569"/>
      <c r="M46" s="569"/>
      <c r="N46" s="569"/>
      <c r="O46" s="569"/>
      <c r="P46" s="569"/>
      <c r="Q46" s="569"/>
      <c r="R46" s="569"/>
      <c r="S46" s="569"/>
      <c r="T46" s="569"/>
      <c r="U46" s="562"/>
      <c r="V46" s="563"/>
      <c r="W46" s="564"/>
      <c r="X46" s="564"/>
      <c r="Y46" s="564"/>
      <c r="Z46" s="564"/>
      <c r="AA46" s="564"/>
      <c r="AB46" s="564"/>
      <c r="AC46" s="564"/>
      <c r="AD46" s="564"/>
      <c r="AE46" s="564"/>
      <c r="AF46" s="564"/>
      <c r="AG46" s="564"/>
      <c r="AH46" s="564" t="str">
        <f>IF(Penalties!$AF44=AH$2,1,"")</f>
        <v/>
      </c>
      <c r="AI46" s="564" t="str">
        <f>IF(Penalties!$AF44=AI$2,1,"")</f>
        <v/>
      </c>
      <c r="AJ46" s="567" t="str">
        <f>IF(SUM(X45:AI46)=0, "", IF(SUM(X45:AI45)=1, LOOKUP(1, X45:AI45, $X$2:$AI$2), LOOKUP(1, X46:AI46, $X$2:$AI$2)))</f>
        <v/>
      </c>
      <c r="AK46" s="109"/>
      <c r="AL46" s="109"/>
      <c r="AM46" s="109"/>
      <c r="AN46" s="109"/>
      <c r="AO46" s="109"/>
      <c r="AP46" s="109"/>
      <c r="AQ46" s="109"/>
      <c r="AR46" s="109"/>
      <c r="AS46" s="109"/>
      <c r="AT46" s="109"/>
      <c r="AU46" s="109"/>
      <c r="AV46" s="109"/>
      <c r="AW46" s="109"/>
      <c r="AX46" s="109"/>
    </row>
    <row r="47" spans="1:50" ht="12.75" customHeight="1" x14ac:dyDescent="0.3">
      <c r="A47" s="1173" t="s">
        <v>18</v>
      </c>
      <c r="B47" s="1173"/>
      <c r="C47" s="1173" t="s">
        <v>38</v>
      </c>
      <c r="D47" s="570" t="s">
        <v>17</v>
      </c>
      <c r="E47" s="570">
        <f t="shared" ref="E47:AG48" si="0">SUM(E3,E5,E7,E9,E11,E13,E15,E17,E19,E21,E23,E25,E27,E29,E31,E33,E35,E37,E39,E41)</f>
        <v>1</v>
      </c>
      <c r="F47" s="570">
        <f t="shared" si="0"/>
        <v>0</v>
      </c>
      <c r="G47" s="570">
        <f t="shared" si="0"/>
        <v>1</v>
      </c>
      <c r="H47" s="570">
        <f t="shared" si="0"/>
        <v>0</v>
      </c>
      <c r="I47" s="570">
        <f t="shared" si="0"/>
        <v>0</v>
      </c>
      <c r="J47" s="570">
        <f t="shared" si="0"/>
        <v>0</v>
      </c>
      <c r="K47" s="570">
        <f t="shared" si="0"/>
        <v>1</v>
      </c>
      <c r="L47" s="570">
        <f t="shared" si="0"/>
        <v>0</v>
      </c>
      <c r="M47" s="570">
        <f t="shared" si="0"/>
        <v>2</v>
      </c>
      <c r="N47" s="570">
        <f t="shared" si="0"/>
        <v>5</v>
      </c>
      <c r="O47" s="570">
        <f t="shared" si="0"/>
        <v>2</v>
      </c>
      <c r="P47" s="570">
        <f t="shared" si="0"/>
        <v>0</v>
      </c>
      <c r="Q47" s="570">
        <f t="shared" si="0"/>
        <v>0</v>
      </c>
      <c r="R47" s="570">
        <f>SUM(R3,R5,R7,R9,R11,R13,R15,R17,R19,R21,R23,R25,R27,R29,R31,R33,R35,R37,R39,R41)</f>
        <v>0</v>
      </c>
      <c r="S47" s="570">
        <f t="shared" si="0"/>
        <v>0</v>
      </c>
      <c r="T47" s="570">
        <f t="shared" si="0"/>
        <v>0</v>
      </c>
      <c r="U47" s="554">
        <f t="shared" si="0"/>
        <v>12</v>
      </c>
      <c r="V47" s="571">
        <f t="shared" si="0"/>
        <v>6</v>
      </c>
      <c r="W47" s="572">
        <f t="shared" si="0"/>
        <v>0</v>
      </c>
      <c r="X47" s="572">
        <f t="shared" si="0"/>
        <v>0</v>
      </c>
      <c r="Y47" s="572">
        <f t="shared" si="0"/>
        <v>0</v>
      </c>
      <c r="Z47" s="572">
        <f t="shared" si="0"/>
        <v>0</v>
      </c>
      <c r="AA47" s="572">
        <f t="shared" si="0"/>
        <v>0</v>
      </c>
      <c r="AB47" s="572">
        <f t="shared" si="0"/>
        <v>0</v>
      </c>
      <c r="AC47" s="572">
        <f t="shared" si="0"/>
        <v>0</v>
      </c>
      <c r="AD47" s="572">
        <f t="shared" si="0"/>
        <v>0</v>
      </c>
      <c r="AE47" s="572">
        <f t="shared" si="0"/>
        <v>0</v>
      </c>
      <c r="AF47" s="572">
        <f t="shared" si="0"/>
        <v>0</v>
      </c>
      <c r="AG47" s="572">
        <f t="shared" si="0"/>
        <v>0</v>
      </c>
      <c r="AH47" s="572">
        <f>SUM(AH3,AH5,AH7,AH9,AH11,AH13,AH15,AH17,AH19,AH21,AH23,AH25,AH27,AH29,AH31,AH33,AH35,AH37,AH39,AH41,AH43,AH45)</f>
        <v>0</v>
      </c>
      <c r="AI47" s="572">
        <f>SUM(AI3,AI5,AI7,AI9,AI11,AI13,AI15,AI17,AI19,AI21,AI23,AI25,AI27,AI29,AI31,AI33,AI35,AI37,AI39,AI41,AI43,AI45)</f>
        <v>0</v>
      </c>
      <c r="AJ47" s="573"/>
      <c r="AN47" s="109"/>
      <c r="AO47" s="109"/>
      <c r="AP47" s="109"/>
      <c r="AQ47" s="109"/>
      <c r="AR47" s="109"/>
      <c r="AS47" s="109"/>
      <c r="AT47" s="109"/>
      <c r="AU47" s="109"/>
      <c r="AV47" s="109"/>
      <c r="AW47" s="109"/>
      <c r="AX47" s="109"/>
    </row>
    <row r="48" spans="1:50" x14ac:dyDescent="0.3">
      <c r="A48" s="1173"/>
      <c r="B48" s="1173"/>
      <c r="C48" s="1173"/>
      <c r="D48" s="570" t="s">
        <v>33</v>
      </c>
      <c r="E48" s="570">
        <f t="shared" si="0"/>
        <v>2</v>
      </c>
      <c r="F48" s="570">
        <f t="shared" si="0"/>
        <v>0</v>
      </c>
      <c r="G48" s="570">
        <f t="shared" si="0"/>
        <v>2</v>
      </c>
      <c r="H48" s="570">
        <f t="shared" si="0"/>
        <v>0</v>
      </c>
      <c r="I48" s="570">
        <f t="shared" si="0"/>
        <v>4</v>
      </c>
      <c r="J48" s="570">
        <f t="shared" si="0"/>
        <v>0</v>
      </c>
      <c r="K48" s="570">
        <f t="shared" si="0"/>
        <v>2</v>
      </c>
      <c r="L48" s="570">
        <f t="shared" si="0"/>
        <v>1</v>
      </c>
      <c r="M48" s="570">
        <f t="shared" si="0"/>
        <v>1</v>
      </c>
      <c r="N48" s="570">
        <f t="shared" si="0"/>
        <v>4</v>
      </c>
      <c r="O48" s="570">
        <f t="shared" si="0"/>
        <v>2</v>
      </c>
      <c r="P48" s="570">
        <f t="shared" si="0"/>
        <v>0</v>
      </c>
      <c r="Q48" s="570">
        <f t="shared" si="0"/>
        <v>0</v>
      </c>
      <c r="R48" s="570">
        <f>SUM(R4,R6,R8,R10,R12,R14,R16,R18,R20,R22,R24,R26,R28,R30,R32,R34,R36,R38,R40,R42)</f>
        <v>0</v>
      </c>
      <c r="S48" s="570">
        <f t="shared" si="0"/>
        <v>0</v>
      </c>
      <c r="T48" s="570">
        <f t="shared" si="0"/>
        <v>0</v>
      </c>
      <c r="U48" s="554">
        <f t="shared" si="0"/>
        <v>18</v>
      </c>
      <c r="V48" s="571">
        <f t="shared" si="0"/>
        <v>9</v>
      </c>
      <c r="W48" s="572">
        <f t="shared" si="0"/>
        <v>0</v>
      </c>
      <c r="X48" s="572">
        <f t="shared" si="0"/>
        <v>0</v>
      </c>
      <c r="Y48" s="572">
        <f t="shared" si="0"/>
        <v>0</v>
      </c>
      <c r="Z48" s="572">
        <f t="shared" si="0"/>
        <v>0</v>
      </c>
      <c r="AA48" s="572">
        <f t="shared" si="0"/>
        <v>0</v>
      </c>
      <c r="AB48" s="572">
        <f t="shared" si="0"/>
        <v>0</v>
      </c>
      <c r="AC48" s="572">
        <f t="shared" si="0"/>
        <v>0</v>
      </c>
      <c r="AD48" s="572">
        <f t="shared" si="0"/>
        <v>0</v>
      </c>
      <c r="AE48" s="572">
        <f t="shared" si="0"/>
        <v>0</v>
      </c>
      <c r="AF48" s="572">
        <f t="shared" si="0"/>
        <v>0</v>
      </c>
      <c r="AG48" s="572">
        <f t="shared" si="0"/>
        <v>0</v>
      </c>
      <c r="AH48" s="572">
        <f>SUM(AH4,AH6,AH8,AH10,AH12,AH14,AH16,AH18,AH20,AH22,AH24,AH26,AH28,AH30,AH32,AH34,AH36,AH38,AH40,AH42,AH44,AH46)</f>
        <v>0</v>
      </c>
      <c r="AI48" s="572">
        <f>SUM(AI4,AI6,AI8,AI10,AI12,AI14,AI16,AI18,AI20,AI22,AI24,AI26,AI28,AI30,AI32,AI34,AI36,AI38,AI40,AI42,AI44,AI46)</f>
        <v>0</v>
      </c>
      <c r="AJ48" s="109"/>
      <c r="AK48" s="109"/>
      <c r="AL48" s="109"/>
      <c r="AM48" s="109"/>
      <c r="AN48" s="109"/>
      <c r="AO48" s="109"/>
      <c r="AP48" s="109"/>
      <c r="AQ48" s="109"/>
      <c r="AR48" s="109"/>
      <c r="AS48" s="109"/>
      <c r="AT48" s="109"/>
      <c r="AU48" s="109"/>
      <c r="AV48" s="109"/>
      <c r="AW48" s="109"/>
      <c r="AX48" s="109"/>
    </row>
    <row r="49" spans="1:50" x14ac:dyDescent="0.3">
      <c r="A49" s="1173"/>
      <c r="B49" s="1173"/>
      <c r="C49" s="1173"/>
      <c r="D49" s="554" t="s">
        <v>19</v>
      </c>
      <c r="E49" s="554">
        <f t="shared" ref="E49:AI49" si="1">SUM(E47,E48)</f>
        <v>3</v>
      </c>
      <c r="F49" s="554">
        <f t="shared" si="1"/>
        <v>0</v>
      </c>
      <c r="G49" s="554">
        <f t="shared" si="1"/>
        <v>3</v>
      </c>
      <c r="H49" s="554">
        <f t="shared" si="1"/>
        <v>0</v>
      </c>
      <c r="I49" s="554">
        <f t="shared" si="1"/>
        <v>4</v>
      </c>
      <c r="J49" s="554">
        <f t="shared" si="1"/>
        <v>0</v>
      </c>
      <c r="K49" s="554">
        <f t="shared" si="1"/>
        <v>3</v>
      </c>
      <c r="L49" s="554">
        <f t="shared" si="1"/>
        <v>1</v>
      </c>
      <c r="M49" s="554">
        <f t="shared" si="1"/>
        <v>3</v>
      </c>
      <c r="N49" s="554">
        <f t="shared" si="1"/>
        <v>9</v>
      </c>
      <c r="O49" s="554">
        <f t="shared" si="1"/>
        <v>4</v>
      </c>
      <c r="P49" s="554">
        <f t="shared" si="1"/>
        <v>0</v>
      </c>
      <c r="Q49" s="554">
        <f t="shared" si="1"/>
        <v>0</v>
      </c>
      <c r="R49" s="554">
        <f>SUM(R47,R48)</f>
        <v>0</v>
      </c>
      <c r="S49" s="554">
        <f t="shared" si="1"/>
        <v>0</v>
      </c>
      <c r="T49" s="554">
        <f t="shared" si="1"/>
        <v>0</v>
      </c>
      <c r="U49" s="574">
        <f t="shared" si="1"/>
        <v>30</v>
      </c>
      <c r="V49" s="575">
        <f t="shared" si="1"/>
        <v>15</v>
      </c>
      <c r="W49" s="572">
        <f t="shared" si="1"/>
        <v>0</v>
      </c>
      <c r="X49" s="572">
        <f t="shared" si="1"/>
        <v>0</v>
      </c>
      <c r="Y49" s="572">
        <f t="shared" si="1"/>
        <v>0</v>
      </c>
      <c r="Z49" s="572">
        <f t="shared" si="1"/>
        <v>0</v>
      </c>
      <c r="AA49" s="572">
        <f t="shared" si="1"/>
        <v>0</v>
      </c>
      <c r="AB49" s="572">
        <f t="shared" si="1"/>
        <v>0</v>
      </c>
      <c r="AC49" s="572">
        <f t="shared" si="1"/>
        <v>0</v>
      </c>
      <c r="AD49" s="572">
        <f t="shared" si="1"/>
        <v>0</v>
      </c>
      <c r="AE49" s="572">
        <f t="shared" si="1"/>
        <v>0</v>
      </c>
      <c r="AF49" s="572">
        <f t="shared" si="1"/>
        <v>0</v>
      </c>
      <c r="AG49" s="572">
        <f t="shared" si="1"/>
        <v>0</v>
      </c>
      <c r="AH49" s="572">
        <f>SUM(AH47,AH48)</f>
        <v>0</v>
      </c>
      <c r="AI49" s="572">
        <f t="shared" si="1"/>
        <v>0</v>
      </c>
      <c r="AJ49" s="109"/>
      <c r="AK49" s="109"/>
      <c r="AL49" s="109"/>
      <c r="AM49" s="109"/>
      <c r="AN49" s="109"/>
      <c r="AO49" s="109"/>
      <c r="AP49" s="109"/>
      <c r="AQ49" s="109"/>
      <c r="AR49" s="109"/>
      <c r="AS49" s="109"/>
      <c r="AT49" s="109"/>
      <c r="AU49" s="109"/>
      <c r="AV49" s="109"/>
      <c r="AW49" s="109"/>
      <c r="AX49" s="109"/>
    </row>
    <row r="53" spans="1:50" ht="14.4" thickBot="1" x14ac:dyDescent="0.35"/>
    <row r="54" spans="1:50" ht="12.75" customHeight="1" x14ac:dyDescent="0.3">
      <c r="A54" s="551"/>
      <c r="B54" s="551"/>
      <c r="C54" s="551"/>
      <c r="D54" s="549"/>
      <c r="E54" s="628" t="s">
        <v>443</v>
      </c>
      <c r="F54" s="629"/>
      <c r="G54" s="630"/>
      <c r="H54" s="630"/>
      <c r="I54" s="630"/>
      <c r="J54" s="552"/>
      <c r="K54" s="552"/>
      <c r="L54" s="552"/>
      <c r="M54" s="552"/>
      <c r="N54" s="552"/>
      <c r="O54" s="552"/>
      <c r="P54" s="552"/>
      <c r="Q54" s="552"/>
      <c r="R54" s="552"/>
      <c r="S54" s="552"/>
      <c r="T54" s="552"/>
      <c r="U54" s="552"/>
      <c r="V54" s="1169" t="s">
        <v>352</v>
      </c>
      <c r="W54" s="1170" t="s">
        <v>222</v>
      </c>
      <c r="X54" s="1170"/>
      <c r="Y54" s="1170"/>
      <c r="Z54" s="1170"/>
      <c r="AA54" s="1170"/>
      <c r="AB54" s="1170"/>
      <c r="AC54" s="1170"/>
      <c r="AD54" s="1170"/>
      <c r="AE54" s="1170"/>
      <c r="AF54" s="1170"/>
      <c r="AG54" s="1170"/>
      <c r="AH54" s="1170"/>
      <c r="AI54" s="1170"/>
      <c r="AJ54" s="1170"/>
      <c r="AK54" s="109"/>
      <c r="AL54" s="109"/>
      <c r="AM54" s="109"/>
      <c r="AN54" s="109"/>
      <c r="AO54" s="109"/>
      <c r="AP54" s="109"/>
      <c r="AQ54" s="109"/>
      <c r="AR54" s="109"/>
      <c r="AS54" s="109"/>
      <c r="AT54" s="109"/>
      <c r="AU54" s="109"/>
      <c r="AV54" s="109"/>
      <c r="AW54" s="109"/>
      <c r="AX54" s="109"/>
    </row>
    <row r="55" spans="1:50" ht="14.4" thickBot="1" x14ac:dyDescent="0.35">
      <c r="A55" s="553" t="s">
        <v>20</v>
      </c>
      <c r="B55" s="553" t="s">
        <v>36</v>
      </c>
      <c r="C55" s="553" t="s">
        <v>37</v>
      </c>
      <c r="D55" s="553"/>
      <c r="E55" s="553" t="s">
        <v>136</v>
      </c>
      <c r="F55" s="553" t="s">
        <v>148</v>
      </c>
      <c r="G55" s="553" t="s">
        <v>151</v>
      </c>
      <c r="H55" s="553" t="s">
        <v>144</v>
      </c>
      <c r="I55" s="553" t="s">
        <v>146</v>
      </c>
      <c r="J55" s="553" t="s">
        <v>138</v>
      </c>
      <c r="K55" s="553" t="s">
        <v>153</v>
      </c>
      <c r="L55" s="553" t="s">
        <v>155</v>
      </c>
      <c r="M55" s="553" t="s">
        <v>142</v>
      </c>
      <c r="N55" s="553" t="s">
        <v>157</v>
      </c>
      <c r="O55" s="553" t="s">
        <v>140</v>
      </c>
      <c r="P55" s="553" t="s">
        <v>159</v>
      </c>
      <c r="Q55" s="553" t="s">
        <v>150</v>
      </c>
      <c r="R55" s="553" t="s">
        <v>162</v>
      </c>
      <c r="S55" s="553" t="s">
        <v>234</v>
      </c>
      <c r="T55" s="553" t="s">
        <v>164</v>
      </c>
      <c r="U55" s="554" t="s">
        <v>19</v>
      </c>
      <c r="V55" s="1169"/>
      <c r="W55" s="555" t="s">
        <v>403</v>
      </c>
      <c r="X55" s="555" t="s">
        <v>136</v>
      </c>
      <c r="Y55" s="555" t="s">
        <v>148</v>
      </c>
      <c r="Z55" s="555" t="s">
        <v>151</v>
      </c>
      <c r="AA55" s="555" t="s">
        <v>144</v>
      </c>
      <c r="AB55" s="555" t="s">
        <v>146</v>
      </c>
      <c r="AC55" s="555" t="s">
        <v>138</v>
      </c>
      <c r="AD55" s="555" t="s">
        <v>153</v>
      </c>
      <c r="AE55" s="555" t="s">
        <v>155</v>
      </c>
      <c r="AF55" s="555" t="s">
        <v>142</v>
      </c>
      <c r="AG55" s="555" t="s">
        <v>157</v>
      </c>
      <c r="AH55" s="555" t="s">
        <v>162</v>
      </c>
      <c r="AI55" s="555" t="s">
        <v>164</v>
      </c>
      <c r="AJ55" s="555"/>
      <c r="AK55" s="109"/>
      <c r="AL55" s="109"/>
      <c r="AM55" s="109"/>
      <c r="AN55" s="109"/>
      <c r="AO55" s="109"/>
      <c r="AP55" s="109"/>
      <c r="AQ55" s="109"/>
      <c r="AR55" s="109"/>
      <c r="AS55" s="109"/>
      <c r="AT55" s="109"/>
      <c r="AU55" s="109"/>
      <c r="AV55" s="109"/>
      <c r="AW55" s="109"/>
      <c r="AX55" s="109"/>
    </row>
    <row r="56" spans="1:50" x14ac:dyDescent="0.3">
      <c r="A56" s="1166">
        <v>1</v>
      </c>
      <c r="B56" s="1167" t="str">
        <f>IF(IGRF!H14="","",IGRF!H14)</f>
        <v>11</v>
      </c>
      <c r="C56" s="1168" t="str">
        <f>IF(IGRF!I14="","",IGRF!I14)</f>
        <v>Typhoid Maggie</v>
      </c>
      <c r="D56" s="556" t="s">
        <v>17</v>
      </c>
      <c r="E56" s="549">
        <f>IF($B56="","",COUNTIF(Penalties!$Q4:$Y4,E$55))</f>
        <v>0</v>
      </c>
      <c r="F56" s="549">
        <f>IF($B56="","",COUNTIF(Penalties!$Q4:$Y4,F$55))</f>
        <v>0</v>
      </c>
      <c r="G56" s="549">
        <f>IF($B56="","",COUNTIF(Penalties!$Q4:$Y4,G$55))</f>
        <v>0</v>
      </c>
      <c r="H56" s="549">
        <f>IF($B56="","",COUNTIF(Penalties!$Q4:$Y4,H$55))</f>
        <v>0</v>
      </c>
      <c r="I56" s="549">
        <f>IF($B56="","",COUNTIF(Penalties!$Q4:$Y4,I$55))</f>
        <v>0</v>
      </c>
      <c r="J56" s="549">
        <f>IF($B56="","",COUNTIF(Penalties!$Q4:$Y4,J$55))</f>
        <v>0</v>
      </c>
      <c r="K56" s="549">
        <f>IF($B56="","",COUNTIF(Penalties!$Q4:$Y4,K$55))</f>
        <v>0</v>
      </c>
      <c r="L56" s="549">
        <f>IF($B56="","",COUNTIF(Penalties!$Q4:$Y4,L$55))</f>
        <v>0</v>
      </c>
      <c r="M56" s="549">
        <f>IF($B56="","",COUNTIF(Penalties!$Q4:$Y4,M$55))</f>
        <v>0</v>
      </c>
      <c r="N56" s="549">
        <f>IF($B56="","",COUNTIF(Penalties!$Q4:$Y4,N$55))</f>
        <v>0</v>
      </c>
      <c r="O56" s="549">
        <f>IF($B56="","",COUNTIF(Penalties!$Q4:$Y4,O$55))</f>
        <v>1</v>
      </c>
      <c r="P56" s="549">
        <f>IF($B56="","",COUNTIF(Penalties!$Q4:$Y4,P$55))</f>
        <v>0</v>
      </c>
      <c r="Q56" s="549">
        <f>IF($B56="","",COUNTIF(Penalties!$Q4:$Y4,Q$55))</f>
        <v>0</v>
      </c>
      <c r="R56" s="549">
        <f>IF($B56="","",COUNTIF(Penalties!$Q4:$Y4,R$55))</f>
        <v>0</v>
      </c>
      <c r="S56" s="549">
        <f>IF($B56="","",COUNTIF(Penalties!$Q4:$Y4,S$55))</f>
        <v>0</v>
      </c>
      <c r="T56" s="549">
        <f>IF($B56="","",COUNTIF(Penalties!$Q4:$Y4,T$55))</f>
        <v>0</v>
      </c>
      <c r="U56" s="557">
        <f>IF(B56="","",SUM(E56:T56))</f>
        <v>1</v>
      </c>
      <c r="V56" s="558">
        <f>IF(B56="","",SUM(E56:T56)*0.5)</f>
        <v>0.5</v>
      </c>
      <c r="W56" s="559" t="str">
        <f>IF($B56="","",IF(Penalties!$Z4=W$55,1,""))</f>
        <v/>
      </c>
      <c r="X56" s="559" t="str">
        <f>IF($B56="","",IF(Penalties!$Z4=X$55,1,""))</f>
        <v/>
      </c>
      <c r="Y56" s="559" t="str">
        <f>IF($B56="","",IF(Penalties!$Z4=Y$55,1,""))</f>
        <v/>
      </c>
      <c r="Z56" s="559" t="str">
        <f>IF($B56="","",IF(Penalties!$Z4=Z$55,1,""))</f>
        <v/>
      </c>
      <c r="AA56" s="559" t="str">
        <f>IF($B56="","",IF(Penalties!$Z4=AA$55,1,""))</f>
        <v/>
      </c>
      <c r="AB56" s="559" t="str">
        <f>IF($B56="","",IF(Penalties!$Z4=AB$55,1,""))</f>
        <v/>
      </c>
      <c r="AC56" s="559" t="str">
        <f>IF($B56="","",IF(Penalties!$Z4=AC$55,1,""))</f>
        <v/>
      </c>
      <c r="AD56" s="559" t="str">
        <f>IF($B56="","",IF(Penalties!$Z4=AD$55,1,""))</f>
        <v/>
      </c>
      <c r="AE56" s="559" t="str">
        <f>IF($B56="","",IF(Penalties!$Z4=AE$55,1,""))</f>
        <v/>
      </c>
      <c r="AF56" s="559" t="str">
        <f>IF($B56="","",IF(Penalties!$Z4=AF$55,1,""))</f>
        <v/>
      </c>
      <c r="AG56" s="559" t="str">
        <f>IF($B56="","",IF(Penalties!$Z4=AG$55,1,""))</f>
        <v/>
      </c>
      <c r="AH56" s="559" t="str">
        <f>IF($B56="","",IF(Penalties!$Z4=AH$55,1,""))</f>
        <v/>
      </c>
      <c r="AI56" s="559" t="str">
        <f>IF($B56="","",IF(Penalties!$Z4=AI$55,1,""))</f>
        <v/>
      </c>
      <c r="AJ56" s="560"/>
      <c r="AK56" s="109"/>
      <c r="AL56" s="109"/>
      <c r="AM56" s="109"/>
      <c r="AN56" s="109"/>
      <c r="AO56" s="109"/>
      <c r="AP56" s="109"/>
      <c r="AQ56" s="109"/>
      <c r="AR56" s="109"/>
      <c r="AS56" s="109"/>
      <c r="AT56" s="109"/>
      <c r="AU56" s="109"/>
      <c r="AV56" s="109"/>
      <c r="AW56" s="109"/>
      <c r="AX56" s="109"/>
    </row>
    <row r="57" spans="1:50" x14ac:dyDescent="0.3">
      <c r="A57" s="1166"/>
      <c r="B57" s="1167"/>
      <c r="C57" s="1168"/>
      <c r="D57" s="556" t="s">
        <v>33</v>
      </c>
      <c r="E57" s="549">
        <f>IF($B56="","",COUNTIF(Penalties!$AS4:$BA4,E$55))</f>
        <v>0</v>
      </c>
      <c r="F57" s="549">
        <f>IF($B56="","",COUNTIF(Penalties!$AS4:$BA4,F$55))</f>
        <v>0</v>
      </c>
      <c r="G57" s="549">
        <f>IF($B56="","",COUNTIF(Penalties!$AS4:$BA4,G$55))</f>
        <v>0</v>
      </c>
      <c r="H57" s="549">
        <f>IF($B56="","",COUNTIF(Penalties!$AS4:$BA4,H$55))</f>
        <v>0</v>
      </c>
      <c r="I57" s="549">
        <f>IF($B56="","",COUNTIF(Penalties!$AS4:$BA4,I$55))</f>
        <v>0</v>
      </c>
      <c r="J57" s="549">
        <f>IF($B56="","",COUNTIF(Penalties!$AS4:$BA4,J$55))</f>
        <v>0</v>
      </c>
      <c r="K57" s="549">
        <f>IF($B56="","",COUNTIF(Penalties!$AS4:$BA4,K$55))</f>
        <v>0</v>
      </c>
      <c r="L57" s="549">
        <f>IF($B56="","",COUNTIF(Penalties!$AS4:$BA4,L$55))</f>
        <v>0</v>
      </c>
      <c r="M57" s="549">
        <f>IF($B56="","",COUNTIF(Penalties!$AS4:$BA4,M$55))</f>
        <v>0</v>
      </c>
      <c r="N57" s="549">
        <f>IF($B56="","",COUNTIF(Penalties!$AS4:$BA4,N$55))</f>
        <v>0</v>
      </c>
      <c r="O57" s="549">
        <f>IF($B56="","",COUNTIF(Penalties!$AS4:$BA4,O$55))</f>
        <v>0</v>
      </c>
      <c r="P57" s="549">
        <f>IF($B56="","",COUNTIF(Penalties!$AS4:$BA4,P$55))</f>
        <v>0</v>
      </c>
      <c r="Q57" s="549">
        <f>IF($B56="","",COUNTIF(Penalties!$AS4:$BA4,Q$55))</f>
        <v>0</v>
      </c>
      <c r="R57" s="549">
        <f>IF($B56="","",COUNTIF(Penalties!$AS4:$BA4,R$55))</f>
        <v>0</v>
      </c>
      <c r="S57" s="549">
        <f>IF($B56="","",COUNTIF(Penalties!$AS4:$BA4,S$55))</f>
        <v>0</v>
      </c>
      <c r="T57" s="549">
        <f>IF($B56="","",COUNTIF(Penalties!$AS4:$BA4,T$55))</f>
        <v>0</v>
      </c>
      <c r="U57" s="557">
        <f>IF(B56="","",SUM(E57:T57))</f>
        <v>0</v>
      </c>
      <c r="V57" s="558">
        <f>IF(B56="","",SUM(E57:T57)*0.5)</f>
        <v>0</v>
      </c>
      <c r="W57" s="559" t="str">
        <f>IF($B56="","",IF(Penalties!$BB4=W$55,1,""))</f>
        <v/>
      </c>
      <c r="X57" s="559" t="str">
        <f>IF($B56="","",IF(Penalties!$BB4=X$55,1,""))</f>
        <v/>
      </c>
      <c r="Y57" s="559" t="str">
        <f>IF($B56="","",IF(Penalties!$BB4=Y$55,1,""))</f>
        <v/>
      </c>
      <c r="Z57" s="559" t="str">
        <f>IF($B56="","",IF(Penalties!$BB4=Z$55,1,""))</f>
        <v/>
      </c>
      <c r="AA57" s="559" t="str">
        <f>IF($B56="","",IF(Penalties!$BB4=AA$55,1,""))</f>
        <v/>
      </c>
      <c r="AB57" s="559" t="str">
        <f>IF($B56="","",IF(Penalties!$BB4=AB$55,1,""))</f>
        <v/>
      </c>
      <c r="AC57" s="559" t="str">
        <f>IF($B56="","",IF(Penalties!$BB4=AC$55,1,""))</f>
        <v/>
      </c>
      <c r="AD57" s="559" t="str">
        <f>IF($B56="","",IF(Penalties!$BB4=AD$55,1,""))</f>
        <v/>
      </c>
      <c r="AE57" s="559" t="str">
        <f>IF($B56="","",IF(Penalties!$BB4=AE$55,1,""))</f>
        <v/>
      </c>
      <c r="AF57" s="559" t="str">
        <f>IF($B56="","",IF(Penalties!$BB4=AF$55,1,""))</f>
        <v/>
      </c>
      <c r="AG57" s="559" t="str">
        <f>IF($B56="","",IF(Penalties!$BB4=AG$55,1,""))</f>
        <v/>
      </c>
      <c r="AH57" s="559" t="str">
        <f>IF($B56="","",IF(Penalties!$BB4=AH$55,1,""))</f>
        <v/>
      </c>
      <c r="AI57" s="559" t="str">
        <f>IF($B56="","",IF(Penalties!$BB4=AI$55,1,""))</f>
        <v/>
      </c>
      <c r="AJ57" s="561" t="str">
        <f>IF(SUM(X56:AI57)=0, "", IF(SUM(X56:AI56)=1, LOOKUP(1, X56:AI56, $X$55:$AI$55), LOOKUP(1, X57:AI57, $X$55:$AI$55)))</f>
        <v/>
      </c>
      <c r="AK57" s="109"/>
      <c r="AL57" s="109"/>
      <c r="AM57" s="109"/>
      <c r="AN57" s="109"/>
      <c r="AO57" s="109"/>
      <c r="AP57" s="109"/>
      <c r="AQ57" s="109"/>
      <c r="AR57" s="109"/>
      <c r="AS57" s="109"/>
      <c r="AT57" s="109"/>
      <c r="AU57" s="109"/>
      <c r="AV57" s="109"/>
      <c r="AW57" s="109"/>
      <c r="AX57" s="109"/>
    </row>
    <row r="58" spans="1:50" x14ac:dyDescent="0.3">
      <c r="A58" s="1163">
        <f>A56+1</f>
        <v>2</v>
      </c>
      <c r="B58" s="1164" t="str">
        <f>IF(IGRF!H15="","",IGRF!H15)</f>
        <v>11G6</v>
      </c>
      <c r="C58" s="1165" t="str">
        <f>IF(IGRF!I15="","",IGRF!I15)</f>
        <v>Fista Krusher</v>
      </c>
      <c r="D58" s="550" t="s">
        <v>17</v>
      </c>
      <c r="E58" s="550">
        <f>IF($B58="","",COUNTIF(Penalties!$Q6:$Y6,E$55))</f>
        <v>1</v>
      </c>
      <c r="F58" s="550">
        <f>IF($B58="","",COUNTIF(Penalties!$Q6:$Y6,F$55))</f>
        <v>0</v>
      </c>
      <c r="G58" s="550">
        <f>IF($B58="","",COUNTIF(Penalties!$Q6:$Y6,G$55))</f>
        <v>0</v>
      </c>
      <c r="H58" s="550">
        <f>IF($B58="","",COUNTIF(Penalties!$Q6:$Y6,H$55))</f>
        <v>0</v>
      </c>
      <c r="I58" s="550">
        <f>IF($B58="","",COUNTIF(Penalties!$Q6:$Y6,I$55))</f>
        <v>0</v>
      </c>
      <c r="J58" s="550">
        <f>IF($B58="","",COUNTIF(Penalties!$Q6:$Y6,J$55))</f>
        <v>0</v>
      </c>
      <c r="K58" s="550">
        <f>IF($B58="","",COUNTIF(Penalties!$Q6:$Y6,K$55))</f>
        <v>0</v>
      </c>
      <c r="L58" s="550">
        <f>IF($B58="","",COUNTIF(Penalties!$Q6:$Y6,L$55))</f>
        <v>0</v>
      </c>
      <c r="M58" s="550">
        <f>IF($B58="","",COUNTIF(Penalties!$Q6:$Y6,M$55))</f>
        <v>0</v>
      </c>
      <c r="N58" s="550">
        <f>IF($B58="","",COUNTIF(Penalties!$Q6:$Y6,N$55))</f>
        <v>0</v>
      </c>
      <c r="O58" s="550">
        <f>IF($B58="","",COUNTIF(Penalties!$Q6:$Y6,O$55))</f>
        <v>1</v>
      </c>
      <c r="P58" s="550">
        <f>IF($B58="","",COUNTIF(Penalties!$Q6:$Y6,P$55))</f>
        <v>0</v>
      </c>
      <c r="Q58" s="550">
        <f>IF($B58="","",COUNTIF(Penalties!$Q6:$Y6,Q$55))</f>
        <v>0</v>
      </c>
      <c r="R58" s="550">
        <f>IF($B58="","",COUNTIF(Penalties!$Q6:$Y6,R$55))</f>
        <v>0</v>
      </c>
      <c r="S58" s="550">
        <f>IF($B58="","",COUNTIF(Penalties!$Q6:$Y6,S$55))</f>
        <v>0</v>
      </c>
      <c r="T58" s="550">
        <f>IF($B58="","",COUNTIF(Penalties!$Q6:$Y6,T$55))</f>
        <v>0</v>
      </c>
      <c r="U58" s="562">
        <f>IF(B58="","",SUM(E58:T58))</f>
        <v>2</v>
      </c>
      <c r="V58" s="563">
        <f>IF(B58="","",SUM(E58:T58)*0.5)</f>
        <v>1</v>
      </c>
      <c r="W58" s="564" t="str">
        <f>IF($B58="","",IF(Penalties!$Z6=W$55,1,""))</f>
        <v/>
      </c>
      <c r="X58" s="564" t="str">
        <f>IF($B58="","",IF(Penalties!$Z6=X$55,1,""))</f>
        <v/>
      </c>
      <c r="Y58" s="564" t="str">
        <f>IF($B58="","",IF(Penalties!$Z6=Y$55,1,""))</f>
        <v/>
      </c>
      <c r="Z58" s="564" t="str">
        <f>IF($B58="","",IF(Penalties!$Z6=Z$55,1,""))</f>
        <v/>
      </c>
      <c r="AA58" s="564" t="str">
        <f>IF($B58="","",IF(Penalties!$Z6=AA$55,1,""))</f>
        <v/>
      </c>
      <c r="AB58" s="564" t="str">
        <f>IF($B58="","",IF(Penalties!$Z6=AB$55,1,""))</f>
        <v/>
      </c>
      <c r="AC58" s="564" t="str">
        <f>IF($B58="","",IF(Penalties!$Z6=AC$55,1,""))</f>
        <v/>
      </c>
      <c r="AD58" s="564" t="str">
        <f>IF($B58="","",IF(Penalties!$Z6=AD$55,1,""))</f>
        <v/>
      </c>
      <c r="AE58" s="564" t="str">
        <f>IF($B58="","",IF(Penalties!$Z6=AE$55,1,""))</f>
        <v/>
      </c>
      <c r="AF58" s="564" t="str">
        <f>IF($B58="","",IF(Penalties!$Z6=AF$55,1,""))</f>
        <v/>
      </c>
      <c r="AG58" s="564" t="str">
        <f>IF($B58="","",IF(Penalties!$Z6=AG$55,1,""))</f>
        <v/>
      </c>
      <c r="AH58" s="564" t="str">
        <f>IF($B58="","",IF(Penalties!$Z6=AH$55,1,""))</f>
        <v/>
      </c>
      <c r="AI58" s="564" t="str">
        <f>IF($B58="","",IF(Penalties!$Z6=AI$55,1,""))</f>
        <v/>
      </c>
      <c r="AJ58" s="565"/>
      <c r="AK58" s="109"/>
      <c r="AL58" s="109"/>
      <c r="AM58" s="109"/>
      <c r="AN58" s="109"/>
      <c r="AO58" s="109"/>
      <c r="AP58" s="109"/>
      <c r="AQ58" s="109"/>
      <c r="AR58" s="109"/>
      <c r="AS58" s="109"/>
      <c r="AT58" s="109"/>
      <c r="AU58" s="109"/>
      <c r="AV58" s="109"/>
      <c r="AW58" s="109"/>
      <c r="AX58" s="109"/>
    </row>
    <row r="59" spans="1:50" ht="14.4" thickBot="1" x14ac:dyDescent="0.35">
      <c r="A59" s="1163"/>
      <c r="B59" s="1164"/>
      <c r="C59" s="1165"/>
      <c r="D59" s="550" t="s">
        <v>33</v>
      </c>
      <c r="E59" s="550">
        <f>IF($B58="","",COUNTIF(Penalties!$AS6:$BA6,E$55))</f>
        <v>0</v>
      </c>
      <c r="F59" s="550">
        <f>IF($B58="","",COUNTIF(Penalties!$AS6:$BA6,F$55))</f>
        <v>0</v>
      </c>
      <c r="G59" s="550">
        <f>IF($B58="","",COUNTIF(Penalties!$AS6:$BA6,G$55))</f>
        <v>0</v>
      </c>
      <c r="H59" s="550">
        <f>IF($B58="","",COUNTIF(Penalties!$AS6:$BA6,H$55))</f>
        <v>0</v>
      </c>
      <c r="I59" s="550">
        <f>IF($B58="","",COUNTIF(Penalties!$AS6:$BA6,I$55))</f>
        <v>0</v>
      </c>
      <c r="J59" s="550">
        <f>IF($B58="","",COUNTIF(Penalties!$AS6:$BA6,J$55))</f>
        <v>0</v>
      </c>
      <c r="K59" s="550">
        <f>IF($B58="","",COUNTIF(Penalties!$AS6:$BA6,K$55))</f>
        <v>0</v>
      </c>
      <c r="L59" s="550">
        <f>IF($B58="","",COUNTIF(Penalties!$AS6:$BA6,L$55))</f>
        <v>0</v>
      </c>
      <c r="M59" s="550">
        <f>IF($B58="","",COUNTIF(Penalties!$AS6:$BA6,M$55))</f>
        <v>0</v>
      </c>
      <c r="N59" s="550">
        <f>IF($B58="","",COUNTIF(Penalties!$AS6:$BA6,N$55))</f>
        <v>0</v>
      </c>
      <c r="O59" s="550">
        <f>IF($B58="","",COUNTIF(Penalties!$AS6:$BA6,O$55))</f>
        <v>0</v>
      </c>
      <c r="P59" s="550">
        <f>IF($B58="","",COUNTIF(Penalties!$AS6:$BA6,P$55))</f>
        <v>0</v>
      </c>
      <c r="Q59" s="550">
        <f>IF($B58="","",COUNTIF(Penalties!$AS6:$BA6,Q$55))</f>
        <v>0</v>
      </c>
      <c r="R59" s="550">
        <f>IF($B58="","",COUNTIF(Penalties!$AS6:$BA6,R$55))</f>
        <v>0</v>
      </c>
      <c r="S59" s="550">
        <f>IF($B58="","",COUNTIF(Penalties!$AS6:$BA6,S$55))</f>
        <v>0</v>
      </c>
      <c r="T59" s="550">
        <f>IF($B58="","",COUNTIF(Penalties!$AS6:$BA6,T$55))</f>
        <v>0</v>
      </c>
      <c r="U59" s="562">
        <f>IF(B58="","",SUM(E59:T59))</f>
        <v>0</v>
      </c>
      <c r="V59" s="563">
        <f>IF(B58="","",SUM(E59:T59)*0.5)</f>
        <v>0</v>
      </c>
      <c r="W59" s="564" t="str">
        <f>IF($B58="","",IF(Penalties!$BB6=W$55,1,""))</f>
        <v/>
      </c>
      <c r="X59" s="564" t="str">
        <f>IF($B58="","",IF(Penalties!$BB6=X$55,1,""))</f>
        <v/>
      </c>
      <c r="Y59" s="564" t="str">
        <f>IF($B58="","",IF(Penalties!$BB6=Y$55,1,""))</f>
        <v/>
      </c>
      <c r="Z59" s="564" t="str">
        <f>IF($B58="","",IF(Penalties!$BB6=Z$55,1,""))</f>
        <v/>
      </c>
      <c r="AA59" s="564" t="str">
        <f>IF($B58="","",IF(Penalties!$BB6=AA$55,1,""))</f>
        <v/>
      </c>
      <c r="AB59" s="564" t="str">
        <f>IF($B58="","",IF(Penalties!$BB6=AB$55,1,""))</f>
        <v/>
      </c>
      <c r="AC59" s="564" t="str">
        <f>IF($B58="","",IF(Penalties!$BB6=AC$55,1,""))</f>
        <v/>
      </c>
      <c r="AD59" s="564" t="str">
        <f>IF($B58="","",IF(Penalties!$BB6=AD$55,1,""))</f>
        <v/>
      </c>
      <c r="AE59" s="564" t="str">
        <f>IF($B58="","",IF(Penalties!$BB6=AE$55,1,""))</f>
        <v/>
      </c>
      <c r="AF59" s="564" t="str">
        <f>IF($B58="","",IF(Penalties!$BB6=AF$55,1,""))</f>
        <v/>
      </c>
      <c r="AG59" s="564" t="str">
        <f>IF($B58="","",IF(Penalties!$BB6=AG$55,1,""))</f>
        <v/>
      </c>
      <c r="AH59" s="564" t="str">
        <f>IF($B58="","",IF(Penalties!$BB6=AH$55,1,""))</f>
        <v/>
      </c>
      <c r="AI59" s="564" t="str">
        <f>IF($B58="","",IF(Penalties!$BB6=AI$55,1,""))</f>
        <v/>
      </c>
      <c r="AJ59" s="566" t="str">
        <f>IF(SUM(X58:AI59)=0, "", IF(SUM(X58:AI58)=1, LOOKUP(1, X58:AI58, $X$55:$AI$55), LOOKUP(1, X59:AI59, $X$55:$AI$55)))</f>
        <v/>
      </c>
      <c r="AK59" s="109"/>
      <c r="AL59" s="109"/>
      <c r="AM59" s="109"/>
      <c r="AN59" s="109"/>
      <c r="AO59" s="109"/>
      <c r="AP59" s="109"/>
      <c r="AQ59" s="109"/>
      <c r="AR59" s="109"/>
      <c r="AS59" s="109"/>
      <c r="AT59" s="109"/>
      <c r="AU59" s="109"/>
      <c r="AV59" s="109"/>
      <c r="AW59" s="109"/>
      <c r="AX59" s="109"/>
    </row>
    <row r="60" spans="1:50" x14ac:dyDescent="0.3">
      <c r="A60" s="1166">
        <f>A58+1</f>
        <v>3</v>
      </c>
      <c r="B60" s="1167" t="str">
        <f>IF(IGRF!H16="","",IGRF!H16)</f>
        <v>152</v>
      </c>
      <c r="C60" s="1168" t="str">
        <f>IF(IGRF!I16="","",IGRF!I16)</f>
        <v>Hitty Pryde</v>
      </c>
      <c r="D60" s="556" t="s">
        <v>17</v>
      </c>
      <c r="E60" s="549">
        <f>IF($B60="","",COUNTIF(Penalties!$Q8:$Y8,E$55))</f>
        <v>0</v>
      </c>
      <c r="F60" s="549">
        <f>IF($B60="","",COUNTIF(Penalties!$Q8:$Y8,F$55))</f>
        <v>0</v>
      </c>
      <c r="G60" s="549">
        <f>IF($B60="","",COUNTIF(Penalties!$Q8:$Y8,G$55))</f>
        <v>0</v>
      </c>
      <c r="H60" s="549">
        <f>IF($B60="","",COUNTIF(Penalties!$Q8:$Y8,H$55))</f>
        <v>0</v>
      </c>
      <c r="I60" s="549">
        <f>IF($B60="","",COUNTIF(Penalties!$Q8:$Y8,I$55))</f>
        <v>0</v>
      </c>
      <c r="J60" s="549">
        <f>IF($B60="","",COUNTIF(Penalties!$Q8:$Y8,J$55))</f>
        <v>0</v>
      </c>
      <c r="K60" s="549">
        <f>IF($B60="","",COUNTIF(Penalties!$Q8:$Y8,K$55))</f>
        <v>0</v>
      </c>
      <c r="L60" s="549">
        <f>IF($B60="","",COUNTIF(Penalties!$Q8:$Y8,L$55))</f>
        <v>0</v>
      </c>
      <c r="M60" s="549">
        <f>IF($B60="","",COUNTIF(Penalties!$Q8:$Y8,M$55))</f>
        <v>0</v>
      </c>
      <c r="N60" s="549">
        <f>IF($B60="","",COUNTIF(Penalties!$Q8:$Y8,N$55))</f>
        <v>0</v>
      </c>
      <c r="O60" s="549">
        <f>IF($B60="","",COUNTIF(Penalties!$Q8:$Y8,O$55))</f>
        <v>0</v>
      </c>
      <c r="P60" s="549">
        <f>IF($B60="","",COUNTIF(Penalties!$Q8:$Y8,P$55))</f>
        <v>0</v>
      </c>
      <c r="Q60" s="549">
        <f>IF($B60="","",COUNTIF(Penalties!$Q8:$Y8,Q$55))</f>
        <v>0</v>
      </c>
      <c r="R60" s="549">
        <f>IF($B60="","",COUNTIF(Penalties!$Q8:$Y8,R$55))</f>
        <v>0</v>
      </c>
      <c r="S60" s="549">
        <f>IF($B60="","",COUNTIF(Penalties!$Q8:$Y8,S$55))</f>
        <v>0</v>
      </c>
      <c r="T60" s="549">
        <f>IF($B60="","",COUNTIF(Penalties!$Q8:$Y8,T$55))</f>
        <v>0</v>
      </c>
      <c r="U60" s="557">
        <f>IF(B60="","",SUM(E60:T60))</f>
        <v>0</v>
      </c>
      <c r="V60" s="558">
        <f>IF(B60="","",SUM(E60:T60)*0.5)</f>
        <v>0</v>
      </c>
      <c r="W60" s="559" t="str">
        <f>IF($B60="","",IF(Penalties!$Z8=W$55,1,""))</f>
        <v/>
      </c>
      <c r="X60" s="559" t="str">
        <f>IF($B60="","",IF(Penalties!$Z8=X$55,1,""))</f>
        <v/>
      </c>
      <c r="Y60" s="559" t="str">
        <f>IF($B60="","",IF(Penalties!$Z8=Y$55,1,""))</f>
        <v/>
      </c>
      <c r="Z60" s="559" t="str">
        <f>IF($B60="","",IF(Penalties!$Z8=Z$55,1,""))</f>
        <v/>
      </c>
      <c r="AA60" s="559" t="str">
        <f>IF($B60="","",IF(Penalties!$Z8=AA$55,1,""))</f>
        <v/>
      </c>
      <c r="AB60" s="559" t="str">
        <f>IF($B60="","",IF(Penalties!$Z8=AB$55,1,""))</f>
        <v/>
      </c>
      <c r="AC60" s="559" t="str">
        <f>IF($B60="","",IF(Penalties!$Z8=AC$55,1,""))</f>
        <v/>
      </c>
      <c r="AD60" s="559" t="str">
        <f>IF($B60="","",IF(Penalties!$Z8=AD$55,1,""))</f>
        <v/>
      </c>
      <c r="AE60" s="559" t="str">
        <f>IF($B60="","",IF(Penalties!$Z8=AE$55,1,""))</f>
        <v/>
      </c>
      <c r="AF60" s="559" t="str">
        <f>IF($B60="","",IF(Penalties!$Z8=AF$55,1,""))</f>
        <v/>
      </c>
      <c r="AG60" s="559" t="str">
        <f>IF($B60="","",IF(Penalties!$Z8=AG$55,1,""))</f>
        <v/>
      </c>
      <c r="AH60" s="559" t="str">
        <f>IF($B60="","",IF(Penalties!$Z8=AH$55,1,""))</f>
        <v/>
      </c>
      <c r="AI60" s="559" t="str">
        <f>IF($B60="","",IF(Penalties!$Z8=AI$55,1,""))</f>
        <v/>
      </c>
      <c r="AJ60" s="560"/>
      <c r="AK60" s="109"/>
      <c r="AL60" s="109"/>
      <c r="AM60" s="109"/>
      <c r="AN60" s="109"/>
      <c r="AO60" s="109"/>
      <c r="AP60" s="109"/>
      <c r="AQ60" s="109"/>
      <c r="AR60" s="109"/>
      <c r="AS60" s="109"/>
      <c r="AT60" s="109"/>
      <c r="AU60" s="109"/>
      <c r="AV60" s="109"/>
      <c r="AW60" s="109"/>
      <c r="AX60" s="109"/>
    </row>
    <row r="61" spans="1:50" x14ac:dyDescent="0.3">
      <c r="A61" s="1166"/>
      <c r="B61" s="1167"/>
      <c r="C61" s="1168"/>
      <c r="D61" s="556" t="s">
        <v>33</v>
      </c>
      <c r="E61" s="549">
        <f>IF($B60="","",COUNTIF(Penalties!$AS8:$BA8,E$55))</f>
        <v>0</v>
      </c>
      <c r="F61" s="549">
        <f>IF($B60="","",COUNTIF(Penalties!$AS8:$BA8,F$55))</f>
        <v>0</v>
      </c>
      <c r="G61" s="549">
        <f>IF($B60="","",COUNTIF(Penalties!$AS8:$BA8,G$55))</f>
        <v>0</v>
      </c>
      <c r="H61" s="549">
        <f>IF($B60="","",COUNTIF(Penalties!$AS8:$BA8,H$55))</f>
        <v>0</v>
      </c>
      <c r="I61" s="549">
        <f>IF($B60="","",COUNTIF(Penalties!$AS8:$BA8,I$55))</f>
        <v>0</v>
      </c>
      <c r="J61" s="549">
        <f>IF($B60="","",COUNTIF(Penalties!$AS8:$BA8,J$55))</f>
        <v>0</v>
      </c>
      <c r="K61" s="549">
        <f>IF($B60="","",COUNTIF(Penalties!$AS8:$BA8,K$55))</f>
        <v>0</v>
      </c>
      <c r="L61" s="549">
        <f>IF($B60="","",COUNTIF(Penalties!$AS8:$BA8,L$55))</f>
        <v>0</v>
      </c>
      <c r="M61" s="549">
        <f>IF($B60="","",COUNTIF(Penalties!$AS8:$BA8,M$55))</f>
        <v>1</v>
      </c>
      <c r="N61" s="549">
        <f>IF($B60="","",COUNTIF(Penalties!$AS8:$BA8,N$55))</f>
        <v>0</v>
      </c>
      <c r="O61" s="549">
        <f>IF($B60="","",COUNTIF(Penalties!$AS8:$BA8,O$55))</f>
        <v>0</v>
      </c>
      <c r="P61" s="549">
        <f>IF($B60="","",COUNTIF(Penalties!$AS8:$BA8,P$55))</f>
        <v>0</v>
      </c>
      <c r="Q61" s="549">
        <f>IF($B60="","",COUNTIF(Penalties!$AS8:$BA8,Q$55))</f>
        <v>0</v>
      </c>
      <c r="R61" s="549">
        <f>IF($B60="","",COUNTIF(Penalties!$AS8:$BA8,R$55))</f>
        <v>0</v>
      </c>
      <c r="S61" s="549">
        <f>IF($B60="","",COUNTIF(Penalties!$AS8:$BA8,S$55))</f>
        <v>0</v>
      </c>
      <c r="T61" s="549">
        <f>IF($B60="","",COUNTIF(Penalties!$AS8:$BA8,T$55))</f>
        <v>0</v>
      </c>
      <c r="U61" s="557">
        <f>IF(B60="","",SUM(E61:T61))</f>
        <v>1</v>
      </c>
      <c r="V61" s="558">
        <f>IF(B60="","",SUM(E61:T61)*0.5)</f>
        <v>0.5</v>
      </c>
      <c r="W61" s="559" t="str">
        <f>IF($B60="","",IF(Penalties!$BB8=W$55,1,""))</f>
        <v/>
      </c>
      <c r="X61" s="559" t="str">
        <f>IF($B60="","",IF(Penalties!$BB8=X$55,1,""))</f>
        <v/>
      </c>
      <c r="Y61" s="559" t="str">
        <f>IF($B60="","",IF(Penalties!$BB8=Y$55,1,""))</f>
        <v/>
      </c>
      <c r="Z61" s="559" t="str">
        <f>IF($B60="","",IF(Penalties!$BB8=Z$55,1,""))</f>
        <v/>
      </c>
      <c r="AA61" s="559" t="str">
        <f>IF($B60="","",IF(Penalties!$BB8=AA$55,1,""))</f>
        <v/>
      </c>
      <c r="AB61" s="559" t="str">
        <f>IF($B60="","",IF(Penalties!$BB8=AB$55,1,""))</f>
        <v/>
      </c>
      <c r="AC61" s="559" t="str">
        <f>IF($B60="","",IF(Penalties!$BB8=AC$55,1,""))</f>
        <v/>
      </c>
      <c r="AD61" s="559" t="str">
        <f>IF($B60="","",IF(Penalties!$BB8=AD$55,1,""))</f>
        <v/>
      </c>
      <c r="AE61" s="559" t="str">
        <f>IF($B60="","",IF(Penalties!$BB8=AE$55,1,""))</f>
        <v/>
      </c>
      <c r="AF61" s="559" t="str">
        <f>IF($B60="","",IF(Penalties!$BB8=AF$55,1,""))</f>
        <v/>
      </c>
      <c r="AG61" s="559" t="str">
        <f>IF($B60="","",IF(Penalties!$BB8=AG$55,1,""))</f>
        <v/>
      </c>
      <c r="AH61" s="559" t="str">
        <f>IF($B60="","",IF(Penalties!$BB8=AH$55,1,""))</f>
        <v/>
      </c>
      <c r="AI61" s="559" t="str">
        <f>IF($B60="","",IF(Penalties!$BB8=AI$55,1,""))</f>
        <v/>
      </c>
      <c r="AJ61" s="561" t="str">
        <f>IF(SUM(X60:AI61)=0, "", IF(SUM(X60:AI60)=1, LOOKUP(1, X60:AI60, $X$55:$AI$55), LOOKUP(1, X61:AI61, $X$55:$AI$55)))</f>
        <v/>
      </c>
      <c r="AK61" s="109"/>
      <c r="AL61" s="109"/>
      <c r="AM61" s="109"/>
      <c r="AN61" s="109"/>
      <c r="AO61" s="109"/>
      <c r="AP61" s="109"/>
      <c r="AQ61" s="109"/>
      <c r="AR61" s="109"/>
      <c r="AS61" s="109"/>
      <c r="AT61" s="109"/>
      <c r="AU61" s="109"/>
      <c r="AV61" s="109"/>
      <c r="AW61" s="109"/>
      <c r="AX61" s="109"/>
    </row>
    <row r="62" spans="1:50" x14ac:dyDescent="0.3">
      <c r="A62" s="1163">
        <f>A60+1</f>
        <v>4</v>
      </c>
      <c r="B62" s="1164" t="str">
        <f>IF(IGRF!H17="","",IGRF!H17)</f>
        <v xml:space="preserve">237 </v>
      </c>
      <c r="C62" s="1165" t="str">
        <f>IF(IGRF!I17="","",IGRF!I17)</f>
        <v>GuilloTina</v>
      </c>
      <c r="D62" s="550" t="s">
        <v>17</v>
      </c>
      <c r="E62" s="550">
        <f>IF($B62="","",COUNTIF(Penalties!$Q10:$Y10,E$55))</f>
        <v>0</v>
      </c>
      <c r="F62" s="550">
        <f>IF($B62="","",COUNTIF(Penalties!$Q10:$Y10,F$55))</f>
        <v>0</v>
      </c>
      <c r="G62" s="550">
        <f>IF($B62="","",COUNTIF(Penalties!$Q10:$Y10,G$55))</f>
        <v>0</v>
      </c>
      <c r="H62" s="550">
        <f>IF($B62="","",COUNTIF(Penalties!$Q10:$Y10,H$55))</f>
        <v>0</v>
      </c>
      <c r="I62" s="550">
        <f>IF($B62="","",COUNTIF(Penalties!$Q10:$Y10,I$55))</f>
        <v>0</v>
      </c>
      <c r="J62" s="550">
        <f>IF($B62="","",COUNTIF(Penalties!$Q10:$Y10,J$55))</f>
        <v>0</v>
      </c>
      <c r="K62" s="550">
        <f>IF($B62="","",COUNTIF(Penalties!$Q10:$Y10,K$55))</f>
        <v>0</v>
      </c>
      <c r="L62" s="550">
        <f>IF($B62="","",COUNTIF(Penalties!$Q10:$Y10,L$55))</f>
        <v>0</v>
      </c>
      <c r="M62" s="550">
        <f>IF($B62="","",COUNTIF(Penalties!$Q10:$Y10,M$55))</f>
        <v>0</v>
      </c>
      <c r="N62" s="550">
        <f>IF($B62="","",COUNTIF(Penalties!$Q10:$Y10,N$55))</f>
        <v>0</v>
      </c>
      <c r="O62" s="550">
        <f>IF($B62="","",COUNTIF(Penalties!$Q10:$Y10,O$55))</f>
        <v>0</v>
      </c>
      <c r="P62" s="550">
        <f>IF($B62="","",COUNTIF(Penalties!$Q10:$Y10,P$55))</f>
        <v>0</v>
      </c>
      <c r="Q62" s="550">
        <f>IF($B62="","",COUNTIF(Penalties!$Q10:$Y10,Q$55))</f>
        <v>0</v>
      </c>
      <c r="R62" s="550">
        <f>IF($B62="","",COUNTIF(Penalties!$Q10:$Y10,R$55))</f>
        <v>0</v>
      </c>
      <c r="S62" s="550">
        <f>IF($B62="","",COUNTIF(Penalties!$Q10:$Y10,S$55))</f>
        <v>0</v>
      </c>
      <c r="T62" s="550">
        <f>IF($B62="","",COUNTIF(Penalties!$Q10:$Y10,T$55))</f>
        <v>0</v>
      </c>
      <c r="U62" s="562">
        <f>IF(B62="","",SUM(E62:T62))</f>
        <v>0</v>
      </c>
      <c r="V62" s="563">
        <f>IF(B62="","",SUM(E62:T62)*0.5)</f>
        <v>0</v>
      </c>
      <c r="W62" s="564" t="str">
        <f>IF($B62="","",IF(Penalties!$Z10=W$55,1,""))</f>
        <v/>
      </c>
      <c r="X62" s="564" t="str">
        <f>IF($B62="","",IF(Penalties!$Z10=X$55,1,""))</f>
        <v/>
      </c>
      <c r="Y62" s="564" t="str">
        <f>IF($B62="","",IF(Penalties!$Z10=Y$55,1,""))</f>
        <v/>
      </c>
      <c r="Z62" s="564" t="str">
        <f>IF($B62="","",IF(Penalties!$Z10=Z$55,1,""))</f>
        <v/>
      </c>
      <c r="AA62" s="564" t="str">
        <f>IF($B62="","",IF(Penalties!$Z10=AA$55,1,""))</f>
        <v/>
      </c>
      <c r="AB62" s="564" t="str">
        <f>IF($B62="","",IF(Penalties!$Z10=AB$55,1,""))</f>
        <v/>
      </c>
      <c r="AC62" s="564" t="str">
        <f>IF($B62="","",IF(Penalties!$Z10=AC$55,1,""))</f>
        <v/>
      </c>
      <c r="AD62" s="564" t="str">
        <f>IF($B62="","",IF(Penalties!$Z10=AD$55,1,""))</f>
        <v/>
      </c>
      <c r="AE62" s="564" t="str">
        <f>IF($B62="","",IF(Penalties!$Z10=AE$55,1,""))</f>
        <v/>
      </c>
      <c r="AF62" s="564" t="str">
        <f>IF($B62="","",IF(Penalties!$Z10=AF$55,1,""))</f>
        <v/>
      </c>
      <c r="AG62" s="564" t="str">
        <f>IF($B62="","",IF(Penalties!$Z10=AG$55,1,""))</f>
        <v/>
      </c>
      <c r="AH62" s="564" t="str">
        <f>IF($B62="","",IF(Penalties!$Z10=AH$55,1,""))</f>
        <v/>
      </c>
      <c r="AI62" s="564" t="str">
        <f>IF($B62="","",IF(Penalties!$Z10=AI$55,1,""))</f>
        <v/>
      </c>
      <c r="AJ62" s="565"/>
      <c r="AK62" s="109"/>
      <c r="AL62" s="109"/>
      <c r="AM62" s="109"/>
      <c r="AN62" s="109"/>
      <c r="AO62" s="109"/>
      <c r="AP62" s="109"/>
      <c r="AQ62" s="109"/>
      <c r="AR62" s="109"/>
      <c r="AS62" s="109"/>
      <c r="AT62" s="109"/>
      <c r="AU62" s="109"/>
      <c r="AV62" s="109"/>
      <c r="AW62" s="109"/>
      <c r="AX62" s="109"/>
    </row>
    <row r="63" spans="1:50" ht="14.4" thickBot="1" x14ac:dyDescent="0.35">
      <c r="A63" s="1163"/>
      <c r="B63" s="1164"/>
      <c r="C63" s="1165"/>
      <c r="D63" s="550" t="s">
        <v>33</v>
      </c>
      <c r="E63" s="550">
        <f>IF($B62="","",COUNTIF(Penalties!$AS10:$BA10,E$55))</f>
        <v>0</v>
      </c>
      <c r="F63" s="550">
        <f>IF($B62="","",COUNTIF(Penalties!$AS10:$BA10,F$55))</f>
        <v>0</v>
      </c>
      <c r="G63" s="550">
        <f>IF($B62="","",COUNTIF(Penalties!$AS10:$BA10,G$55))</f>
        <v>0</v>
      </c>
      <c r="H63" s="550">
        <f>IF($B62="","",COUNTIF(Penalties!$AS10:$BA10,H$55))</f>
        <v>0</v>
      </c>
      <c r="I63" s="550">
        <f>IF($B62="","",COUNTIF(Penalties!$AS10:$BA10,I$55))</f>
        <v>0</v>
      </c>
      <c r="J63" s="550">
        <f>IF($B62="","",COUNTIF(Penalties!$AS10:$BA10,J$55))</f>
        <v>0</v>
      </c>
      <c r="K63" s="550">
        <f>IF($B62="","",COUNTIF(Penalties!$AS10:$BA10,K$55))</f>
        <v>0</v>
      </c>
      <c r="L63" s="550">
        <f>IF($B62="","",COUNTIF(Penalties!$AS10:$BA10,L$55))</f>
        <v>0</v>
      </c>
      <c r="M63" s="550">
        <f>IF($B62="","",COUNTIF(Penalties!$AS10:$BA10,M$55))</f>
        <v>0</v>
      </c>
      <c r="N63" s="550">
        <f>IF($B62="","",COUNTIF(Penalties!$AS10:$BA10,N$55))</f>
        <v>0</v>
      </c>
      <c r="O63" s="550">
        <f>IF($B62="","",COUNTIF(Penalties!$AS10:$BA10,O$55))</f>
        <v>0</v>
      </c>
      <c r="P63" s="550">
        <f>IF($B62="","",COUNTIF(Penalties!$AS10:$BA10,P$55))</f>
        <v>0</v>
      </c>
      <c r="Q63" s="550">
        <f>IF($B62="","",COUNTIF(Penalties!$AS10:$BA10,Q$55))</f>
        <v>0</v>
      </c>
      <c r="R63" s="550">
        <f>IF($B62="","",COUNTIF(Penalties!$AS10:$BA10,R$55))</f>
        <v>0</v>
      </c>
      <c r="S63" s="550">
        <f>IF($B62="","",COUNTIF(Penalties!$AS10:$BA10,S$55))</f>
        <v>0</v>
      </c>
      <c r="T63" s="550">
        <f>IF($B62="","",COUNTIF(Penalties!$AS10:$BA10,T$55))</f>
        <v>0</v>
      </c>
      <c r="U63" s="562">
        <f>IF(B62="","",SUM(E63:T63))</f>
        <v>0</v>
      </c>
      <c r="V63" s="563">
        <f>IF(B62="","",SUM(E63:T63)*0.5)</f>
        <v>0</v>
      </c>
      <c r="W63" s="564" t="str">
        <f>IF($B62="","",IF(Penalties!$BB10=W$55,1,""))</f>
        <v/>
      </c>
      <c r="X63" s="564" t="str">
        <f>IF($B62="","",IF(Penalties!$BB10=X$55,1,""))</f>
        <v/>
      </c>
      <c r="Y63" s="564" t="str">
        <f>IF($B62="","",IF(Penalties!$BB10=Y$55,1,""))</f>
        <v/>
      </c>
      <c r="Z63" s="564" t="str">
        <f>IF($B62="","",IF(Penalties!$BB10=Z$55,1,""))</f>
        <v/>
      </c>
      <c r="AA63" s="564" t="str">
        <f>IF($B62="","",IF(Penalties!$BB10=AA$55,1,""))</f>
        <v/>
      </c>
      <c r="AB63" s="564" t="str">
        <f>IF($B62="","",IF(Penalties!$BB10=AB$55,1,""))</f>
        <v/>
      </c>
      <c r="AC63" s="564" t="str">
        <f>IF($B62="","",IF(Penalties!$BB10=AC$55,1,""))</f>
        <v/>
      </c>
      <c r="AD63" s="564" t="str">
        <f>IF($B62="","",IF(Penalties!$BB10=AD$55,1,""))</f>
        <v/>
      </c>
      <c r="AE63" s="564" t="str">
        <f>IF($B62="","",IF(Penalties!$BB10=AE$55,1,""))</f>
        <v/>
      </c>
      <c r="AF63" s="564" t="str">
        <f>IF($B62="","",IF(Penalties!$BB10=AF$55,1,""))</f>
        <v/>
      </c>
      <c r="AG63" s="564" t="str">
        <f>IF($B62="","",IF(Penalties!$BB10=AG$55,1,""))</f>
        <v/>
      </c>
      <c r="AH63" s="564" t="str">
        <f>IF($B62="","",IF(Penalties!$BB10=AH$55,1,""))</f>
        <v/>
      </c>
      <c r="AI63" s="564" t="str">
        <f>IF($B62="","",IF(Penalties!$BB10=AI$55,1,""))</f>
        <v/>
      </c>
      <c r="AJ63" s="566" t="str">
        <f>IF(SUM(X62:AI63)=0, "", IF(SUM(X62:AI62)=1, LOOKUP(1, X62:AI62, $X$55:$AI$55), LOOKUP(1, X63:AI63, $X$55:$AI$55)))</f>
        <v/>
      </c>
      <c r="AK63" s="109"/>
      <c r="AL63" s="109"/>
      <c r="AM63" s="109"/>
      <c r="AN63" s="109"/>
      <c r="AO63" s="109"/>
      <c r="AP63" s="109"/>
      <c r="AQ63" s="109"/>
      <c r="AR63" s="109"/>
      <c r="AS63" s="109"/>
      <c r="AT63" s="109"/>
      <c r="AU63" s="109"/>
      <c r="AV63" s="109"/>
      <c r="AW63" s="109"/>
      <c r="AX63" s="109"/>
    </row>
    <row r="64" spans="1:50" x14ac:dyDescent="0.3">
      <c r="A64" s="1166">
        <f>A62+1</f>
        <v>5</v>
      </c>
      <c r="B64" s="1167" t="str">
        <f>IF(IGRF!H18="","",IGRF!H18)</f>
        <v>26</v>
      </c>
      <c r="C64" s="1168" t="str">
        <f>IF(IGRF!I18="","",IGRF!I18)</f>
        <v>Bam Bam Bigelow</v>
      </c>
      <c r="D64" s="556" t="s">
        <v>17</v>
      </c>
      <c r="E64" s="549">
        <f>IF($B64="","",COUNTIF(Penalties!$Q12:$Y12,E$55))</f>
        <v>0</v>
      </c>
      <c r="F64" s="549">
        <f>IF($B64="","",COUNTIF(Penalties!$Q12:$Y12,F$55))</f>
        <v>0</v>
      </c>
      <c r="G64" s="549">
        <f>IF($B64="","",COUNTIF(Penalties!$Q12:$Y12,G$55))</f>
        <v>0</v>
      </c>
      <c r="H64" s="549">
        <f>IF($B64="","",COUNTIF(Penalties!$Q12:$Y12,H$55))</f>
        <v>0</v>
      </c>
      <c r="I64" s="549">
        <f>IF($B64="","",COUNTIF(Penalties!$Q12:$Y12,I$55))</f>
        <v>0</v>
      </c>
      <c r="J64" s="549">
        <f>IF($B64="","",COUNTIF(Penalties!$Q12:$Y12,J$55))</f>
        <v>0</v>
      </c>
      <c r="K64" s="549">
        <f>IF($B64="","",COUNTIF(Penalties!$Q12:$Y12,K$55))</f>
        <v>0</v>
      </c>
      <c r="L64" s="549">
        <f>IF($B64="","",COUNTIF(Penalties!$Q12:$Y12,L$55))</f>
        <v>0</v>
      </c>
      <c r="M64" s="549">
        <f>IF($B64="","",COUNTIF(Penalties!$Q12:$Y12,M$55))</f>
        <v>0</v>
      </c>
      <c r="N64" s="549">
        <f>IF($B64="","",COUNTIF(Penalties!$Q12:$Y12,N$55))</f>
        <v>0</v>
      </c>
      <c r="O64" s="549">
        <f>IF($B64="","",COUNTIF(Penalties!$Q12:$Y12,O$55))</f>
        <v>0</v>
      </c>
      <c r="P64" s="549">
        <f>IF($B64="","",COUNTIF(Penalties!$Q12:$Y12,P$55))</f>
        <v>0</v>
      </c>
      <c r="Q64" s="549">
        <f>IF($B64="","",COUNTIF(Penalties!$Q12:$Y12,Q$55))</f>
        <v>0</v>
      </c>
      <c r="R64" s="549">
        <f>IF($B64="","",COUNTIF(Penalties!$Q12:$Y12,R$55))</f>
        <v>0</v>
      </c>
      <c r="S64" s="549">
        <f>IF($B64="","",COUNTIF(Penalties!$Q12:$Y12,S$55))</f>
        <v>0</v>
      </c>
      <c r="T64" s="549">
        <f>IF($B64="","",COUNTIF(Penalties!$Q12:$Y12,T$55))</f>
        <v>0</v>
      </c>
      <c r="U64" s="557">
        <f>IF(B64="","",SUM(E64:T64))</f>
        <v>0</v>
      </c>
      <c r="V64" s="558">
        <f>IF(B64="","",SUM(E64:T64)*0.5)</f>
        <v>0</v>
      </c>
      <c r="W64" s="559" t="str">
        <f>IF($B64="","",IF(Penalties!$Z12=W$55,1,""))</f>
        <v/>
      </c>
      <c r="X64" s="559" t="str">
        <f>IF($B64="","",IF(Penalties!$Z12=X$55,1,""))</f>
        <v/>
      </c>
      <c r="Y64" s="559" t="str">
        <f>IF($B64="","",IF(Penalties!$Z12=Y$55,1,""))</f>
        <v/>
      </c>
      <c r="Z64" s="559" t="str">
        <f>IF($B64="","",IF(Penalties!$Z12=Z$55,1,""))</f>
        <v/>
      </c>
      <c r="AA64" s="559" t="str">
        <f>IF($B64="","",IF(Penalties!$Z12=AA$55,1,""))</f>
        <v/>
      </c>
      <c r="AB64" s="559" t="str">
        <f>IF($B64="","",IF(Penalties!$Z12=AB$55,1,""))</f>
        <v/>
      </c>
      <c r="AC64" s="559" t="str">
        <f>IF($B64="","",IF(Penalties!$Z12=AC$55,1,""))</f>
        <v/>
      </c>
      <c r="AD64" s="559" t="str">
        <f>IF($B64="","",IF(Penalties!$Z12=AD$55,1,""))</f>
        <v/>
      </c>
      <c r="AE64" s="559" t="str">
        <f>IF($B64="","",IF(Penalties!$Z12=AE$55,1,""))</f>
        <v/>
      </c>
      <c r="AF64" s="559" t="str">
        <f>IF($B64="","",IF(Penalties!$Z12=AF$55,1,""))</f>
        <v/>
      </c>
      <c r="AG64" s="559" t="str">
        <f>IF($B64="","",IF(Penalties!$Z12=AG$55,1,""))</f>
        <v/>
      </c>
      <c r="AH64" s="559" t="str">
        <f>IF($B64="","",IF(Penalties!$Z12=AH$55,1,""))</f>
        <v/>
      </c>
      <c r="AI64" s="559" t="str">
        <f>IF($B64="","",IF(Penalties!$Z12=AI$55,1,""))</f>
        <v/>
      </c>
      <c r="AJ64" s="560"/>
      <c r="AK64" s="109"/>
      <c r="AL64" s="109"/>
      <c r="AM64" s="109"/>
      <c r="AN64" s="109"/>
      <c r="AO64" s="109"/>
      <c r="AP64" s="109"/>
      <c r="AQ64" s="109"/>
      <c r="AR64" s="109"/>
      <c r="AS64" s="109"/>
      <c r="AT64" s="109"/>
      <c r="AU64" s="109"/>
      <c r="AV64" s="109"/>
      <c r="AW64" s="109"/>
      <c r="AX64" s="109"/>
    </row>
    <row r="65" spans="1:50" x14ac:dyDescent="0.3">
      <c r="A65" s="1166"/>
      <c r="B65" s="1167"/>
      <c r="C65" s="1168"/>
      <c r="D65" s="556" t="s">
        <v>33</v>
      </c>
      <c r="E65" s="549">
        <f>IF($B64="","",COUNTIF(Penalties!$AS12:$BA12,E$55))</f>
        <v>0</v>
      </c>
      <c r="F65" s="549">
        <f>IF($B64="","",COUNTIF(Penalties!$AS12:$BA12,F$55))</f>
        <v>0</v>
      </c>
      <c r="G65" s="549">
        <f>IF($B64="","",COUNTIF(Penalties!$AS12:$BA12,G$55))</f>
        <v>0</v>
      </c>
      <c r="H65" s="549">
        <f>IF($B64="","",COUNTIF(Penalties!$AS12:$BA12,H$55))</f>
        <v>0</v>
      </c>
      <c r="I65" s="549">
        <f>IF($B64="","",COUNTIF(Penalties!$AS12:$BA12,I$55))</f>
        <v>0</v>
      </c>
      <c r="J65" s="549">
        <f>IF($B64="","",COUNTIF(Penalties!$AS12:$BA12,J$55))</f>
        <v>0</v>
      </c>
      <c r="K65" s="549">
        <f>IF($B64="","",COUNTIF(Penalties!$AS12:$BA12,K$55))</f>
        <v>0</v>
      </c>
      <c r="L65" s="549">
        <f>IF($B64="","",COUNTIF(Penalties!$AS12:$BA12,L$55))</f>
        <v>0</v>
      </c>
      <c r="M65" s="549">
        <f>IF($B64="","",COUNTIF(Penalties!$AS12:$BA12,M$55))</f>
        <v>0</v>
      </c>
      <c r="N65" s="549">
        <f>IF($B64="","",COUNTIF(Penalties!$AS12:$BA12,N$55))</f>
        <v>0</v>
      </c>
      <c r="O65" s="549">
        <f>IF($B64="","",COUNTIF(Penalties!$AS12:$BA12,O$55))</f>
        <v>1</v>
      </c>
      <c r="P65" s="549">
        <f>IF($B64="","",COUNTIF(Penalties!$AS12:$BA12,P$55))</f>
        <v>0</v>
      </c>
      <c r="Q65" s="549">
        <f>IF($B64="","",COUNTIF(Penalties!$AS12:$BA12,Q$55))</f>
        <v>0</v>
      </c>
      <c r="R65" s="549">
        <f>IF($B64="","",COUNTIF(Penalties!$AS12:$BA12,R$55))</f>
        <v>0</v>
      </c>
      <c r="S65" s="549">
        <f>IF($B64="","",COUNTIF(Penalties!$AS12:$BA12,S$55))</f>
        <v>0</v>
      </c>
      <c r="T65" s="549">
        <f>IF($B64="","",COUNTIF(Penalties!$AS12:$BA12,T$55))</f>
        <v>0</v>
      </c>
      <c r="U65" s="557">
        <f>IF(B64="","",SUM(E65:T65))</f>
        <v>1</v>
      </c>
      <c r="V65" s="558">
        <f>IF(B64="","",SUM(E65:T65)*0.5)</f>
        <v>0.5</v>
      </c>
      <c r="W65" s="559" t="str">
        <f>IF($B64="","",IF(Penalties!$BB12=W$55,1,""))</f>
        <v/>
      </c>
      <c r="X65" s="559" t="str">
        <f>IF($B64="","",IF(Penalties!$BB12=X$55,1,""))</f>
        <v/>
      </c>
      <c r="Y65" s="559" t="str">
        <f>IF($B64="","",IF(Penalties!$BB12=Y$55,1,""))</f>
        <v/>
      </c>
      <c r="Z65" s="559" t="str">
        <f>IF($B64="","",IF(Penalties!$BB12=Z$55,1,""))</f>
        <v/>
      </c>
      <c r="AA65" s="559" t="str">
        <f>IF($B64="","",IF(Penalties!$BB12=AA$55,1,""))</f>
        <v/>
      </c>
      <c r="AB65" s="559" t="str">
        <f>IF($B64="","",IF(Penalties!$BB12=AB$55,1,""))</f>
        <v/>
      </c>
      <c r="AC65" s="559" t="str">
        <f>IF($B64="","",IF(Penalties!$BB12=AC$55,1,""))</f>
        <v/>
      </c>
      <c r="AD65" s="559" t="str">
        <f>IF($B64="","",IF(Penalties!$BB12=AD$55,1,""))</f>
        <v/>
      </c>
      <c r="AE65" s="559" t="str">
        <f>IF($B64="","",IF(Penalties!$BB12=AE$55,1,""))</f>
        <v/>
      </c>
      <c r="AF65" s="559" t="str">
        <f>IF($B64="","",IF(Penalties!$BB12=AF$55,1,""))</f>
        <v/>
      </c>
      <c r="AG65" s="559" t="str">
        <f>IF($B64="","",IF(Penalties!$BB12=AG$55,1,""))</f>
        <v/>
      </c>
      <c r="AH65" s="559" t="str">
        <f>IF($B64="","",IF(Penalties!$BB12=AH$55,1,""))</f>
        <v/>
      </c>
      <c r="AI65" s="559" t="str">
        <f>IF($B64="","",IF(Penalties!$BB12=AI$55,1,""))</f>
        <v/>
      </c>
      <c r="AJ65" s="561" t="str">
        <f>IF(SUM(X64:AI65)=0, "", IF(SUM(X64:AI64)=1, LOOKUP(1, X64:AI64, $X$55:$AI$55), LOOKUP(1, X65:AI65, $X$55:$AI$55)))</f>
        <v/>
      </c>
      <c r="AK65" s="109"/>
      <c r="AL65" s="109"/>
      <c r="AM65" s="109"/>
      <c r="AN65" s="109"/>
      <c r="AO65" s="109"/>
      <c r="AP65" s="109"/>
      <c r="AQ65" s="109"/>
      <c r="AR65" s="109"/>
      <c r="AS65" s="109"/>
      <c r="AT65" s="109"/>
      <c r="AU65" s="109"/>
      <c r="AV65" s="109"/>
      <c r="AW65" s="109"/>
      <c r="AX65" s="109"/>
    </row>
    <row r="66" spans="1:50" x14ac:dyDescent="0.3">
      <c r="A66" s="1163">
        <f>A64+1</f>
        <v>6</v>
      </c>
      <c r="B66" s="1164" t="str">
        <f>IF(IGRF!H19="","",IGRF!H19)</f>
        <v>2611</v>
      </c>
      <c r="C66" s="1165" t="str">
        <f>IF(IGRF!I19="","",IGRF!I19)</f>
        <v>Va Va BOOM</v>
      </c>
      <c r="D66" s="550" t="s">
        <v>17</v>
      </c>
      <c r="E66" s="550">
        <f>IF($B66="","",COUNTIF(Penalties!$Q14:$Y14,E$55))</f>
        <v>0</v>
      </c>
      <c r="F66" s="550">
        <f>IF($B66="","",COUNTIF(Penalties!$Q14:$Y14,F$55))</f>
        <v>0</v>
      </c>
      <c r="G66" s="550">
        <f>IF($B66="","",COUNTIF(Penalties!$Q14:$Y14,G$55))</f>
        <v>0</v>
      </c>
      <c r="H66" s="550">
        <f>IF($B66="","",COUNTIF(Penalties!$Q14:$Y14,H$55))</f>
        <v>1</v>
      </c>
      <c r="I66" s="550">
        <f>IF($B66="","",COUNTIF(Penalties!$Q14:$Y14,I$55))</f>
        <v>0</v>
      </c>
      <c r="J66" s="550">
        <f>IF($B66="","",COUNTIF(Penalties!$Q14:$Y14,J$55))</f>
        <v>0</v>
      </c>
      <c r="K66" s="550">
        <f>IF($B66="","",COUNTIF(Penalties!$Q14:$Y14,K$55))</f>
        <v>0</v>
      </c>
      <c r="L66" s="550">
        <f>IF($B66="","",COUNTIF(Penalties!$Q14:$Y14,L$55))</f>
        <v>0</v>
      </c>
      <c r="M66" s="550">
        <f>IF($B66="","",COUNTIF(Penalties!$Q14:$Y14,M$55))</f>
        <v>0</v>
      </c>
      <c r="N66" s="550">
        <f>IF($B66="","",COUNTIF(Penalties!$Q14:$Y14,N$55))</f>
        <v>1</v>
      </c>
      <c r="O66" s="550">
        <f>IF($B66="","",COUNTIF(Penalties!$Q14:$Y14,O$55))</f>
        <v>0</v>
      </c>
      <c r="P66" s="550">
        <f>IF($B66="","",COUNTIF(Penalties!$Q14:$Y14,P$55))</f>
        <v>0</v>
      </c>
      <c r="Q66" s="550">
        <f>IF($B66="","",COUNTIF(Penalties!$Q14:$Y14,Q$55))</f>
        <v>0</v>
      </c>
      <c r="R66" s="550">
        <f>IF($B66="","",COUNTIF(Penalties!$Q14:$Y14,R$55))</f>
        <v>0</v>
      </c>
      <c r="S66" s="550">
        <f>IF($B66="","",COUNTIF(Penalties!$Q14:$Y14,S$55))</f>
        <v>0</v>
      </c>
      <c r="T66" s="550">
        <f>IF($B66="","",COUNTIF(Penalties!$Q14:$Y14,T$55))</f>
        <v>0</v>
      </c>
      <c r="U66" s="562">
        <f>IF(B66="","",SUM(E66:T66))</f>
        <v>2</v>
      </c>
      <c r="V66" s="563">
        <f>IF(B66="","",SUM(E66:T66)*0.5)</f>
        <v>1</v>
      </c>
      <c r="W66" s="564" t="str">
        <f>IF($B66="","",IF(Penalties!$Z14=W$55,1,""))</f>
        <v/>
      </c>
      <c r="X66" s="564" t="str">
        <f>IF($B66="","",IF(Penalties!$Z14=X$55,1,""))</f>
        <v/>
      </c>
      <c r="Y66" s="564" t="str">
        <f>IF($B66="","",IF(Penalties!$Z14=Y$55,1,""))</f>
        <v/>
      </c>
      <c r="Z66" s="564" t="str">
        <f>IF($B66="","",IF(Penalties!$Z14=Z$55,1,""))</f>
        <v/>
      </c>
      <c r="AA66" s="564" t="str">
        <f>IF($B66="","",IF(Penalties!$Z14=AA$55,1,""))</f>
        <v/>
      </c>
      <c r="AB66" s="564" t="str">
        <f>IF($B66="","",IF(Penalties!$Z14=AB$55,1,""))</f>
        <v/>
      </c>
      <c r="AC66" s="564" t="str">
        <f>IF($B66="","",IF(Penalties!$Z14=AC$55,1,""))</f>
        <v/>
      </c>
      <c r="AD66" s="564" t="str">
        <f>IF($B66="","",IF(Penalties!$Z14=AD$55,1,""))</f>
        <v/>
      </c>
      <c r="AE66" s="564" t="str">
        <f>IF($B66="","",IF(Penalties!$Z14=AE$55,1,""))</f>
        <v/>
      </c>
      <c r="AF66" s="564" t="str">
        <f>IF($B66="","",IF(Penalties!$Z14=AF$55,1,""))</f>
        <v/>
      </c>
      <c r="AG66" s="564" t="str">
        <f>IF($B66="","",IF(Penalties!$Z14=AG$55,1,""))</f>
        <v/>
      </c>
      <c r="AH66" s="564" t="str">
        <f>IF($B66="","",IF(Penalties!$Z14=AH$55,1,""))</f>
        <v/>
      </c>
      <c r="AI66" s="564" t="str">
        <f>IF($B66="","",IF(Penalties!$Z14=AI$55,1,""))</f>
        <v/>
      </c>
      <c r="AJ66" s="565"/>
      <c r="AK66" s="109"/>
      <c r="AL66" s="109"/>
      <c r="AM66" s="109"/>
      <c r="AN66" s="109"/>
      <c r="AO66" s="109"/>
      <c r="AP66" s="109"/>
      <c r="AQ66" s="109"/>
      <c r="AR66" s="109"/>
      <c r="AS66" s="109"/>
      <c r="AT66" s="109"/>
      <c r="AU66" s="109"/>
      <c r="AV66" s="109"/>
      <c r="AW66" s="109"/>
      <c r="AX66" s="109"/>
    </row>
    <row r="67" spans="1:50" ht="14.4" thickBot="1" x14ac:dyDescent="0.35">
      <c r="A67" s="1163"/>
      <c r="B67" s="1164"/>
      <c r="C67" s="1165"/>
      <c r="D67" s="550" t="s">
        <v>33</v>
      </c>
      <c r="E67" s="550">
        <f>IF($B66="","",COUNTIF(Penalties!$AS14:$BA14,E$55))</f>
        <v>0</v>
      </c>
      <c r="F67" s="550">
        <f>IF($B66="","",COUNTIF(Penalties!$AS14:$BA14,F$55))</f>
        <v>0</v>
      </c>
      <c r="G67" s="550">
        <f>IF($B66="","",COUNTIF(Penalties!$AS14:$BA14,G$55))</f>
        <v>0</v>
      </c>
      <c r="H67" s="550">
        <f>IF($B66="","",COUNTIF(Penalties!$AS14:$BA14,H$55))</f>
        <v>0</v>
      </c>
      <c r="I67" s="550">
        <f>IF($B66="","",COUNTIF(Penalties!$AS14:$BA14,I$55))</f>
        <v>0</v>
      </c>
      <c r="J67" s="550">
        <f>IF($B66="","",COUNTIF(Penalties!$AS14:$BA14,J$55))</f>
        <v>0</v>
      </c>
      <c r="K67" s="550">
        <f>IF($B66="","",COUNTIF(Penalties!$AS14:$BA14,K$55))</f>
        <v>0</v>
      </c>
      <c r="L67" s="550">
        <f>IF($B66="","",COUNTIF(Penalties!$AS14:$BA14,L$55))</f>
        <v>0</v>
      </c>
      <c r="M67" s="550">
        <f>IF($B66="","",COUNTIF(Penalties!$AS14:$BA14,M$55))</f>
        <v>1</v>
      </c>
      <c r="N67" s="550">
        <f>IF($B66="","",COUNTIF(Penalties!$AS14:$BA14,N$55))</f>
        <v>0</v>
      </c>
      <c r="O67" s="550">
        <f>IF($B66="","",COUNTIF(Penalties!$AS14:$BA14,O$55))</f>
        <v>0</v>
      </c>
      <c r="P67" s="550">
        <f>IF($B66="","",COUNTIF(Penalties!$AS14:$BA14,P$55))</f>
        <v>0</v>
      </c>
      <c r="Q67" s="550">
        <f>IF($B66="","",COUNTIF(Penalties!$AS14:$BA14,Q$55))</f>
        <v>0</v>
      </c>
      <c r="R67" s="550">
        <f>IF($B66="","",COUNTIF(Penalties!$AS14:$BA14,R$55))</f>
        <v>0</v>
      </c>
      <c r="S67" s="550">
        <f>IF($B66="","",COUNTIF(Penalties!$AS14:$BA14,S$55))</f>
        <v>0</v>
      </c>
      <c r="T67" s="550">
        <f>IF($B66="","",COUNTIF(Penalties!$AS14:$BA14,T$55))</f>
        <v>0</v>
      </c>
      <c r="U67" s="562">
        <f>IF(B66="","",SUM(E67:T67))</f>
        <v>1</v>
      </c>
      <c r="V67" s="563">
        <f>IF(B66="","",SUM(E67:T67)*0.5)</f>
        <v>0.5</v>
      </c>
      <c r="W67" s="564" t="str">
        <f>IF($B66="","",IF(Penalties!$BB14=W$55,1,""))</f>
        <v/>
      </c>
      <c r="X67" s="564" t="str">
        <f>IF($B66="","",IF(Penalties!$BB14=X$55,1,""))</f>
        <v/>
      </c>
      <c r="Y67" s="564" t="str">
        <f>IF($B66="","",IF(Penalties!$BB14=Y$55,1,""))</f>
        <v/>
      </c>
      <c r="Z67" s="564" t="str">
        <f>IF($B66="","",IF(Penalties!$BB14=Z$55,1,""))</f>
        <v/>
      </c>
      <c r="AA67" s="564" t="str">
        <f>IF($B66="","",IF(Penalties!$BB14=AA$55,1,""))</f>
        <v/>
      </c>
      <c r="AB67" s="564" t="str">
        <f>IF($B66="","",IF(Penalties!$BB14=AB$55,1,""))</f>
        <v/>
      </c>
      <c r="AC67" s="564" t="str">
        <f>IF($B66="","",IF(Penalties!$BB14=AC$55,1,""))</f>
        <v/>
      </c>
      <c r="AD67" s="564" t="str">
        <f>IF($B66="","",IF(Penalties!$BB14=AD$55,1,""))</f>
        <v/>
      </c>
      <c r="AE67" s="564" t="str">
        <f>IF($B66="","",IF(Penalties!$BB14=AE$55,1,""))</f>
        <v/>
      </c>
      <c r="AF67" s="564" t="str">
        <f>IF($B66="","",IF(Penalties!$BB14=AF$55,1,""))</f>
        <v/>
      </c>
      <c r="AG67" s="564" t="str">
        <f>IF($B66="","",IF(Penalties!$BB14=AG$55,1,""))</f>
        <v/>
      </c>
      <c r="AH67" s="564" t="str">
        <f>IF($B66="","",IF(Penalties!$BB14=AH$55,1,""))</f>
        <v/>
      </c>
      <c r="AI67" s="564" t="str">
        <f>IF($B66="","",IF(Penalties!$BB14=AI$55,1,""))</f>
        <v/>
      </c>
      <c r="AJ67" s="566" t="str">
        <f>IF(SUM(X66:AI67)=0, "", IF(SUM(X66:AI66)=1, LOOKUP(1, X66:AI66, $X$55:$AI$55), LOOKUP(1, X67:AI67, $X$55:$AI$55)))</f>
        <v/>
      </c>
      <c r="AK67" s="109"/>
      <c r="AL67" s="109"/>
      <c r="AM67" s="109"/>
      <c r="AN67" s="109"/>
      <c r="AO67" s="109"/>
      <c r="AP67" s="109"/>
      <c r="AQ67" s="109"/>
      <c r="AR67" s="109"/>
      <c r="AS67" s="109"/>
      <c r="AT67" s="109"/>
      <c r="AU67" s="109"/>
      <c r="AV67" s="109"/>
      <c r="AW67" s="109"/>
      <c r="AX67" s="109"/>
    </row>
    <row r="68" spans="1:50" x14ac:dyDescent="0.3">
      <c r="A68" s="1166">
        <f>A66+1</f>
        <v>7</v>
      </c>
      <c r="B68" s="1167" t="str">
        <f>IF(IGRF!H20="","",IGRF!H20)</f>
        <v>45</v>
      </c>
      <c r="C68" s="1168" t="str">
        <f>IF(IGRF!I20="","",IGRF!I20)</f>
        <v>Miss Carriage</v>
      </c>
      <c r="D68" s="556" t="s">
        <v>17</v>
      </c>
      <c r="E68" s="549">
        <f>IF($B68="","",COUNTIF(Penalties!$Q16:$Y16,E$55))</f>
        <v>0</v>
      </c>
      <c r="F68" s="549">
        <f>IF($B68="","",COUNTIF(Penalties!$Q16:$Y16,F$55))</f>
        <v>0</v>
      </c>
      <c r="G68" s="549">
        <f>IF($B68="","",COUNTIF(Penalties!$Q16:$Y16,G$55))</f>
        <v>0</v>
      </c>
      <c r="H68" s="549">
        <f>IF($B68="","",COUNTIF(Penalties!$Q16:$Y16,H$55))</f>
        <v>0</v>
      </c>
      <c r="I68" s="549">
        <f>IF($B68="","",COUNTIF(Penalties!$Q16:$Y16,I$55))</f>
        <v>0</v>
      </c>
      <c r="J68" s="549">
        <f>IF($B68="","",COUNTIF(Penalties!$Q16:$Y16,J$55))</f>
        <v>0</v>
      </c>
      <c r="K68" s="549">
        <f>IF($B68="","",COUNTIF(Penalties!$Q16:$Y16,K$55))</f>
        <v>0</v>
      </c>
      <c r="L68" s="549">
        <f>IF($B68="","",COUNTIF(Penalties!$Q16:$Y16,L$55))</f>
        <v>0</v>
      </c>
      <c r="M68" s="549">
        <f>IF($B68="","",COUNTIF(Penalties!$Q16:$Y16,M$55))</f>
        <v>0</v>
      </c>
      <c r="N68" s="549">
        <f>IF($B68="","",COUNTIF(Penalties!$Q16:$Y16,N$55))</f>
        <v>0</v>
      </c>
      <c r="O68" s="549">
        <f>IF($B68="","",COUNTIF(Penalties!$Q16:$Y16,O$55))</f>
        <v>0</v>
      </c>
      <c r="P68" s="549">
        <f>IF($B68="","",COUNTIF(Penalties!$Q16:$Y16,P$55))</f>
        <v>0</v>
      </c>
      <c r="Q68" s="549">
        <f>IF($B68="","",COUNTIF(Penalties!$Q16:$Y16,Q$55))</f>
        <v>0</v>
      </c>
      <c r="R68" s="549">
        <f>IF($B68="","",COUNTIF(Penalties!$Q16:$Y16,R$55))</f>
        <v>0</v>
      </c>
      <c r="S68" s="549">
        <f>IF($B68="","",COUNTIF(Penalties!$Q16:$Y16,S$55))</f>
        <v>0</v>
      </c>
      <c r="T68" s="549">
        <f>IF($B68="","",COUNTIF(Penalties!$Q16:$Y16,T$55))</f>
        <v>0</v>
      </c>
      <c r="U68" s="557">
        <f>IF(B68="","",SUM(E68:T68))</f>
        <v>0</v>
      </c>
      <c r="V68" s="558">
        <f>IF(B68="","",SUM(E68:T68)*0.5)</f>
        <v>0</v>
      </c>
      <c r="W68" s="559" t="str">
        <f>IF($B68="","",IF(Penalties!$Z16=W$55,1,""))</f>
        <v/>
      </c>
      <c r="X68" s="559" t="str">
        <f>IF($B68="","",IF(Penalties!$Z16=X$55,1,""))</f>
        <v/>
      </c>
      <c r="Y68" s="559" t="str">
        <f>IF($B68="","",IF(Penalties!$Z16=Y$55,1,""))</f>
        <v/>
      </c>
      <c r="Z68" s="559" t="str">
        <f>IF($B68="","",IF(Penalties!$Z16=Z$55,1,""))</f>
        <v/>
      </c>
      <c r="AA68" s="559" t="str">
        <f>IF($B68="","",IF(Penalties!$Z16=AA$55,1,""))</f>
        <v/>
      </c>
      <c r="AB68" s="559" t="str">
        <f>IF($B68="","",IF(Penalties!$Z16=AB$55,1,""))</f>
        <v/>
      </c>
      <c r="AC68" s="559" t="str">
        <f>IF($B68="","",IF(Penalties!$Z16=AC$55,1,""))</f>
        <v/>
      </c>
      <c r="AD68" s="559" t="str">
        <f>IF($B68="","",IF(Penalties!$Z16=AD$55,1,""))</f>
        <v/>
      </c>
      <c r="AE68" s="559" t="str">
        <f>IF($B68="","",IF(Penalties!$Z16=AE$55,1,""))</f>
        <v/>
      </c>
      <c r="AF68" s="559" t="str">
        <f>IF($B68="","",IF(Penalties!$Z16=AF$55,1,""))</f>
        <v/>
      </c>
      <c r="AG68" s="559" t="str">
        <f>IF($B68="","",IF(Penalties!$Z16=AG$55,1,""))</f>
        <v/>
      </c>
      <c r="AH68" s="559" t="str">
        <f>IF($B68="","",IF(Penalties!$Z16=AH$55,1,""))</f>
        <v/>
      </c>
      <c r="AI68" s="559" t="str">
        <f>IF($B68="","",IF(Penalties!$Z16=AI$55,1,""))</f>
        <v/>
      </c>
      <c r="AJ68" s="560"/>
      <c r="AK68" s="109"/>
      <c r="AL68" s="109"/>
      <c r="AM68" s="109"/>
      <c r="AN68" s="109"/>
      <c r="AO68" s="109"/>
      <c r="AP68" s="109"/>
      <c r="AQ68" s="109"/>
      <c r="AR68" s="109"/>
      <c r="AS68" s="109"/>
      <c r="AT68" s="109"/>
      <c r="AU68" s="109"/>
      <c r="AV68" s="109"/>
      <c r="AW68" s="109"/>
      <c r="AX68" s="109"/>
    </row>
    <row r="69" spans="1:50" x14ac:dyDescent="0.3">
      <c r="A69" s="1166"/>
      <c r="B69" s="1167"/>
      <c r="C69" s="1168"/>
      <c r="D69" s="556" t="s">
        <v>33</v>
      </c>
      <c r="E69" s="549">
        <f>IF($B68="","",COUNTIF(Penalties!$AS16:$BA16,E$55))</f>
        <v>0</v>
      </c>
      <c r="F69" s="549">
        <f>IF($B68="","",COUNTIF(Penalties!$AS16:$BA16,F$55))</f>
        <v>0</v>
      </c>
      <c r="G69" s="549">
        <f>IF($B68="","",COUNTIF(Penalties!$AS16:$BA16,G$55))</f>
        <v>0</v>
      </c>
      <c r="H69" s="549">
        <f>IF($B68="","",COUNTIF(Penalties!$AS16:$BA16,H$55))</f>
        <v>0</v>
      </c>
      <c r="I69" s="549">
        <f>IF($B68="","",COUNTIF(Penalties!$AS16:$BA16,I$55))</f>
        <v>0</v>
      </c>
      <c r="J69" s="549">
        <f>IF($B68="","",COUNTIF(Penalties!$AS16:$BA16,J$55))</f>
        <v>0</v>
      </c>
      <c r="K69" s="549">
        <f>IF($B68="","",COUNTIF(Penalties!$AS16:$BA16,K$55))</f>
        <v>0</v>
      </c>
      <c r="L69" s="549">
        <f>IF($B68="","",COUNTIF(Penalties!$AS16:$BA16,L$55))</f>
        <v>0</v>
      </c>
      <c r="M69" s="549">
        <f>IF($B68="","",COUNTIF(Penalties!$AS16:$BA16,M$55))</f>
        <v>0</v>
      </c>
      <c r="N69" s="549">
        <f>IF($B68="","",COUNTIF(Penalties!$AS16:$BA16,N$55))</f>
        <v>0</v>
      </c>
      <c r="O69" s="549">
        <f>IF($B68="","",COUNTIF(Penalties!$AS16:$BA16,O$55))</f>
        <v>1</v>
      </c>
      <c r="P69" s="549">
        <f>IF($B68="","",COUNTIF(Penalties!$AS16:$BA16,P$55))</f>
        <v>0</v>
      </c>
      <c r="Q69" s="549">
        <f>IF($B68="","",COUNTIF(Penalties!$AS16:$BA16,Q$55))</f>
        <v>0</v>
      </c>
      <c r="R69" s="549">
        <f>IF($B68="","",COUNTIF(Penalties!$AS16:$BA16,R$55))</f>
        <v>0</v>
      </c>
      <c r="S69" s="549">
        <f>IF($B68="","",COUNTIF(Penalties!$AS16:$BA16,S$55))</f>
        <v>0</v>
      </c>
      <c r="T69" s="549">
        <f>IF($B68="","",COUNTIF(Penalties!$AS16:$BA16,T$55))</f>
        <v>0</v>
      </c>
      <c r="U69" s="557">
        <f>IF(B68="","",SUM(E69:T69))</f>
        <v>1</v>
      </c>
      <c r="V69" s="558">
        <f>IF(B68="","",SUM(E69:T69)*0.5)</f>
        <v>0.5</v>
      </c>
      <c r="W69" s="559" t="str">
        <f>IF($B68="","",IF(Penalties!$BB16=W$55,1,""))</f>
        <v/>
      </c>
      <c r="X69" s="559" t="str">
        <f>IF($B68="","",IF(Penalties!$BB16=X$55,1,""))</f>
        <v/>
      </c>
      <c r="Y69" s="559" t="str">
        <f>IF($B68="","",IF(Penalties!$BB16=Y$55,1,""))</f>
        <v/>
      </c>
      <c r="Z69" s="559" t="str">
        <f>IF($B68="","",IF(Penalties!$BB16=Z$55,1,""))</f>
        <v/>
      </c>
      <c r="AA69" s="559" t="str">
        <f>IF($B68="","",IF(Penalties!$BB16=AA$55,1,""))</f>
        <v/>
      </c>
      <c r="AB69" s="559" t="str">
        <f>IF($B68="","",IF(Penalties!$BB16=AB$55,1,""))</f>
        <v/>
      </c>
      <c r="AC69" s="559" t="str">
        <f>IF($B68="","",IF(Penalties!$BB16=AC$55,1,""))</f>
        <v/>
      </c>
      <c r="AD69" s="559" t="str">
        <f>IF($B68="","",IF(Penalties!$BB16=AD$55,1,""))</f>
        <v/>
      </c>
      <c r="AE69" s="559" t="str">
        <f>IF($B68="","",IF(Penalties!$BB16=AE$55,1,""))</f>
        <v/>
      </c>
      <c r="AF69" s="559" t="str">
        <f>IF($B68="","",IF(Penalties!$BB16=AF$55,1,""))</f>
        <v/>
      </c>
      <c r="AG69" s="559" t="str">
        <f>IF($B68="","",IF(Penalties!$BB16=AG$55,1,""))</f>
        <v/>
      </c>
      <c r="AH69" s="559" t="str">
        <f>IF($B68="","",IF(Penalties!$BB16=AH$55,1,""))</f>
        <v/>
      </c>
      <c r="AI69" s="559" t="str">
        <f>IF($B68="","",IF(Penalties!$BB16=AI$55,1,""))</f>
        <v/>
      </c>
      <c r="AJ69" s="561" t="str">
        <f>IF(SUM(X68:AI69)=0, "", IF(SUM(X68:AI68)=1, LOOKUP(1, X68:AI68, $X$55:$AI$55), LOOKUP(1, X69:AI69, $X$55:$AI$55)))</f>
        <v/>
      </c>
      <c r="AK69" s="109"/>
      <c r="AL69" s="109"/>
      <c r="AM69" s="109"/>
      <c r="AN69" s="109"/>
      <c r="AO69" s="109"/>
      <c r="AP69" s="109"/>
      <c r="AQ69" s="109"/>
      <c r="AR69" s="109"/>
      <c r="AS69" s="109"/>
      <c r="AT69" s="109"/>
      <c r="AU69" s="109"/>
      <c r="AV69" s="109"/>
      <c r="AW69" s="109"/>
      <c r="AX69" s="109"/>
    </row>
    <row r="70" spans="1:50" x14ac:dyDescent="0.3">
      <c r="A70" s="1163">
        <f>A68+1</f>
        <v>8</v>
      </c>
      <c r="B70" s="1164" t="str">
        <f>IF(IGRF!H21="","",IGRF!H21)</f>
        <v>451</v>
      </c>
      <c r="C70" s="1165" t="str">
        <f>IF(IGRF!I21="","",IGRF!I21)</f>
        <v>fErinheit</v>
      </c>
      <c r="D70" s="550" t="s">
        <v>17</v>
      </c>
      <c r="E70" s="550">
        <f>IF($B70="","",COUNTIF(Penalties!$Q18:$Y18,E$55))</f>
        <v>0</v>
      </c>
      <c r="F70" s="550">
        <f>IF($B70="","",COUNTIF(Penalties!$Q18:$Y18,F$55))</f>
        <v>0</v>
      </c>
      <c r="G70" s="550">
        <f>IF($B70="","",COUNTIF(Penalties!$Q18:$Y18,G$55))</f>
        <v>0</v>
      </c>
      <c r="H70" s="550">
        <f>IF($B70="","",COUNTIF(Penalties!$Q18:$Y18,H$55))</f>
        <v>0</v>
      </c>
      <c r="I70" s="550">
        <f>IF($B70="","",COUNTIF(Penalties!$Q18:$Y18,I$55))</f>
        <v>0</v>
      </c>
      <c r="J70" s="550">
        <f>IF($B70="","",COUNTIF(Penalties!$Q18:$Y18,J$55))</f>
        <v>0</v>
      </c>
      <c r="K70" s="550">
        <f>IF($B70="","",COUNTIF(Penalties!$Q18:$Y18,K$55))</f>
        <v>0</v>
      </c>
      <c r="L70" s="550">
        <f>IF($B70="","",COUNTIF(Penalties!$Q18:$Y18,L$55))</f>
        <v>0</v>
      </c>
      <c r="M70" s="550">
        <f>IF($B70="","",COUNTIF(Penalties!$Q18:$Y18,M$55))</f>
        <v>0</v>
      </c>
      <c r="N70" s="550">
        <f>IF($B70="","",COUNTIF(Penalties!$Q18:$Y18,N$55))</f>
        <v>0</v>
      </c>
      <c r="O70" s="550">
        <f>IF($B70="","",COUNTIF(Penalties!$Q18:$Y18,O$55))</f>
        <v>0</v>
      </c>
      <c r="P70" s="550">
        <f>IF($B70="","",COUNTIF(Penalties!$Q18:$Y18,P$55))</f>
        <v>0</v>
      </c>
      <c r="Q70" s="550">
        <f>IF($B70="","",COUNTIF(Penalties!$Q18:$Y18,Q$55))</f>
        <v>0</v>
      </c>
      <c r="R70" s="550">
        <f>IF($B70="","",COUNTIF(Penalties!$Q18:$Y18,R$55))</f>
        <v>0</v>
      </c>
      <c r="S70" s="550">
        <f>IF($B70="","",COUNTIF(Penalties!$Q18:$Y18,S$55))</f>
        <v>0</v>
      </c>
      <c r="T70" s="550">
        <f>IF($B70="","",COUNTIF(Penalties!$Q18:$Y18,T$55))</f>
        <v>0</v>
      </c>
      <c r="U70" s="562">
        <f>IF(B70="","",SUM(E70:T70))</f>
        <v>0</v>
      </c>
      <c r="V70" s="563">
        <f>IF(B70="","",SUM(E70:T70)*0.5)</f>
        <v>0</v>
      </c>
      <c r="W70" s="564" t="str">
        <f>IF($B70="","",IF(Penalties!$Z18=W$55,1,""))</f>
        <v/>
      </c>
      <c r="X70" s="564" t="str">
        <f>IF($B70="","",IF(Penalties!$Z18=X$55,1,""))</f>
        <v/>
      </c>
      <c r="Y70" s="564" t="str">
        <f>IF($B70="","",IF(Penalties!$Z18=Y$55,1,""))</f>
        <v/>
      </c>
      <c r="Z70" s="564" t="str">
        <f>IF($B70="","",IF(Penalties!$Z18=Z$55,1,""))</f>
        <v/>
      </c>
      <c r="AA70" s="564" t="str">
        <f>IF($B70="","",IF(Penalties!$Z18=AA$55,1,""))</f>
        <v/>
      </c>
      <c r="AB70" s="564" t="str">
        <f>IF($B70="","",IF(Penalties!$Z18=AB$55,1,""))</f>
        <v/>
      </c>
      <c r="AC70" s="564" t="str">
        <f>IF($B70="","",IF(Penalties!$Z18=AC$55,1,""))</f>
        <v/>
      </c>
      <c r="AD70" s="564" t="str">
        <f>IF($B70="","",IF(Penalties!$Z18=AD$55,1,""))</f>
        <v/>
      </c>
      <c r="AE70" s="564" t="str">
        <f>IF($B70="","",IF(Penalties!$Z18=AE$55,1,""))</f>
        <v/>
      </c>
      <c r="AF70" s="564" t="str">
        <f>IF($B70="","",IF(Penalties!$Z18=AF$55,1,""))</f>
        <v/>
      </c>
      <c r="AG70" s="564" t="str">
        <f>IF($B70="","",IF(Penalties!$Z18=AG$55,1,""))</f>
        <v/>
      </c>
      <c r="AH70" s="564" t="str">
        <f>IF($B70="","",IF(Penalties!$Z18=AH$55,1,""))</f>
        <v/>
      </c>
      <c r="AI70" s="564" t="str">
        <f>IF($B70="","",IF(Penalties!$Z18=AI$55,1,""))</f>
        <v/>
      </c>
      <c r="AJ70" s="565"/>
      <c r="AK70" s="109"/>
      <c r="AL70" s="109"/>
      <c r="AM70" s="109"/>
      <c r="AN70" s="109"/>
      <c r="AO70" s="109"/>
      <c r="AP70" s="109"/>
      <c r="AQ70" s="109"/>
      <c r="AR70" s="109"/>
      <c r="AS70" s="109"/>
      <c r="AT70" s="109"/>
      <c r="AU70" s="109"/>
      <c r="AV70" s="109"/>
      <c r="AW70" s="109"/>
      <c r="AX70" s="109"/>
    </row>
    <row r="71" spans="1:50" ht="14.4" thickBot="1" x14ac:dyDescent="0.35">
      <c r="A71" s="1163"/>
      <c r="B71" s="1164"/>
      <c r="C71" s="1165"/>
      <c r="D71" s="550" t="s">
        <v>33</v>
      </c>
      <c r="E71" s="550">
        <f>IF($B70="","",COUNTIF(Penalties!$AS18:$BA18,E$55))</f>
        <v>0</v>
      </c>
      <c r="F71" s="550">
        <f>IF($B70="","",COUNTIF(Penalties!$AS18:$BA18,F$55))</f>
        <v>0</v>
      </c>
      <c r="G71" s="550">
        <f>IF($B70="","",COUNTIF(Penalties!$AS18:$BA18,G$55))</f>
        <v>0</v>
      </c>
      <c r="H71" s="550">
        <f>IF($B70="","",COUNTIF(Penalties!$AS18:$BA18,H$55))</f>
        <v>0</v>
      </c>
      <c r="I71" s="550">
        <f>IF($B70="","",COUNTIF(Penalties!$AS18:$BA18,I$55))</f>
        <v>0</v>
      </c>
      <c r="J71" s="550">
        <f>IF($B70="","",COUNTIF(Penalties!$AS18:$BA18,J$55))</f>
        <v>0</v>
      </c>
      <c r="K71" s="550">
        <f>IF($B70="","",COUNTIF(Penalties!$AS18:$BA18,K$55))</f>
        <v>0</v>
      </c>
      <c r="L71" s="550">
        <f>IF($B70="","",COUNTIF(Penalties!$AS18:$BA18,L$55))</f>
        <v>0</v>
      </c>
      <c r="M71" s="550">
        <f>IF($B70="","",COUNTIF(Penalties!$AS18:$BA18,M$55))</f>
        <v>0</v>
      </c>
      <c r="N71" s="550">
        <f>IF($B70="","",COUNTIF(Penalties!$AS18:$BA18,N$55))</f>
        <v>1</v>
      </c>
      <c r="O71" s="550">
        <f>IF($B70="","",COUNTIF(Penalties!$AS18:$BA18,O$55))</f>
        <v>0</v>
      </c>
      <c r="P71" s="550">
        <f>IF($B70="","",COUNTIF(Penalties!$AS18:$BA18,P$55))</f>
        <v>0</v>
      </c>
      <c r="Q71" s="550">
        <f>IF($B70="","",COUNTIF(Penalties!$AS18:$BA18,Q$55))</f>
        <v>0</v>
      </c>
      <c r="R71" s="550">
        <f>IF($B70="","",COUNTIF(Penalties!$AS18:$BA18,R$55))</f>
        <v>0</v>
      </c>
      <c r="S71" s="550">
        <f>IF($B70="","",COUNTIF(Penalties!$AS18:$BA18,S$55))</f>
        <v>0</v>
      </c>
      <c r="T71" s="550">
        <f>IF($B70="","",COUNTIF(Penalties!$AS18:$BA18,T$55))</f>
        <v>0</v>
      </c>
      <c r="U71" s="562">
        <f>IF(B70="","",SUM(E71:T71))</f>
        <v>1</v>
      </c>
      <c r="V71" s="563">
        <f>IF(B70="","",SUM(E71:T71)*0.5)</f>
        <v>0.5</v>
      </c>
      <c r="W71" s="564" t="str">
        <f>IF($B70="","",IF(Penalties!$BB18=W$55,1,""))</f>
        <v/>
      </c>
      <c r="X71" s="564" t="str">
        <f>IF($B70="","",IF(Penalties!$BB18=X$55,1,""))</f>
        <v/>
      </c>
      <c r="Y71" s="564" t="str">
        <f>IF($B70="","",IF(Penalties!$BB18=Y$55,1,""))</f>
        <v/>
      </c>
      <c r="Z71" s="564" t="str">
        <f>IF($B70="","",IF(Penalties!$BB18=Z$55,1,""))</f>
        <v/>
      </c>
      <c r="AA71" s="564" t="str">
        <f>IF($B70="","",IF(Penalties!$BB18=AA$55,1,""))</f>
        <v/>
      </c>
      <c r="AB71" s="564" t="str">
        <f>IF($B70="","",IF(Penalties!$BB18=AB$55,1,""))</f>
        <v/>
      </c>
      <c r="AC71" s="564" t="str">
        <f>IF($B70="","",IF(Penalties!$BB18=AC$55,1,""))</f>
        <v/>
      </c>
      <c r="AD71" s="564" t="str">
        <f>IF($B70="","",IF(Penalties!$BB18=AD$55,1,""))</f>
        <v/>
      </c>
      <c r="AE71" s="564" t="str">
        <f>IF($B70="","",IF(Penalties!$BB18=AE$55,1,""))</f>
        <v/>
      </c>
      <c r="AF71" s="564" t="str">
        <f>IF($B70="","",IF(Penalties!$BB18=AF$55,1,""))</f>
        <v/>
      </c>
      <c r="AG71" s="564" t="str">
        <f>IF($B70="","",IF(Penalties!$BB18=AG$55,1,""))</f>
        <v/>
      </c>
      <c r="AH71" s="564" t="str">
        <f>IF($B70="","",IF(Penalties!$BB18=AH$55,1,""))</f>
        <v/>
      </c>
      <c r="AI71" s="564" t="str">
        <f>IF($B70="","",IF(Penalties!$BB18=AI$55,1,""))</f>
        <v/>
      </c>
      <c r="AJ71" s="566" t="str">
        <f>IF(SUM(X70:AI71)=0, "", IF(SUM(X70:AI70)=1, LOOKUP(1, X70:AI70, $X$55:$AI$55), LOOKUP(1, X71:AI71, $X$55:$AI$55)))</f>
        <v/>
      </c>
      <c r="AK71" s="109"/>
      <c r="AL71" s="109"/>
      <c r="AM71" s="109"/>
      <c r="AN71" s="109"/>
      <c r="AO71" s="109"/>
      <c r="AP71" s="109"/>
      <c r="AQ71" s="109"/>
      <c r="AR71" s="109"/>
      <c r="AS71" s="109"/>
      <c r="AT71" s="109"/>
      <c r="AU71" s="109"/>
      <c r="AV71" s="109"/>
      <c r="AW71" s="109"/>
      <c r="AX71" s="109"/>
    </row>
    <row r="72" spans="1:50" x14ac:dyDescent="0.3">
      <c r="A72" s="1166">
        <f>A70+1</f>
        <v>9</v>
      </c>
      <c r="B72" s="1167" t="str">
        <f>IF(IGRF!H22="","",IGRF!H22)</f>
        <v>511</v>
      </c>
      <c r="C72" s="1168" t="str">
        <f>IF(IGRF!I22="","",IGRF!I22)</f>
        <v>Bean Stalker</v>
      </c>
      <c r="D72" s="556" t="s">
        <v>17</v>
      </c>
      <c r="E72" s="549">
        <f>IF($B72="","",COUNTIF(Penalties!$Q20:$Y20,E$55))</f>
        <v>0</v>
      </c>
      <c r="F72" s="549">
        <f>IF($B72="","",COUNTIF(Penalties!$Q20:$Y20,F$55))</f>
        <v>0</v>
      </c>
      <c r="G72" s="549">
        <f>IF($B72="","",COUNTIF(Penalties!$Q20:$Y20,G$55))</f>
        <v>0</v>
      </c>
      <c r="H72" s="549">
        <f>IF($B72="","",COUNTIF(Penalties!$Q20:$Y20,H$55))</f>
        <v>0</v>
      </c>
      <c r="I72" s="549">
        <f>IF($B72="","",COUNTIF(Penalties!$Q20:$Y20,I$55))</f>
        <v>0</v>
      </c>
      <c r="J72" s="549">
        <f>IF($B72="","",COUNTIF(Penalties!$Q20:$Y20,J$55))</f>
        <v>0</v>
      </c>
      <c r="K72" s="549">
        <f>IF($B72="","",COUNTIF(Penalties!$Q20:$Y20,K$55))</f>
        <v>0</v>
      </c>
      <c r="L72" s="549">
        <f>IF($B72="","",COUNTIF(Penalties!$Q20:$Y20,L$55))</f>
        <v>0</v>
      </c>
      <c r="M72" s="549">
        <f>IF($B72="","",COUNTIF(Penalties!$Q20:$Y20,M$55))</f>
        <v>0</v>
      </c>
      <c r="N72" s="549">
        <f>IF($B72="","",COUNTIF(Penalties!$Q20:$Y20,N$55))</f>
        <v>0</v>
      </c>
      <c r="O72" s="549">
        <f>IF($B72="","",COUNTIF(Penalties!$Q20:$Y20,O$55))</f>
        <v>1</v>
      </c>
      <c r="P72" s="549">
        <f>IF($B72="","",COUNTIF(Penalties!$Q20:$Y20,P$55))</f>
        <v>0</v>
      </c>
      <c r="Q72" s="549">
        <f>IF($B72="","",COUNTIF(Penalties!$Q20:$Y20,Q$55))</f>
        <v>0</v>
      </c>
      <c r="R72" s="549">
        <f>IF($B72="","",COUNTIF(Penalties!$Q20:$Y20,R$55))</f>
        <v>0</v>
      </c>
      <c r="S72" s="549">
        <f>IF($B72="","",COUNTIF(Penalties!$Q20:$Y20,S$55))</f>
        <v>0</v>
      </c>
      <c r="T72" s="549">
        <f>IF($B72="","",COUNTIF(Penalties!$Q20:$Y20,T$55))</f>
        <v>0</v>
      </c>
      <c r="U72" s="557">
        <f>IF(B72="","",SUM(E72:T72))</f>
        <v>1</v>
      </c>
      <c r="V72" s="558">
        <f>IF(B72="","",SUM(E72:T72)*0.5)</f>
        <v>0.5</v>
      </c>
      <c r="W72" s="559" t="str">
        <f>IF($B72="","",IF(Penalties!$Z20=W$55,1,""))</f>
        <v/>
      </c>
      <c r="X72" s="559" t="str">
        <f>IF($B72="","",IF(Penalties!$Z20=X$55,1,""))</f>
        <v/>
      </c>
      <c r="Y72" s="559" t="str">
        <f>IF($B72="","",IF(Penalties!$Z20=Y$55,1,""))</f>
        <v/>
      </c>
      <c r="Z72" s="559" t="str">
        <f>IF($B72="","",IF(Penalties!$Z20=Z$55,1,""))</f>
        <v/>
      </c>
      <c r="AA72" s="559" t="str">
        <f>IF($B72="","",IF(Penalties!$Z20=AA$55,1,""))</f>
        <v/>
      </c>
      <c r="AB72" s="559" t="str">
        <f>IF($B72="","",IF(Penalties!$Z20=AB$55,1,""))</f>
        <v/>
      </c>
      <c r="AC72" s="559" t="str">
        <f>IF($B72="","",IF(Penalties!$Z20=AC$55,1,""))</f>
        <v/>
      </c>
      <c r="AD72" s="559" t="str">
        <f>IF($B72="","",IF(Penalties!$Z20=AD$55,1,""))</f>
        <v/>
      </c>
      <c r="AE72" s="559" t="str">
        <f>IF($B72="","",IF(Penalties!$Z20=AE$55,1,""))</f>
        <v/>
      </c>
      <c r="AF72" s="559" t="str">
        <f>IF($B72="","",IF(Penalties!$Z20=AF$55,1,""))</f>
        <v/>
      </c>
      <c r="AG72" s="559" t="str">
        <f>IF($B72="","",IF(Penalties!$Z20=AG$55,1,""))</f>
        <v/>
      </c>
      <c r="AH72" s="559" t="str">
        <f>IF($B72="","",IF(Penalties!$Z20=AH$55,1,""))</f>
        <v/>
      </c>
      <c r="AI72" s="559" t="str">
        <f>IF($B72="","",IF(Penalties!$Z20=AI$55,1,""))</f>
        <v/>
      </c>
      <c r="AJ72" s="560"/>
      <c r="AK72" s="109"/>
      <c r="AL72" s="109"/>
      <c r="AM72" s="109"/>
      <c r="AN72" s="109"/>
      <c r="AO72" s="109"/>
      <c r="AP72" s="109"/>
      <c r="AQ72" s="109"/>
      <c r="AR72" s="109"/>
      <c r="AS72" s="109"/>
      <c r="AT72" s="109"/>
      <c r="AU72" s="109"/>
      <c r="AV72" s="109"/>
      <c r="AW72" s="109"/>
      <c r="AX72" s="109"/>
    </row>
    <row r="73" spans="1:50" x14ac:dyDescent="0.3">
      <c r="A73" s="1166"/>
      <c r="B73" s="1167"/>
      <c r="C73" s="1168"/>
      <c r="D73" s="556" t="s">
        <v>33</v>
      </c>
      <c r="E73" s="549">
        <f>IF($B72="","",COUNTIF(Penalties!$AS20:$BA20,E$55))</f>
        <v>0</v>
      </c>
      <c r="F73" s="549">
        <f>IF($B72="","",COUNTIF(Penalties!$AS20:$BA20,F$55))</f>
        <v>0</v>
      </c>
      <c r="G73" s="549">
        <f>IF($B72="","",COUNTIF(Penalties!$AS20:$BA20,G$55))</f>
        <v>0</v>
      </c>
      <c r="H73" s="549">
        <f>IF($B72="","",COUNTIF(Penalties!$AS20:$BA20,H$55))</f>
        <v>0</v>
      </c>
      <c r="I73" s="549">
        <f>IF($B72="","",COUNTIF(Penalties!$AS20:$BA20,I$55))</f>
        <v>1</v>
      </c>
      <c r="J73" s="549">
        <f>IF($B72="","",COUNTIF(Penalties!$AS20:$BA20,J$55))</f>
        <v>0</v>
      </c>
      <c r="K73" s="549">
        <f>IF($B72="","",COUNTIF(Penalties!$AS20:$BA20,K$55))</f>
        <v>0</v>
      </c>
      <c r="L73" s="549">
        <f>IF($B72="","",COUNTIF(Penalties!$AS20:$BA20,L$55))</f>
        <v>0</v>
      </c>
      <c r="M73" s="549">
        <f>IF($B72="","",COUNTIF(Penalties!$AS20:$BA20,M$55))</f>
        <v>0</v>
      </c>
      <c r="N73" s="549">
        <f>IF($B72="","",COUNTIF(Penalties!$AS20:$BA20,N$55))</f>
        <v>0</v>
      </c>
      <c r="O73" s="549">
        <f>IF($B72="","",COUNTIF(Penalties!$AS20:$BA20,O$55))</f>
        <v>0</v>
      </c>
      <c r="P73" s="549">
        <f>IF($B72="","",COUNTIF(Penalties!$AS20:$BA20,P$55))</f>
        <v>0</v>
      </c>
      <c r="Q73" s="549">
        <f>IF($B72="","",COUNTIF(Penalties!$AS20:$BA20,Q$55))</f>
        <v>0</v>
      </c>
      <c r="R73" s="549">
        <f>IF($B72="","",COUNTIF(Penalties!$AS20:$BA20,R$55))</f>
        <v>0</v>
      </c>
      <c r="S73" s="549">
        <f>IF($B72="","",COUNTIF(Penalties!$AS20:$BA20,S$55))</f>
        <v>0</v>
      </c>
      <c r="T73" s="549">
        <f>IF($B72="","",COUNTIF(Penalties!$AS20:$BA20,T$55))</f>
        <v>0</v>
      </c>
      <c r="U73" s="557">
        <f>IF(B72="","",SUM(E73:T73))</f>
        <v>1</v>
      </c>
      <c r="V73" s="558">
        <f>IF(B72="","",SUM(E73:T73)*0.5)</f>
        <v>0.5</v>
      </c>
      <c r="W73" s="559" t="str">
        <f>IF($B72="","",IF(Penalties!$BB20=W$55,1,""))</f>
        <v/>
      </c>
      <c r="X73" s="559" t="str">
        <f>IF($B72="","",IF(Penalties!$BB20=X$55,1,""))</f>
        <v/>
      </c>
      <c r="Y73" s="559" t="str">
        <f>IF($B72="","",IF(Penalties!$BB20=Y$55,1,""))</f>
        <v/>
      </c>
      <c r="Z73" s="559" t="str">
        <f>IF($B72="","",IF(Penalties!$BB20=Z$55,1,""))</f>
        <v/>
      </c>
      <c r="AA73" s="559" t="str">
        <f>IF($B72="","",IF(Penalties!$BB20=AA$55,1,""))</f>
        <v/>
      </c>
      <c r="AB73" s="559" t="str">
        <f>IF($B72="","",IF(Penalties!$BB20=AB$55,1,""))</f>
        <v/>
      </c>
      <c r="AC73" s="559" t="str">
        <f>IF($B72="","",IF(Penalties!$BB20=AC$55,1,""))</f>
        <v/>
      </c>
      <c r="AD73" s="559" t="str">
        <f>IF($B72="","",IF(Penalties!$BB20=AD$55,1,""))</f>
        <v/>
      </c>
      <c r="AE73" s="559" t="str">
        <f>IF($B72="","",IF(Penalties!$BB20=AE$55,1,""))</f>
        <v/>
      </c>
      <c r="AF73" s="559" t="str">
        <f>IF($B72="","",IF(Penalties!$BB20=AF$55,1,""))</f>
        <v/>
      </c>
      <c r="AG73" s="559" t="str">
        <f>IF($B72="","",IF(Penalties!$BB20=AG$55,1,""))</f>
        <v/>
      </c>
      <c r="AH73" s="559" t="str">
        <f>IF($B72="","",IF(Penalties!$BB20=AH$55,1,""))</f>
        <v/>
      </c>
      <c r="AI73" s="559" t="str">
        <f>IF($B72="","",IF(Penalties!$BB20=AI$55,1,""))</f>
        <v/>
      </c>
      <c r="AJ73" s="561" t="str">
        <f>IF(SUM(X72:AI73)=0, "", IF(SUM(X72:AI72)=1, LOOKUP(1, X72:AI72, $X$55:$AI$55), LOOKUP(1, X73:AI73, $X$55:$AI$55)))</f>
        <v/>
      </c>
      <c r="AK73" s="109"/>
      <c r="AL73" s="109"/>
      <c r="AM73" s="109"/>
      <c r="AN73" s="109"/>
      <c r="AO73" s="109"/>
      <c r="AP73" s="109"/>
      <c r="AQ73" s="109"/>
      <c r="AR73" s="109"/>
      <c r="AS73" s="109"/>
      <c r="AT73" s="109"/>
      <c r="AU73" s="109"/>
      <c r="AV73" s="109"/>
      <c r="AW73" s="109"/>
      <c r="AX73" s="109"/>
    </row>
    <row r="74" spans="1:50" x14ac:dyDescent="0.3">
      <c r="A74" s="1163">
        <f>A72+1</f>
        <v>10</v>
      </c>
      <c r="B74" s="1164" t="str">
        <f>IF(IGRF!H23="","",IGRF!H23)</f>
        <v>519</v>
      </c>
      <c r="C74" s="1165" t="str">
        <f>IF(IGRF!I23="","",IGRF!I23)</f>
        <v>Smashin' Good Time</v>
      </c>
      <c r="D74" s="550" t="s">
        <v>17</v>
      </c>
      <c r="E74" s="550">
        <f>IF($B74="","",COUNTIF(Penalties!$Q22:$Y22,E$55))</f>
        <v>0</v>
      </c>
      <c r="F74" s="550">
        <f>IF($B74="","",COUNTIF(Penalties!$Q22:$Y22,F$55))</f>
        <v>0</v>
      </c>
      <c r="G74" s="550">
        <f>IF($B74="","",COUNTIF(Penalties!$Q22:$Y22,G$55))</f>
        <v>0</v>
      </c>
      <c r="H74" s="550">
        <f>IF($B74="","",COUNTIF(Penalties!$Q22:$Y22,H$55))</f>
        <v>0</v>
      </c>
      <c r="I74" s="550">
        <f>IF($B74="","",COUNTIF(Penalties!$Q22:$Y22,I$55))</f>
        <v>0</v>
      </c>
      <c r="J74" s="550">
        <f>IF($B74="","",COUNTIF(Penalties!$Q22:$Y22,J$55))</f>
        <v>0</v>
      </c>
      <c r="K74" s="550">
        <f>IF($B74="","",COUNTIF(Penalties!$Q22:$Y22,K$55))</f>
        <v>1</v>
      </c>
      <c r="L74" s="550">
        <f>IF($B74="","",COUNTIF(Penalties!$Q22:$Y22,L$55))</f>
        <v>0</v>
      </c>
      <c r="M74" s="550">
        <f>IF($B74="","",COUNTIF(Penalties!$Q22:$Y22,M$55))</f>
        <v>0</v>
      </c>
      <c r="N74" s="550">
        <f>IF($B74="","",COUNTIF(Penalties!$Q22:$Y22,N$55))</f>
        <v>0</v>
      </c>
      <c r="O74" s="550">
        <f>IF($B74="","",COUNTIF(Penalties!$Q22:$Y22,O$55))</f>
        <v>0</v>
      </c>
      <c r="P74" s="550">
        <f>IF($B74="","",COUNTIF(Penalties!$Q22:$Y22,P$55))</f>
        <v>0</v>
      </c>
      <c r="Q74" s="550">
        <f>IF($B74="","",COUNTIF(Penalties!$Q22:$Y22,Q$55))</f>
        <v>0</v>
      </c>
      <c r="R74" s="550">
        <f>IF($B74="","",COUNTIF(Penalties!$Q22:$Y22,R$55))</f>
        <v>0</v>
      </c>
      <c r="S74" s="550">
        <f>IF($B74="","",COUNTIF(Penalties!$Q22:$Y22,S$55))</f>
        <v>0</v>
      </c>
      <c r="T74" s="550">
        <f>IF($B74="","",COUNTIF(Penalties!$Q22:$Y22,T$55))</f>
        <v>0</v>
      </c>
      <c r="U74" s="562">
        <f>IF(B74="","",SUM(E74:T74))</f>
        <v>1</v>
      </c>
      <c r="V74" s="563">
        <f>IF(B74="","",SUM(E74:T74)*0.5)</f>
        <v>0.5</v>
      </c>
      <c r="W74" s="564" t="str">
        <f>IF($B74="","",IF(Penalties!$Z22=W$55,1,""))</f>
        <v/>
      </c>
      <c r="X74" s="564" t="str">
        <f>IF($B74="","",IF(Penalties!$Z22=X$55,1,""))</f>
        <v/>
      </c>
      <c r="Y74" s="564" t="str">
        <f>IF($B74="","",IF(Penalties!$Z22=Y$55,1,""))</f>
        <v/>
      </c>
      <c r="Z74" s="564" t="str">
        <f>IF($B74="","",IF(Penalties!$Z22=Z$55,1,""))</f>
        <v/>
      </c>
      <c r="AA74" s="564" t="str">
        <f>IF($B74="","",IF(Penalties!$Z22=AA$55,1,""))</f>
        <v/>
      </c>
      <c r="AB74" s="564" t="str">
        <f>IF($B74="","",IF(Penalties!$Z22=AB$55,1,""))</f>
        <v/>
      </c>
      <c r="AC74" s="564" t="str">
        <f>IF($B74="","",IF(Penalties!$Z22=AC$55,1,""))</f>
        <v/>
      </c>
      <c r="AD74" s="564" t="str">
        <f>IF($B74="","",IF(Penalties!$Z22=AD$55,1,""))</f>
        <v/>
      </c>
      <c r="AE74" s="564" t="str">
        <f>IF($B74="","",IF(Penalties!$Z22=AE$55,1,""))</f>
        <v/>
      </c>
      <c r="AF74" s="564" t="str">
        <f>IF($B74="","",IF(Penalties!$Z22=AF$55,1,""))</f>
        <v/>
      </c>
      <c r="AG74" s="564" t="str">
        <f>IF($B74="","",IF(Penalties!$Z22=AG$55,1,""))</f>
        <v/>
      </c>
      <c r="AH74" s="564" t="str">
        <f>IF($B74="","",IF(Penalties!$Z22=AH$55,1,""))</f>
        <v/>
      </c>
      <c r="AI74" s="564" t="str">
        <f>IF($B74="","",IF(Penalties!$Z22=AI$55,1,""))</f>
        <v/>
      </c>
      <c r="AJ74" s="565"/>
      <c r="AK74" s="109"/>
      <c r="AL74" s="109"/>
      <c r="AM74" s="109"/>
      <c r="AN74" s="109"/>
      <c r="AO74" s="109"/>
      <c r="AP74" s="109"/>
      <c r="AQ74" s="109"/>
      <c r="AR74" s="109"/>
      <c r="AS74" s="109"/>
      <c r="AT74" s="109"/>
      <c r="AU74" s="109"/>
      <c r="AV74" s="109"/>
      <c r="AW74" s="109"/>
      <c r="AX74" s="109"/>
    </row>
    <row r="75" spans="1:50" ht="14.4" thickBot="1" x14ac:dyDescent="0.35">
      <c r="A75" s="1163"/>
      <c r="B75" s="1164"/>
      <c r="C75" s="1165"/>
      <c r="D75" s="550" t="s">
        <v>33</v>
      </c>
      <c r="E75" s="550">
        <f>IF($B74="","",COUNTIF(Penalties!$AS22:$BA22,E$55))</f>
        <v>0</v>
      </c>
      <c r="F75" s="550">
        <f>IF($B74="","",COUNTIF(Penalties!$AS22:$BA22,F$55))</f>
        <v>0</v>
      </c>
      <c r="G75" s="550">
        <f>IF($B74="","",COUNTIF(Penalties!$AS22:$BA22,G$55))</f>
        <v>0</v>
      </c>
      <c r="H75" s="550">
        <f>IF($B74="","",COUNTIF(Penalties!$AS22:$BA22,H$55))</f>
        <v>0</v>
      </c>
      <c r="I75" s="550">
        <f>IF($B74="","",COUNTIF(Penalties!$AS22:$BA22,I$55))</f>
        <v>0</v>
      </c>
      <c r="J75" s="550">
        <f>IF($B74="","",COUNTIF(Penalties!$AS22:$BA22,J$55))</f>
        <v>0</v>
      </c>
      <c r="K75" s="550">
        <f>IF($B74="","",COUNTIF(Penalties!$AS22:$BA22,K$55))</f>
        <v>0</v>
      </c>
      <c r="L75" s="550">
        <f>IF($B74="","",COUNTIF(Penalties!$AS22:$BA22,L$55))</f>
        <v>0</v>
      </c>
      <c r="M75" s="550">
        <f>IF($B74="","",COUNTIF(Penalties!$AS22:$BA22,M$55))</f>
        <v>3</v>
      </c>
      <c r="N75" s="550">
        <f>IF($B74="","",COUNTIF(Penalties!$AS22:$BA22,N$55))</f>
        <v>0</v>
      </c>
      <c r="O75" s="550">
        <f>IF($B74="","",COUNTIF(Penalties!$AS22:$BA22,O$55))</f>
        <v>0</v>
      </c>
      <c r="P75" s="550">
        <f>IF($B74="","",COUNTIF(Penalties!$AS22:$BA22,P$55))</f>
        <v>0</v>
      </c>
      <c r="Q75" s="550">
        <f>IF($B74="","",COUNTIF(Penalties!$AS22:$BA22,Q$55))</f>
        <v>0</v>
      </c>
      <c r="R75" s="550">
        <f>IF($B74="","",COUNTIF(Penalties!$AS22:$BA22,R$55))</f>
        <v>0</v>
      </c>
      <c r="S75" s="550">
        <f>IF($B74="","",COUNTIF(Penalties!$AS22:$BA22,S$55))</f>
        <v>0</v>
      </c>
      <c r="T75" s="550">
        <f>IF($B74="","",COUNTIF(Penalties!$AS22:$BA22,T$55))</f>
        <v>0</v>
      </c>
      <c r="U75" s="562">
        <f>IF(B74="","",SUM(E75:T75))</f>
        <v>3</v>
      </c>
      <c r="V75" s="563">
        <f>IF(B74="","",SUM(E75:T75)*0.5)</f>
        <v>1.5</v>
      </c>
      <c r="W75" s="564" t="str">
        <f>IF($B74="","",IF(Penalties!$BB22=W$55,1,""))</f>
        <v/>
      </c>
      <c r="X75" s="564" t="str">
        <f>IF($B74="","",IF(Penalties!$BB22=X$55,1,""))</f>
        <v/>
      </c>
      <c r="Y75" s="564" t="str">
        <f>IF($B74="","",IF(Penalties!$BB22=Y$55,1,""))</f>
        <v/>
      </c>
      <c r="Z75" s="564" t="str">
        <f>IF($B74="","",IF(Penalties!$BB22=Z$55,1,""))</f>
        <v/>
      </c>
      <c r="AA75" s="564" t="str">
        <f>IF($B74="","",IF(Penalties!$BB22=AA$55,1,""))</f>
        <v/>
      </c>
      <c r="AB75" s="564" t="str">
        <f>IF($B74="","",IF(Penalties!$BB22=AB$55,1,""))</f>
        <v/>
      </c>
      <c r="AC75" s="564" t="str">
        <f>IF($B74="","",IF(Penalties!$BB22=AC$55,1,""))</f>
        <v/>
      </c>
      <c r="AD75" s="564" t="str">
        <f>IF($B74="","",IF(Penalties!$BB22=AD$55,1,""))</f>
        <v/>
      </c>
      <c r="AE75" s="564" t="str">
        <f>IF($B74="","",IF(Penalties!$BB22=AE$55,1,""))</f>
        <v/>
      </c>
      <c r="AF75" s="564" t="str">
        <f>IF($B74="","",IF(Penalties!$BB22=AF$55,1,""))</f>
        <v/>
      </c>
      <c r="AG75" s="564" t="str">
        <f>IF($B74="","",IF(Penalties!$BB22=AG$55,1,""))</f>
        <v/>
      </c>
      <c r="AH75" s="564" t="str">
        <f>IF($B74="","",IF(Penalties!$BB22=AH$55,1,""))</f>
        <v/>
      </c>
      <c r="AI75" s="564" t="str">
        <f>IF($B74="","",IF(Penalties!$BB22=AI$55,1,""))</f>
        <v/>
      </c>
      <c r="AJ75" s="566" t="str">
        <f>IF(SUM(X74:AI75)=0, "", IF(SUM(X74:AI74)=1, LOOKUP(1, X74:AI74, $X$55:$AI$55), LOOKUP(1, X75:AI75, $X$55:$AI$55)))</f>
        <v/>
      </c>
      <c r="AK75" s="109"/>
      <c r="AL75" s="109"/>
      <c r="AM75" s="109"/>
      <c r="AN75" s="109"/>
      <c r="AO75" s="109"/>
      <c r="AP75" s="109"/>
      <c r="AQ75" s="109"/>
      <c r="AR75" s="109"/>
      <c r="AS75" s="109"/>
      <c r="AT75" s="109"/>
      <c r="AU75" s="109"/>
      <c r="AV75" s="109"/>
      <c r="AW75" s="109"/>
      <c r="AX75" s="109"/>
    </row>
    <row r="76" spans="1:50" x14ac:dyDescent="0.3">
      <c r="A76" s="1166">
        <f>A74+1</f>
        <v>11</v>
      </c>
      <c r="B76" s="1167" t="str">
        <f>IF(IGRF!H24="","",IGRF!H24)</f>
        <v>58</v>
      </c>
      <c r="C76" s="1168" t="str">
        <f>IF(IGRF!I24="","",IGRF!I24)</f>
        <v>Natty B</v>
      </c>
      <c r="D76" s="556" t="s">
        <v>17</v>
      </c>
      <c r="E76" s="549">
        <f>IF($B76="","",COUNTIF(Penalties!$Q24:$Y24,E$55))</f>
        <v>0</v>
      </c>
      <c r="F76" s="549">
        <f>IF($B76="","",COUNTIF(Penalties!$Q24:$Y24,F$55))</f>
        <v>0</v>
      </c>
      <c r="G76" s="549">
        <f>IF($B76="","",COUNTIF(Penalties!$Q24:$Y24,G$55))</f>
        <v>0</v>
      </c>
      <c r="H76" s="549">
        <f>IF($B76="","",COUNTIF(Penalties!$Q24:$Y24,H$55))</f>
        <v>0</v>
      </c>
      <c r="I76" s="549">
        <f>IF($B76="","",COUNTIF(Penalties!$Q24:$Y24,I$55))</f>
        <v>0</v>
      </c>
      <c r="J76" s="549">
        <f>IF($B76="","",COUNTIF(Penalties!$Q24:$Y24,J$55))</f>
        <v>0</v>
      </c>
      <c r="K76" s="549">
        <f>IF($B76="","",COUNTIF(Penalties!$Q24:$Y24,K$55))</f>
        <v>0</v>
      </c>
      <c r="L76" s="549">
        <f>IF($B76="","",COUNTIF(Penalties!$Q24:$Y24,L$55))</f>
        <v>0</v>
      </c>
      <c r="M76" s="549">
        <f>IF($B76="","",COUNTIF(Penalties!$Q24:$Y24,M$55))</f>
        <v>0</v>
      </c>
      <c r="N76" s="549">
        <f>IF($B76="","",COUNTIF(Penalties!$Q24:$Y24,N$55))</f>
        <v>0</v>
      </c>
      <c r="O76" s="549">
        <f>IF($B76="","",COUNTIF(Penalties!$Q24:$Y24,O$55))</f>
        <v>1</v>
      </c>
      <c r="P76" s="549">
        <f>IF($B76="","",COUNTIF(Penalties!$Q24:$Y24,P$55))</f>
        <v>0</v>
      </c>
      <c r="Q76" s="549">
        <f>IF($B76="","",COUNTIF(Penalties!$Q24:$Y24,Q$55))</f>
        <v>0</v>
      </c>
      <c r="R76" s="549">
        <f>IF($B76="","",COUNTIF(Penalties!$Q24:$Y24,R$55))</f>
        <v>0</v>
      </c>
      <c r="S76" s="549">
        <f>IF($B76="","",COUNTIF(Penalties!$Q24:$Y24,S$55))</f>
        <v>0</v>
      </c>
      <c r="T76" s="549">
        <f>IF($B76="","",COUNTIF(Penalties!$Q24:$Y24,T$55))</f>
        <v>0</v>
      </c>
      <c r="U76" s="557">
        <f>IF(B76="","",SUM(E76:T76))</f>
        <v>1</v>
      </c>
      <c r="V76" s="558">
        <f>IF(B76="","",SUM(E76:T76)*0.5)</f>
        <v>0.5</v>
      </c>
      <c r="W76" s="559" t="str">
        <f>IF($B76="","",IF(Penalties!$Z24=W$55,1,""))</f>
        <v/>
      </c>
      <c r="X76" s="559" t="str">
        <f>IF($B76="","",IF(Penalties!$Z24=X$55,1,""))</f>
        <v/>
      </c>
      <c r="Y76" s="559" t="str">
        <f>IF($B76="","",IF(Penalties!$Z24=Y$55,1,""))</f>
        <v/>
      </c>
      <c r="Z76" s="559" t="str">
        <f>IF($B76="","",IF(Penalties!$Z24=Z$55,1,""))</f>
        <v/>
      </c>
      <c r="AA76" s="559" t="str">
        <f>IF($B76="","",IF(Penalties!$Z24=AA$55,1,""))</f>
        <v/>
      </c>
      <c r="AB76" s="559" t="str">
        <f>IF($B76="","",IF(Penalties!$Z24=AB$55,1,""))</f>
        <v/>
      </c>
      <c r="AC76" s="559" t="str">
        <f>IF($B76="","",IF(Penalties!$Z24=AC$55,1,""))</f>
        <v/>
      </c>
      <c r="AD76" s="559" t="str">
        <f>IF($B76="","",IF(Penalties!$Z24=AD$55,1,""))</f>
        <v/>
      </c>
      <c r="AE76" s="559" t="str">
        <f>IF($B76="","",IF(Penalties!$Z24=AE$55,1,""))</f>
        <v/>
      </c>
      <c r="AF76" s="559" t="str">
        <f>IF($B76="","",IF(Penalties!$Z24=AF$55,1,""))</f>
        <v/>
      </c>
      <c r="AG76" s="559" t="str">
        <f>IF($B76="","",IF(Penalties!$Z24=AG$55,1,""))</f>
        <v/>
      </c>
      <c r="AH76" s="559" t="str">
        <f>IF($B76="","",IF(Penalties!$Z24=AH$55,1,""))</f>
        <v/>
      </c>
      <c r="AI76" s="559" t="str">
        <f>IF($B76="","",IF(Penalties!$Z24=AI$55,1,""))</f>
        <v/>
      </c>
      <c r="AJ76" s="560"/>
      <c r="AK76" s="109"/>
      <c r="AL76" s="109"/>
      <c r="AM76" s="109"/>
      <c r="AN76" s="109"/>
      <c r="AO76" s="109"/>
      <c r="AP76" s="109"/>
      <c r="AQ76" s="109"/>
      <c r="AR76" s="109"/>
      <c r="AS76" s="109"/>
      <c r="AT76" s="109"/>
      <c r="AU76" s="109"/>
      <c r="AV76" s="109"/>
      <c r="AW76" s="109"/>
      <c r="AX76" s="109"/>
    </row>
    <row r="77" spans="1:50" x14ac:dyDescent="0.3">
      <c r="A77" s="1166"/>
      <c r="B77" s="1167"/>
      <c r="C77" s="1168"/>
      <c r="D77" s="556" t="s">
        <v>33</v>
      </c>
      <c r="E77" s="549">
        <f>IF($B76="","",COUNTIF(Penalties!$AS24:$BA24,E$55))</f>
        <v>1</v>
      </c>
      <c r="F77" s="549">
        <f>IF($B76="","",COUNTIF(Penalties!$AS24:$BA24,F$55))</f>
        <v>0</v>
      </c>
      <c r="G77" s="549">
        <f>IF($B76="","",COUNTIF(Penalties!$AS24:$BA24,G$55))</f>
        <v>0</v>
      </c>
      <c r="H77" s="549">
        <f>IF($B76="","",COUNTIF(Penalties!$AS24:$BA24,H$55))</f>
        <v>0</v>
      </c>
      <c r="I77" s="549">
        <f>IF($B76="","",COUNTIF(Penalties!$AS24:$BA24,I$55))</f>
        <v>0</v>
      </c>
      <c r="J77" s="549">
        <f>IF($B76="","",COUNTIF(Penalties!$AS24:$BA24,J$55))</f>
        <v>0</v>
      </c>
      <c r="K77" s="549">
        <f>IF($B76="","",COUNTIF(Penalties!$AS24:$BA24,K$55))</f>
        <v>0</v>
      </c>
      <c r="L77" s="549">
        <f>IF($B76="","",COUNTIF(Penalties!$AS24:$BA24,L$55))</f>
        <v>0</v>
      </c>
      <c r="M77" s="549">
        <f>IF($B76="","",COUNTIF(Penalties!$AS24:$BA24,M$55))</f>
        <v>0</v>
      </c>
      <c r="N77" s="549">
        <f>IF($B76="","",COUNTIF(Penalties!$AS24:$BA24,N$55))</f>
        <v>0</v>
      </c>
      <c r="O77" s="549">
        <f>IF($B76="","",COUNTIF(Penalties!$AS24:$BA24,O$55))</f>
        <v>0</v>
      </c>
      <c r="P77" s="549">
        <f>IF($B76="","",COUNTIF(Penalties!$AS24:$BA24,P$55))</f>
        <v>0</v>
      </c>
      <c r="Q77" s="549">
        <f>IF($B76="","",COUNTIF(Penalties!$AS24:$BA24,Q$55))</f>
        <v>0</v>
      </c>
      <c r="R77" s="549">
        <f>IF($B76="","",COUNTIF(Penalties!$AS24:$BA24,R$55))</f>
        <v>0</v>
      </c>
      <c r="S77" s="549">
        <f>IF($B76="","",COUNTIF(Penalties!$AS24:$BA24,S$55))</f>
        <v>0</v>
      </c>
      <c r="T77" s="549">
        <f>IF($B76="","",COUNTIF(Penalties!$AS24:$BA24,T$55))</f>
        <v>0</v>
      </c>
      <c r="U77" s="557">
        <f>IF(B76="","",SUM(E77:T77))</f>
        <v>1</v>
      </c>
      <c r="V77" s="558">
        <f>IF(B76="","",SUM(E77:T77)*0.5)</f>
        <v>0.5</v>
      </c>
      <c r="W77" s="559" t="str">
        <f>IF($B76="","",IF(Penalties!$BB24=W$55,1,""))</f>
        <v/>
      </c>
      <c r="X77" s="559" t="str">
        <f>IF($B76="","",IF(Penalties!$BB24=X$55,1,""))</f>
        <v/>
      </c>
      <c r="Y77" s="559" t="str">
        <f>IF($B76="","",IF(Penalties!$BB24=Y$55,1,""))</f>
        <v/>
      </c>
      <c r="Z77" s="559" t="str">
        <f>IF($B76="","",IF(Penalties!$BB24=Z$55,1,""))</f>
        <v/>
      </c>
      <c r="AA77" s="559" t="str">
        <f>IF($B76="","",IF(Penalties!$BB24=AA$55,1,""))</f>
        <v/>
      </c>
      <c r="AB77" s="559" t="str">
        <f>IF($B76="","",IF(Penalties!$BB24=AB$55,1,""))</f>
        <v/>
      </c>
      <c r="AC77" s="559" t="str">
        <f>IF($B76="","",IF(Penalties!$BB24=AC$55,1,""))</f>
        <v/>
      </c>
      <c r="AD77" s="559" t="str">
        <f>IF($B76="","",IF(Penalties!$BB24=AD$55,1,""))</f>
        <v/>
      </c>
      <c r="AE77" s="559" t="str">
        <f>IF($B76="","",IF(Penalties!$BB24=AE$55,1,""))</f>
        <v/>
      </c>
      <c r="AF77" s="559" t="str">
        <f>IF($B76="","",IF(Penalties!$BB24=AF$55,1,""))</f>
        <v/>
      </c>
      <c r="AG77" s="559" t="str">
        <f>IF($B76="","",IF(Penalties!$BB24=AG$55,1,""))</f>
        <v/>
      </c>
      <c r="AH77" s="559" t="str">
        <f>IF($B76="","",IF(Penalties!$BB24=AH$55,1,""))</f>
        <v/>
      </c>
      <c r="AI77" s="559" t="str">
        <f>IF($B76="","",IF(Penalties!$BB24=AI$55,1,""))</f>
        <v/>
      </c>
      <c r="AJ77" s="561" t="str">
        <f>IF(SUM(X76:AI77)=0, "", IF(SUM(X76:AI76)=1, LOOKUP(1, X76:AI76, $X$55:$AI$55), LOOKUP(1, X77:AI77, $X$55:$AI$55)))</f>
        <v/>
      </c>
      <c r="AK77" s="109"/>
      <c r="AL77" s="109"/>
      <c r="AM77" s="109"/>
      <c r="AN77" s="109"/>
      <c r="AO77" s="109"/>
      <c r="AP77" s="109"/>
      <c r="AQ77" s="109"/>
      <c r="AR77" s="109"/>
      <c r="AS77" s="109"/>
      <c r="AT77" s="109"/>
      <c r="AU77" s="109"/>
      <c r="AV77" s="109"/>
      <c r="AW77" s="109"/>
      <c r="AX77" s="109"/>
    </row>
    <row r="78" spans="1:50" x14ac:dyDescent="0.3">
      <c r="A78" s="1163">
        <f>A76+1</f>
        <v>12</v>
      </c>
      <c r="B78" s="1164" t="str">
        <f>IF(IGRF!H25="","",IGRF!H25)</f>
        <v>932</v>
      </c>
      <c r="C78" s="1165" t="str">
        <f>IF(IGRF!I25="","",IGRF!I25)</f>
        <v>Heaven Lee Bash</v>
      </c>
      <c r="D78" s="550" t="s">
        <v>17</v>
      </c>
      <c r="E78" s="550">
        <f>IF($B78="","",COUNTIF(Penalties!$Q26:$Y26,E$55))</f>
        <v>0</v>
      </c>
      <c r="F78" s="550">
        <f>IF($B78="","",COUNTIF(Penalties!$Q26:$Y26,F$55))</f>
        <v>0</v>
      </c>
      <c r="G78" s="550">
        <f>IF($B78="","",COUNTIF(Penalties!$Q26:$Y26,G$55))</f>
        <v>0</v>
      </c>
      <c r="H78" s="550">
        <f>IF($B78="","",COUNTIF(Penalties!$Q26:$Y26,H$55))</f>
        <v>0</v>
      </c>
      <c r="I78" s="550">
        <f>IF($B78="","",COUNTIF(Penalties!$Q26:$Y26,I$55))</f>
        <v>0</v>
      </c>
      <c r="J78" s="550">
        <f>IF($B78="","",COUNTIF(Penalties!$Q26:$Y26,J$55))</f>
        <v>0</v>
      </c>
      <c r="K78" s="550">
        <f>IF($B78="","",COUNTIF(Penalties!$Q26:$Y26,K$55))</f>
        <v>0</v>
      </c>
      <c r="L78" s="550">
        <f>IF($B78="","",COUNTIF(Penalties!$Q26:$Y26,L$55))</f>
        <v>0</v>
      </c>
      <c r="M78" s="550">
        <f>IF($B78="","",COUNTIF(Penalties!$Q26:$Y26,M$55))</f>
        <v>0</v>
      </c>
      <c r="N78" s="550">
        <f>IF($B78="","",COUNTIF(Penalties!$Q26:$Y26,N$55))</f>
        <v>0</v>
      </c>
      <c r="O78" s="550">
        <f>IF($B78="","",COUNTIF(Penalties!$Q26:$Y26,O$55))</f>
        <v>0</v>
      </c>
      <c r="P78" s="550">
        <f>IF($B78="","",COUNTIF(Penalties!$Q26:$Y26,P$55))</f>
        <v>0</v>
      </c>
      <c r="Q78" s="550">
        <f>IF($B78="","",COUNTIF(Penalties!$Q26:$Y26,Q$55))</f>
        <v>0</v>
      </c>
      <c r="R78" s="550">
        <f>IF($B78="","",COUNTIF(Penalties!$Q26:$Y26,R$55))</f>
        <v>0</v>
      </c>
      <c r="S78" s="550">
        <f>IF($B78="","",COUNTIF(Penalties!$Q26:$Y26,S$55))</f>
        <v>0</v>
      </c>
      <c r="T78" s="550">
        <f>IF($B78="","",COUNTIF(Penalties!$Q26:$Y26,T$55))</f>
        <v>0</v>
      </c>
      <c r="U78" s="562">
        <f>IF(B78="","",SUM(E78:T78))</f>
        <v>0</v>
      </c>
      <c r="V78" s="563">
        <f>IF(B78="","",SUM(E78:T78)*0.5)</f>
        <v>0</v>
      </c>
      <c r="W78" s="564" t="str">
        <f>IF($B78="","",IF(Penalties!$Z26=W$55,1,""))</f>
        <v/>
      </c>
      <c r="X78" s="564" t="str">
        <f>IF($B78="","",IF(Penalties!$Z26=X$55,1,""))</f>
        <v/>
      </c>
      <c r="Y78" s="564" t="str">
        <f>IF($B78="","",IF(Penalties!$Z26=Y$55,1,""))</f>
        <v/>
      </c>
      <c r="Z78" s="564" t="str">
        <f>IF($B78="","",IF(Penalties!$Z26=Z$55,1,""))</f>
        <v/>
      </c>
      <c r="AA78" s="564" t="str">
        <f>IF($B78="","",IF(Penalties!$Z26=AA$55,1,""))</f>
        <v/>
      </c>
      <c r="AB78" s="564" t="str">
        <f>IF($B78="","",IF(Penalties!$Z26=AB$55,1,""))</f>
        <v/>
      </c>
      <c r="AC78" s="564" t="str">
        <f>IF($B78="","",IF(Penalties!$Z26=AC$55,1,""))</f>
        <v/>
      </c>
      <c r="AD78" s="564" t="str">
        <f>IF($B78="","",IF(Penalties!$Z26=AD$55,1,""))</f>
        <v/>
      </c>
      <c r="AE78" s="564" t="str">
        <f>IF($B78="","",IF(Penalties!$Z26=AE$55,1,""))</f>
        <v/>
      </c>
      <c r="AF78" s="564" t="str">
        <f>IF($B78="","",IF(Penalties!$Z26=AF$55,1,""))</f>
        <v/>
      </c>
      <c r="AG78" s="564" t="str">
        <f>IF($B78="","",IF(Penalties!$Z26=AG$55,1,""))</f>
        <v/>
      </c>
      <c r="AH78" s="564" t="str">
        <f>IF($B78="","",IF(Penalties!$Z26=AH$55,1,""))</f>
        <v/>
      </c>
      <c r="AI78" s="564" t="str">
        <f>IF($B78="","",IF(Penalties!$Z26=AI$55,1,""))</f>
        <v/>
      </c>
      <c r="AJ78" s="565"/>
      <c r="AK78" s="109"/>
      <c r="AL78" s="109"/>
      <c r="AM78" s="109"/>
      <c r="AN78" s="109"/>
      <c r="AO78" s="109"/>
      <c r="AP78" s="109"/>
      <c r="AQ78" s="109"/>
      <c r="AR78" s="109"/>
      <c r="AS78" s="109"/>
      <c r="AT78" s="109"/>
      <c r="AU78" s="109"/>
      <c r="AV78" s="109"/>
      <c r="AW78" s="109"/>
      <c r="AX78" s="109"/>
    </row>
    <row r="79" spans="1:50" ht="14.4" thickBot="1" x14ac:dyDescent="0.35">
      <c r="A79" s="1163"/>
      <c r="B79" s="1164"/>
      <c r="C79" s="1165"/>
      <c r="D79" s="550" t="s">
        <v>33</v>
      </c>
      <c r="E79" s="550">
        <f>IF($B78="","",COUNTIF(Penalties!$AS26:$BA26,E$55))</f>
        <v>0</v>
      </c>
      <c r="F79" s="550">
        <f>IF($B78="","",COUNTIF(Penalties!$AS26:$BA26,F$55))</f>
        <v>0</v>
      </c>
      <c r="G79" s="550">
        <f>IF($B78="","",COUNTIF(Penalties!$AS26:$BA26,G$55))</f>
        <v>0</v>
      </c>
      <c r="H79" s="550">
        <f>IF($B78="","",COUNTIF(Penalties!$AS26:$BA26,H$55))</f>
        <v>0</v>
      </c>
      <c r="I79" s="550">
        <f>IF($B78="","",COUNTIF(Penalties!$AS26:$BA26,I$55))</f>
        <v>0</v>
      </c>
      <c r="J79" s="550">
        <f>IF($B78="","",COUNTIF(Penalties!$AS26:$BA26,J$55))</f>
        <v>0</v>
      </c>
      <c r="K79" s="550">
        <f>IF($B78="","",COUNTIF(Penalties!$AS26:$BA26,K$55))</f>
        <v>0</v>
      </c>
      <c r="L79" s="550">
        <f>IF($B78="","",COUNTIF(Penalties!$AS26:$BA26,L$55))</f>
        <v>0</v>
      </c>
      <c r="M79" s="550">
        <f>IF($B78="","",COUNTIF(Penalties!$AS26:$BA26,M$55))</f>
        <v>0</v>
      </c>
      <c r="N79" s="550">
        <f>IF($B78="","",COUNTIF(Penalties!$AS26:$BA26,N$55))</f>
        <v>0</v>
      </c>
      <c r="O79" s="550">
        <f>IF($B78="","",COUNTIF(Penalties!$AS26:$BA26,O$55))</f>
        <v>0</v>
      </c>
      <c r="P79" s="550">
        <f>IF($B78="","",COUNTIF(Penalties!$AS26:$BA26,P$55))</f>
        <v>0</v>
      </c>
      <c r="Q79" s="550">
        <f>IF($B78="","",COUNTIF(Penalties!$AS26:$BA26,Q$55))</f>
        <v>0</v>
      </c>
      <c r="R79" s="550">
        <f>IF($B78="","",COUNTIF(Penalties!$AS26:$BA26,R$55))</f>
        <v>0</v>
      </c>
      <c r="S79" s="550">
        <f>IF($B78="","",COUNTIF(Penalties!$AS26:$BA26,S$55))</f>
        <v>0</v>
      </c>
      <c r="T79" s="550">
        <f>IF($B78="","",COUNTIF(Penalties!$AS26:$BA26,T$55))</f>
        <v>0</v>
      </c>
      <c r="U79" s="562">
        <f>IF(B78="","",SUM(E79:T79))</f>
        <v>0</v>
      </c>
      <c r="V79" s="563">
        <f>IF(B78="","",SUM(E79:T79)*0.5)</f>
        <v>0</v>
      </c>
      <c r="W79" s="564" t="str">
        <f>IF($B78="","",IF(Penalties!$BB26=W$55,1,""))</f>
        <v/>
      </c>
      <c r="X79" s="564" t="str">
        <f>IF($B78="","",IF(Penalties!$BB26=X$55,1,""))</f>
        <v/>
      </c>
      <c r="Y79" s="564" t="str">
        <f>IF($B78="","",IF(Penalties!$BB26=Y$55,1,""))</f>
        <v/>
      </c>
      <c r="Z79" s="564" t="str">
        <f>IF($B78="","",IF(Penalties!$BB26=Z$55,1,""))</f>
        <v/>
      </c>
      <c r="AA79" s="564" t="str">
        <f>IF($B78="","",IF(Penalties!$BB26=AA$55,1,""))</f>
        <v/>
      </c>
      <c r="AB79" s="564" t="str">
        <f>IF($B78="","",IF(Penalties!$BB26=AB$55,1,""))</f>
        <v/>
      </c>
      <c r="AC79" s="564" t="str">
        <f>IF($B78="","",IF(Penalties!$BB26=AC$55,1,""))</f>
        <v/>
      </c>
      <c r="AD79" s="564" t="str">
        <f>IF($B78="","",IF(Penalties!$BB26=AD$55,1,""))</f>
        <v/>
      </c>
      <c r="AE79" s="564" t="str">
        <f>IF($B78="","",IF(Penalties!$BB26=AE$55,1,""))</f>
        <v/>
      </c>
      <c r="AF79" s="564" t="str">
        <f>IF($B78="","",IF(Penalties!$BB26=AF$55,1,""))</f>
        <v/>
      </c>
      <c r="AG79" s="564" t="str">
        <f>IF($B78="","",IF(Penalties!$BB26=AG$55,1,""))</f>
        <v/>
      </c>
      <c r="AH79" s="564" t="str">
        <f>IF($B78="","",IF(Penalties!$BB26=AH$55,1,""))</f>
        <v/>
      </c>
      <c r="AI79" s="564" t="str">
        <f>IF($B78="","",IF(Penalties!$BB26=AI$55,1,""))</f>
        <v/>
      </c>
      <c r="AJ79" s="566" t="str">
        <f>IF(SUM(X78:AI79)=0, "", IF(SUM(X78:AI78)=1, LOOKUP(1, X78:AI78, $X$55:$AI$55), LOOKUP(1, X79:AI79, $X$55:$AI$55)))</f>
        <v/>
      </c>
      <c r="AK79" s="109"/>
      <c r="AL79" s="109"/>
      <c r="AM79" s="109"/>
      <c r="AN79" s="109"/>
      <c r="AO79" s="109"/>
      <c r="AP79" s="109"/>
      <c r="AQ79" s="109"/>
      <c r="AR79" s="109"/>
      <c r="AS79" s="109"/>
      <c r="AT79" s="109"/>
      <c r="AU79" s="109"/>
      <c r="AV79" s="109"/>
      <c r="AW79" s="109"/>
      <c r="AX79" s="109"/>
    </row>
    <row r="80" spans="1:50" x14ac:dyDescent="0.3">
      <c r="A80" s="1166">
        <f>A78+1</f>
        <v>13</v>
      </c>
      <c r="B80" s="1167" t="str">
        <f>IF(IGRF!H26="","",IGRF!H26)</f>
        <v>H20</v>
      </c>
      <c r="C80" s="1168" t="str">
        <f>IF(IGRF!I26="","",IGRF!I26)</f>
        <v>Lethal Mermaid</v>
      </c>
      <c r="D80" s="556" t="s">
        <v>17</v>
      </c>
      <c r="E80" s="549">
        <f>IF($B80="","",COUNTIF(Penalties!$Q28:$Y28,E$55))</f>
        <v>0</v>
      </c>
      <c r="F80" s="549">
        <f>IF($B80="","",COUNTIF(Penalties!$Q28:$Y28,F$55))</f>
        <v>0</v>
      </c>
      <c r="G80" s="549">
        <f>IF($B80="","",COUNTIF(Penalties!$Q28:$Y28,G$55))</f>
        <v>0</v>
      </c>
      <c r="H80" s="549">
        <f>IF($B80="","",COUNTIF(Penalties!$Q28:$Y28,H$55))</f>
        <v>0</v>
      </c>
      <c r="I80" s="549">
        <f>IF($B80="","",COUNTIF(Penalties!$Q28:$Y28,I$55))</f>
        <v>0</v>
      </c>
      <c r="J80" s="549">
        <f>IF($B80="","",COUNTIF(Penalties!$Q28:$Y28,J$55))</f>
        <v>0</v>
      </c>
      <c r="K80" s="549">
        <f>IF($B80="","",COUNTIF(Penalties!$Q28:$Y28,K$55))</f>
        <v>0</v>
      </c>
      <c r="L80" s="549">
        <f>IF($B80="","",COUNTIF(Penalties!$Q28:$Y28,L$55))</f>
        <v>0</v>
      </c>
      <c r="M80" s="549">
        <f>IF($B80="","",COUNTIF(Penalties!$Q28:$Y28,M$55))</f>
        <v>0</v>
      </c>
      <c r="N80" s="549">
        <f>IF($B80="","",COUNTIF(Penalties!$Q28:$Y28,N$55))</f>
        <v>0</v>
      </c>
      <c r="O80" s="549">
        <f>IF($B80="","",COUNTIF(Penalties!$Q28:$Y28,O$55))</f>
        <v>0</v>
      </c>
      <c r="P80" s="549">
        <f>IF($B80="","",COUNTIF(Penalties!$Q28:$Y28,P$55))</f>
        <v>0</v>
      </c>
      <c r="Q80" s="549">
        <f>IF($B80="","",COUNTIF(Penalties!$Q28:$Y28,Q$55))</f>
        <v>0</v>
      </c>
      <c r="R80" s="549">
        <f>IF($B80="","",COUNTIF(Penalties!$Q28:$Y28,R$55))</f>
        <v>0</v>
      </c>
      <c r="S80" s="549">
        <f>IF($B80="","",COUNTIF(Penalties!$Q28:$Y28,S$55))</f>
        <v>0</v>
      </c>
      <c r="T80" s="549">
        <f>IF($B80="","",COUNTIF(Penalties!$Q28:$Y28,T$55))</f>
        <v>0</v>
      </c>
      <c r="U80" s="557">
        <f>IF(B80="","",SUM(E80:T80))</f>
        <v>0</v>
      </c>
      <c r="V80" s="558">
        <f>IF(B80="","",SUM(E80:T80)*0.5)</f>
        <v>0</v>
      </c>
      <c r="W80" s="559" t="str">
        <f>IF($B80="","",IF(Penalties!$Z28=W$55,1,""))</f>
        <v/>
      </c>
      <c r="X80" s="559" t="str">
        <f>IF($B80="","",IF(Penalties!$Z28=X$55,1,""))</f>
        <v/>
      </c>
      <c r="Y80" s="559" t="str">
        <f>IF($B80="","",IF(Penalties!$Z28=Y$55,1,""))</f>
        <v/>
      </c>
      <c r="Z80" s="559" t="str">
        <f>IF($B80="","",IF(Penalties!$Z28=Z$55,1,""))</f>
        <v/>
      </c>
      <c r="AA80" s="559" t="str">
        <f>IF($B80="","",IF(Penalties!$Z28=AA$55,1,""))</f>
        <v/>
      </c>
      <c r="AB80" s="559" t="str">
        <f>IF($B80="","",IF(Penalties!$Z28=AB$55,1,""))</f>
        <v/>
      </c>
      <c r="AC80" s="559" t="str">
        <f>IF($B80="","",IF(Penalties!$Z28=AC$55,1,""))</f>
        <v/>
      </c>
      <c r="AD80" s="559" t="str">
        <f>IF($B80="","",IF(Penalties!$Z28=AD$55,1,""))</f>
        <v/>
      </c>
      <c r="AE80" s="559" t="str">
        <f>IF($B80="","",IF(Penalties!$Z28=AE$55,1,""))</f>
        <v/>
      </c>
      <c r="AF80" s="559" t="str">
        <f>IF($B80="","",IF(Penalties!$Z28=AF$55,1,""))</f>
        <v/>
      </c>
      <c r="AG80" s="559" t="str">
        <f>IF($B80="","",IF(Penalties!$Z28=AG$55,1,""))</f>
        <v/>
      </c>
      <c r="AH80" s="559" t="str">
        <f>IF($B80="","",IF(Penalties!$Z28=AH$55,1,""))</f>
        <v/>
      </c>
      <c r="AI80" s="559" t="str">
        <f>IF($B80="","",IF(Penalties!$Z28=AI$55,1,""))</f>
        <v/>
      </c>
      <c r="AJ80" s="560"/>
      <c r="AK80" s="109"/>
      <c r="AL80" s="109"/>
      <c r="AM80" s="109"/>
      <c r="AN80" s="109"/>
      <c r="AO80" s="109"/>
      <c r="AP80" s="109"/>
      <c r="AQ80" s="109"/>
      <c r="AR80" s="109"/>
      <c r="AS80" s="109"/>
      <c r="AT80" s="109"/>
      <c r="AU80" s="109"/>
      <c r="AV80" s="109"/>
      <c r="AW80" s="109"/>
      <c r="AX80" s="109"/>
    </row>
    <row r="81" spans="1:50" x14ac:dyDescent="0.3">
      <c r="A81" s="1166"/>
      <c r="B81" s="1167"/>
      <c r="C81" s="1168"/>
      <c r="D81" s="556" t="s">
        <v>33</v>
      </c>
      <c r="E81" s="549">
        <f>IF($B80="","",COUNTIF(Penalties!$AS28:$BA28,E$55))</f>
        <v>0</v>
      </c>
      <c r="F81" s="549">
        <f>IF($B80="","",COUNTIF(Penalties!$AS28:$BA28,F$55))</f>
        <v>0</v>
      </c>
      <c r="G81" s="549">
        <f>IF($B80="","",COUNTIF(Penalties!$AS28:$BA28,G$55))</f>
        <v>0</v>
      </c>
      <c r="H81" s="549">
        <f>IF($B80="","",COUNTIF(Penalties!$AS28:$BA28,H$55))</f>
        <v>0</v>
      </c>
      <c r="I81" s="549">
        <f>IF($B80="","",COUNTIF(Penalties!$AS28:$BA28,I$55))</f>
        <v>0</v>
      </c>
      <c r="J81" s="549">
        <f>IF($B80="","",COUNTIF(Penalties!$AS28:$BA28,J$55))</f>
        <v>0</v>
      </c>
      <c r="K81" s="549">
        <f>IF($B80="","",COUNTIF(Penalties!$AS28:$BA28,K$55))</f>
        <v>0</v>
      </c>
      <c r="L81" s="549">
        <f>IF($B80="","",COUNTIF(Penalties!$AS28:$BA28,L$55))</f>
        <v>0</v>
      </c>
      <c r="M81" s="549">
        <f>IF($B80="","",COUNTIF(Penalties!$AS28:$BA28,M$55))</f>
        <v>0</v>
      </c>
      <c r="N81" s="549">
        <f>IF($B80="","",COUNTIF(Penalties!$AS28:$BA28,N$55))</f>
        <v>1</v>
      </c>
      <c r="O81" s="549">
        <f>IF($B80="","",COUNTIF(Penalties!$AS28:$BA28,O$55))</f>
        <v>0</v>
      </c>
      <c r="P81" s="549">
        <f>IF($B80="","",COUNTIF(Penalties!$AS28:$BA28,P$55))</f>
        <v>0</v>
      </c>
      <c r="Q81" s="549">
        <f>IF($B80="","",COUNTIF(Penalties!$AS28:$BA28,Q$55))</f>
        <v>0</v>
      </c>
      <c r="R81" s="549">
        <f>IF($B80="","",COUNTIF(Penalties!$AS28:$BA28,R$55))</f>
        <v>0</v>
      </c>
      <c r="S81" s="549">
        <f>IF($B80="","",COUNTIF(Penalties!$AS28:$BA28,S$55))</f>
        <v>0</v>
      </c>
      <c r="T81" s="549">
        <f>IF($B80="","",COUNTIF(Penalties!$AS28:$BA28,T$55))</f>
        <v>0</v>
      </c>
      <c r="U81" s="557">
        <f>IF(B80="","",SUM(E81:T81))</f>
        <v>1</v>
      </c>
      <c r="V81" s="558">
        <f>IF(B80="","",SUM(E81:T81)*0.5)</f>
        <v>0.5</v>
      </c>
      <c r="W81" s="559" t="str">
        <f>IF($B80="","",IF(Penalties!$BB28=W$55,1,""))</f>
        <v/>
      </c>
      <c r="X81" s="559" t="str">
        <f>IF($B80="","",IF(Penalties!$BB28=X$55,1,""))</f>
        <v/>
      </c>
      <c r="Y81" s="559" t="str">
        <f>IF($B80="","",IF(Penalties!$BB28=Y$55,1,""))</f>
        <v/>
      </c>
      <c r="Z81" s="559" t="str">
        <f>IF($B80="","",IF(Penalties!$BB28=Z$55,1,""))</f>
        <v/>
      </c>
      <c r="AA81" s="559" t="str">
        <f>IF($B80="","",IF(Penalties!$BB28=AA$55,1,""))</f>
        <v/>
      </c>
      <c r="AB81" s="559" t="str">
        <f>IF($B80="","",IF(Penalties!$BB28=AB$55,1,""))</f>
        <v/>
      </c>
      <c r="AC81" s="559" t="str">
        <f>IF($B80="","",IF(Penalties!$BB28=AC$55,1,""))</f>
        <v/>
      </c>
      <c r="AD81" s="559" t="str">
        <f>IF($B80="","",IF(Penalties!$BB28=AD$55,1,""))</f>
        <v/>
      </c>
      <c r="AE81" s="559" t="str">
        <f>IF($B80="","",IF(Penalties!$BB28=AE$55,1,""))</f>
        <v/>
      </c>
      <c r="AF81" s="559" t="str">
        <f>IF($B80="","",IF(Penalties!$BB28=AF$55,1,""))</f>
        <v/>
      </c>
      <c r="AG81" s="559" t="str">
        <f>IF($B80="","",IF(Penalties!$BB28=AG$55,1,""))</f>
        <v/>
      </c>
      <c r="AH81" s="559" t="str">
        <f>IF($B80="","",IF(Penalties!$BB28=AH$55,1,""))</f>
        <v/>
      </c>
      <c r="AI81" s="559" t="str">
        <f>IF($B80="","",IF(Penalties!$BB28=AI$55,1,""))</f>
        <v/>
      </c>
      <c r="AJ81" s="561" t="str">
        <f>IF(SUM(X80:AI81)=0, "", IF(SUM(X80:AI80)=1, LOOKUP(1, X80:AI80, $X$55:$AI$55), LOOKUP(1, X81:AI81, $X$55:$AI$55)))</f>
        <v/>
      </c>
      <c r="AK81" s="109"/>
      <c r="AL81" s="109"/>
      <c r="AM81" s="109"/>
      <c r="AN81" s="109"/>
      <c r="AO81" s="109"/>
      <c r="AP81" s="109"/>
      <c r="AQ81" s="109"/>
      <c r="AR81" s="109"/>
      <c r="AS81" s="109"/>
      <c r="AT81" s="109"/>
      <c r="AU81" s="109"/>
      <c r="AV81" s="109"/>
      <c r="AW81" s="109"/>
      <c r="AX81" s="109"/>
    </row>
    <row r="82" spans="1:50" x14ac:dyDescent="0.3">
      <c r="A82" s="1163">
        <f>A80+1</f>
        <v>14</v>
      </c>
      <c r="B82" s="1164" t="str">
        <f>IF(IGRF!H27="","",IGRF!H27)</f>
        <v>K9</v>
      </c>
      <c r="C82" s="1165" t="str">
        <f>IF(IGRF!I27="","",IGRF!I27)</f>
        <v>Scooby Doom</v>
      </c>
      <c r="D82" s="550" t="s">
        <v>17</v>
      </c>
      <c r="E82" s="550">
        <f>IF($B82="","",COUNTIF(Penalties!$Q30:$Y30,E$55))</f>
        <v>0</v>
      </c>
      <c r="F82" s="550">
        <f>IF($B82="","",COUNTIF(Penalties!$Q30:$Y30,F$55))</f>
        <v>0</v>
      </c>
      <c r="G82" s="550">
        <f>IF($B82="","",COUNTIF(Penalties!$Q30:$Y30,G$55))</f>
        <v>0</v>
      </c>
      <c r="H82" s="550">
        <f>IF($B82="","",COUNTIF(Penalties!$Q30:$Y30,H$55))</f>
        <v>0</v>
      </c>
      <c r="I82" s="550">
        <f>IF($B82="","",COUNTIF(Penalties!$Q30:$Y30,I$55))</f>
        <v>0</v>
      </c>
      <c r="J82" s="550">
        <f>IF($B82="","",COUNTIF(Penalties!$Q30:$Y30,J$55))</f>
        <v>0</v>
      </c>
      <c r="K82" s="550">
        <f>IF($B82="","",COUNTIF(Penalties!$Q30:$Y30,K$55))</f>
        <v>0</v>
      </c>
      <c r="L82" s="550">
        <f>IF($B82="","",COUNTIF(Penalties!$Q30:$Y30,L$55))</f>
        <v>0</v>
      </c>
      <c r="M82" s="550">
        <f>IF($B82="","",COUNTIF(Penalties!$Q30:$Y30,M$55))</f>
        <v>0</v>
      </c>
      <c r="N82" s="550">
        <f>IF($B82="","",COUNTIF(Penalties!$Q30:$Y30,N$55))</f>
        <v>0</v>
      </c>
      <c r="O82" s="550">
        <f>IF($B82="","",COUNTIF(Penalties!$Q30:$Y30,O$55))</f>
        <v>0</v>
      </c>
      <c r="P82" s="550">
        <f>IF($B82="","",COUNTIF(Penalties!$Q30:$Y30,P$55))</f>
        <v>0</v>
      </c>
      <c r="Q82" s="550">
        <f>IF($B82="","",COUNTIF(Penalties!$Q30:$Y30,Q$55))</f>
        <v>0</v>
      </c>
      <c r="R82" s="550">
        <f>IF($B82="","",COUNTIF(Penalties!$Q30:$Y30,R$55))</f>
        <v>0</v>
      </c>
      <c r="S82" s="550">
        <f>IF($B82="","",COUNTIF(Penalties!$Q30:$Y30,S$55))</f>
        <v>0</v>
      </c>
      <c r="T82" s="550">
        <f>IF($B82="","",COUNTIF(Penalties!$Q30:$Y30,T$55))</f>
        <v>0</v>
      </c>
      <c r="U82" s="562">
        <f>IF(B82="","",SUM(E82:T82))</f>
        <v>0</v>
      </c>
      <c r="V82" s="563">
        <f>IF(B82="","",SUM(E82:T82)*0.5)</f>
        <v>0</v>
      </c>
      <c r="W82" s="564" t="str">
        <f>IF($B82="","",IF(Penalties!$Z30=W$55,1,""))</f>
        <v/>
      </c>
      <c r="X82" s="564" t="str">
        <f>IF($B82="","",IF(Penalties!$Z30=X$55,1,""))</f>
        <v/>
      </c>
      <c r="Y82" s="564" t="str">
        <f>IF($B82="","",IF(Penalties!$Z30=Y$55,1,""))</f>
        <v/>
      </c>
      <c r="Z82" s="564" t="str">
        <f>IF($B82="","",IF(Penalties!$Z30=Z$55,1,""))</f>
        <v/>
      </c>
      <c r="AA82" s="564" t="str">
        <f>IF($B82="","",IF(Penalties!$Z30=AA$55,1,""))</f>
        <v/>
      </c>
      <c r="AB82" s="564" t="str">
        <f>IF($B82="","",IF(Penalties!$Z30=AB$55,1,""))</f>
        <v/>
      </c>
      <c r="AC82" s="564" t="str">
        <f>IF($B82="","",IF(Penalties!$Z30=AC$55,1,""))</f>
        <v/>
      </c>
      <c r="AD82" s="564" t="str">
        <f>IF($B82="","",IF(Penalties!$Z30=AD$55,1,""))</f>
        <v/>
      </c>
      <c r="AE82" s="564" t="str">
        <f>IF($B82="","",IF(Penalties!$Z30=AE$55,1,""))</f>
        <v/>
      </c>
      <c r="AF82" s="564" t="str">
        <f>IF($B82="","",IF(Penalties!$Z30=AF$55,1,""))</f>
        <v/>
      </c>
      <c r="AG82" s="564" t="str">
        <f>IF($B82="","",IF(Penalties!$Z30=AG$55,1,""))</f>
        <v/>
      </c>
      <c r="AH82" s="564" t="str">
        <f>IF($B82="","",IF(Penalties!$Z30=AH$55,1,""))</f>
        <v/>
      </c>
      <c r="AI82" s="564" t="str">
        <f>IF($B82="","",IF(Penalties!$Z30=AI$55,1,""))</f>
        <v/>
      </c>
      <c r="AJ82" s="565"/>
      <c r="AK82" s="109"/>
      <c r="AL82" s="109"/>
      <c r="AM82" s="109"/>
      <c r="AN82" s="109"/>
      <c r="AO82" s="109"/>
      <c r="AP82" s="109"/>
      <c r="AQ82" s="109"/>
      <c r="AR82" s="109"/>
      <c r="AS82" s="109"/>
      <c r="AT82" s="109"/>
      <c r="AU82" s="109"/>
      <c r="AV82" s="109"/>
      <c r="AW82" s="109"/>
      <c r="AX82" s="109"/>
    </row>
    <row r="83" spans="1:50" ht="14.4" thickBot="1" x14ac:dyDescent="0.35">
      <c r="A83" s="1163"/>
      <c r="B83" s="1164"/>
      <c r="C83" s="1165"/>
      <c r="D83" s="550" t="s">
        <v>33</v>
      </c>
      <c r="E83" s="550">
        <f>IF($B82="","",COUNTIF(Penalties!$AS30:$BA30,E$55))</f>
        <v>0</v>
      </c>
      <c r="F83" s="550">
        <f>IF($B82="","",COUNTIF(Penalties!$AS30:$BA30,F$55))</f>
        <v>0</v>
      </c>
      <c r="G83" s="550">
        <f>IF($B82="","",COUNTIF(Penalties!$AS30:$BA30,G$55))</f>
        <v>0</v>
      </c>
      <c r="H83" s="550">
        <f>IF($B82="","",COUNTIF(Penalties!$AS30:$BA30,H$55))</f>
        <v>0</v>
      </c>
      <c r="I83" s="550">
        <f>IF($B82="","",COUNTIF(Penalties!$AS30:$BA30,I$55))</f>
        <v>0</v>
      </c>
      <c r="J83" s="550">
        <f>IF($B82="","",COUNTIF(Penalties!$AS30:$BA30,J$55))</f>
        <v>0</v>
      </c>
      <c r="K83" s="550">
        <f>IF($B82="","",COUNTIF(Penalties!$AS30:$BA30,K$55))</f>
        <v>0</v>
      </c>
      <c r="L83" s="550">
        <f>IF($B82="","",COUNTIF(Penalties!$AS30:$BA30,L$55))</f>
        <v>0</v>
      </c>
      <c r="M83" s="550">
        <f>IF($B82="","",COUNTIF(Penalties!$AS30:$BA30,M$55))</f>
        <v>0</v>
      </c>
      <c r="N83" s="550">
        <f>IF($B82="","",COUNTIF(Penalties!$AS30:$BA30,N$55))</f>
        <v>0</v>
      </c>
      <c r="O83" s="550">
        <f>IF($B82="","",COUNTIF(Penalties!$AS30:$BA30,O$55))</f>
        <v>2</v>
      </c>
      <c r="P83" s="550">
        <f>IF($B82="","",COUNTIF(Penalties!$AS30:$BA30,P$55))</f>
        <v>0</v>
      </c>
      <c r="Q83" s="550">
        <f>IF($B82="","",COUNTIF(Penalties!$AS30:$BA30,Q$55))</f>
        <v>0</v>
      </c>
      <c r="R83" s="550">
        <f>IF($B82="","",COUNTIF(Penalties!$AS30:$BA30,R$55))</f>
        <v>0</v>
      </c>
      <c r="S83" s="550">
        <f>IF($B82="","",COUNTIF(Penalties!$AS30:$BA30,S$55))</f>
        <v>0</v>
      </c>
      <c r="T83" s="550">
        <f>IF($B82="","",COUNTIF(Penalties!$AS30:$BA30,T$55))</f>
        <v>0</v>
      </c>
      <c r="U83" s="562">
        <f>IF(B82="","",SUM(E83:T83))</f>
        <v>2</v>
      </c>
      <c r="V83" s="563">
        <f>IF(B82="","",SUM(E83:T83)*0.5)</f>
        <v>1</v>
      </c>
      <c r="W83" s="564" t="str">
        <f>IF($B82="","",IF(Penalties!$BB30=W$55,1,""))</f>
        <v/>
      </c>
      <c r="X83" s="564" t="str">
        <f>IF($B82="","",IF(Penalties!$BB30=X$55,1,""))</f>
        <v/>
      </c>
      <c r="Y83" s="564" t="str">
        <f>IF($B82="","",IF(Penalties!$BB30=Y$55,1,""))</f>
        <v/>
      </c>
      <c r="Z83" s="564" t="str">
        <f>IF($B82="","",IF(Penalties!$BB30=Z$55,1,""))</f>
        <v/>
      </c>
      <c r="AA83" s="564" t="str">
        <f>IF($B82="","",IF(Penalties!$BB30=AA$55,1,""))</f>
        <v/>
      </c>
      <c r="AB83" s="564" t="str">
        <f>IF($B82="","",IF(Penalties!$BB30=AB$55,1,""))</f>
        <v/>
      </c>
      <c r="AC83" s="564" t="str">
        <f>IF($B82="","",IF(Penalties!$BB30=AC$55,1,""))</f>
        <v/>
      </c>
      <c r="AD83" s="564" t="str">
        <f>IF($B82="","",IF(Penalties!$BB30=AD$55,1,""))</f>
        <v/>
      </c>
      <c r="AE83" s="564" t="str">
        <f>IF($B82="","",IF(Penalties!$BB30=AE$55,1,""))</f>
        <v/>
      </c>
      <c r="AF83" s="564" t="str">
        <f>IF($B82="","",IF(Penalties!$BB30=AF$55,1,""))</f>
        <v/>
      </c>
      <c r="AG83" s="564" t="str">
        <f>IF($B82="","",IF(Penalties!$BB30=AG$55,1,""))</f>
        <v/>
      </c>
      <c r="AH83" s="564" t="str">
        <f>IF($B82="","",IF(Penalties!$BB30=AH$55,1,""))</f>
        <v/>
      </c>
      <c r="AI83" s="564" t="str">
        <f>IF($B82="","",IF(Penalties!$BB30=AI$55,1,""))</f>
        <v/>
      </c>
      <c r="AJ83" s="566" t="str">
        <f>IF(SUM(X82:AI83)=0, "", IF(SUM(X82:AI82)=1, LOOKUP(1, X82:AI82, $X$55:$AI$55), LOOKUP(1, X83:AI83, $X$55:$AI$55)))</f>
        <v/>
      </c>
      <c r="AK83" s="109"/>
      <c r="AL83" s="109"/>
      <c r="AM83" s="109"/>
      <c r="AN83" s="109"/>
      <c r="AO83" s="109"/>
      <c r="AP83" s="109"/>
      <c r="AQ83" s="109"/>
      <c r="AR83" s="109"/>
      <c r="AS83" s="109"/>
      <c r="AT83" s="109"/>
      <c r="AU83" s="109"/>
      <c r="AV83" s="109"/>
      <c r="AW83" s="109"/>
      <c r="AX83" s="109"/>
    </row>
    <row r="84" spans="1:50" x14ac:dyDescent="0.3">
      <c r="A84" s="1166">
        <f>A82+1</f>
        <v>15</v>
      </c>
      <c r="B84" s="1167" t="str">
        <f>IF(IGRF!H28="","",IGRF!H28)</f>
        <v/>
      </c>
      <c r="C84" s="1168" t="str">
        <f>IF(IGRF!I28="","",IGRF!I28)</f>
        <v/>
      </c>
      <c r="D84" s="556" t="s">
        <v>17</v>
      </c>
      <c r="E84" s="549" t="str">
        <f>IF($B84="","",COUNTIF(Penalties!$Q32:$Y32,E$55))</f>
        <v/>
      </c>
      <c r="F84" s="549" t="str">
        <f>IF($B84="","",COUNTIF(Penalties!$Q32:$Y32,F$55))</f>
        <v/>
      </c>
      <c r="G84" s="549" t="str">
        <f>IF($B84="","",COUNTIF(Penalties!$Q32:$Y32,G$55))</f>
        <v/>
      </c>
      <c r="H84" s="549" t="str">
        <f>IF($B84="","",COUNTIF(Penalties!$Q32:$Y32,H$55))</f>
        <v/>
      </c>
      <c r="I84" s="549" t="str">
        <f>IF($B84="","",COUNTIF(Penalties!$Q32:$Y32,I$55))</f>
        <v/>
      </c>
      <c r="J84" s="549" t="str">
        <f>IF($B84="","",COUNTIF(Penalties!$Q32:$Y32,J$55))</f>
        <v/>
      </c>
      <c r="K84" s="549" t="str">
        <f>IF($B84="","",COUNTIF(Penalties!$Q32:$Y32,K$55))</f>
        <v/>
      </c>
      <c r="L84" s="549" t="str">
        <f>IF($B84="","",COUNTIF(Penalties!$Q32:$Y32,L$55))</f>
        <v/>
      </c>
      <c r="M84" s="549" t="str">
        <f>IF($B84="","",COUNTIF(Penalties!$Q32:$Y32,M$55))</f>
        <v/>
      </c>
      <c r="N84" s="549" t="str">
        <f>IF($B84="","",COUNTIF(Penalties!$Q32:$Y32,N$55))</f>
        <v/>
      </c>
      <c r="O84" s="549" t="str">
        <f>IF($B84="","",COUNTIF(Penalties!$Q32:$Y32,O$55))</f>
        <v/>
      </c>
      <c r="P84" s="549" t="str">
        <f>IF($B84="","",COUNTIF(Penalties!$Q32:$Y32,P$55))</f>
        <v/>
      </c>
      <c r="Q84" s="549" t="str">
        <f>IF($B84="","",COUNTIF(Penalties!$Q32:$Y32,Q$55))</f>
        <v/>
      </c>
      <c r="R84" s="549" t="str">
        <f>IF($B84="","",COUNTIF(Penalties!$Q32:$Y32,R$55))</f>
        <v/>
      </c>
      <c r="S84" s="549" t="str">
        <f>IF($B84="","",COUNTIF(Penalties!$Q32:$Y32,S$55))</f>
        <v/>
      </c>
      <c r="T84" s="549" t="str">
        <f>IF($B84="","",COUNTIF(Penalties!$Q32:$Y32,T$55))</f>
        <v/>
      </c>
      <c r="U84" s="557" t="str">
        <f>IF(B84="","",SUM(E84:T84))</f>
        <v/>
      </c>
      <c r="V84" s="558" t="str">
        <f>IF(B84="","",SUM(E84:T84)*0.5)</f>
        <v/>
      </c>
      <c r="W84" s="559" t="str">
        <f>IF($B84="","",IF(Penalties!$Z32=W$55,1,""))</f>
        <v/>
      </c>
      <c r="X84" s="559" t="str">
        <f>IF($B84="","",IF(Penalties!$Z32=X$55,1,""))</f>
        <v/>
      </c>
      <c r="Y84" s="559" t="str">
        <f>IF($B84="","",IF(Penalties!$Z32=Y$55,1,""))</f>
        <v/>
      </c>
      <c r="Z84" s="559" t="str">
        <f>IF($B84="","",IF(Penalties!$Z32=Z$55,1,""))</f>
        <v/>
      </c>
      <c r="AA84" s="559" t="str">
        <f>IF($B84="","",IF(Penalties!$Z32=AA$55,1,""))</f>
        <v/>
      </c>
      <c r="AB84" s="559" t="str">
        <f>IF($B84="","",IF(Penalties!$Z32=AB$55,1,""))</f>
        <v/>
      </c>
      <c r="AC84" s="559" t="str">
        <f>IF($B84="","",IF(Penalties!$Z32=AC$55,1,""))</f>
        <v/>
      </c>
      <c r="AD84" s="559" t="str">
        <f>IF($B84="","",IF(Penalties!$Z32=AD$55,1,""))</f>
        <v/>
      </c>
      <c r="AE84" s="559" t="str">
        <f>IF($B84="","",IF(Penalties!$Z32=AE$55,1,""))</f>
        <v/>
      </c>
      <c r="AF84" s="559" t="str">
        <f>IF($B84="","",IF(Penalties!$Z32=AF$55,1,""))</f>
        <v/>
      </c>
      <c r="AG84" s="559" t="str">
        <f>IF($B84="","",IF(Penalties!$Z32=AG$55,1,""))</f>
        <v/>
      </c>
      <c r="AH84" s="559" t="str">
        <f>IF($B84="","",IF(Penalties!$Z32=AH$55,1,""))</f>
        <v/>
      </c>
      <c r="AI84" s="559" t="str">
        <f>IF($B84="","",IF(Penalties!$Z32=AI$55,1,""))</f>
        <v/>
      </c>
      <c r="AJ84" s="560"/>
      <c r="AK84" s="109"/>
      <c r="AL84" s="109"/>
      <c r="AM84" s="109"/>
      <c r="AN84" s="109"/>
      <c r="AO84" s="109"/>
      <c r="AP84" s="109"/>
      <c r="AQ84" s="109"/>
      <c r="AR84" s="109"/>
      <c r="AS84" s="109"/>
      <c r="AT84" s="109"/>
      <c r="AU84" s="109"/>
      <c r="AV84" s="109"/>
      <c r="AW84" s="109"/>
      <c r="AX84" s="109"/>
    </row>
    <row r="85" spans="1:50" x14ac:dyDescent="0.3">
      <c r="A85" s="1166"/>
      <c r="B85" s="1167"/>
      <c r="C85" s="1168"/>
      <c r="D85" s="556" t="s">
        <v>33</v>
      </c>
      <c r="E85" s="549" t="str">
        <f>IF($B84="","",COUNTIF(Penalties!$AS32:$BA32,E$55))</f>
        <v/>
      </c>
      <c r="F85" s="549" t="str">
        <f>IF($B84="","",COUNTIF(Penalties!$AS32:$BA32,F$55))</f>
        <v/>
      </c>
      <c r="G85" s="549" t="str">
        <f>IF($B84="","",COUNTIF(Penalties!$AS32:$BA32,G$55))</f>
        <v/>
      </c>
      <c r="H85" s="549" t="str">
        <f>IF($B84="","",COUNTIF(Penalties!$AS32:$BA32,H$55))</f>
        <v/>
      </c>
      <c r="I85" s="549" t="str">
        <f>IF($B84="","",COUNTIF(Penalties!$AS32:$BA32,I$55))</f>
        <v/>
      </c>
      <c r="J85" s="549" t="str">
        <f>IF($B84="","",COUNTIF(Penalties!$AS32:$BA32,J$55))</f>
        <v/>
      </c>
      <c r="K85" s="549" t="str">
        <f>IF($B84="","",COUNTIF(Penalties!$AS32:$BA32,K$55))</f>
        <v/>
      </c>
      <c r="L85" s="549" t="str">
        <f>IF($B84="","",COUNTIF(Penalties!$AS32:$BA32,L$55))</f>
        <v/>
      </c>
      <c r="M85" s="549" t="str">
        <f>IF($B84="","",COUNTIF(Penalties!$AS32:$BA32,M$55))</f>
        <v/>
      </c>
      <c r="N85" s="549" t="str">
        <f>IF($B84="","",COUNTIF(Penalties!$AS32:$BA32,N$55))</f>
        <v/>
      </c>
      <c r="O85" s="549" t="str">
        <f>IF($B84="","",COUNTIF(Penalties!$AS32:$BA32,O$55))</f>
        <v/>
      </c>
      <c r="P85" s="549" t="str">
        <f>IF($B84="","",COUNTIF(Penalties!$AS32:$BA32,P$55))</f>
        <v/>
      </c>
      <c r="Q85" s="549" t="str">
        <f>IF($B84="","",COUNTIF(Penalties!$AS32:$BA32,Q$55))</f>
        <v/>
      </c>
      <c r="R85" s="549" t="str">
        <f>IF($B84="","",COUNTIF(Penalties!$AS32:$BA32,R$55))</f>
        <v/>
      </c>
      <c r="S85" s="549" t="str">
        <f>IF($B84="","",COUNTIF(Penalties!$AS32:$BA32,S$55))</f>
        <v/>
      </c>
      <c r="T85" s="549" t="str">
        <f>IF($B84="","",COUNTIF(Penalties!$AS32:$BA32,T$55))</f>
        <v/>
      </c>
      <c r="U85" s="557" t="str">
        <f>IF(B84="","",SUM(E85:T85))</f>
        <v/>
      </c>
      <c r="V85" s="558" t="str">
        <f>IF(B84="","",SUM(E85:T85)*0.5)</f>
        <v/>
      </c>
      <c r="W85" s="559" t="str">
        <f>IF($B84="","",IF(Penalties!$BB32=W$55,1,""))</f>
        <v/>
      </c>
      <c r="X85" s="559" t="str">
        <f>IF($B84="","",IF(Penalties!$BB32=X$55,1,""))</f>
        <v/>
      </c>
      <c r="Y85" s="559" t="str">
        <f>IF($B84="","",IF(Penalties!$BB32=Y$55,1,""))</f>
        <v/>
      </c>
      <c r="Z85" s="559" t="str">
        <f>IF($B84="","",IF(Penalties!$BB32=Z$55,1,""))</f>
        <v/>
      </c>
      <c r="AA85" s="559" t="str">
        <f>IF($B84="","",IF(Penalties!$BB32=AA$55,1,""))</f>
        <v/>
      </c>
      <c r="AB85" s="559" t="str">
        <f>IF($B84="","",IF(Penalties!$BB32=AB$55,1,""))</f>
        <v/>
      </c>
      <c r="AC85" s="559" t="str">
        <f>IF($B84="","",IF(Penalties!$BB32=AC$55,1,""))</f>
        <v/>
      </c>
      <c r="AD85" s="559" t="str">
        <f>IF($B84="","",IF(Penalties!$BB32=AD$55,1,""))</f>
        <v/>
      </c>
      <c r="AE85" s="559" t="str">
        <f>IF($B84="","",IF(Penalties!$BB32=AE$55,1,""))</f>
        <v/>
      </c>
      <c r="AF85" s="559" t="str">
        <f>IF($B84="","",IF(Penalties!$BB32=AF$55,1,""))</f>
        <v/>
      </c>
      <c r="AG85" s="559" t="str">
        <f>IF($B84="","",IF(Penalties!$BB32=AG$55,1,""))</f>
        <v/>
      </c>
      <c r="AH85" s="559" t="str">
        <f>IF($B84="","",IF(Penalties!$BB32=AH$55,1,""))</f>
        <v/>
      </c>
      <c r="AI85" s="559" t="str">
        <f>IF($B84="","",IF(Penalties!$BB32=AI$55,1,""))</f>
        <v/>
      </c>
      <c r="AJ85" s="561" t="str">
        <f>IF(SUM(X84:AI85)=0, "", IF(SUM(X84:AI84)=1, LOOKUP(1, X84:AI84, $X$55:$AI$55), LOOKUP(1, X85:AI85, $X$55:$AI$55)))</f>
        <v/>
      </c>
      <c r="AK85" s="109"/>
      <c r="AL85" s="109"/>
      <c r="AM85" s="109"/>
      <c r="AN85" s="109"/>
      <c r="AO85" s="109"/>
      <c r="AP85" s="109"/>
      <c r="AQ85" s="109"/>
      <c r="AR85" s="109"/>
      <c r="AS85" s="109"/>
      <c r="AT85" s="109"/>
      <c r="AU85" s="109"/>
      <c r="AV85" s="109"/>
      <c r="AW85" s="109"/>
      <c r="AX85" s="109"/>
    </row>
    <row r="86" spans="1:50" x14ac:dyDescent="0.3">
      <c r="A86" s="1163">
        <f>A84+1</f>
        <v>16</v>
      </c>
      <c r="B86" s="1164" t="str">
        <f>IF(IGRF!H29="","",IGRF!H29)</f>
        <v/>
      </c>
      <c r="C86" s="1165" t="str">
        <f>IF(IGRF!I29="","",IGRF!I29)</f>
        <v/>
      </c>
      <c r="D86" s="550" t="s">
        <v>17</v>
      </c>
      <c r="E86" s="550" t="str">
        <f>IF($B86="","",COUNTIF(Penalties!$Q34:$Y34,E$55))</f>
        <v/>
      </c>
      <c r="F86" s="550" t="str">
        <f>IF($B86="","",COUNTIF(Penalties!$Q34:$Y34,F$55))</f>
        <v/>
      </c>
      <c r="G86" s="550" t="str">
        <f>IF($B86="","",COUNTIF(Penalties!$Q34:$Y34,G$55))</f>
        <v/>
      </c>
      <c r="H86" s="550" t="str">
        <f>IF($B86="","",COUNTIF(Penalties!$Q34:$Y34,H$55))</f>
        <v/>
      </c>
      <c r="I86" s="550" t="str">
        <f>IF($B86="","",COUNTIF(Penalties!$Q34:$Y34,I$55))</f>
        <v/>
      </c>
      <c r="J86" s="550" t="str">
        <f>IF($B86="","",COUNTIF(Penalties!$Q34:$Y34,J$55))</f>
        <v/>
      </c>
      <c r="K86" s="550" t="str">
        <f>IF($B86="","",COUNTIF(Penalties!$Q34:$Y34,K$55))</f>
        <v/>
      </c>
      <c r="L86" s="550" t="str">
        <f>IF($B86="","",COUNTIF(Penalties!$Q34:$Y34,L$55))</f>
        <v/>
      </c>
      <c r="M86" s="550" t="str">
        <f>IF($B86="","",COUNTIF(Penalties!$Q34:$Y34,M$55))</f>
        <v/>
      </c>
      <c r="N86" s="550" t="str">
        <f>IF($B86="","",COUNTIF(Penalties!$Q34:$Y34,N$55))</f>
        <v/>
      </c>
      <c r="O86" s="550" t="str">
        <f>IF($B86="","",COUNTIF(Penalties!$Q34:$Y34,O$55))</f>
        <v/>
      </c>
      <c r="P86" s="550" t="str">
        <f>IF($B86="","",COUNTIF(Penalties!$Q34:$Y34,P$55))</f>
        <v/>
      </c>
      <c r="Q86" s="550" t="str">
        <f>IF($B86="","",COUNTIF(Penalties!$Q34:$Y34,Q$55))</f>
        <v/>
      </c>
      <c r="R86" s="550" t="str">
        <f>IF($B86="","",COUNTIF(Penalties!$Q34:$Y34,R$55))</f>
        <v/>
      </c>
      <c r="S86" s="550" t="str">
        <f>IF($B86="","",COUNTIF(Penalties!$Q34:$Y34,S$55))</f>
        <v/>
      </c>
      <c r="T86" s="550" t="str">
        <f>IF($B86="","",COUNTIF(Penalties!$Q34:$Y34,T$55))</f>
        <v/>
      </c>
      <c r="U86" s="562" t="str">
        <f>IF(B86="","",SUM(E86:T86))</f>
        <v/>
      </c>
      <c r="V86" s="563" t="str">
        <f>IF(B86="","",SUM(E86:T86)*0.5)</f>
        <v/>
      </c>
      <c r="W86" s="564" t="str">
        <f>IF($B86="","",IF(Penalties!$Z34=W$55,1,""))</f>
        <v/>
      </c>
      <c r="X86" s="564" t="str">
        <f>IF($B86="","",IF(Penalties!$Z34=X$55,1,""))</f>
        <v/>
      </c>
      <c r="Y86" s="564" t="str">
        <f>IF($B86="","",IF(Penalties!$Z34=Y$55,1,""))</f>
        <v/>
      </c>
      <c r="Z86" s="564" t="str">
        <f>IF($B86="","",IF(Penalties!$Z34=Z$55,1,""))</f>
        <v/>
      </c>
      <c r="AA86" s="564" t="str">
        <f>IF($B86="","",IF(Penalties!$Z34=AA$55,1,""))</f>
        <v/>
      </c>
      <c r="AB86" s="564" t="str">
        <f>IF($B86="","",IF(Penalties!$Z34=AB$55,1,""))</f>
        <v/>
      </c>
      <c r="AC86" s="564" t="str">
        <f>IF($B86="","",IF(Penalties!$Z34=AC$55,1,""))</f>
        <v/>
      </c>
      <c r="AD86" s="564" t="str">
        <f>IF($B86="","",IF(Penalties!$Z34=AD$55,1,""))</f>
        <v/>
      </c>
      <c r="AE86" s="564" t="str">
        <f>IF($B86="","",IF(Penalties!$Z34=AE$55,1,""))</f>
        <v/>
      </c>
      <c r="AF86" s="564" t="str">
        <f>IF($B86="","",IF(Penalties!$Z34=AF$55,1,""))</f>
        <v/>
      </c>
      <c r="AG86" s="564" t="str">
        <f>IF($B86="","",IF(Penalties!$Z34=AG$55,1,""))</f>
        <v/>
      </c>
      <c r="AH86" s="564" t="str">
        <f>IF($B86="","",IF(Penalties!$Z34=AH$55,1,""))</f>
        <v/>
      </c>
      <c r="AI86" s="564" t="str">
        <f>IF($B86="","",IF(Penalties!$Z34=AI$55,1,""))</f>
        <v/>
      </c>
      <c r="AJ86" s="565"/>
      <c r="AK86" s="109"/>
      <c r="AL86" s="109"/>
      <c r="AM86" s="109"/>
      <c r="AN86" s="109"/>
      <c r="AO86" s="109"/>
      <c r="AP86" s="109"/>
      <c r="AQ86" s="109"/>
      <c r="AR86" s="109"/>
      <c r="AS86" s="109"/>
      <c r="AT86" s="109"/>
      <c r="AU86" s="109"/>
      <c r="AV86" s="109"/>
      <c r="AW86" s="109"/>
      <c r="AX86" s="109"/>
    </row>
    <row r="87" spans="1:50" ht="14.4" thickBot="1" x14ac:dyDescent="0.35">
      <c r="A87" s="1163"/>
      <c r="B87" s="1164"/>
      <c r="C87" s="1165"/>
      <c r="D87" s="550" t="s">
        <v>33</v>
      </c>
      <c r="E87" s="550" t="str">
        <f>IF($B86="","",COUNTIF(Penalties!$AS34:$BA34,E$55))</f>
        <v/>
      </c>
      <c r="F87" s="550" t="str">
        <f>IF($B86="","",COUNTIF(Penalties!$AS34:$BA34,F$55))</f>
        <v/>
      </c>
      <c r="G87" s="550" t="str">
        <f>IF($B86="","",COUNTIF(Penalties!$AS34:$BA34,G$55))</f>
        <v/>
      </c>
      <c r="H87" s="550" t="str">
        <f>IF($B86="","",COUNTIF(Penalties!$AS34:$BA34,H$55))</f>
        <v/>
      </c>
      <c r="I87" s="550" t="str">
        <f>IF($B86="","",COUNTIF(Penalties!$AS34:$BA34,I$55))</f>
        <v/>
      </c>
      <c r="J87" s="550" t="str">
        <f>IF($B86="","",COUNTIF(Penalties!$AS34:$BA34,J$55))</f>
        <v/>
      </c>
      <c r="K87" s="550" t="str">
        <f>IF($B86="","",COUNTIF(Penalties!$AS34:$BA34,K$55))</f>
        <v/>
      </c>
      <c r="L87" s="550" t="str">
        <f>IF($B86="","",COUNTIF(Penalties!$AS34:$BA34,L$55))</f>
        <v/>
      </c>
      <c r="M87" s="550" t="str">
        <f>IF($B86="","",COUNTIF(Penalties!$AS34:$BA34,M$55))</f>
        <v/>
      </c>
      <c r="N87" s="550" t="str">
        <f>IF($B86="","",COUNTIF(Penalties!$AS34:$BA34,N$55))</f>
        <v/>
      </c>
      <c r="O87" s="550" t="str">
        <f>IF($B86="","",COUNTIF(Penalties!$AS34:$BA34,O$55))</f>
        <v/>
      </c>
      <c r="P87" s="550" t="str">
        <f>IF($B86="","",COUNTIF(Penalties!$AS34:$BA34,P$55))</f>
        <v/>
      </c>
      <c r="Q87" s="550" t="str">
        <f>IF($B86="","",COUNTIF(Penalties!$AS34:$BA34,Q$55))</f>
        <v/>
      </c>
      <c r="R87" s="550" t="str">
        <f>IF($B86="","",COUNTIF(Penalties!$AS34:$BA34,R$55))</f>
        <v/>
      </c>
      <c r="S87" s="550" t="str">
        <f>IF($B86="","",COUNTIF(Penalties!$AS34:$BA34,S$55))</f>
        <v/>
      </c>
      <c r="T87" s="550" t="str">
        <f>IF($B86="","",COUNTIF(Penalties!$AS34:$BA34,T$55))</f>
        <v/>
      </c>
      <c r="U87" s="562" t="str">
        <f>IF(B86="","",SUM(E87:T87))</f>
        <v/>
      </c>
      <c r="V87" s="563" t="str">
        <f>IF(B86="","",SUM(E87:T87)*0.5)</f>
        <v/>
      </c>
      <c r="W87" s="564" t="str">
        <f>IF($B86="","",IF(Penalties!$BB34=W$55,1,""))</f>
        <v/>
      </c>
      <c r="X87" s="564" t="str">
        <f>IF($B86="","",IF(Penalties!$BB34=X$55,1,""))</f>
        <v/>
      </c>
      <c r="Y87" s="564" t="str">
        <f>IF($B86="","",IF(Penalties!$BB34=Y$55,1,""))</f>
        <v/>
      </c>
      <c r="Z87" s="564" t="str">
        <f>IF($B86="","",IF(Penalties!$BB34=Z$55,1,""))</f>
        <v/>
      </c>
      <c r="AA87" s="564" t="str">
        <f>IF($B86="","",IF(Penalties!$BB34=AA$55,1,""))</f>
        <v/>
      </c>
      <c r="AB87" s="564" t="str">
        <f>IF($B86="","",IF(Penalties!$BB34=AB$55,1,""))</f>
        <v/>
      </c>
      <c r="AC87" s="564" t="str">
        <f>IF($B86="","",IF(Penalties!$BB34=AC$55,1,""))</f>
        <v/>
      </c>
      <c r="AD87" s="564" t="str">
        <f>IF($B86="","",IF(Penalties!$BB34=AD$55,1,""))</f>
        <v/>
      </c>
      <c r="AE87" s="564" t="str">
        <f>IF($B86="","",IF(Penalties!$BB34=AE$55,1,""))</f>
        <v/>
      </c>
      <c r="AF87" s="564" t="str">
        <f>IF($B86="","",IF(Penalties!$BB34=AF$55,1,""))</f>
        <v/>
      </c>
      <c r="AG87" s="564" t="str">
        <f>IF($B86="","",IF(Penalties!$BB34=AG$55,1,""))</f>
        <v/>
      </c>
      <c r="AH87" s="564" t="str">
        <f>IF($B86="","",IF(Penalties!$BB34=AH$55,1,""))</f>
        <v/>
      </c>
      <c r="AI87" s="564" t="str">
        <f>IF($B86="","",IF(Penalties!$BB34=AI$55,1,""))</f>
        <v/>
      </c>
      <c r="AJ87" s="566" t="str">
        <f>IF(SUM(X86:AI87)=0, "", IF(SUM(X86:AI86)=1, LOOKUP(1, X86:AI86, $X$55:$AI$55), LOOKUP(1, X87:AI87, $X$55:$AI$55)))</f>
        <v/>
      </c>
      <c r="AK87" s="109"/>
      <c r="AL87" s="109"/>
      <c r="AM87" s="109"/>
      <c r="AN87" s="109"/>
      <c r="AO87" s="109"/>
      <c r="AP87" s="109"/>
      <c r="AQ87" s="109"/>
      <c r="AR87" s="109"/>
      <c r="AS87" s="109"/>
      <c r="AT87" s="109"/>
      <c r="AU87" s="109"/>
      <c r="AV87" s="109"/>
      <c r="AW87" s="109"/>
      <c r="AX87" s="109"/>
    </row>
    <row r="88" spans="1:50" x14ac:dyDescent="0.3">
      <c r="A88" s="1166">
        <f>A86+1</f>
        <v>17</v>
      </c>
      <c r="B88" s="1167" t="str">
        <f>IF(IGRF!H30="","",IGRF!H30)</f>
        <v/>
      </c>
      <c r="C88" s="1168" t="str">
        <f>IF(IGRF!I30="","",IGRF!I30)</f>
        <v/>
      </c>
      <c r="D88" s="556" t="s">
        <v>17</v>
      </c>
      <c r="E88" s="549" t="str">
        <f>IF($B88="","",COUNTIF(Penalties!$Q36:$Y36,E$55))</f>
        <v/>
      </c>
      <c r="F88" s="549" t="str">
        <f>IF($B88="","",COUNTIF(Penalties!$Q36:$Y36,F$55))</f>
        <v/>
      </c>
      <c r="G88" s="549" t="str">
        <f>IF($B88="","",COUNTIF(Penalties!$Q36:$Y36,G$55))</f>
        <v/>
      </c>
      <c r="H88" s="549" t="str">
        <f>IF($B88="","",COUNTIF(Penalties!$Q36:$Y36,H$55))</f>
        <v/>
      </c>
      <c r="I88" s="549" t="str">
        <f>IF($B88="","",COUNTIF(Penalties!$Q36:$Y36,I$55))</f>
        <v/>
      </c>
      <c r="J88" s="549" t="str">
        <f>IF($B88="","",COUNTIF(Penalties!$Q36:$Y36,J$55))</f>
        <v/>
      </c>
      <c r="K88" s="549" t="str">
        <f>IF($B88="","",COUNTIF(Penalties!$Q36:$Y36,K$55))</f>
        <v/>
      </c>
      <c r="L88" s="549" t="str">
        <f>IF($B88="","",COUNTIF(Penalties!$Q36:$Y36,L$55))</f>
        <v/>
      </c>
      <c r="M88" s="549" t="str">
        <f>IF($B88="","",COUNTIF(Penalties!$Q36:$Y36,M$55))</f>
        <v/>
      </c>
      <c r="N88" s="549" t="str">
        <f>IF($B88="","",COUNTIF(Penalties!$Q36:$Y36,N$55))</f>
        <v/>
      </c>
      <c r="O88" s="549" t="str">
        <f>IF($B88="","",COUNTIF(Penalties!$Q36:$Y36,O$55))</f>
        <v/>
      </c>
      <c r="P88" s="549" t="str">
        <f>IF($B88="","",COUNTIF(Penalties!$Q36:$Y36,P$55))</f>
        <v/>
      </c>
      <c r="Q88" s="549" t="str">
        <f>IF($B88="","",COUNTIF(Penalties!$Q36:$Y36,Q$55))</f>
        <v/>
      </c>
      <c r="R88" s="549" t="str">
        <f>IF($B88="","",COUNTIF(Penalties!$Q36:$Y36,R$55))</f>
        <v/>
      </c>
      <c r="S88" s="549" t="str">
        <f>IF($B88="","",COUNTIF(Penalties!$Q36:$Y36,S$55))</f>
        <v/>
      </c>
      <c r="T88" s="549" t="str">
        <f>IF($B88="","",COUNTIF(Penalties!$Q36:$Y36,T$55))</f>
        <v/>
      </c>
      <c r="U88" s="557" t="str">
        <f>IF(B88="","",SUM(E88:T88))</f>
        <v/>
      </c>
      <c r="V88" s="558" t="str">
        <f>IF(B88="","",SUM(E88:T88)*0.5)</f>
        <v/>
      </c>
      <c r="W88" s="559" t="str">
        <f>IF($B88="","",IF(Penalties!$Z36=W$55,1,""))</f>
        <v/>
      </c>
      <c r="X88" s="559" t="str">
        <f>IF($B88="","",IF(Penalties!$Z36=X$55,1,""))</f>
        <v/>
      </c>
      <c r="Y88" s="559" t="str">
        <f>IF($B88="","",IF(Penalties!$Z36=Y$55,1,""))</f>
        <v/>
      </c>
      <c r="Z88" s="559" t="str">
        <f>IF($B88="","",IF(Penalties!$Z36=Z$55,1,""))</f>
        <v/>
      </c>
      <c r="AA88" s="559" t="str">
        <f>IF($B88="","",IF(Penalties!$Z36=AA$55,1,""))</f>
        <v/>
      </c>
      <c r="AB88" s="559" t="str">
        <f>IF($B88="","",IF(Penalties!$Z36=AB$55,1,""))</f>
        <v/>
      </c>
      <c r="AC88" s="559" t="str">
        <f>IF($B88="","",IF(Penalties!$Z36=AC$55,1,""))</f>
        <v/>
      </c>
      <c r="AD88" s="559" t="str">
        <f>IF($B88="","",IF(Penalties!$Z36=AD$55,1,""))</f>
        <v/>
      </c>
      <c r="AE88" s="559" t="str">
        <f>IF($B88="","",IF(Penalties!$Z36=AE$55,1,""))</f>
        <v/>
      </c>
      <c r="AF88" s="559" t="str">
        <f>IF($B88="","",IF(Penalties!$Z36=AF$55,1,""))</f>
        <v/>
      </c>
      <c r="AG88" s="559" t="str">
        <f>IF($B88="","",IF(Penalties!$Z36=AG$55,1,""))</f>
        <v/>
      </c>
      <c r="AH88" s="559" t="str">
        <f>IF($B88="","",IF(Penalties!$Z36=AH$55,1,""))</f>
        <v/>
      </c>
      <c r="AI88" s="559" t="str">
        <f>IF($B88="","",IF(Penalties!$Z36=AI$55,1,""))</f>
        <v/>
      </c>
      <c r="AJ88" s="560"/>
      <c r="AK88" s="109"/>
      <c r="AL88" s="109"/>
      <c r="AM88" s="109"/>
      <c r="AN88" s="109"/>
      <c r="AO88" s="109"/>
      <c r="AP88" s="109"/>
      <c r="AQ88" s="109"/>
      <c r="AR88" s="109"/>
      <c r="AS88" s="109"/>
      <c r="AT88" s="109"/>
      <c r="AU88" s="109"/>
      <c r="AV88" s="109"/>
      <c r="AW88" s="109"/>
      <c r="AX88" s="109"/>
    </row>
    <row r="89" spans="1:50" x14ac:dyDescent="0.3">
      <c r="A89" s="1166"/>
      <c r="B89" s="1167"/>
      <c r="C89" s="1168"/>
      <c r="D89" s="556" t="s">
        <v>33</v>
      </c>
      <c r="E89" s="549" t="str">
        <f>IF($B88="","",COUNTIF(Penalties!$AS36:$BA36,E$55))</f>
        <v/>
      </c>
      <c r="F89" s="549" t="str">
        <f>IF($B88="","",COUNTIF(Penalties!$AS36:$BA36,F$55))</f>
        <v/>
      </c>
      <c r="G89" s="549" t="str">
        <f>IF($B88="","",COUNTIF(Penalties!$AS36:$BA36,G$55))</f>
        <v/>
      </c>
      <c r="H89" s="549" t="str">
        <f>IF($B88="","",COUNTIF(Penalties!$AS36:$BA36,H$55))</f>
        <v/>
      </c>
      <c r="I89" s="549" t="str">
        <f>IF($B88="","",COUNTIF(Penalties!$AS36:$BA36,I$55))</f>
        <v/>
      </c>
      <c r="J89" s="549" t="str">
        <f>IF($B88="","",COUNTIF(Penalties!$AS36:$BA36,J$55))</f>
        <v/>
      </c>
      <c r="K89" s="549" t="str">
        <f>IF($B88="","",COUNTIF(Penalties!$AS36:$BA36,K$55))</f>
        <v/>
      </c>
      <c r="L89" s="549" t="str">
        <f>IF($B88="","",COUNTIF(Penalties!$AS36:$BA36,L$55))</f>
        <v/>
      </c>
      <c r="M89" s="549" t="str">
        <f>IF($B88="","",COUNTIF(Penalties!$AS36:$BA36,M$55))</f>
        <v/>
      </c>
      <c r="N89" s="549" t="str">
        <f>IF($B88="","",COUNTIF(Penalties!$AS36:$BA36,N$55))</f>
        <v/>
      </c>
      <c r="O89" s="549" t="str">
        <f>IF($B88="","",COUNTIF(Penalties!$AS36:$BA36,O$55))</f>
        <v/>
      </c>
      <c r="P89" s="549" t="str">
        <f>IF($B88="","",COUNTIF(Penalties!$AS36:$BA36,P$55))</f>
        <v/>
      </c>
      <c r="Q89" s="549" t="str">
        <f>IF($B88="","",COUNTIF(Penalties!$AS36:$BA36,Q$55))</f>
        <v/>
      </c>
      <c r="R89" s="549" t="str">
        <f>IF($B88="","",COUNTIF(Penalties!$AS36:$BA36,R$55))</f>
        <v/>
      </c>
      <c r="S89" s="549" t="str">
        <f>IF($B88="","",COUNTIF(Penalties!$AS36:$BA36,S$55))</f>
        <v/>
      </c>
      <c r="T89" s="549" t="str">
        <f>IF($B88="","",COUNTIF(Penalties!$AS36:$BA36,T$55))</f>
        <v/>
      </c>
      <c r="U89" s="557" t="str">
        <f>IF(B88="","",SUM(E89:T89))</f>
        <v/>
      </c>
      <c r="V89" s="558" t="str">
        <f>IF(B88="","",SUM(E89:T89)*0.5)</f>
        <v/>
      </c>
      <c r="W89" s="559" t="str">
        <f>IF($B88="","",IF(Penalties!$BB36=W$55,1,""))</f>
        <v/>
      </c>
      <c r="X89" s="559" t="str">
        <f>IF($B88="","",IF(Penalties!$BB36=X$55,1,""))</f>
        <v/>
      </c>
      <c r="Y89" s="559" t="str">
        <f>IF($B88="","",IF(Penalties!$BB36=Y$55,1,""))</f>
        <v/>
      </c>
      <c r="Z89" s="559" t="str">
        <f>IF($B88="","",IF(Penalties!$BB36=Z$55,1,""))</f>
        <v/>
      </c>
      <c r="AA89" s="559" t="str">
        <f>IF($B88="","",IF(Penalties!$BB36=AA$55,1,""))</f>
        <v/>
      </c>
      <c r="AB89" s="559" t="str">
        <f>IF($B88="","",IF(Penalties!$BB36=AB$55,1,""))</f>
        <v/>
      </c>
      <c r="AC89" s="559" t="str">
        <f>IF($B88="","",IF(Penalties!$BB36=AC$55,1,""))</f>
        <v/>
      </c>
      <c r="AD89" s="559" t="str">
        <f>IF($B88="","",IF(Penalties!$BB36=AD$55,1,""))</f>
        <v/>
      </c>
      <c r="AE89" s="559" t="str">
        <f>IF($B88="","",IF(Penalties!$BB36=AE$55,1,""))</f>
        <v/>
      </c>
      <c r="AF89" s="559" t="str">
        <f>IF($B88="","",IF(Penalties!$BB36=AF$55,1,""))</f>
        <v/>
      </c>
      <c r="AG89" s="559" t="str">
        <f>IF($B88="","",IF(Penalties!$BB36=AG$55,1,""))</f>
        <v/>
      </c>
      <c r="AH89" s="559" t="str">
        <f>IF($B88="","",IF(Penalties!$BB36=AH$55,1,""))</f>
        <v/>
      </c>
      <c r="AI89" s="559" t="str">
        <f>IF($B88="","",IF(Penalties!$BB36=AI$55,1,""))</f>
        <v/>
      </c>
      <c r="AJ89" s="561" t="str">
        <f>IF(SUM(X88:AI89)=0, "", IF(SUM(X88:AI88)=1, LOOKUP(1, X88:AI88, $X$55:$AI$55), LOOKUP(1, X89:AI89, $X$55:$AI$55)))</f>
        <v/>
      </c>
      <c r="AK89" s="109"/>
      <c r="AL89" s="109"/>
      <c r="AM89" s="109"/>
      <c r="AN89" s="109"/>
      <c r="AO89" s="109"/>
      <c r="AP89" s="109"/>
      <c r="AQ89" s="109"/>
      <c r="AR89" s="109"/>
      <c r="AS89" s="109"/>
      <c r="AT89" s="109"/>
      <c r="AU89" s="109"/>
      <c r="AV89" s="109"/>
      <c r="AW89" s="109"/>
      <c r="AX89" s="109"/>
    </row>
    <row r="90" spans="1:50" x14ac:dyDescent="0.3">
      <c r="A90" s="1163">
        <f>A88+1</f>
        <v>18</v>
      </c>
      <c r="B90" s="1164" t="str">
        <f>IF(IGRF!H31="","",IGRF!H31)</f>
        <v/>
      </c>
      <c r="C90" s="1165" t="str">
        <f>IF(IGRF!I31="","",IGRF!I31)</f>
        <v/>
      </c>
      <c r="D90" s="550" t="s">
        <v>17</v>
      </c>
      <c r="E90" s="550" t="str">
        <f>IF($B90="","",COUNTIF(Penalties!$Q38:$Y38,E$55))</f>
        <v/>
      </c>
      <c r="F90" s="550" t="str">
        <f>IF($B90="","",COUNTIF(Penalties!$Q38:$Y38,F$55))</f>
        <v/>
      </c>
      <c r="G90" s="550" t="str">
        <f>IF($B90="","",COUNTIF(Penalties!$Q38:$Y38,G$55))</f>
        <v/>
      </c>
      <c r="H90" s="550" t="str">
        <f>IF($B90="","",COUNTIF(Penalties!$Q38:$Y38,H$55))</f>
        <v/>
      </c>
      <c r="I90" s="550" t="str">
        <f>IF($B90="","",COUNTIF(Penalties!$Q38:$Y38,I$55))</f>
        <v/>
      </c>
      <c r="J90" s="550" t="str">
        <f>IF($B90="","",COUNTIF(Penalties!$Q38:$Y38,J$55))</f>
        <v/>
      </c>
      <c r="K90" s="550" t="str">
        <f>IF($B90="","",COUNTIF(Penalties!$Q38:$Y38,K$55))</f>
        <v/>
      </c>
      <c r="L90" s="550" t="str">
        <f>IF($B90="","",COUNTIF(Penalties!$Q38:$Y38,L$55))</f>
        <v/>
      </c>
      <c r="M90" s="550" t="str">
        <f>IF($B90="","",COUNTIF(Penalties!$Q38:$Y38,M$55))</f>
        <v/>
      </c>
      <c r="N90" s="550" t="str">
        <f>IF($B90="","",COUNTIF(Penalties!$Q38:$Y38,N$55))</f>
        <v/>
      </c>
      <c r="O90" s="550" t="str">
        <f>IF($B90="","",COUNTIF(Penalties!$Q38:$Y38,O$55))</f>
        <v/>
      </c>
      <c r="P90" s="550" t="str">
        <f>IF($B90="","",COUNTIF(Penalties!$Q38:$Y38,P$55))</f>
        <v/>
      </c>
      <c r="Q90" s="550" t="str">
        <f>IF($B90="","",COUNTIF(Penalties!$Q38:$Y38,Q$55))</f>
        <v/>
      </c>
      <c r="R90" s="550" t="str">
        <f>IF($B90="","",COUNTIF(Penalties!$Q38:$Y38,R$55))</f>
        <v/>
      </c>
      <c r="S90" s="550" t="str">
        <f>IF($B90="","",COUNTIF(Penalties!$Q38:$Y38,S$55))</f>
        <v/>
      </c>
      <c r="T90" s="550" t="str">
        <f>IF($B90="","",COUNTIF(Penalties!$Q38:$Y38,T$55))</f>
        <v/>
      </c>
      <c r="U90" s="562" t="str">
        <f>IF(B90="","",SUM(E90:T90))</f>
        <v/>
      </c>
      <c r="V90" s="563" t="str">
        <f>IF(B90="","",SUM(E90:T90)*0.5)</f>
        <v/>
      </c>
      <c r="W90" s="564" t="str">
        <f>IF($B90="","",IF(Penalties!$Z38=W$55,1,""))</f>
        <v/>
      </c>
      <c r="X90" s="564" t="str">
        <f>IF($B90="","",IF(Penalties!$Z38=X$55,1,""))</f>
        <v/>
      </c>
      <c r="Y90" s="564" t="str">
        <f>IF($B90="","",IF(Penalties!$Z38=Y$55,1,""))</f>
        <v/>
      </c>
      <c r="Z90" s="564" t="str">
        <f>IF($B90="","",IF(Penalties!$Z38=Z$55,1,""))</f>
        <v/>
      </c>
      <c r="AA90" s="564" t="str">
        <f>IF($B90="","",IF(Penalties!$Z38=AA$55,1,""))</f>
        <v/>
      </c>
      <c r="AB90" s="564" t="str">
        <f>IF($B90="","",IF(Penalties!$Z38=AB$55,1,""))</f>
        <v/>
      </c>
      <c r="AC90" s="564" t="str">
        <f>IF($B90="","",IF(Penalties!$Z38=AC$55,1,""))</f>
        <v/>
      </c>
      <c r="AD90" s="564" t="str">
        <f>IF($B90="","",IF(Penalties!$Z38=AD$55,1,""))</f>
        <v/>
      </c>
      <c r="AE90" s="564" t="str">
        <f>IF($B90="","",IF(Penalties!$Z38=AE$55,1,""))</f>
        <v/>
      </c>
      <c r="AF90" s="564" t="str">
        <f>IF($B90="","",IF(Penalties!$Z38=AF$55,1,""))</f>
        <v/>
      </c>
      <c r="AG90" s="564" t="str">
        <f>IF($B90="","",IF(Penalties!$Z38=AG$55,1,""))</f>
        <v/>
      </c>
      <c r="AH90" s="564" t="str">
        <f>IF($B90="","",IF(Penalties!$Z38=AH$55,1,""))</f>
        <v/>
      </c>
      <c r="AI90" s="564" t="str">
        <f>IF($B90="","",IF(Penalties!$Z38=AI$55,1,""))</f>
        <v/>
      </c>
      <c r="AJ90" s="565"/>
      <c r="AK90" s="109"/>
      <c r="AL90" s="109"/>
      <c r="AM90" s="109"/>
      <c r="AN90" s="109"/>
      <c r="AO90" s="109"/>
      <c r="AP90" s="109"/>
      <c r="AQ90" s="109"/>
      <c r="AR90" s="109"/>
      <c r="AS90" s="109"/>
      <c r="AT90" s="109"/>
      <c r="AU90" s="109"/>
      <c r="AV90" s="109"/>
      <c r="AW90" s="109"/>
      <c r="AX90" s="109"/>
    </row>
    <row r="91" spans="1:50" ht="14.4" thickBot="1" x14ac:dyDescent="0.35">
      <c r="A91" s="1163"/>
      <c r="B91" s="1164"/>
      <c r="C91" s="1165"/>
      <c r="D91" s="550" t="s">
        <v>33</v>
      </c>
      <c r="E91" s="550" t="str">
        <f>IF($B90="","",COUNTIF(Penalties!$AS38:$BA38,E$55))</f>
        <v/>
      </c>
      <c r="F91" s="550" t="str">
        <f>IF($B90="","",COUNTIF(Penalties!$AS38:$BA38,F$55))</f>
        <v/>
      </c>
      <c r="G91" s="550" t="str">
        <f>IF($B90="","",COUNTIF(Penalties!$AS38:$BA38,G$55))</f>
        <v/>
      </c>
      <c r="H91" s="550" t="str">
        <f>IF($B90="","",COUNTIF(Penalties!$AS38:$BA38,H$55))</f>
        <v/>
      </c>
      <c r="I91" s="550" t="str">
        <f>IF($B90="","",COUNTIF(Penalties!$AS38:$BA38,I$55))</f>
        <v/>
      </c>
      <c r="J91" s="550" t="str">
        <f>IF($B90="","",COUNTIF(Penalties!$AS38:$BA38,J$55))</f>
        <v/>
      </c>
      <c r="K91" s="550" t="str">
        <f>IF($B90="","",COUNTIF(Penalties!$AS38:$BA38,K$55))</f>
        <v/>
      </c>
      <c r="L91" s="550" t="str">
        <f>IF($B90="","",COUNTIF(Penalties!$AS38:$BA38,L$55))</f>
        <v/>
      </c>
      <c r="M91" s="550" t="str">
        <f>IF($B90="","",COUNTIF(Penalties!$AS38:$BA38,M$55))</f>
        <v/>
      </c>
      <c r="N91" s="550" t="str">
        <f>IF($B90="","",COUNTIF(Penalties!$AS38:$BA38,N$55))</f>
        <v/>
      </c>
      <c r="O91" s="550" t="str">
        <f>IF($B90="","",COUNTIF(Penalties!$AS38:$BA38,O$55))</f>
        <v/>
      </c>
      <c r="P91" s="550" t="str">
        <f>IF($B90="","",COUNTIF(Penalties!$AS38:$BA38,P$55))</f>
        <v/>
      </c>
      <c r="Q91" s="550" t="str">
        <f>IF($B90="","",COUNTIF(Penalties!$AS38:$BA38,Q$55))</f>
        <v/>
      </c>
      <c r="R91" s="550" t="str">
        <f>IF($B90="","",COUNTIF(Penalties!$AS38:$BA38,R$55))</f>
        <v/>
      </c>
      <c r="S91" s="550" t="str">
        <f>IF($B90="","",COUNTIF(Penalties!$AS38:$BA38,S$55))</f>
        <v/>
      </c>
      <c r="T91" s="550" t="str">
        <f>IF($B90="","",COUNTIF(Penalties!$AS38:$BA38,T$55))</f>
        <v/>
      </c>
      <c r="U91" s="562" t="str">
        <f>IF(B90="","",SUM(E91:T91))</f>
        <v/>
      </c>
      <c r="V91" s="563" t="str">
        <f>IF(B90="","",SUM(E91:T91)*0.5)</f>
        <v/>
      </c>
      <c r="W91" s="564" t="str">
        <f>IF($B90="","",IF(Penalties!$BB38=W$55,1,""))</f>
        <v/>
      </c>
      <c r="X91" s="564" t="str">
        <f>IF($B90="","",IF(Penalties!$BB38=X$55,1,""))</f>
        <v/>
      </c>
      <c r="Y91" s="564" t="str">
        <f>IF($B90="","",IF(Penalties!$BB38=Y$55,1,""))</f>
        <v/>
      </c>
      <c r="Z91" s="564" t="str">
        <f>IF($B90="","",IF(Penalties!$BB38=Z$55,1,""))</f>
        <v/>
      </c>
      <c r="AA91" s="564" t="str">
        <f>IF($B90="","",IF(Penalties!$BB38=AA$55,1,""))</f>
        <v/>
      </c>
      <c r="AB91" s="564" t="str">
        <f>IF($B90="","",IF(Penalties!$BB38=AB$55,1,""))</f>
        <v/>
      </c>
      <c r="AC91" s="564" t="str">
        <f>IF($B90="","",IF(Penalties!$BB38=AC$55,1,""))</f>
        <v/>
      </c>
      <c r="AD91" s="564" t="str">
        <f>IF($B90="","",IF(Penalties!$BB38=AD$55,1,""))</f>
        <v/>
      </c>
      <c r="AE91" s="564" t="str">
        <f>IF($B90="","",IF(Penalties!$BB38=AE$55,1,""))</f>
        <v/>
      </c>
      <c r="AF91" s="564" t="str">
        <f>IF($B90="","",IF(Penalties!$BB38=AF$55,1,""))</f>
        <v/>
      </c>
      <c r="AG91" s="564" t="str">
        <f>IF($B90="","",IF(Penalties!$BB38=AG$55,1,""))</f>
        <v/>
      </c>
      <c r="AH91" s="564" t="str">
        <f>IF($B90="","",IF(Penalties!$BB38=AH$55,1,""))</f>
        <v/>
      </c>
      <c r="AI91" s="564" t="str">
        <f>IF($B90="","",IF(Penalties!$BB38=AI$55,1,""))</f>
        <v/>
      </c>
      <c r="AJ91" s="566" t="str">
        <f>IF(SUM(X90:AI91)=0, "", IF(SUM(X90:AI90)=1, LOOKUP(1, X90:AI90, $X$55:$AI$55), LOOKUP(1, X91:AI91, $X$55:$AI$55)))</f>
        <v/>
      </c>
      <c r="AK91" s="109"/>
      <c r="AL91" s="109"/>
      <c r="AM91" s="109"/>
      <c r="AN91" s="109"/>
      <c r="AO91" s="109"/>
      <c r="AP91" s="109"/>
      <c r="AQ91" s="109"/>
      <c r="AR91" s="109"/>
      <c r="AS91" s="109"/>
      <c r="AT91" s="109"/>
      <c r="AU91" s="109"/>
      <c r="AV91" s="109"/>
      <c r="AW91" s="109"/>
      <c r="AX91" s="109"/>
    </row>
    <row r="92" spans="1:50" x14ac:dyDescent="0.3">
      <c r="A92" s="1166">
        <f>A90+1</f>
        <v>19</v>
      </c>
      <c r="B92" s="1167" t="str">
        <f>IF(IGRF!H32="","",IGRF!H32)</f>
        <v/>
      </c>
      <c r="C92" s="1168" t="str">
        <f>IF(IGRF!I32="","",IGRF!I32)</f>
        <v/>
      </c>
      <c r="D92" s="556" t="s">
        <v>17</v>
      </c>
      <c r="E92" s="549" t="str">
        <f>IF($B92="","",COUNTIF(Penalties!$Q40:$Y40,E$55))</f>
        <v/>
      </c>
      <c r="F92" s="549" t="str">
        <f>IF($B92="","",COUNTIF(Penalties!$Q40:$Y40,F$55))</f>
        <v/>
      </c>
      <c r="G92" s="549" t="str">
        <f>IF($B92="","",COUNTIF(Penalties!$Q40:$Y40,G$55))</f>
        <v/>
      </c>
      <c r="H92" s="549" t="str">
        <f>IF($B92="","",COUNTIF(Penalties!$Q40:$Y40,H$55))</f>
        <v/>
      </c>
      <c r="I92" s="549" t="str">
        <f>IF($B92="","",COUNTIF(Penalties!$Q40:$Y40,I$55))</f>
        <v/>
      </c>
      <c r="J92" s="549" t="str">
        <f>IF($B92="","",COUNTIF(Penalties!$Q40:$Y40,J$55))</f>
        <v/>
      </c>
      <c r="K92" s="549" t="str">
        <f>IF($B92="","",COUNTIF(Penalties!$Q40:$Y40,K$55))</f>
        <v/>
      </c>
      <c r="L92" s="549" t="str">
        <f>IF($B92="","",COUNTIF(Penalties!$Q40:$Y40,L$55))</f>
        <v/>
      </c>
      <c r="M92" s="549" t="str">
        <f>IF($B92="","",COUNTIF(Penalties!$Q40:$Y40,M$55))</f>
        <v/>
      </c>
      <c r="N92" s="549" t="str">
        <f>IF($B92="","",COUNTIF(Penalties!$Q40:$Y40,N$55))</f>
        <v/>
      </c>
      <c r="O92" s="549" t="str">
        <f>IF($B92="","",COUNTIF(Penalties!$Q40:$Y40,O$55))</f>
        <v/>
      </c>
      <c r="P92" s="549" t="str">
        <f>IF($B92="","",COUNTIF(Penalties!$Q40:$Y40,P$55))</f>
        <v/>
      </c>
      <c r="Q92" s="549" t="str">
        <f>IF($B92="","",COUNTIF(Penalties!$Q40:$Y40,Q$55))</f>
        <v/>
      </c>
      <c r="R92" s="549" t="str">
        <f>IF($B92="","",COUNTIF(Penalties!$Q40:$Y40,R$55))</f>
        <v/>
      </c>
      <c r="S92" s="549" t="str">
        <f>IF($B92="","",COUNTIF(Penalties!$Q40:$Y40,S$55))</f>
        <v/>
      </c>
      <c r="T92" s="549" t="str">
        <f>IF($B92="","",COUNTIF(Penalties!$Q40:$Y40,T$55))</f>
        <v/>
      </c>
      <c r="U92" s="557" t="str">
        <f>IF(B92="","",SUM(E92:T92))</f>
        <v/>
      </c>
      <c r="V92" s="558" t="str">
        <f>IF(B92="","",SUM(E92:T92)*0.5)</f>
        <v/>
      </c>
      <c r="W92" s="559" t="str">
        <f>IF($B92="","",IF(Penalties!$Z40=W$55,1,""))</f>
        <v/>
      </c>
      <c r="X92" s="559" t="str">
        <f>IF($B92="","",IF(Penalties!$Z40=X$55,1,""))</f>
        <v/>
      </c>
      <c r="Y92" s="559" t="str">
        <f>IF($B92="","",IF(Penalties!$Z40=Y$55,1,""))</f>
        <v/>
      </c>
      <c r="Z92" s="559" t="str">
        <f>IF($B92="","",IF(Penalties!$Z40=Z$55,1,""))</f>
        <v/>
      </c>
      <c r="AA92" s="559" t="str">
        <f>IF($B92="","",IF(Penalties!$Z40=AA$55,1,""))</f>
        <v/>
      </c>
      <c r="AB92" s="559" t="str">
        <f>IF($B92="","",IF(Penalties!$Z40=AB$55,1,""))</f>
        <v/>
      </c>
      <c r="AC92" s="559" t="str">
        <f>IF($B92="","",IF(Penalties!$Z40=AC$55,1,""))</f>
        <v/>
      </c>
      <c r="AD92" s="559" t="str">
        <f>IF($B92="","",IF(Penalties!$Z40=AD$55,1,""))</f>
        <v/>
      </c>
      <c r="AE92" s="559" t="str">
        <f>IF($B92="","",IF(Penalties!$Z40=AE$55,1,""))</f>
        <v/>
      </c>
      <c r="AF92" s="559" t="str">
        <f>IF($B92="","",IF(Penalties!$Z40=AF$55,1,""))</f>
        <v/>
      </c>
      <c r="AG92" s="559" t="str">
        <f>IF($B92="","",IF(Penalties!$Z40=AG$55,1,""))</f>
        <v/>
      </c>
      <c r="AH92" s="559" t="str">
        <f>IF($B92="","",IF(Penalties!$Z40=AH$55,1,""))</f>
        <v/>
      </c>
      <c r="AI92" s="559" t="str">
        <f>IF($B92="","",IF(Penalties!$Z40=AI$55,1,""))</f>
        <v/>
      </c>
      <c r="AJ92" s="560"/>
      <c r="AK92" s="109"/>
      <c r="AL92" s="109"/>
      <c r="AM92" s="109"/>
      <c r="AN92" s="109"/>
      <c r="AO92" s="109"/>
      <c r="AP92" s="109"/>
      <c r="AQ92" s="109"/>
      <c r="AR92" s="109"/>
      <c r="AS92" s="109"/>
      <c r="AT92" s="109"/>
      <c r="AU92" s="109"/>
      <c r="AV92" s="109"/>
      <c r="AW92" s="109"/>
      <c r="AX92" s="109"/>
    </row>
    <row r="93" spans="1:50" x14ac:dyDescent="0.3">
      <c r="A93" s="1166"/>
      <c r="B93" s="1167"/>
      <c r="C93" s="1168"/>
      <c r="D93" s="556" t="s">
        <v>33</v>
      </c>
      <c r="E93" s="549" t="str">
        <f>IF($B92="","",COUNTIF(Penalties!$AS40:$BA40,E$55))</f>
        <v/>
      </c>
      <c r="F93" s="549" t="str">
        <f>IF($B92="","",COUNTIF(Penalties!$AS40:$BA40,F$55))</f>
        <v/>
      </c>
      <c r="G93" s="549" t="str">
        <f>IF($B92="","",COUNTIF(Penalties!$AS40:$BA40,G$55))</f>
        <v/>
      </c>
      <c r="H93" s="549" t="str">
        <f>IF($B92="","",COUNTIF(Penalties!$AS40:$BA40,H$55))</f>
        <v/>
      </c>
      <c r="I93" s="549" t="str">
        <f>IF($B92="","",COUNTIF(Penalties!$AS40:$BA40,I$55))</f>
        <v/>
      </c>
      <c r="J93" s="549" t="str">
        <f>IF($B92="","",COUNTIF(Penalties!$AS40:$BA40,J$55))</f>
        <v/>
      </c>
      <c r="K93" s="549" t="str">
        <f>IF($B92="","",COUNTIF(Penalties!$AS40:$BA40,K$55))</f>
        <v/>
      </c>
      <c r="L93" s="549" t="str">
        <f>IF($B92="","",COUNTIF(Penalties!$AS40:$BA40,L$55))</f>
        <v/>
      </c>
      <c r="M93" s="549" t="str">
        <f>IF($B92="","",COUNTIF(Penalties!$AS40:$BA40,M$55))</f>
        <v/>
      </c>
      <c r="N93" s="549" t="str">
        <f>IF($B92="","",COUNTIF(Penalties!$AS40:$BA40,N$55))</f>
        <v/>
      </c>
      <c r="O93" s="549" t="str">
        <f>IF($B92="","",COUNTIF(Penalties!$AS40:$BA40,O$55))</f>
        <v/>
      </c>
      <c r="P93" s="549" t="str">
        <f>IF($B92="","",COUNTIF(Penalties!$AS40:$BA40,P$55))</f>
        <v/>
      </c>
      <c r="Q93" s="549" t="str">
        <f>IF($B92="","",COUNTIF(Penalties!$AS40:$BA40,Q$55))</f>
        <v/>
      </c>
      <c r="R93" s="549" t="str">
        <f>IF($B92="","",COUNTIF(Penalties!$AS40:$BA40,R$55))</f>
        <v/>
      </c>
      <c r="S93" s="549" t="str">
        <f>IF($B92="","",COUNTIF(Penalties!$AS40:$BA40,S$55))</f>
        <v/>
      </c>
      <c r="T93" s="549" t="str">
        <f>IF($B92="","",COUNTIF(Penalties!$AS40:$BA40,T$55))</f>
        <v/>
      </c>
      <c r="U93" s="557" t="str">
        <f>IF(B92="","",SUM(E93:T93))</f>
        <v/>
      </c>
      <c r="V93" s="558" t="str">
        <f>IF(B92="","",SUM(E93:T93)*0.5)</f>
        <v/>
      </c>
      <c r="W93" s="559" t="str">
        <f>IF($B92="","",IF(Penalties!$BB40=W$55,1,""))</f>
        <v/>
      </c>
      <c r="X93" s="559" t="str">
        <f>IF($B92="","",IF(Penalties!$BB40=X$55,1,""))</f>
        <v/>
      </c>
      <c r="Y93" s="559" t="str">
        <f>IF($B92="","",IF(Penalties!$BB40=Y$55,1,""))</f>
        <v/>
      </c>
      <c r="Z93" s="559" t="str">
        <f>IF($B92="","",IF(Penalties!$BB40=Z$55,1,""))</f>
        <v/>
      </c>
      <c r="AA93" s="559" t="str">
        <f>IF($B92="","",IF(Penalties!$BB40=AA$55,1,""))</f>
        <v/>
      </c>
      <c r="AB93" s="559" t="str">
        <f>IF($B92="","",IF(Penalties!$BB40=AB$55,1,""))</f>
        <v/>
      </c>
      <c r="AC93" s="559" t="str">
        <f>IF($B92="","",IF(Penalties!$BB40=AC$55,1,""))</f>
        <v/>
      </c>
      <c r="AD93" s="559" t="str">
        <f>IF($B92="","",IF(Penalties!$BB40=AD$55,1,""))</f>
        <v/>
      </c>
      <c r="AE93" s="559" t="str">
        <f>IF($B92="","",IF(Penalties!$BB40=AE$55,1,""))</f>
        <v/>
      </c>
      <c r="AF93" s="559" t="str">
        <f>IF($B92="","",IF(Penalties!$BB40=AF$55,1,""))</f>
        <v/>
      </c>
      <c r="AG93" s="559" t="str">
        <f>IF($B92="","",IF(Penalties!$BB40=AG$55,1,""))</f>
        <v/>
      </c>
      <c r="AH93" s="559" t="str">
        <f>IF($B92="","",IF(Penalties!$BB40=AH$55,1,""))</f>
        <v/>
      </c>
      <c r="AI93" s="559" t="str">
        <f>IF($B92="","",IF(Penalties!$BB40=AI$55,1,""))</f>
        <v/>
      </c>
      <c r="AJ93" s="561" t="str">
        <f>IF(SUM(X92:AI93)=0, "", IF(SUM(X92:AI92)=1, LOOKUP(1, X92:AI92, $X$55:$AI$55), LOOKUP(1, X93:AI93, $X$55:$AI$55)))</f>
        <v/>
      </c>
      <c r="AK93" s="109"/>
      <c r="AL93" s="109"/>
      <c r="AM93" s="109"/>
      <c r="AN93" s="109"/>
      <c r="AO93" s="109"/>
      <c r="AP93" s="109"/>
      <c r="AQ93" s="109"/>
      <c r="AR93" s="109"/>
      <c r="AS93" s="109"/>
      <c r="AT93" s="109"/>
      <c r="AU93" s="109"/>
      <c r="AV93" s="109"/>
      <c r="AW93" s="109"/>
      <c r="AX93" s="109"/>
    </row>
    <row r="94" spans="1:50" x14ac:dyDescent="0.3">
      <c r="A94" s="1163">
        <f>A92+1</f>
        <v>20</v>
      </c>
      <c r="B94" s="1164" t="str">
        <f>IF(IGRF!H33="","",IGRF!H33)</f>
        <v/>
      </c>
      <c r="C94" s="1165" t="str">
        <f>IF(IGRF!I33="","",IGRF!I33)</f>
        <v/>
      </c>
      <c r="D94" s="550" t="s">
        <v>17</v>
      </c>
      <c r="E94" s="550" t="str">
        <f>IF($B94="","",COUNTIF(Penalties!$Q42:$Y42,E$55))</f>
        <v/>
      </c>
      <c r="F94" s="550" t="str">
        <f>IF($B94="","",COUNTIF(Penalties!$Q42:$Y42,F$55))</f>
        <v/>
      </c>
      <c r="G94" s="550" t="str">
        <f>IF($B94="","",COUNTIF(Penalties!$Q42:$Y42,G$55))</f>
        <v/>
      </c>
      <c r="H94" s="550" t="str">
        <f>IF($B94="","",COUNTIF(Penalties!$Q42:$Y42,H$55))</f>
        <v/>
      </c>
      <c r="I94" s="550" t="str">
        <f>IF($B94="","",COUNTIF(Penalties!$Q42:$Y42,I$55))</f>
        <v/>
      </c>
      <c r="J94" s="550" t="str">
        <f>IF($B94="","",COUNTIF(Penalties!$Q42:$Y42,J$55))</f>
        <v/>
      </c>
      <c r="K94" s="550" t="str">
        <f>IF($B94="","",COUNTIF(Penalties!$Q42:$Y42,K$55))</f>
        <v/>
      </c>
      <c r="L94" s="550" t="str">
        <f>IF($B94="","",COUNTIF(Penalties!$Q42:$Y42,L$55))</f>
        <v/>
      </c>
      <c r="M94" s="550" t="str">
        <f>IF($B94="","",COUNTIF(Penalties!$Q42:$Y42,M$55))</f>
        <v/>
      </c>
      <c r="N94" s="550" t="str">
        <f>IF($B94="","",COUNTIF(Penalties!$Q42:$Y42,N$55))</f>
        <v/>
      </c>
      <c r="O94" s="550" t="str">
        <f>IF($B94="","",COUNTIF(Penalties!$Q42:$Y42,O$55))</f>
        <v/>
      </c>
      <c r="P94" s="550" t="str">
        <f>IF($B94="","",COUNTIF(Penalties!$Q42:$Y42,P$55))</f>
        <v/>
      </c>
      <c r="Q94" s="550" t="str">
        <f>IF($B94="","",COUNTIF(Penalties!$Q42:$Y42,Q$55))</f>
        <v/>
      </c>
      <c r="R94" s="550" t="str">
        <f>IF($B94="","",COUNTIF(Penalties!$Q42:$Y42,R$55))</f>
        <v/>
      </c>
      <c r="S94" s="550" t="str">
        <f>IF($B94="","",COUNTIF(Penalties!$Q42:$Y42,S$55))</f>
        <v/>
      </c>
      <c r="T94" s="550" t="str">
        <f>IF($B94="","",COUNTIF(Penalties!$Q42:$Y42,T$55))</f>
        <v/>
      </c>
      <c r="U94" s="562" t="str">
        <f>IF(B94="","",SUM(E94:T94))</f>
        <v/>
      </c>
      <c r="V94" s="563" t="str">
        <f>IF(B94="","",SUM(E94:T94)*0.5)</f>
        <v/>
      </c>
      <c r="W94" s="564" t="str">
        <f>IF($B94="","",IF(Penalties!$Z42=W$55,1,""))</f>
        <v/>
      </c>
      <c r="X94" s="564" t="str">
        <f>IF($B94="","",IF(Penalties!$Z42=X$55,1,""))</f>
        <v/>
      </c>
      <c r="Y94" s="564" t="str">
        <f>IF($B94="","",IF(Penalties!$Z42=Y$55,1,""))</f>
        <v/>
      </c>
      <c r="Z94" s="564" t="str">
        <f>IF($B94="","",IF(Penalties!$Z42=Z$55,1,""))</f>
        <v/>
      </c>
      <c r="AA94" s="564" t="str">
        <f>IF($B94="","",IF(Penalties!$Z42=AA$55,1,""))</f>
        <v/>
      </c>
      <c r="AB94" s="564" t="str">
        <f>IF($B94="","",IF(Penalties!$Z42=AB$55,1,""))</f>
        <v/>
      </c>
      <c r="AC94" s="564" t="str">
        <f>IF($B94="","",IF(Penalties!$Z42=AC$55,1,""))</f>
        <v/>
      </c>
      <c r="AD94" s="564" t="str">
        <f>IF($B94="","",IF(Penalties!$Z42=AD$55,1,""))</f>
        <v/>
      </c>
      <c r="AE94" s="564" t="str">
        <f>IF($B94="","",IF(Penalties!$Z42=AE$55,1,""))</f>
        <v/>
      </c>
      <c r="AF94" s="564" t="str">
        <f>IF($B94="","",IF(Penalties!$Z42=AF$55,1,""))</f>
        <v/>
      </c>
      <c r="AG94" s="564" t="str">
        <f>IF($B94="","",IF(Penalties!$Z42=AG$55,1,""))</f>
        <v/>
      </c>
      <c r="AH94" s="564" t="str">
        <f>IF($B94="","",IF(Penalties!$Z42=AH$55,1,""))</f>
        <v/>
      </c>
      <c r="AI94" s="564" t="str">
        <f>IF($B94="","",IF(Penalties!$Z42=AI$55,1,""))</f>
        <v/>
      </c>
      <c r="AJ94" s="565"/>
      <c r="AK94" s="109"/>
      <c r="AL94" s="109"/>
      <c r="AM94" s="109"/>
      <c r="AN94" s="109"/>
      <c r="AO94" s="109"/>
      <c r="AP94" s="109"/>
      <c r="AQ94" s="109"/>
      <c r="AR94" s="109"/>
      <c r="AS94" s="109"/>
      <c r="AT94" s="109"/>
      <c r="AU94" s="109"/>
      <c r="AV94" s="109"/>
      <c r="AW94" s="109"/>
      <c r="AX94" s="109"/>
    </row>
    <row r="95" spans="1:50" ht="14.4" thickBot="1" x14ac:dyDescent="0.35">
      <c r="A95" s="1163"/>
      <c r="B95" s="1164"/>
      <c r="C95" s="1165"/>
      <c r="D95" s="550" t="s">
        <v>33</v>
      </c>
      <c r="E95" s="550" t="str">
        <f>IF($B94="","",COUNTIF(Penalties!$AS42:$BA42,E$55))</f>
        <v/>
      </c>
      <c r="F95" s="550" t="str">
        <f>IF($B94="","",COUNTIF(Penalties!$AS42:$BA42,F$55))</f>
        <v/>
      </c>
      <c r="G95" s="550" t="str">
        <f>IF($B94="","",COUNTIF(Penalties!$AS42:$BA42,G$55))</f>
        <v/>
      </c>
      <c r="H95" s="550" t="str">
        <f>IF($B94="","",COUNTIF(Penalties!$AS42:$BA42,H$55))</f>
        <v/>
      </c>
      <c r="I95" s="550" t="str">
        <f>IF($B94="","",COUNTIF(Penalties!$AS42:$BA42,I$55))</f>
        <v/>
      </c>
      <c r="J95" s="550" t="str">
        <f>IF($B94="","",COUNTIF(Penalties!$AS42:$BA42,J$55))</f>
        <v/>
      </c>
      <c r="K95" s="550" t="str">
        <f>IF($B94="","",COUNTIF(Penalties!$AS42:$BA42,K$55))</f>
        <v/>
      </c>
      <c r="L95" s="550" t="str">
        <f>IF($B94="","",COUNTIF(Penalties!$AS42:$BA42,L$55))</f>
        <v/>
      </c>
      <c r="M95" s="550" t="str">
        <f>IF($B94="","",COUNTIF(Penalties!$AS42:$BA42,M$55))</f>
        <v/>
      </c>
      <c r="N95" s="550" t="str">
        <f>IF($B94="","",COUNTIF(Penalties!$AS42:$BA42,N$55))</f>
        <v/>
      </c>
      <c r="O95" s="550" t="str">
        <f>IF($B94="","",COUNTIF(Penalties!$AS42:$BA42,O$55))</f>
        <v/>
      </c>
      <c r="P95" s="550" t="str">
        <f>IF($B94="","",COUNTIF(Penalties!$AS42:$BA42,P$55))</f>
        <v/>
      </c>
      <c r="Q95" s="550" t="str">
        <f>IF($B94="","",COUNTIF(Penalties!$AS42:$BA42,Q$55))</f>
        <v/>
      </c>
      <c r="R95" s="550" t="str">
        <f>IF($B94="","",COUNTIF(Penalties!$AS42:$BA42,R$55))</f>
        <v/>
      </c>
      <c r="S95" s="550" t="str">
        <f>IF($B94="","",COUNTIF(Penalties!$AS42:$BA42,S$55))</f>
        <v/>
      </c>
      <c r="T95" s="550" t="str">
        <f>IF($B94="","",COUNTIF(Penalties!$AS42:$BA42,T$55))</f>
        <v/>
      </c>
      <c r="U95" s="562" t="str">
        <f>IF(B94="","",SUM(E95:T95))</f>
        <v/>
      </c>
      <c r="V95" s="563" t="str">
        <f>IF(B94="","",SUM(E95:T95)*0.5)</f>
        <v/>
      </c>
      <c r="W95" s="564" t="str">
        <f>IF($B94="","",IF(Penalties!$BB42=W$55,1,""))</f>
        <v/>
      </c>
      <c r="X95" s="564" t="str">
        <f>IF($B94="","",IF(Penalties!$BB42=X$55,1,""))</f>
        <v/>
      </c>
      <c r="Y95" s="564" t="str">
        <f>IF($B94="","",IF(Penalties!$BB42=Y$55,1,""))</f>
        <v/>
      </c>
      <c r="Z95" s="564" t="str">
        <f>IF($B94="","",IF(Penalties!$BB42=Z$55,1,""))</f>
        <v/>
      </c>
      <c r="AA95" s="564" t="str">
        <f>IF($B94="","",IF(Penalties!$BB42=AA$55,1,""))</f>
        <v/>
      </c>
      <c r="AB95" s="564" t="str">
        <f>IF($B94="","",IF(Penalties!$BB42=AB$55,1,""))</f>
        <v/>
      </c>
      <c r="AC95" s="564" t="str">
        <f>IF($B94="","",IF(Penalties!$BB42=AC$55,1,""))</f>
        <v/>
      </c>
      <c r="AD95" s="564" t="str">
        <f>IF($B94="","",IF(Penalties!$BB42=AD$55,1,""))</f>
        <v/>
      </c>
      <c r="AE95" s="564" t="str">
        <f>IF($B94="","",IF(Penalties!$BB42=AE$55,1,""))</f>
        <v/>
      </c>
      <c r="AF95" s="564" t="str">
        <f>IF($B94="","",IF(Penalties!$BB42=AF$55,1,""))</f>
        <v/>
      </c>
      <c r="AG95" s="564" t="str">
        <f>IF($B94="","",IF(Penalties!$BB42=AG$55,1,""))</f>
        <v/>
      </c>
      <c r="AH95" s="564" t="str">
        <f>IF($B94="","",IF(Penalties!$BB42=AH$55,1,""))</f>
        <v/>
      </c>
      <c r="AI95" s="564" t="str">
        <f>IF($B94="","",IF(Penalties!$BB42=AI$55,1,""))</f>
        <v/>
      </c>
      <c r="AJ95" s="567" t="str">
        <f>IF(SUM(X94:AI95)=0, "", IF(SUM(X94:AI94)=1, LOOKUP(1, X94:AI94, $X$55:$AI$55), LOOKUP(1, X95:AI95, $X$55:$AI$55)))</f>
        <v/>
      </c>
      <c r="AK95" s="109"/>
      <c r="AL95" s="109"/>
      <c r="AM95" s="109"/>
      <c r="AN95" s="109"/>
      <c r="AO95" s="109"/>
      <c r="AP95" s="109"/>
      <c r="AQ95" s="109"/>
      <c r="AR95" s="109"/>
      <c r="AS95" s="109"/>
      <c r="AT95" s="109"/>
      <c r="AU95" s="109"/>
      <c r="AV95" s="109"/>
      <c r="AW95" s="109"/>
      <c r="AX95" s="109"/>
    </row>
    <row r="96" spans="1:50" x14ac:dyDescent="0.3">
      <c r="A96" s="1171" t="s">
        <v>404</v>
      </c>
      <c r="B96" s="1171"/>
      <c r="C96" s="1171"/>
      <c r="D96" s="568" t="s">
        <v>17</v>
      </c>
      <c r="E96" s="569"/>
      <c r="F96" s="569"/>
      <c r="G96" s="569"/>
      <c r="H96" s="569"/>
      <c r="I96" s="569"/>
      <c r="J96" s="569"/>
      <c r="K96" s="569"/>
      <c r="L96" s="569"/>
      <c r="M96" s="569"/>
      <c r="N96" s="569"/>
      <c r="O96" s="569"/>
      <c r="P96" s="569"/>
      <c r="Q96" s="569"/>
      <c r="R96" s="569"/>
      <c r="S96" s="569"/>
      <c r="T96" s="569"/>
      <c r="U96" s="562"/>
      <c r="V96" s="563"/>
      <c r="W96" s="559"/>
      <c r="X96" s="559"/>
      <c r="Y96" s="559"/>
      <c r="Z96" s="559"/>
      <c r="AA96" s="559"/>
      <c r="AB96" s="559"/>
      <c r="AC96" s="559"/>
      <c r="AD96" s="559"/>
      <c r="AE96" s="559"/>
      <c r="AF96" s="559"/>
      <c r="AG96" s="559"/>
      <c r="AH96" s="559" t="str">
        <f>IF(Penalties!$R44=AH$2,1,"")</f>
        <v/>
      </c>
      <c r="AI96" s="559" t="str">
        <f>IF(Penalties!$R44=AI$2,1,"")</f>
        <v/>
      </c>
      <c r="AJ96" s="560"/>
      <c r="AK96" s="109"/>
      <c r="AL96" s="109"/>
      <c r="AM96" s="109"/>
      <c r="AN96" s="109"/>
      <c r="AO96" s="109"/>
      <c r="AP96" s="109"/>
      <c r="AQ96" s="109"/>
      <c r="AR96" s="109"/>
      <c r="AS96" s="109"/>
      <c r="AT96" s="109"/>
      <c r="AU96" s="109"/>
      <c r="AV96" s="109"/>
      <c r="AW96" s="109"/>
      <c r="AX96" s="109"/>
    </row>
    <row r="97" spans="1:50" x14ac:dyDescent="0.3">
      <c r="A97" s="1171"/>
      <c r="B97" s="1171"/>
      <c r="C97" s="1171"/>
      <c r="D97" s="568" t="s">
        <v>33</v>
      </c>
      <c r="E97" s="569"/>
      <c r="F97" s="569"/>
      <c r="G97" s="569"/>
      <c r="H97" s="569"/>
      <c r="I97" s="569"/>
      <c r="J97" s="569"/>
      <c r="K97" s="569"/>
      <c r="L97" s="569"/>
      <c r="M97" s="569"/>
      <c r="N97" s="569"/>
      <c r="O97" s="569"/>
      <c r="P97" s="569"/>
      <c r="Q97" s="569"/>
      <c r="R97" s="569"/>
      <c r="S97" s="569"/>
      <c r="T97" s="569"/>
      <c r="U97" s="562"/>
      <c r="V97" s="563"/>
      <c r="W97" s="559"/>
      <c r="X97" s="559"/>
      <c r="Y97" s="559"/>
      <c r="Z97" s="559"/>
      <c r="AA97" s="559"/>
      <c r="AB97" s="559"/>
      <c r="AC97" s="559"/>
      <c r="AD97" s="559"/>
      <c r="AE97" s="559"/>
      <c r="AF97" s="559"/>
      <c r="AG97" s="559"/>
      <c r="AH97" s="559" t="str">
        <f>IF(Penalties!$AT44=AH$2,1,"")</f>
        <v/>
      </c>
      <c r="AI97" s="559" t="str">
        <f>IF(Penalties!$AT44=AI$2,1,"")</f>
        <v/>
      </c>
      <c r="AJ97" s="561" t="str">
        <f>IF(SUM(X96:AI97)=0, "", IF(SUM(X96:AI96)=1, LOOKUP(1, X96:AI96, $X$55:$AI$55), LOOKUP(1, X97:AI97, $X$55:$AI$55)))</f>
        <v/>
      </c>
      <c r="AK97" s="109"/>
      <c r="AL97" s="109"/>
      <c r="AM97" s="109"/>
      <c r="AN97" s="109"/>
      <c r="AO97" s="109"/>
      <c r="AP97" s="109"/>
      <c r="AQ97" s="109"/>
      <c r="AR97" s="109"/>
      <c r="AS97" s="109"/>
      <c r="AT97" s="109"/>
      <c r="AU97" s="109"/>
      <c r="AV97" s="109"/>
      <c r="AW97" s="109"/>
      <c r="AX97" s="109"/>
    </row>
    <row r="98" spans="1:50" x14ac:dyDescent="0.3">
      <c r="A98" s="1172" t="s">
        <v>404</v>
      </c>
      <c r="B98" s="1172"/>
      <c r="C98" s="1172"/>
      <c r="D98" s="550" t="s">
        <v>17</v>
      </c>
      <c r="E98" s="569"/>
      <c r="F98" s="569"/>
      <c r="G98" s="569"/>
      <c r="H98" s="569"/>
      <c r="I98" s="569"/>
      <c r="J98" s="569"/>
      <c r="K98" s="569"/>
      <c r="L98" s="569"/>
      <c r="M98" s="569"/>
      <c r="N98" s="569"/>
      <c r="O98" s="569"/>
      <c r="P98" s="569"/>
      <c r="Q98" s="569"/>
      <c r="R98" s="569"/>
      <c r="S98" s="569"/>
      <c r="T98" s="569"/>
      <c r="U98" s="562"/>
      <c r="V98" s="563"/>
      <c r="W98" s="564"/>
      <c r="X98" s="564"/>
      <c r="Y98" s="564"/>
      <c r="Z98" s="564"/>
      <c r="AA98" s="564"/>
      <c r="AB98" s="564"/>
      <c r="AC98" s="564"/>
      <c r="AD98" s="564"/>
      <c r="AE98" s="564"/>
      <c r="AF98" s="564"/>
      <c r="AG98" s="564"/>
      <c r="AH98" s="564" t="str">
        <f>IF(Penalties!$S44=AH$2,1,"")</f>
        <v/>
      </c>
      <c r="AI98" s="564" t="str">
        <f>IF(Penalties!$S44=AI$2,1,"")</f>
        <v/>
      </c>
      <c r="AJ98" s="565"/>
      <c r="AK98" s="109"/>
      <c r="AL98" s="109"/>
      <c r="AM98" s="109"/>
      <c r="AN98" s="109"/>
      <c r="AO98" s="109"/>
      <c r="AP98" s="109"/>
      <c r="AQ98" s="109"/>
      <c r="AR98" s="109"/>
      <c r="AS98" s="109"/>
      <c r="AT98" s="109"/>
      <c r="AU98" s="109"/>
      <c r="AV98" s="109"/>
      <c r="AW98" s="109"/>
      <c r="AX98" s="109"/>
    </row>
    <row r="99" spans="1:50" ht="14.4" thickBot="1" x14ac:dyDescent="0.35">
      <c r="A99" s="1172"/>
      <c r="B99" s="1172"/>
      <c r="C99" s="1172"/>
      <c r="D99" s="550" t="s">
        <v>33</v>
      </c>
      <c r="E99" s="569"/>
      <c r="F99" s="569"/>
      <c r="G99" s="569"/>
      <c r="H99" s="569"/>
      <c r="I99" s="569"/>
      <c r="J99" s="569"/>
      <c r="K99" s="569"/>
      <c r="L99" s="569"/>
      <c r="M99" s="569"/>
      <c r="N99" s="569"/>
      <c r="O99" s="569"/>
      <c r="P99" s="569"/>
      <c r="Q99" s="569"/>
      <c r="R99" s="569"/>
      <c r="S99" s="569"/>
      <c r="T99" s="569"/>
      <c r="U99" s="562"/>
      <c r="V99" s="563"/>
      <c r="W99" s="564"/>
      <c r="X99" s="564"/>
      <c r="Y99" s="564"/>
      <c r="Z99" s="564"/>
      <c r="AA99" s="564"/>
      <c r="AB99" s="564"/>
      <c r="AC99" s="564"/>
      <c r="AD99" s="564"/>
      <c r="AE99" s="564"/>
      <c r="AF99" s="564"/>
      <c r="AG99" s="564"/>
      <c r="AH99" s="564" t="str">
        <f>IF(Penalties!$AU44=AH$2,1,"")</f>
        <v/>
      </c>
      <c r="AI99" s="564" t="str">
        <f>IF(Penalties!$AU44=AI$2,1,"")</f>
        <v/>
      </c>
      <c r="AJ99" s="567" t="str">
        <f>IF(SUM(X98:AI99)=0, "", IF(SUM(X98:AI98)=1, LOOKUP(1, X98:AI98, $X$55:$AI$55), LOOKUP(1, X99:AI99, $X$55:$AI$55)))</f>
        <v/>
      </c>
      <c r="AK99" s="109"/>
      <c r="AL99" s="109"/>
      <c r="AM99" s="109"/>
      <c r="AN99" s="109"/>
      <c r="AO99" s="109"/>
      <c r="AP99" s="109"/>
      <c r="AQ99" s="109"/>
      <c r="AR99" s="109"/>
      <c r="AS99" s="109"/>
      <c r="AT99" s="109"/>
      <c r="AU99" s="109"/>
      <c r="AV99" s="109"/>
      <c r="AW99" s="109"/>
      <c r="AX99" s="109"/>
    </row>
    <row r="100" spans="1:50" x14ac:dyDescent="0.3">
      <c r="A100" s="1173" t="s">
        <v>20</v>
      </c>
      <c r="B100" s="1173"/>
      <c r="C100" s="1173" t="s">
        <v>38</v>
      </c>
      <c r="D100" s="570" t="s">
        <v>17</v>
      </c>
      <c r="E100" s="570">
        <f t="shared" ref="E100:AG101" si="2">SUM(E56,E58,E60,E62,E64,E66,E68,E70,E72,E74,E76,E78,E80,E82,E84,E86,E88,E90,E92,E94)</f>
        <v>1</v>
      </c>
      <c r="F100" s="570">
        <f t="shared" si="2"/>
        <v>0</v>
      </c>
      <c r="G100" s="570">
        <f t="shared" si="2"/>
        <v>0</v>
      </c>
      <c r="H100" s="570">
        <f t="shared" si="2"/>
        <v>1</v>
      </c>
      <c r="I100" s="570">
        <f t="shared" si="2"/>
        <v>0</v>
      </c>
      <c r="J100" s="570">
        <f t="shared" si="2"/>
        <v>0</v>
      </c>
      <c r="K100" s="570">
        <f t="shared" si="2"/>
        <v>1</v>
      </c>
      <c r="L100" s="570">
        <f t="shared" si="2"/>
        <v>0</v>
      </c>
      <c r="M100" s="570">
        <f t="shared" si="2"/>
        <v>0</v>
      </c>
      <c r="N100" s="570">
        <f t="shared" si="2"/>
        <v>1</v>
      </c>
      <c r="O100" s="570">
        <f t="shared" si="2"/>
        <v>4</v>
      </c>
      <c r="P100" s="570">
        <f t="shared" si="2"/>
        <v>0</v>
      </c>
      <c r="Q100" s="570">
        <f t="shared" si="2"/>
        <v>0</v>
      </c>
      <c r="R100" s="570">
        <f>SUM(R56,R58,R60,R62,R64,R66,R68,R70,R72,R74,R76,R78,R80,R82,R84,R86,R88,R90,R92,R94)</f>
        <v>0</v>
      </c>
      <c r="S100" s="570">
        <f t="shared" si="2"/>
        <v>0</v>
      </c>
      <c r="T100" s="570">
        <f t="shared" si="2"/>
        <v>0</v>
      </c>
      <c r="U100" s="554">
        <f t="shared" si="2"/>
        <v>8</v>
      </c>
      <c r="V100" s="571">
        <f t="shared" si="2"/>
        <v>4</v>
      </c>
      <c r="W100" s="572">
        <f t="shared" si="2"/>
        <v>0</v>
      </c>
      <c r="X100" s="572">
        <f t="shared" si="2"/>
        <v>0</v>
      </c>
      <c r="Y100" s="572">
        <f t="shared" si="2"/>
        <v>0</v>
      </c>
      <c r="Z100" s="572">
        <f t="shared" si="2"/>
        <v>0</v>
      </c>
      <c r="AA100" s="572">
        <f t="shared" si="2"/>
        <v>0</v>
      </c>
      <c r="AB100" s="572">
        <f t="shared" si="2"/>
        <v>0</v>
      </c>
      <c r="AC100" s="572">
        <f t="shared" si="2"/>
        <v>0</v>
      </c>
      <c r="AD100" s="572">
        <f t="shared" si="2"/>
        <v>0</v>
      </c>
      <c r="AE100" s="572">
        <f t="shared" si="2"/>
        <v>0</v>
      </c>
      <c r="AF100" s="572">
        <f t="shared" si="2"/>
        <v>0</v>
      </c>
      <c r="AG100" s="572">
        <f t="shared" si="2"/>
        <v>0</v>
      </c>
      <c r="AH100" s="572">
        <f>SUM(AH56,AH58,AH60,AH62,AH64,AH66,AH68,AH70,AH72,AH74,AH76,AH78,AH80,AH82,AH84,AH86,AH88,AH90,AH92,AH94,AH96,AH98)</f>
        <v>0</v>
      </c>
      <c r="AI100" s="572">
        <f>SUM(AI56,AI58,AI60,AI62,AI64,AI66,AI68,AI70,AI72,AI74,AI76,AI78,AI80,AI82,AI84,AI86,AI88,AI90,AI92,AI94,AI96,AI98)</f>
        <v>0</v>
      </c>
      <c r="AJ100" s="573"/>
      <c r="AK100" s="109"/>
      <c r="AL100" s="109"/>
      <c r="AM100" s="109"/>
      <c r="AN100" s="109"/>
      <c r="AO100" s="109"/>
      <c r="AP100" s="109"/>
      <c r="AQ100" s="109"/>
      <c r="AR100" s="109"/>
      <c r="AS100" s="109"/>
      <c r="AT100" s="109"/>
      <c r="AU100" s="109"/>
      <c r="AV100" s="109"/>
      <c r="AW100" s="109"/>
      <c r="AX100" s="109"/>
    </row>
    <row r="101" spans="1:50" x14ac:dyDescent="0.3">
      <c r="A101" s="1173"/>
      <c r="B101" s="1173"/>
      <c r="C101" s="1173"/>
      <c r="D101" s="570" t="s">
        <v>33</v>
      </c>
      <c r="E101" s="570">
        <f t="shared" si="2"/>
        <v>1</v>
      </c>
      <c r="F101" s="570">
        <f t="shared" si="2"/>
        <v>0</v>
      </c>
      <c r="G101" s="570">
        <f t="shared" si="2"/>
        <v>0</v>
      </c>
      <c r="H101" s="570">
        <f t="shared" si="2"/>
        <v>0</v>
      </c>
      <c r="I101" s="570">
        <f t="shared" si="2"/>
        <v>1</v>
      </c>
      <c r="J101" s="570">
        <f t="shared" si="2"/>
        <v>0</v>
      </c>
      <c r="K101" s="570">
        <f t="shared" si="2"/>
        <v>0</v>
      </c>
      <c r="L101" s="570">
        <f t="shared" si="2"/>
        <v>0</v>
      </c>
      <c r="M101" s="570">
        <f t="shared" si="2"/>
        <v>5</v>
      </c>
      <c r="N101" s="570">
        <f t="shared" si="2"/>
        <v>2</v>
      </c>
      <c r="O101" s="570">
        <f t="shared" si="2"/>
        <v>4</v>
      </c>
      <c r="P101" s="570">
        <f t="shared" si="2"/>
        <v>0</v>
      </c>
      <c r="Q101" s="570">
        <f t="shared" si="2"/>
        <v>0</v>
      </c>
      <c r="R101" s="570">
        <f>SUM(R57,R59,R61,R63,R65,R67,R69,R71,R73,R75,R77,R79,R81,R83,R85,R87,R89,R91,R93,R95)</f>
        <v>0</v>
      </c>
      <c r="S101" s="570">
        <f t="shared" si="2"/>
        <v>0</v>
      </c>
      <c r="T101" s="570">
        <f t="shared" si="2"/>
        <v>0</v>
      </c>
      <c r="U101" s="554">
        <f t="shared" si="2"/>
        <v>13</v>
      </c>
      <c r="V101" s="571">
        <f t="shared" si="2"/>
        <v>6.5</v>
      </c>
      <c r="W101" s="572">
        <f t="shared" si="2"/>
        <v>0</v>
      </c>
      <c r="X101" s="572">
        <f t="shared" si="2"/>
        <v>0</v>
      </c>
      <c r="Y101" s="572">
        <f t="shared" si="2"/>
        <v>0</v>
      </c>
      <c r="Z101" s="572">
        <f t="shared" si="2"/>
        <v>0</v>
      </c>
      <c r="AA101" s="572">
        <f t="shared" si="2"/>
        <v>0</v>
      </c>
      <c r="AB101" s="572">
        <f t="shared" si="2"/>
        <v>0</v>
      </c>
      <c r="AC101" s="572">
        <f t="shared" si="2"/>
        <v>0</v>
      </c>
      <c r="AD101" s="572">
        <f t="shared" si="2"/>
        <v>0</v>
      </c>
      <c r="AE101" s="572">
        <f t="shared" si="2"/>
        <v>0</v>
      </c>
      <c r="AF101" s="572">
        <f t="shared" si="2"/>
        <v>0</v>
      </c>
      <c r="AG101" s="572">
        <f t="shared" si="2"/>
        <v>0</v>
      </c>
      <c r="AH101" s="572">
        <f>SUM(AH57,AH59,AH61,AH63,AH65,AH67,AH69,AH71,AH73,AH75,AH77,AH79,AH81,AH83,AH85,AH87,AH89,AH91,AH93,AH95,AH97,AH99)</f>
        <v>0</v>
      </c>
      <c r="AI101" s="572">
        <f>SUM(AI57,AI59,AI61,AI63,AI65,AI67,AI69,AI71,AI73,AI75,AI77,AI79,AI81,AI83,AI85,AI87,AI89,AI91,AI93,AI95,AI97,AI99)</f>
        <v>0</v>
      </c>
      <c r="AJ101" s="109"/>
      <c r="AK101" s="109"/>
      <c r="AL101" s="109"/>
      <c r="AM101" s="109"/>
      <c r="AN101" s="109"/>
      <c r="AO101" s="109"/>
      <c r="AP101" s="109"/>
      <c r="AQ101" s="109"/>
      <c r="AR101" s="109"/>
      <c r="AS101" s="109"/>
      <c r="AT101" s="109"/>
      <c r="AU101" s="109"/>
      <c r="AV101" s="109"/>
      <c r="AW101" s="109"/>
      <c r="AX101" s="109"/>
    </row>
    <row r="102" spans="1:50" x14ac:dyDescent="0.3">
      <c r="A102" s="1173"/>
      <c r="B102" s="1173"/>
      <c r="C102" s="1173"/>
      <c r="D102" s="554" t="s">
        <v>19</v>
      </c>
      <c r="E102" s="554">
        <f t="shared" ref="E102:AI102" si="3">SUM(E100,E101)</f>
        <v>2</v>
      </c>
      <c r="F102" s="554">
        <f t="shared" si="3"/>
        <v>0</v>
      </c>
      <c r="G102" s="554">
        <f t="shared" si="3"/>
        <v>0</v>
      </c>
      <c r="H102" s="554">
        <f t="shared" si="3"/>
        <v>1</v>
      </c>
      <c r="I102" s="554">
        <f t="shared" si="3"/>
        <v>1</v>
      </c>
      <c r="J102" s="554">
        <f t="shared" si="3"/>
        <v>0</v>
      </c>
      <c r="K102" s="554">
        <f t="shared" si="3"/>
        <v>1</v>
      </c>
      <c r="L102" s="554">
        <f t="shared" si="3"/>
        <v>0</v>
      </c>
      <c r="M102" s="554">
        <f t="shared" si="3"/>
        <v>5</v>
      </c>
      <c r="N102" s="554">
        <f t="shared" si="3"/>
        <v>3</v>
      </c>
      <c r="O102" s="554">
        <f t="shared" si="3"/>
        <v>8</v>
      </c>
      <c r="P102" s="554">
        <f t="shared" si="3"/>
        <v>0</v>
      </c>
      <c r="Q102" s="554">
        <f t="shared" si="3"/>
        <v>0</v>
      </c>
      <c r="R102" s="554">
        <f>SUM(R100,R101)</f>
        <v>0</v>
      </c>
      <c r="S102" s="554">
        <f t="shared" si="3"/>
        <v>0</v>
      </c>
      <c r="T102" s="554">
        <f t="shared" si="3"/>
        <v>0</v>
      </c>
      <c r="U102" s="574">
        <f t="shared" si="3"/>
        <v>21</v>
      </c>
      <c r="V102" s="575">
        <f t="shared" si="3"/>
        <v>10.5</v>
      </c>
      <c r="W102" s="572">
        <f t="shared" si="3"/>
        <v>0</v>
      </c>
      <c r="X102" s="572">
        <f t="shared" si="3"/>
        <v>0</v>
      </c>
      <c r="Y102" s="572">
        <f t="shared" si="3"/>
        <v>0</v>
      </c>
      <c r="Z102" s="572">
        <f t="shared" si="3"/>
        <v>0</v>
      </c>
      <c r="AA102" s="572">
        <f t="shared" si="3"/>
        <v>0</v>
      </c>
      <c r="AB102" s="572">
        <f t="shared" si="3"/>
        <v>0</v>
      </c>
      <c r="AC102" s="572">
        <f t="shared" si="3"/>
        <v>0</v>
      </c>
      <c r="AD102" s="572">
        <f t="shared" si="3"/>
        <v>0</v>
      </c>
      <c r="AE102" s="572">
        <f t="shared" si="3"/>
        <v>0</v>
      </c>
      <c r="AF102" s="572">
        <f t="shared" si="3"/>
        <v>0</v>
      </c>
      <c r="AG102" s="572">
        <f t="shared" si="3"/>
        <v>0</v>
      </c>
      <c r="AH102" s="572">
        <f t="shared" si="3"/>
        <v>0</v>
      </c>
      <c r="AI102" s="572">
        <f t="shared" si="3"/>
        <v>0</v>
      </c>
      <c r="AJ102" s="109"/>
      <c r="AK102" s="109"/>
      <c r="AL102" s="109"/>
      <c r="AM102" s="109"/>
      <c r="AN102" s="109"/>
      <c r="AO102" s="109"/>
      <c r="AP102" s="109"/>
      <c r="AQ102" s="109"/>
      <c r="AR102" s="109"/>
      <c r="AS102" s="109"/>
      <c r="AT102" s="109"/>
      <c r="AU102" s="109"/>
      <c r="AV102" s="109"/>
      <c r="AW102" s="109"/>
      <c r="AX102" s="109"/>
    </row>
  </sheetData>
  <sheetProtection selectLockedCells="1" selectUnlockedCells="1"/>
  <mergeCells count="132">
    <mergeCell ref="A94:A95"/>
    <mergeCell ref="B94:B95"/>
    <mergeCell ref="C94:C95"/>
    <mergeCell ref="A96:C97"/>
    <mergeCell ref="A98:C99"/>
    <mergeCell ref="A100:B102"/>
    <mergeCell ref="C100:C102"/>
    <mergeCell ref="A90:A91"/>
    <mergeCell ref="B90:B91"/>
    <mergeCell ref="C90:C91"/>
    <mergeCell ref="A92:A93"/>
    <mergeCell ref="B92:B93"/>
    <mergeCell ref="C92:C93"/>
    <mergeCell ref="A86:A87"/>
    <mergeCell ref="B86:B87"/>
    <mergeCell ref="C86:C87"/>
    <mergeCell ref="A88:A89"/>
    <mergeCell ref="B88:B89"/>
    <mergeCell ref="C88:C89"/>
    <mergeCell ref="A82:A83"/>
    <mergeCell ref="B82:B83"/>
    <mergeCell ref="C82:C83"/>
    <mergeCell ref="A84:A85"/>
    <mergeCell ref="B84:B85"/>
    <mergeCell ref="C84:C85"/>
    <mergeCell ref="A78:A79"/>
    <mergeCell ref="B78:B79"/>
    <mergeCell ref="C78:C79"/>
    <mergeCell ref="A80:A81"/>
    <mergeCell ref="B80:B81"/>
    <mergeCell ref="C80:C81"/>
    <mergeCell ref="A74:A75"/>
    <mergeCell ref="B74:B75"/>
    <mergeCell ref="C74:C75"/>
    <mergeCell ref="A76:A77"/>
    <mergeCell ref="B76:B77"/>
    <mergeCell ref="C76:C77"/>
    <mergeCell ref="A70:A71"/>
    <mergeCell ref="B70:B71"/>
    <mergeCell ref="C70:C71"/>
    <mergeCell ref="A72:A73"/>
    <mergeCell ref="B72:B73"/>
    <mergeCell ref="C72:C73"/>
    <mergeCell ref="A66:A67"/>
    <mergeCell ref="B66:B67"/>
    <mergeCell ref="C66:C67"/>
    <mergeCell ref="A68:A69"/>
    <mergeCell ref="B68:B69"/>
    <mergeCell ref="C68:C69"/>
    <mergeCell ref="A62:A63"/>
    <mergeCell ref="B62:B63"/>
    <mergeCell ref="C62:C63"/>
    <mergeCell ref="A64:A65"/>
    <mergeCell ref="B64:B65"/>
    <mergeCell ref="C64:C65"/>
    <mergeCell ref="A58:A59"/>
    <mergeCell ref="B58:B59"/>
    <mergeCell ref="C58:C59"/>
    <mergeCell ref="A60:A61"/>
    <mergeCell ref="B60:B61"/>
    <mergeCell ref="C60:C61"/>
    <mergeCell ref="V54:V55"/>
    <mergeCell ref="W54:AJ54"/>
    <mergeCell ref="A56:A57"/>
    <mergeCell ref="B56:B57"/>
    <mergeCell ref="C56:C57"/>
    <mergeCell ref="A41:A42"/>
    <mergeCell ref="B41:B42"/>
    <mergeCell ref="C41:C42"/>
    <mergeCell ref="A43:C44"/>
    <mergeCell ref="A45:C46"/>
    <mergeCell ref="A47:B49"/>
    <mergeCell ref="C47:C49"/>
    <mergeCell ref="A37:A38"/>
    <mergeCell ref="B37:B38"/>
    <mergeCell ref="C37:C38"/>
    <mergeCell ref="A39:A40"/>
    <mergeCell ref="B39:B40"/>
    <mergeCell ref="C39:C40"/>
    <mergeCell ref="A33:A34"/>
    <mergeCell ref="B33:B34"/>
    <mergeCell ref="C33:C34"/>
    <mergeCell ref="A35:A36"/>
    <mergeCell ref="B35:B36"/>
    <mergeCell ref="C35:C36"/>
    <mergeCell ref="A29:A30"/>
    <mergeCell ref="B29:B30"/>
    <mergeCell ref="C29:C30"/>
    <mergeCell ref="A31:A32"/>
    <mergeCell ref="B31:B32"/>
    <mergeCell ref="C31:C32"/>
    <mergeCell ref="A25:A26"/>
    <mergeCell ref="B25:B26"/>
    <mergeCell ref="C25:C26"/>
    <mergeCell ref="A27:A28"/>
    <mergeCell ref="B27:B28"/>
    <mergeCell ref="C27:C28"/>
    <mergeCell ref="A21:A22"/>
    <mergeCell ref="B21:B22"/>
    <mergeCell ref="C21:C22"/>
    <mergeCell ref="A23:A24"/>
    <mergeCell ref="B23:B24"/>
    <mergeCell ref="C23:C24"/>
    <mergeCell ref="A17:A18"/>
    <mergeCell ref="B17:B18"/>
    <mergeCell ref="C17:C18"/>
    <mergeCell ref="A19:A20"/>
    <mergeCell ref="B19:B20"/>
    <mergeCell ref="C19:C20"/>
    <mergeCell ref="A13:A14"/>
    <mergeCell ref="B13:B14"/>
    <mergeCell ref="C13:C14"/>
    <mergeCell ref="A15:A16"/>
    <mergeCell ref="B15:B16"/>
    <mergeCell ref="C15:C16"/>
    <mergeCell ref="A9:A10"/>
    <mergeCell ref="B9:B10"/>
    <mergeCell ref="C9:C10"/>
    <mergeCell ref="A11:A12"/>
    <mergeCell ref="B11:B12"/>
    <mergeCell ref="C11:C12"/>
    <mergeCell ref="A5:A6"/>
    <mergeCell ref="B5:B6"/>
    <mergeCell ref="C5:C6"/>
    <mergeCell ref="A7:A8"/>
    <mergeCell ref="B7:B8"/>
    <mergeCell ref="C7:C8"/>
    <mergeCell ref="V1:V2"/>
    <mergeCell ref="W1:AJ1"/>
    <mergeCell ref="A3:A4"/>
    <mergeCell ref="B3:B4"/>
    <mergeCell ref="C3:C4"/>
  </mergeCells>
  <pageMargins left="0.7" right="0.7" top="0.75" bottom="0.75" header="0.51180555555555551" footer="0.51180555555555551"/>
  <pageSetup scale="52" firstPageNumber="0" orientation="landscape" horizontalDpi="300" verticalDpi="300" r:id="rId1"/>
  <headerFooter alignWithMargins="0"/>
  <rowBreaks count="1" manualBreakCount="1">
    <brk id="53" max="16383" man="1"/>
  </rowBreaks>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indexed="13"/>
  </sheetPr>
  <dimension ref="A1:AE231"/>
  <sheetViews>
    <sheetView zoomScaleSheetLayoutView="30" workbookViewId="0"/>
  </sheetViews>
  <sheetFormatPr defaultColWidth="8.88671875" defaultRowHeight="13.8" x14ac:dyDescent="0.25"/>
  <cols>
    <col min="1" max="238" width="11.44140625" style="59" customWidth="1"/>
    <col min="239" max="16384" width="8.88671875" style="59"/>
  </cols>
  <sheetData>
    <row r="1" spans="1:31" x14ac:dyDescent="0.25">
      <c r="A1" s="217" t="s">
        <v>17</v>
      </c>
      <c r="B1" s="217" t="s">
        <v>18</v>
      </c>
      <c r="C1" s="218">
        <f>COLUMN(Score!B3)</f>
        <v>2</v>
      </c>
      <c r="D1" s="218">
        <f>COLUMN(Score!Q3)</f>
        <v>17</v>
      </c>
      <c r="E1" s="219"/>
      <c r="F1" s="219"/>
      <c r="G1" s="229">
        <f>COLUMN(Score!C3)</f>
        <v>3</v>
      </c>
      <c r="H1" s="229">
        <f>COLUMN(Score!D3)</f>
        <v>4</v>
      </c>
      <c r="I1" s="220"/>
      <c r="J1" s="229">
        <f>COLUMN(Score!E3)</f>
        <v>5</v>
      </c>
      <c r="K1" s="229">
        <f>COLUMN(Score!F3)</f>
        <v>6</v>
      </c>
      <c r="L1" s="229">
        <f>COLUMN(Score!G3)</f>
        <v>7</v>
      </c>
      <c r="M1" s="218">
        <f>COLUMN(Score!S3)</f>
        <v>19</v>
      </c>
      <c r="N1" s="218">
        <f>COLUMN('Game Clock'!B10)</f>
        <v>2</v>
      </c>
      <c r="O1" s="219"/>
      <c r="Q1" s="217" t="s">
        <v>17</v>
      </c>
      <c r="R1" s="217" t="s">
        <v>20</v>
      </c>
      <c r="S1" s="218">
        <f>COLUMN(Score!U3)</f>
        <v>21</v>
      </c>
      <c r="T1" s="218">
        <f>COLUMN(Score!AJ3)</f>
        <v>36</v>
      </c>
      <c r="U1" s="219"/>
      <c r="V1" s="219"/>
      <c r="W1" s="229">
        <f>COLUMN(Score!V3)</f>
        <v>22</v>
      </c>
      <c r="X1" s="229">
        <f>COLUMN(Score!W3)</f>
        <v>23</v>
      </c>
      <c r="Y1" s="220"/>
      <c r="Z1" s="229">
        <f>COLUMN(Score!X3)</f>
        <v>24</v>
      </c>
      <c r="AA1" s="229">
        <f>COLUMN(Score!Y3)</f>
        <v>25</v>
      </c>
      <c r="AB1" s="229">
        <f>COLUMN(Score!Z3)</f>
        <v>26</v>
      </c>
      <c r="AC1" s="218">
        <f>COLUMN(Score!AL3)</f>
        <v>38</v>
      </c>
      <c r="AD1" s="218"/>
      <c r="AE1" s="219"/>
    </row>
    <row r="2" spans="1:31" x14ac:dyDescent="0.25">
      <c r="A2" s="219" t="s">
        <v>8</v>
      </c>
      <c r="B2" s="219" t="s">
        <v>21</v>
      </c>
      <c r="C2" s="219" t="s">
        <v>124</v>
      </c>
      <c r="D2" s="219" t="s">
        <v>180</v>
      </c>
      <c r="E2" s="219" t="s">
        <v>22</v>
      </c>
      <c r="F2" s="219" t="s">
        <v>23</v>
      </c>
      <c r="G2" s="230" t="s">
        <v>24</v>
      </c>
      <c r="H2" s="230" t="s">
        <v>25</v>
      </c>
      <c r="I2" s="220" t="s">
        <v>26</v>
      </c>
      <c r="J2" s="230" t="s">
        <v>27</v>
      </c>
      <c r="K2" s="230" t="s">
        <v>28</v>
      </c>
      <c r="L2" s="230" t="s">
        <v>197</v>
      </c>
      <c r="M2" s="219" t="s">
        <v>132</v>
      </c>
      <c r="N2" s="219" t="s">
        <v>29</v>
      </c>
      <c r="O2" s="219" t="s">
        <v>30</v>
      </c>
      <c r="Q2" s="219" t="s">
        <v>8</v>
      </c>
      <c r="R2" s="219" t="s">
        <v>21</v>
      </c>
      <c r="S2" s="219" t="s">
        <v>124</v>
      </c>
      <c r="T2" s="219" t="s">
        <v>180</v>
      </c>
      <c r="U2" s="219" t="s">
        <v>22</v>
      </c>
      <c r="V2" s="219" t="s">
        <v>23</v>
      </c>
      <c r="W2" s="230" t="s">
        <v>24</v>
      </c>
      <c r="X2" s="230" t="s">
        <v>25</v>
      </c>
      <c r="Y2" s="220" t="s">
        <v>26</v>
      </c>
      <c r="Z2" s="230" t="s">
        <v>27</v>
      </c>
      <c r="AA2" s="230" t="s">
        <v>28</v>
      </c>
      <c r="AB2" s="230" t="s">
        <v>197</v>
      </c>
      <c r="AC2" s="219" t="s">
        <v>132</v>
      </c>
      <c r="AD2" s="219" t="s">
        <v>29</v>
      </c>
      <c r="AE2" s="219" t="s">
        <v>30</v>
      </c>
    </row>
    <row r="3" spans="1:31" x14ac:dyDescent="0.25">
      <c r="A3" s="144">
        <v>1</v>
      </c>
      <c r="B3" s="59">
        <f>IF(ISNA(MATCH($A3,Score!A$4:A$41,0)),"",MATCH($A3,Score!A$4:A$41,0)+ROW(Score!A$3))</f>
        <v>4</v>
      </c>
      <c r="C3" s="145" t="str">
        <f t="shared" ref="C3:D22" ca="1" si="0">IF($B3="","",INDIRECT(ADDRESS($B3,C$1,1,,"Score")))</f>
        <v>4</v>
      </c>
      <c r="D3" s="59">
        <f t="shared" ca="1" si="0"/>
        <v>13</v>
      </c>
      <c r="E3" s="144">
        <f ca="1">IF(B3="","",SUM(D3,D4))</f>
        <v>13</v>
      </c>
      <c r="F3" s="144">
        <f ca="1">IF(B3="","",E3-U3)</f>
        <v>9</v>
      </c>
      <c r="G3" s="231">
        <f ca="1">IF($B3="","",IF(ISBLANK(INDIRECT(ADDRESS($B3,G$1,1,,"Score"))),"",1))</f>
        <v>1</v>
      </c>
      <c r="H3" s="231">
        <f ca="1">IF($B3="","",IF(ISBLANK(INDIRECT(ADDRESS($B3,H$1,1,,"Score"))),"",1))</f>
        <v>1</v>
      </c>
      <c r="I3" s="221">
        <f ca="1">IF(H3=1,F3,"")</f>
        <v>9</v>
      </c>
      <c r="J3" s="231" t="str">
        <f t="shared" ref="J3:L22" ca="1" si="1">IF($B3="","",IF(ISBLANK(INDIRECT(ADDRESS($B3,J$1,1,,"Score"))),"",1))</f>
        <v/>
      </c>
      <c r="K3" s="231" t="str">
        <f t="shared" ca="1" si="1"/>
        <v/>
      </c>
      <c r="L3" s="231" t="str">
        <f t="shared" ca="1" si="1"/>
        <v/>
      </c>
      <c r="M3" s="59">
        <f t="shared" ref="M3:M22" ca="1" si="2">IF($B3="","",INDIRECT(ADDRESS($B3,M$1,1,,"Score")))</f>
        <v>4</v>
      </c>
      <c r="N3" s="146">
        <f ca="1">IF(ISNA(MATCH($A3,'Game Clock'!A$11:A$48,0)),"",INDIRECT(ADDRESS(MATCH($A3,'Game Clock'!A$11:A$48,0)+ROW('Game Clock'!A$10),N$1,1,,"Game Clock")))</f>
        <v>0</v>
      </c>
      <c r="O3" s="146" t="str">
        <f ca="1">IF(OR(N3="",N3=0),"",60*E3/N3)</f>
        <v/>
      </c>
      <c r="Q3" s="203">
        <v>1</v>
      </c>
      <c r="R3" s="201">
        <f>IF(ISNA(MATCH($Q3,Score!T$4:T$41,0)),"",MATCH($Q3,Score!T$4:T$41,0)++ROW(Score!T$3))</f>
        <v>4</v>
      </c>
      <c r="S3" s="202" t="str">
        <f t="shared" ref="S3:T22" ca="1" si="3">IF($R3="","",INDIRECT(ADDRESS($R3,S$1,1,,"Score")))</f>
        <v>11G6</v>
      </c>
      <c r="T3" s="201">
        <f t="shared" ca="1" si="3"/>
        <v>4</v>
      </c>
      <c r="U3" s="203">
        <f ca="1">IF(R3="","",SUM(T3,T4))</f>
        <v>4</v>
      </c>
      <c r="V3" s="203">
        <f ca="1">IF(R3="","",U3-E3)</f>
        <v>-9</v>
      </c>
      <c r="W3" s="231" t="str">
        <f ca="1">IF($R3="","",IF(ISBLANK(INDIRECT(ADDRESS($R3,W$1,1,,"Score"))),"",1))</f>
        <v/>
      </c>
      <c r="X3" s="231" t="str">
        <f ca="1">IF($R3="","",IF(ISBLANK(INDIRECT(ADDRESS($R3,X$1,1,,"Score"))),"",1))</f>
        <v/>
      </c>
      <c r="Y3" s="221" t="str">
        <f ca="1">IF(X3=1,V3,"")</f>
        <v/>
      </c>
      <c r="Z3" s="231" t="str">
        <f t="shared" ref="Z3:AB22" ca="1" si="4">IF($R3="","",IF(ISBLANK(INDIRECT(ADDRESS($R3,Z$1,1,,"Score"))),"",1))</f>
        <v/>
      </c>
      <c r="AA3" s="231" t="str">
        <f t="shared" ca="1" si="4"/>
        <v/>
      </c>
      <c r="AB3" s="231" t="str">
        <f t="shared" ca="1" si="4"/>
        <v/>
      </c>
      <c r="AC3" s="201">
        <f t="shared" ref="AC3:AC22" ca="1" si="5">IF($R3="","",INDIRECT(ADDRESS($R3,AC$1,1,,"Score")))</f>
        <v>2</v>
      </c>
      <c r="AD3" s="146">
        <f ca="1">N3</f>
        <v>0</v>
      </c>
      <c r="AE3" s="146" t="str">
        <f ca="1">IF(OR(AD3="",AD3=0),"",60*U3/AD3)</f>
        <v/>
      </c>
    </row>
    <row r="4" spans="1:31" x14ac:dyDescent="0.25">
      <c r="A4" s="144"/>
      <c r="B4" s="59" t="str">
        <f ca="1">IF($B3="","",IF(INDIRECT(ADDRESS($B3+1,C$1-1,1,,"Score"))="SP",$B3+1,""))</f>
        <v/>
      </c>
      <c r="C4" s="145" t="str">
        <f t="shared" ca="1" si="0"/>
        <v/>
      </c>
      <c r="D4" s="59" t="str">
        <f t="shared" ca="1" si="0"/>
        <v/>
      </c>
      <c r="E4" s="144"/>
      <c r="F4" s="144"/>
      <c r="G4" s="231"/>
      <c r="H4" s="231"/>
      <c r="I4" s="221"/>
      <c r="J4" s="231" t="str">
        <f t="shared" ca="1" si="1"/>
        <v/>
      </c>
      <c r="K4" s="231" t="str">
        <f t="shared" ca="1" si="1"/>
        <v/>
      </c>
      <c r="L4" s="231" t="str">
        <f t="shared" ca="1" si="1"/>
        <v/>
      </c>
      <c r="M4" s="59" t="str">
        <f t="shared" ca="1" si="2"/>
        <v/>
      </c>
      <c r="N4" s="146"/>
      <c r="O4" s="146"/>
      <c r="Q4" s="203"/>
      <c r="R4" s="201" t="str">
        <f ca="1">IF($R3="","",IF(INDIRECT(ADDRESS($R3+1,S$1-1,1,,"Score"))="SP",$R3+1,""))</f>
        <v/>
      </c>
      <c r="S4" s="202" t="str">
        <f t="shared" ca="1" si="3"/>
        <v/>
      </c>
      <c r="T4" s="201" t="str">
        <f t="shared" ca="1" si="3"/>
        <v/>
      </c>
      <c r="U4" s="203"/>
      <c r="V4" s="203"/>
      <c r="W4" s="231"/>
      <c r="X4" s="231"/>
      <c r="Y4" s="221"/>
      <c r="Z4" s="231" t="str">
        <f t="shared" ca="1" si="4"/>
        <v/>
      </c>
      <c r="AA4" s="231" t="str">
        <f t="shared" ca="1" si="4"/>
        <v/>
      </c>
      <c r="AB4" s="231" t="str">
        <f t="shared" ca="1" si="4"/>
        <v/>
      </c>
      <c r="AC4" s="201" t="str">
        <f t="shared" ca="1" si="5"/>
        <v/>
      </c>
      <c r="AD4" s="146"/>
      <c r="AE4" s="146"/>
    </row>
    <row r="5" spans="1:31" x14ac:dyDescent="0.25">
      <c r="A5" s="222">
        <f>A3+1</f>
        <v>2</v>
      </c>
      <c r="B5" s="223">
        <f>IF(ISNA(MATCH($A5,Score!A$4:A$41,0)),"",MATCH($A5,Score!A$4:A$41,0)+ROW(Score!A$3))</f>
        <v>5</v>
      </c>
      <c r="C5" s="224" t="str">
        <f t="shared" ca="1" si="0"/>
        <v>19</v>
      </c>
      <c r="D5" s="223">
        <f t="shared" ca="1" si="0"/>
        <v>20</v>
      </c>
      <c r="E5" s="222">
        <f ca="1">IF(B5="","",SUM(D5,D6))</f>
        <v>20</v>
      </c>
      <c r="F5" s="222">
        <f ca="1">IF(B5="","",E5-U5)</f>
        <v>20</v>
      </c>
      <c r="G5" s="225" t="str">
        <f ca="1">IF($B5="","",IF(ISBLANK(INDIRECT(ADDRESS($B5,G$1,1,,"Score"))),"",1))</f>
        <v/>
      </c>
      <c r="H5" s="225">
        <f ca="1">IF($B5="","",IF(ISBLANK(INDIRECT(ADDRESS($B5,H$1,1,,"Score"))),"",1))</f>
        <v>1</v>
      </c>
      <c r="I5" s="227">
        <f ca="1">IF(H5=1,F5,"")</f>
        <v>20</v>
      </c>
      <c r="J5" s="225">
        <f t="shared" ca="1" si="1"/>
        <v>1</v>
      </c>
      <c r="K5" s="225" t="str">
        <f t="shared" ca="1" si="1"/>
        <v/>
      </c>
      <c r="L5" s="225" t="str">
        <f t="shared" ca="1" si="1"/>
        <v/>
      </c>
      <c r="M5" s="223">
        <f t="shared" ca="1" si="2"/>
        <v>4</v>
      </c>
      <c r="N5" s="146">
        <f ca="1">IF(ISNA(MATCH($A5,'Game Clock'!A$11:A$48,0)),"",INDIRECT(ADDRESS(MATCH($A5,'Game Clock'!A$11:A$48,0)+ROW('Game Clock'!A$10),N$1,1,,"Game Clock")))</f>
        <v>0</v>
      </c>
      <c r="O5" s="222" t="str">
        <f ca="1">IF(OR(N5="",N5=0),"",60*E5/N5)</f>
        <v/>
      </c>
      <c r="Q5" s="222">
        <f>Q3+1</f>
        <v>2</v>
      </c>
      <c r="R5" s="223">
        <f>IF(ISNA(MATCH($Q5,Score!T$4:T$41,0)),"",MATCH($Q5,Score!T$4:T$41,0)++ROW(Score!T$3))</f>
        <v>5</v>
      </c>
      <c r="S5" s="224" t="str">
        <f t="shared" ca="1" si="3"/>
        <v>58</v>
      </c>
      <c r="T5" s="223">
        <f t="shared" ca="1" si="3"/>
        <v>0</v>
      </c>
      <c r="U5" s="222">
        <f ca="1">IF(R5="","",SUM(T5,T6))</f>
        <v>0</v>
      </c>
      <c r="V5" s="222">
        <f ca="1">IF(R5="","",U5-E5)</f>
        <v>-20</v>
      </c>
      <c r="W5" s="225" t="str">
        <f ca="1">IF($R5="","",IF(ISBLANK(INDIRECT(ADDRESS($R5,W$1,1,,"Score"))),"",1))</f>
        <v/>
      </c>
      <c r="X5" s="225" t="str">
        <f ca="1">IF($R5="","",IF(ISBLANK(INDIRECT(ADDRESS($R5,X$1,1,,"Score"))),"",1))</f>
        <v/>
      </c>
      <c r="Y5" s="227" t="str">
        <f ca="1">IF(X5=1,V5,"")</f>
        <v/>
      </c>
      <c r="Z5" s="225" t="str">
        <f t="shared" ca="1" si="4"/>
        <v/>
      </c>
      <c r="AA5" s="225" t="str">
        <f t="shared" ca="1" si="4"/>
        <v/>
      </c>
      <c r="AB5" s="225">
        <f t="shared" ca="1" si="4"/>
        <v>1</v>
      </c>
      <c r="AC5" s="223">
        <f t="shared" ca="1" si="5"/>
        <v>0</v>
      </c>
      <c r="AD5" s="222">
        <f ca="1">N5</f>
        <v>0</v>
      </c>
      <c r="AE5" s="222" t="str">
        <f ca="1">IF(OR(AD5="",AD5=0),"",60*U5/AD5)</f>
        <v/>
      </c>
    </row>
    <row r="6" spans="1:31" x14ac:dyDescent="0.3">
      <c r="A6" s="222"/>
      <c r="B6" s="223" t="str">
        <f ca="1">IF($B5="","",IF(INDIRECT(ADDRESS($B5+1,C$1-1,1,,"Score"))="SP",$B5+1,""))</f>
        <v/>
      </c>
      <c r="C6" s="224" t="str">
        <f t="shared" ca="1" si="0"/>
        <v/>
      </c>
      <c r="D6" s="223" t="str">
        <f t="shared" ca="1" si="0"/>
        <v/>
      </c>
      <c r="E6" s="222"/>
      <c r="F6" s="222"/>
      <c r="G6" s="225"/>
      <c r="H6" s="226"/>
      <c r="I6" s="227"/>
      <c r="J6" s="225" t="str">
        <f t="shared" ca="1" si="1"/>
        <v/>
      </c>
      <c r="K6" s="225" t="str">
        <f t="shared" ca="1" si="1"/>
        <v/>
      </c>
      <c r="L6" s="225" t="str">
        <f t="shared" ca="1" si="1"/>
        <v/>
      </c>
      <c r="M6" s="223" t="str">
        <f t="shared" ca="1" si="2"/>
        <v/>
      </c>
      <c r="N6" s="222"/>
      <c r="O6" s="222"/>
      <c r="Q6" s="222"/>
      <c r="R6" s="223" t="str">
        <f ca="1">IF($R5="","",IF(INDIRECT(ADDRESS($R5+1,S$1-1,1,,"Score"))="SP",$R5+1,""))</f>
        <v/>
      </c>
      <c r="S6" s="224" t="str">
        <f t="shared" ca="1" si="3"/>
        <v/>
      </c>
      <c r="T6" s="223" t="str">
        <f t="shared" ca="1" si="3"/>
        <v/>
      </c>
      <c r="U6" s="222"/>
      <c r="V6" s="222"/>
      <c r="W6" s="225"/>
      <c r="X6" s="226"/>
      <c r="Y6" s="227"/>
      <c r="Z6" s="225" t="str">
        <f t="shared" ca="1" si="4"/>
        <v/>
      </c>
      <c r="AA6" s="225" t="str">
        <f t="shared" ca="1" si="4"/>
        <v/>
      </c>
      <c r="AB6" s="225" t="str">
        <f t="shared" ca="1" si="4"/>
        <v/>
      </c>
      <c r="AC6" s="223" t="str">
        <f t="shared" ca="1" si="5"/>
        <v/>
      </c>
      <c r="AD6" s="222"/>
      <c r="AE6" s="222"/>
    </row>
    <row r="7" spans="1:31" x14ac:dyDescent="0.25">
      <c r="A7" s="203">
        <f>A5+1</f>
        <v>3</v>
      </c>
      <c r="B7" s="201">
        <f>IF(ISNA(MATCH($A7,Score!A$4:A$41,0)),"",MATCH($A7,Score!A$4:A$41,0)+ROW(Score!A$3))</f>
        <v>6</v>
      </c>
      <c r="C7" s="202" t="str">
        <f t="shared" ca="1" si="0"/>
        <v>1321</v>
      </c>
      <c r="D7" s="201">
        <f t="shared" ca="1" si="0"/>
        <v>1</v>
      </c>
      <c r="E7" s="203">
        <f ca="1">IF(B7="","",SUM(D7,D8))</f>
        <v>1</v>
      </c>
      <c r="F7" s="203">
        <f ca="1">IF(B7="","",E7-U7)</f>
        <v>1</v>
      </c>
      <c r="G7" s="231" t="str">
        <f ca="1">IF($B7="","",IF(ISBLANK(INDIRECT(ADDRESS($B7,G$1,1,,"Score"))),"",1))</f>
        <v/>
      </c>
      <c r="H7" s="231">
        <f ca="1">IF($B7="","",IF(ISBLANK(INDIRECT(ADDRESS($B7,H$1,1,,"Score"))),"",1))</f>
        <v>1</v>
      </c>
      <c r="I7" s="221">
        <f ca="1">IF(H7=1,F7,"")</f>
        <v>1</v>
      </c>
      <c r="J7" s="231">
        <f t="shared" ca="1" si="1"/>
        <v>1</v>
      </c>
      <c r="K7" s="231" t="str">
        <f t="shared" ca="1" si="1"/>
        <v/>
      </c>
      <c r="L7" s="231" t="str">
        <f t="shared" ca="1" si="1"/>
        <v/>
      </c>
      <c r="M7" s="201">
        <f t="shared" ca="1" si="2"/>
        <v>1</v>
      </c>
      <c r="N7" s="146">
        <f ca="1">IF(ISNA(MATCH($A7,'Game Clock'!A$11:A$48,0)),"",INDIRECT(ADDRESS(MATCH($A7,'Game Clock'!A$11:A$48,0)+ROW('Game Clock'!A$10),N$1,1,,"Game Clock")))</f>
        <v>0</v>
      </c>
      <c r="O7" s="146" t="str">
        <f ca="1">IF(OR(N7="",N7=0),"",60*E7/N7)</f>
        <v/>
      </c>
      <c r="Q7" s="203">
        <f>Q5+1</f>
        <v>3</v>
      </c>
      <c r="R7" s="201">
        <f>IF(ISNA(MATCH($Q7,Score!T$4:T$41,0)),"",MATCH($Q7,Score!T$4:T$41,0)++ROW(Score!T$3))</f>
        <v>6</v>
      </c>
      <c r="S7" s="202" t="str">
        <f t="shared" ca="1" si="3"/>
        <v>K9</v>
      </c>
      <c r="T7" s="201">
        <f t="shared" ca="1" si="3"/>
        <v>0</v>
      </c>
      <c r="U7" s="203">
        <f ca="1">IF(R7="","",SUM(T7,T8))</f>
        <v>0</v>
      </c>
      <c r="V7" s="203">
        <f ca="1">IF(R7="","",U7-E7)</f>
        <v>-1</v>
      </c>
      <c r="W7" s="231" t="str">
        <f ca="1">IF($R7="","",IF(ISBLANK(INDIRECT(ADDRESS($R7,W$1,1,,"Score"))),"",1))</f>
        <v/>
      </c>
      <c r="X7" s="231" t="str">
        <f ca="1">IF($R7="","",IF(ISBLANK(INDIRECT(ADDRESS($R7,X$1,1,,"Score"))),"",1))</f>
        <v/>
      </c>
      <c r="Y7" s="221" t="str">
        <f ca="1">IF(X7=1,V7,"")</f>
        <v/>
      </c>
      <c r="Z7" s="231" t="str">
        <f t="shared" ca="1" si="4"/>
        <v/>
      </c>
      <c r="AA7" s="231" t="str">
        <f t="shared" ca="1" si="4"/>
        <v/>
      </c>
      <c r="AB7" s="231" t="str">
        <f t="shared" ca="1" si="4"/>
        <v/>
      </c>
      <c r="AC7" s="201">
        <f t="shared" ca="1" si="5"/>
        <v>1</v>
      </c>
      <c r="AD7" s="146">
        <f ca="1">N7</f>
        <v>0</v>
      </c>
      <c r="AE7" s="146" t="str">
        <f ca="1">IF(OR(AD7="",AD7=0),"",60*U7/AD7)</f>
        <v/>
      </c>
    </row>
    <row r="8" spans="1:31" x14ac:dyDescent="0.25">
      <c r="A8" s="203"/>
      <c r="B8" s="201" t="str">
        <f ca="1">IF($B7="","",IF(INDIRECT(ADDRESS($B7+1,C$1-1,1,,"Score"))="SP",$B7+1,""))</f>
        <v/>
      </c>
      <c r="C8" s="202" t="str">
        <f t="shared" ca="1" si="0"/>
        <v/>
      </c>
      <c r="D8" s="201" t="str">
        <f t="shared" ca="1" si="0"/>
        <v/>
      </c>
      <c r="E8" s="203"/>
      <c r="F8" s="203"/>
      <c r="G8" s="231"/>
      <c r="H8" s="231"/>
      <c r="I8" s="221"/>
      <c r="J8" s="231" t="str">
        <f t="shared" ca="1" si="1"/>
        <v/>
      </c>
      <c r="K8" s="231" t="str">
        <f t="shared" ca="1" si="1"/>
        <v/>
      </c>
      <c r="L8" s="231" t="str">
        <f t="shared" ca="1" si="1"/>
        <v/>
      </c>
      <c r="M8" s="201" t="str">
        <f t="shared" ca="1" si="2"/>
        <v/>
      </c>
      <c r="N8" s="146"/>
      <c r="O8" s="146"/>
      <c r="Q8" s="203"/>
      <c r="R8" s="201" t="str">
        <f ca="1">IF($R7="","",IF(INDIRECT(ADDRESS($R7+1,S$1-1,1,,"Score"))="SP",$R7+1,""))</f>
        <v/>
      </c>
      <c r="S8" s="202" t="str">
        <f t="shared" ca="1" si="3"/>
        <v/>
      </c>
      <c r="T8" s="201" t="str">
        <f t="shared" ca="1" si="3"/>
        <v/>
      </c>
      <c r="U8" s="203"/>
      <c r="V8" s="203"/>
      <c r="W8" s="231"/>
      <c r="X8" s="231"/>
      <c r="Y8" s="221"/>
      <c r="Z8" s="231" t="str">
        <f t="shared" ca="1" si="4"/>
        <v/>
      </c>
      <c r="AA8" s="231" t="str">
        <f t="shared" ca="1" si="4"/>
        <v/>
      </c>
      <c r="AB8" s="231" t="str">
        <f t="shared" ca="1" si="4"/>
        <v/>
      </c>
      <c r="AC8" s="201" t="str">
        <f t="shared" ca="1" si="5"/>
        <v/>
      </c>
      <c r="AD8" s="146"/>
      <c r="AE8" s="146"/>
    </row>
    <row r="9" spans="1:31" x14ac:dyDescent="0.25">
      <c r="A9" s="222">
        <f>A7+1</f>
        <v>4</v>
      </c>
      <c r="B9" s="223">
        <f>IF(ISNA(MATCH($A9,Score!A$4:A$41,0)),"",MATCH($A9,Score!A$4:A$41,0)+ROW(Score!A$3))</f>
        <v>7</v>
      </c>
      <c r="C9" s="224" t="str">
        <f t="shared" ca="1" si="0"/>
        <v>84</v>
      </c>
      <c r="D9" s="223">
        <f t="shared" ca="1" si="0"/>
        <v>4</v>
      </c>
      <c r="E9" s="222">
        <f ca="1">IF(B9="","",SUM(D9,D10))</f>
        <v>4</v>
      </c>
      <c r="F9" s="222">
        <f ca="1">IF(B9="","",E9-U9)</f>
        <v>4</v>
      </c>
      <c r="G9" s="225" t="str">
        <f ca="1">IF($B9="","",IF(ISBLANK(INDIRECT(ADDRESS($B9,G$1,1,,"Score"))),"",1))</f>
        <v/>
      </c>
      <c r="H9" s="225">
        <f ca="1">IF($B9="","",IF(ISBLANK(INDIRECT(ADDRESS($B9,H$1,1,,"Score"))),"",1))</f>
        <v>1</v>
      </c>
      <c r="I9" s="227">
        <f ca="1">IF(H9=1,F9,"")</f>
        <v>4</v>
      </c>
      <c r="J9" s="225">
        <f t="shared" ca="1" si="1"/>
        <v>1</v>
      </c>
      <c r="K9" s="225" t="str">
        <f t="shared" ca="1" si="1"/>
        <v/>
      </c>
      <c r="L9" s="225" t="str">
        <f t="shared" ca="1" si="1"/>
        <v/>
      </c>
      <c r="M9" s="223">
        <f t="shared" ca="1" si="2"/>
        <v>1</v>
      </c>
      <c r="N9" s="146">
        <f ca="1">IF(ISNA(MATCH($A9,'Game Clock'!A$11:A$48,0)),"",INDIRECT(ADDRESS(MATCH($A9,'Game Clock'!A$11:A$48,0)+ROW('Game Clock'!A$10),N$1,1,,"Game Clock")))</f>
        <v>0</v>
      </c>
      <c r="O9" s="222" t="str">
        <f ca="1">IF(OR(N9="",N9=0),"",60*E9/N9)</f>
        <v/>
      </c>
      <c r="Q9" s="222">
        <f>Q7+1</f>
        <v>4</v>
      </c>
      <c r="R9" s="223">
        <f>IF(ISNA(MATCH($Q9,Score!T$4:T$41,0)),"",MATCH($Q9,Score!T$4:T$41,0)++ROW(Score!T$3))</f>
        <v>7</v>
      </c>
      <c r="S9" s="224" t="str">
        <f t="shared" ca="1" si="3"/>
        <v>451</v>
      </c>
      <c r="T9" s="223">
        <f t="shared" ca="1" si="3"/>
        <v>0</v>
      </c>
      <c r="U9" s="222">
        <f ca="1">IF(R9="","",SUM(T9,T10))</f>
        <v>0</v>
      </c>
      <c r="V9" s="222">
        <f ca="1">IF(R9="","",U9-E9)</f>
        <v>-4</v>
      </c>
      <c r="W9" s="225" t="str">
        <f ca="1">IF($R9="","",IF(ISBLANK(INDIRECT(ADDRESS($R9,W$1,1,,"Score"))),"",1))</f>
        <v/>
      </c>
      <c r="X9" s="225" t="str">
        <f ca="1">IF($R9="","",IF(ISBLANK(INDIRECT(ADDRESS($R9,X$1,1,,"Score"))),"",1))</f>
        <v/>
      </c>
      <c r="Y9" s="227" t="str">
        <f ca="1">IF(X9=1,V9,"")</f>
        <v/>
      </c>
      <c r="Z9" s="225" t="str">
        <f t="shared" ca="1" si="4"/>
        <v/>
      </c>
      <c r="AA9" s="225" t="str">
        <f t="shared" ca="1" si="4"/>
        <v/>
      </c>
      <c r="AB9" s="225" t="str">
        <f t="shared" ca="1" si="4"/>
        <v/>
      </c>
      <c r="AC9" s="223">
        <f t="shared" ca="1" si="5"/>
        <v>1</v>
      </c>
      <c r="AD9" s="222">
        <f ca="1">N9</f>
        <v>0</v>
      </c>
      <c r="AE9" s="222" t="str">
        <f ca="1">IF(OR(AD9="",AD9=0),"",60*U9/AD9)</f>
        <v/>
      </c>
    </row>
    <row r="10" spans="1:31" x14ac:dyDescent="0.3">
      <c r="A10" s="222"/>
      <c r="B10" s="223" t="str">
        <f ca="1">IF($B9="","",IF(INDIRECT(ADDRESS($B9+1,C$1-1,1,,"Score"))="SP",$B9+1,""))</f>
        <v/>
      </c>
      <c r="C10" s="224" t="str">
        <f t="shared" ca="1" si="0"/>
        <v/>
      </c>
      <c r="D10" s="223" t="str">
        <f t="shared" ca="1" si="0"/>
        <v/>
      </c>
      <c r="E10" s="222"/>
      <c r="F10" s="222"/>
      <c r="G10" s="225"/>
      <c r="H10" s="226"/>
      <c r="I10" s="227"/>
      <c r="J10" s="225" t="str">
        <f t="shared" ca="1" si="1"/>
        <v/>
      </c>
      <c r="K10" s="225" t="str">
        <f t="shared" ca="1" si="1"/>
        <v/>
      </c>
      <c r="L10" s="225" t="str">
        <f t="shared" ca="1" si="1"/>
        <v/>
      </c>
      <c r="M10" s="223" t="str">
        <f t="shared" ca="1" si="2"/>
        <v/>
      </c>
      <c r="N10" s="222"/>
      <c r="O10" s="222"/>
      <c r="Q10" s="222"/>
      <c r="R10" s="223" t="str">
        <f ca="1">IF($R9="","",IF(INDIRECT(ADDRESS($R9+1,S$1-1,1,,"Score"))="SP",$R9+1,""))</f>
        <v/>
      </c>
      <c r="S10" s="224" t="str">
        <f t="shared" ca="1" si="3"/>
        <v/>
      </c>
      <c r="T10" s="223" t="str">
        <f t="shared" ca="1" si="3"/>
        <v/>
      </c>
      <c r="U10" s="222"/>
      <c r="V10" s="222"/>
      <c r="W10" s="225"/>
      <c r="X10" s="226"/>
      <c r="Y10" s="227"/>
      <c r="Z10" s="225" t="str">
        <f t="shared" ca="1" si="4"/>
        <v/>
      </c>
      <c r="AA10" s="225" t="str">
        <f t="shared" ca="1" si="4"/>
        <v/>
      </c>
      <c r="AB10" s="225" t="str">
        <f t="shared" ca="1" si="4"/>
        <v/>
      </c>
      <c r="AC10" s="223" t="str">
        <f t="shared" ca="1" si="5"/>
        <v/>
      </c>
      <c r="AD10" s="222"/>
      <c r="AE10" s="222"/>
    </row>
    <row r="11" spans="1:31" x14ac:dyDescent="0.25">
      <c r="A11" s="203">
        <f>A9+1</f>
        <v>5</v>
      </c>
      <c r="B11" s="201">
        <f>IF(ISNA(MATCH($A11,Score!A$4:A$41,0)),"",MATCH($A11,Score!A$4:A$41,0)+ROW(Score!A$3))</f>
        <v>8</v>
      </c>
      <c r="C11" s="202" t="str">
        <f t="shared" ca="1" si="0"/>
        <v>4</v>
      </c>
      <c r="D11" s="201">
        <f t="shared" ca="1" si="0"/>
        <v>4</v>
      </c>
      <c r="E11" s="203">
        <f ca="1">IF(B11="","",SUM(D11,D12))</f>
        <v>4</v>
      </c>
      <c r="F11" s="203">
        <f ca="1">IF(B11="","",E11-U11)</f>
        <v>4</v>
      </c>
      <c r="G11" s="231" t="str">
        <f ca="1">IF($B11="","",IF(ISBLANK(INDIRECT(ADDRESS($B11,G$1,1,,"Score"))),"",1))</f>
        <v/>
      </c>
      <c r="H11" s="231">
        <f ca="1">IF($B11="","",IF(ISBLANK(INDIRECT(ADDRESS($B11,H$1,1,,"Score"))),"",1))</f>
        <v>1</v>
      </c>
      <c r="I11" s="221">
        <f ca="1">IF(H11=1,F11,"")</f>
        <v>4</v>
      </c>
      <c r="J11" s="231">
        <f t="shared" ca="1" si="1"/>
        <v>1</v>
      </c>
      <c r="K11" s="231" t="str">
        <f t="shared" ca="1" si="1"/>
        <v/>
      </c>
      <c r="L11" s="231" t="str">
        <f t="shared" ca="1" si="1"/>
        <v/>
      </c>
      <c r="M11" s="201">
        <f t="shared" ca="1" si="2"/>
        <v>1</v>
      </c>
      <c r="N11" s="146">
        <f ca="1">IF(ISNA(MATCH($A11,'Game Clock'!A$11:A$48,0)),"",INDIRECT(ADDRESS(MATCH($A11,'Game Clock'!A$11:A$48,0)+ROW('Game Clock'!A$10),N$1,1,,"Game Clock")))</f>
        <v>0</v>
      </c>
      <c r="O11" s="146" t="str">
        <f ca="1">IF(OR(N11="",N11=0),"",60*E11/N11)</f>
        <v/>
      </c>
      <c r="Q11" s="203">
        <f>Q9+1</f>
        <v>5</v>
      </c>
      <c r="R11" s="201">
        <f>IF(ISNA(MATCH($Q11,Score!T$4:T$41,0)),"",MATCH($Q11,Score!T$4:T$41,0)++ROW(Score!T$3))</f>
        <v>8</v>
      </c>
      <c r="S11" s="202" t="str">
        <f t="shared" ca="1" si="3"/>
        <v>11G6</v>
      </c>
      <c r="T11" s="201">
        <f t="shared" ca="1" si="3"/>
        <v>0</v>
      </c>
      <c r="U11" s="203">
        <f ca="1">IF(R11="","",SUM(T11,T12))</f>
        <v>0</v>
      </c>
      <c r="V11" s="203">
        <f ca="1">IF(R11="","",U11-E11)</f>
        <v>-4</v>
      </c>
      <c r="W11" s="231" t="str">
        <f ca="1">IF($R11="","",IF(ISBLANK(INDIRECT(ADDRESS($R11,W$1,1,,"Score"))),"",1))</f>
        <v/>
      </c>
      <c r="X11" s="231" t="str">
        <f ca="1">IF($R11="","",IF(ISBLANK(INDIRECT(ADDRESS($R11,X$1,1,,"Score"))),"",1))</f>
        <v/>
      </c>
      <c r="Y11" s="221" t="str">
        <f ca="1">IF(X11=1,V11,"")</f>
        <v/>
      </c>
      <c r="Z11" s="231" t="str">
        <f t="shared" ca="1" si="4"/>
        <v/>
      </c>
      <c r="AA11" s="231" t="str">
        <f t="shared" ca="1" si="4"/>
        <v/>
      </c>
      <c r="AB11" s="231" t="str">
        <f t="shared" ca="1" si="4"/>
        <v/>
      </c>
      <c r="AC11" s="201">
        <f t="shared" ca="1" si="5"/>
        <v>1</v>
      </c>
      <c r="AD11" s="146">
        <f ca="1">N11</f>
        <v>0</v>
      </c>
      <c r="AE11" s="146" t="str">
        <f ca="1">IF(OR(AD11="",AD11=0),"",60*U11/AD11)</f>
        <v/>
      </c>
    </row>
    <row r="12" spans="1:31" x14ac:dyDescent="0.25">
      <c r="A12" s="203"/>
      <c r="B12" s="201" t="str">
        <f ca="1">IF($B11="","",IF(INDIRECT(ADDRESS($B11+1,C$1-1,1,,"Score"))="SP",$B11+1,""))</f>
        <v/>
      </c>
      <c r="C12" s="202" t="str">
        <f t="shared" ca="1" si="0"/>
        <v/>
      </c>
      <c r="D12" s="201" t="str">
        <f t="shared" ca="1" si="0"/>
        <v/>
      </c>
      <c r="E12" s="203"/>
      <c r="F12" s="203"/>
      <c r="G12" s="231"/>
      <c r="H12" s="231"/>
      <c r="I12" s="221"/>
      <c r="J12" s="231" t="str">
        <f t="shared" ca="1" si="1"/>
        <v/>
      </c>
      <c r="K12" s="231" t="str">
        <f t="shared" ca="1" si="1"/>
        <v/>
      </c>
      <c r="L12" s="231" t="str">
        <f t="shared" ca="1" si="1"/>
        <v/>
      </c>
      <c r="M12" s="201" t="str">
        <f t="shared" ca="1" si="2"/>
        <v/>
      </c>
      <c r="N12" s="146"/>
      <c r="O12" s="146"/>
      <c r="Q12" s="203"/>
      <c r="R12" s="201" t="str">
        <f ca="1">IF($R11="","",IF(INDIRECT(ADDRESS($R11+1,S$1-1,1,,"Score"))="SP",$R11+1,""))</f>
        <v/>
      </c>
      <c r="S12" s="202" t="str">
        <f t="shared" ca="1" si="3"/>
        <v/>
      </c>
      <c r="T12" s="201" t="str">
        <f t="shared" ca="1" si="3"/>
        <v/>
      </c>
      <c r="U12" s="203"/>
      <c r="V12" s="203"/>
      <c r="W12" s="231"/>
      <c r="X12" s="231"/>
      <c r="Y12" s="221"/>
      <c r="Z12" s="231" t="str">
        <f t="shared" ca="1" si="4"/>
        <v/>
      </c>
      <c r="AA12" s="231" t="str">
        <f t="shared" ca="1" si="4"/>
        <v/>
      </c>
      <c r="AB12" s="231" t="str">
        <f t="shared" ca="1" si="4"/>
        <v/>
      </c>
      <c r="AC12" s="201" t="str">
        <f t="shared" ca="1" si="5"/>
        <v/>
      </c>
      <c r="AD12" s="146"/>
      <c r="AE12" s="146"/>
    </row>
    <row r="13" spans="1:31" x14ac:dyDescent="0.25">
      <c r="A13" s="222">
        <f>A11+1</f>
        <v>6</v>
      </c>
      <c r="B13" s="223">
        <f>IF(ISNA(MATCH($A13,Score!A$4:A$41,0)),"",MATCH($A13,Score!A$4:A$41,0)+ROW(Score!A$3))</f>
        <v>9</v>
      </c>
      <c r="C13" s="224" t="str">
        <f t="shared" ca="1" si="0"/>
        <v>19</v>
      </c>
      <c r="D13" s="223">
        <f t="shared" ca="1" si="0"/>
        <v>10</v>
      </c>
      <c r="E13" s="222">
        <f ca="1">IF(B13="","",SUM(D13,D14))</f>
        <v>10</v>
      </c>
      <c r="F13" s="222">
        <f ca="1">IF(B13="","",E13-U13)</f>
        <v>10</v>
      </c>
      <c r="G13" s="225" t="str">
        <f ca="1">IF($B13="","",IF(ISBLANK(INDIRECT(ADDRESS($B13,G$1,1,,"Score"))),"",1))</f>
        <v/>
      </c>
      <c r="H13" s="225">
        <f ca="1">IF($B13="","",IF(ISBLANK(INDIRECT(ADDRESS($B13,H$1,1,,"Score"))),"",1))</f>
        <v>1</v>
      </c>
      <c r="I13" s="227">
        <f ca="1">IF(H13=1,F13,"")</f>
        <v>10</v>
      </c>
      <c r="J13" s="225" t="str">
        <f t="shared" ca="1" si="1"/>
        <v/>
      </c>
      <c r="K13" s="225" t="str">
        <f t="shared" ca="1" si="1"/>
        <v/>
      </c>
      <c r="L13" s="225" t="str">
        <f t="shared" ca="1" si="1"/>
        <v/>
      </c>
      <c r="M13" s="223">
        <f t="shared" ca="1" si="2"/>
        <v>3</v>
      </c>
      <c r="N13" s="146">
        <f ca="1">IF(ISNA(MATCH($A13,'Game Clock'!A$11:A$48,0)),"",INDIRECT(ADDRESS(MATCH($A13,'Game Clock'!A$11:A$48,0)+ROW('Game Clock'!A$10),N$1,1,,"Game Clock")))</f>
        <v>0</v>
      </c>
      <c r="O13" s="222" t="str">
        <f ca="1">IF(OR(N13="",N13=0),"",60*E13/N13)</f>
        <v/>
      </c>
      <c r="Q13" s="222">
        <f>Q11+1</f>
        <v>6</v>
      </c>
      <c r="R13" s="223">
        <f>IF(ISNA(MATCH($Q13,Score!T$4:T$41,0)),"",MATCH($Q13,Score!T$4:T$41,0)++ROW(Score!T$3))</f>
        <v>9</v>
      </c>
      <c r="S13" s="224" t="str">
        <f t="shared" ca="1" si="3"/>
        <v>58</v>
      </c>
      <c r="T13" s="223">
        <f t="shared" ca="1" si="3"/>
        <v>0</v>
      </c>
      <c r="U13" s="222">
        <f ca="1">IF(R13="","",SUM(T13,T14))</f>
        <v>0</v>
      </c>
      <c r="V13" s="222">
        <f ca="1">IF(R13="","",U13-E13)</f>
        <v>-10</v>
      </c>
      <c r="W13" s="225" t="str">
        <f ca="1">IF($R13="","",IF(ISBLANK(INDIRECT(ADDRESS($R13,W$1,1,,"Score"))),"",1))</f>
        <v/>
      </c>
      <c r="X13" s="225" t="str">
        <f ca="1">IF($R13="","",IF(ISBLANK(INDIRECT(ADDRESS($R13,X$1,1,,"Score"))),"",1))</f>
        <v/>
      </c>
      <c r="Y13" s="227" t="str">
        <f ca="1">IF(X13=1,V13,"")</f>
        <v/>
      </c>
      <c r="Z13" s="225" t="str">
        <f t="shared" ca="1" si="4"/>
        <v/>
      </c>
      <c r="AA13" s="225" t="str">
        <f t="shared" ca="1" si="4"/>
        <v/>
      </c>
      <c r="AB13" s="225">
        <f t="shared" ca="1" si="4"/>
        <v>1</v>
      </c>
      <c r="AC13" s="223">
        <f t="shared" ca="1" si="5"/>
        <v>0</v>
      </c>
      <c r="AD13" s="222">
        <f ca="1">N13</f>
        <v>0</v>
      </c>
      <c r="AE13" s="222" t="str">
        <f ca="1">IF(OR(AD13="",AD13=0),"",60*U13/AD13)</f>
        <v/>
      </c>
    </row>
    <row r="14" spans="1:31" x14ac:dyDescent="0.3">
      <c r="A14" s="222"/>
      <c r="B14" s="223" t="str">
        <f ca="1">IF($B13="","",IF(INDIRECT(ADDRESS($B13+1,C$1-1,1,,"Score"))="SP",$B13+1,""))</f>
        <v/>
      </c>
      <c r="C14" s="224" t="str">
        <f t="shared" ca="1" si="0"/>
        <v/>
      </c>
      <c r="D14" s="223" t="str">
        <f t="shared" ca="1" si="0"/>
        <v/>
      </c>
      <c r="E14" s="222"/>
      <c r="F14" s="222"/>
      <c r="G14" s="225"/>
      <c r="H14" s="226"/>
      <c r="I14" s="227"/>
      <c r="J14" s="225" t="str">
        <f t="shared" ca="1" si="1"/>
        <v/>
      </c>
      <c r="K14" s="225" t="str">
        <f t="shared" ca="1" si="1"/>
        <v/>
      </c>
      <c r="L14" s="225" t="str">
        <f t="shared" ca="1" si="1"/>
        <v/>
      </c>
      <c r="M14" s="223" t="str">
        <f t="shared" ca="1" si="2"/>
        <v/>
      </c>
      <c r="N14" s="222"/>
      <c r="O14" s="222"/>
      <c r="Q14" s="222"/>
      <c r="R14" s="223">
        <f ca="1">IF($R13="","",IF(INDIRECT(ADDRESS($R13+1,S$1-1,1,,"Score"))="SP",$R13+1,""))</f>
        <v>10</v>
      </c>
      <c r="S14" s="224" t="str">
        <f t="shared" ca="1" si="3"/>
        <v>26</v>
      </c>
      <c r="T14" s="223">
        <f t="shared" ca="1" si="3"/>
        <v>0</v>
      </c>
      <c r="U14" s="222"/>
      <c r="V14" s="222"/>
      <c r="W14" s="225"/>
      <c r="X14" s="226"/>
      <c r="Y14" s="227"/>
      <c r="Z14" s="225" t="str">
        <f t="shared" ca="1" si="4"/>
        <v/>
      </c>
      <c r="AA14" s="225" t="str">
        <f t="shared" ca="1" si="4"/>
        <v/>
      </c>
      <c r="AB14" s="225" t="str">
        <f t="shared" ca="1" si="4"/>
        <v/>
      </c>
      <c r="AC14" s="223">
        <f t="shared" ca="1" si="5"/>
        <v>1</v>
      </c>
      <c r="AD14" s="222"/>
      <c r="AE14" s="222"/>
    </row>
    <row r="15" spans="1:31" x14ac:dyDescent="0.25">
      <c r="A15" s="203">
        <f>A13+1</f>
        <v>7</v>
      </c>
      <c r="B15" s="201">
        <f>IF(ISNA(MATCH($A15,Score!A$4:A$41,0)),"",MATCH($A15,Score!A$4:A$41,0)+ROW(Score!A$3))</f>
        <v>11</v>
      </c>
      <c r="C15" s="202" t="str">
        <f t="shared" ca="1" si="0"/>
        <v>1321</v>
      </c>
      <c r="D15" s="201">
        <f t="shared" ca="1" si="0"/>
        <v>3</v>
      </c>
      <c r="E15" s="203">
        <f ca="1">IF(B15="","",SUM(D15,D16))</f>
        <v>3</v>
      </c>
      <c r="F15" s="203">
        <f ca="1">IF(B15="","",E15-U15)</f>
        <v>3</v>
      </c>
      <c r="G15" s="231" t="str">
        <f ca="1">IF($B15="","",IF(ISBLANK(INDIRECT(ADDRESS($B15,G$1,1,,"Score"))),"",1))</f>
        <v/>
      </c>
      <c r="H15" s="231" t="str">
        <f ca="1">IF($B15="","",IF(ISBLANK(INDIRECT(ADDRESS($B15,H$1,1,,"Score"))),"",1))</f>
        <v/>
      </c>
      <c r="I15" s="221" t="str">
        <f ca="1">IF(H15=1,F15,"")</f>
        <v/>
      </c>
      <c r="J15" s="231" t="str">
        <f t="shared" ca="1" si="1"/>
        <v/>
      </c>
      <c r="K15" s="231" t="str">
        <f t="shared" ca="1" si="1"/>
        <v/>
      </c>
      <c r="L15" s="231" t="str">
        <f t="shared" ca="1" si="1"/>
        <v/>
      </c>
      <c r="M15" s="201">
        <f t="shared" ca="1" si="2"/>
        <v>1</v>
      </c>
      <c r="N15" s="146">
        <f ca="1">IF(ISNA(MATCH($A15,'Game Clock'!A$11:A$48,0)),"",INDIRECT(ADDRESS(MATCH($A15,'Game Clock'!A$11:A$48,0)+ROW('Game Clock'!A$10),N$1,1,,"Game Clock")))</f>
        <v>0</v>
      </c>
      <c r="O15" s="146" t="str">
        <f ca="1">IF(OR(N15="",N15=0),"",60*E15/N15)</f>
        <v/>
      </c>
      <c r="Q15" s="203">
        <f>Q13+1</f>
        <v>7</v>
      </c>
      <c r="R15" s="201">
        <f>IF(ISNA(MATCH($Q15,Score!T$4:T$41,0)),"",MATCH($Q15,Score!T$4:T$41,0)++ROW(Score!T$3))</f>
        <v>11</v>
      </c>
      <c r="S15" s="202" t="str">
        <f t="shared" ca="1" si="3"/>
        <v>K9</v>
      </c>
      <c r="T15" s="201">
        <f t="shared" ca="1" si="3"/>
        <v>0</v>
      </c>
      <c r="U15" s="203">
        <f ca="1">IF(R15="","",SUM(T15,T16))</f>
        <v>0</v>
      </c>
      <c r="V15" s="203">
        <f ca="1">IF(R15="","",U15-E15)</f>
        <v>-3</v>
      </c>
      <c r="W15" s="231" t="str">
        <f ca="1">IF($R15="","",IF(ISBLANK(INDIRECT(ADDRESS($R15,W$1,1,,"Score"))),"",1))</f>
        <v/>
      </c>
      <c r="X15" s="231">
        <f ca="1">IF($R15="","",IF(ISBLANK(INDIRECT(ADDRESS($R15,X$1,1,,"Score"))),"",1))</f>
        <v>1</v>
      </c>
      <c r="Y15" s="221">
        <f ca="1">IF(X15=1,V15,"")</f>
        <v>-3</v>
      </c>
      <c r="Z15" s="231">
        <f t="shared" ca="1" si="4"/>
        <v>1</v>
      </c>
      <c r="AA15" s="231" t="str">
        <f t="shared" ca="1" si="4"/>
        <v/>
      </c>
      <c r="AB15" s="231" t="str">
        <f t="shared" ca="1" si="4"/>
        <v/>
      </c>
      <c r="AC15" s="201">
        <f t="shared" ca="1" si="5"/>
        <v>1</v>
      </c>
      <c r="AD15" s="146">
        <f ca="1">N15</f>
        <v>0</v>
      </c>
      <c r="AE15" s="146" t="str">
        <f ca="1">IF(OR(AD15="",AD15=0),"",60*U15/AD15)</f>
        <v/>
      </c>
    </row>
    <row r="16" spans="1:31" x14ac:dyDescent="0.25">
      <c r="A16" s="203"/>
      <c r="B16" s="201" t="str">
        <f ca="1">IF($B15="","",IF(INDIRECT(ADDRESS($B15+1,C$1-1,1,,"Score"))="SP",$B15+1,""))</f>
        <v/>
      </c>
      <c r="C16" s="202" t="str">
        <f t="shared" ca="1" si="0"/>
        <v/>
      </c>
      <c r="D16" s="201" t="str">
        <f t="shared" ca="1" si="0"/>
        <v/>
      </c>
      <c r="E16" s="203"/>
      <c r="F16" s="203"/>
      <c r="G16" s="231"/>
      <c r="H16" s="231"/>
      <c r="I16" s="221"/>
      <c r="J16" s="231" t="str">
        <f t="shared" ca="1" si="1"/>
        <v/>
      </c>
      <c r="K16" s="231" t="str">
        <f t="shared" ca="1" si="1"/>
        <v/>
      </c>
      <c r="L16" s="231" t="str">
        <f t="shared" ca="1" si="1"/>
        <v/>
      </c>
      <c r="M16" s="201" t="str">
        <f t="shared" ca="1" si="2"/>
        <v/>
      </c>
      <c r="N16" s="146"/>
      <c r="O16" s="146"/>
      <c r="Q16" s="203"/>
      <c r="R16" s="201" t="str">
        <f ca="1">IF($R15="","",IF(INDIRECT(ADDRESS($R15+1,S$1-1,1,,"Score"))="SP",$R15+1,""))</f>
        <v/>
      </c>
      <c r="S16" s="202" t="str">
        <f t="shared" ca="1" si="3"/>
        <v/>
      </c>
      <c r="T16" s="201" t="str">
        <f t="shared" ca="1" si="3"/>
        <v/>
      </c>
      <c r="U16" s="203"/>
      <c r="V16" s="203"/>
      <c r="W16" s="231"/>
      <c r="X16" s="231"/>
      <c r="Y16" s="221"/>
      <c r="Z16" s="231" t="str">
        <f t="shared" ca="1" si="4"/>
        <v/>
      </c>
      <c r="AA16" s="231" t="str">
        <f t="shared" ca="1" si="4"/>
        <v/>
      </c>
      <c r="AB16" s="231" t="str">
        <f t="shared" ca="1" si="4"/>
        <v/>
      </c>
      <c r="AC16" s="201" t="str">
        <f t="shared" ca="1" si="5"/>
        <v/>
      </c>
      <c r="AD16" s="146"/>
      <c r="AE16" s="146"/>
    </row>
    <row r="17" spans="1:31" x14ac:dyDescent="0.25">
      <c r="A17" s="222">
        <f>A15+1</f>
        <v>8</v>
      </c>
      <c r="B17" s="223">
        <f>IF(ISNA(MATCH($A17,Score!A$4:A$41,0)),"",MATCH($A17,Score!A$4:A$41,0)+ROW(Score!A$3))</f>
        <v>12</v>
      </c>
      <c r="C17" s="224" t="str">
        <f t="shared" ca="1" si="0"/>
        <v>84</v>
      </c>
      <c r="D17" s="223">
        <f t="shared" ca="1" si="0"/>
        <v>9</v>
      </c>
      <c r="E17" s="222">
        <f ca="1">IF(B17="","",SUM(D17,D18))</f>
        <v>9</v>
      </c>
      <c r="F17" s="222">
        <f ca="1">IF(B17="","",E17-U17)</f>
        <v>-1</v>
      </c>
      <c r="G17" s="225">
        <f ca="1">IF($B17="","",IF(ISBLANK(INDIRECT(ADDRESS($B17,G$1,1,,"Score"))),"",1))</f>
        <v>1</v>
      </c>
      <c r="H17" s="225">
        <f ca="1">IF($B17="","",IF(ISBLANK(INDIRECT(ADDRESS($B17,H$1,1,,"Score"))),"",1))</f>
        <v>1</v>
      </c>
      <c r="I17" s="227">
        <f ca="1">IF(H17=1,F17,"")</f>
        <v>-1</v>
      </c>
      <c r="J17" s="225" t="str">
        <f t="shared" ca="1" si="1"/>
        <v/>
      </c>
      <c r="K17" s="225" t="str">
        <f t="shared" ca="1" si="1"/>
        <v/>
      </c>
      <c r="L17" s="225" t="str">
        <f t="shared" ca="1" si="1"/>
        <v/>
      </c>
      <c r="M17" s="223">
        <f t="shared" ca="1" si="2"/>
        <v>2</v>
      </c>
      <c r="N17" s="146">
        <f ca="1">IF(ISNA(MATCH($A17,'Game Clock'!A$11:A$48,0)),"",INDIRECT(ADDRESS(MATCH($A17,'Game Clock'!A$11:A$48,0)+ROW('Game Clock'!A$10),N$1,1,,"Game Clock")))</f>
        <v>0</v>
      </c>
      <c r="O17" s="222" t="str">
        <f ca="1">IF(OR(N17="",N17=0),"",60*E17/N17)</f>
        <v/>
      </c>
      <c r="Q17" s="222">
        <f>Q15+1</f>
        <v>8</v>
      </c>
      <c r="R17" s="223">
        <f>IF(ISNA(MATCH($Q17,Score!T$4:T$41,0)),"",MATCH($Q17,Score!T$4:T$41,0)++ROW(Score!T$3))</f>
        <v>12</v>
      </c>
      <c r="S17" s="224" t="str">
        <f t="shared" ca="1" si="3"/>
        <v>451</v>
      </c>
      <c r="T17" s="223">
        <f t="shared" ca="1" si="3"/>
        <v>10</v>
      </c>
      <c r="U17" s="222">
        <f ca="1">IF(R17="","",SUM(T17,T18))</f>
        <v>10</v>
      </c>
      <c r="V17" s="222">
        <f ca="1">IF(R17="","",U17-E17)</f>
        <v>1</v>
      </c>
      <c r="W17" s="225" t="str">
        <f ca="1">IF($R17="","",IF(ISBLANK(INDIRECT(ADDRESS($R17,W$1,1,,"Score"))),"",1))</f>
        <v/>
      </c>
      <c r="X17" s="225" t="str">
        <f ca="1">IF($R17="","",IF(ISBLANK(INDIRECT(ADDRESS($R17,X$1,1,,"Score"))),"",1))</f>
        <v/>
      </c>
      <c r="Y17" s="227" t="str">
        <f ca="1">IF(X17=1,V17,"")</f>
        <v/>
      </c>
      <c r="Z17" s="225" t="str">
        <f t="shared" ca="1" si="4"/>
        <v/>
      </c>
      <c r="AA17" s="225" t="str">
        <f t="shared" ca="1" si="4"/>
        <v/>
      </c>
      <c r="AB17" s="225" t="str">
        <f t="shared" ca="1" si="4"/>
        <v/>
      </c>
      <c r="AC17" s="223">
        <f t="shared" ca="1" si="5"/>
        <v>3</v>
      </c>
      <c r="AD17" s="222">
        <f ca="1">N17</f>
        <v>0</v>
      </c>
      <c r="AE17" s="222" t="str">
        <f ca="1">IF(OR(AD17="",AD17=0),"",60*U17/AD17)</f>
        <v/>
      </c>
    </row>
    <row r="18" spans="1:31" x14ac:dyDescent="0.3">
      <c r="A18" s="222"/>
      <c r="B18" s="223" t="str">
        <f ca="1">IF($B17="","",IF(INDIRECT(ADDRESS($B17+1,C$1-1,1,,"Score"))="SP",$B17+1,""))</f>
        <v/>
      </c>
      <c r="C18" s="224" t="str">
        <f t="shared" ca="1" si="0"/>
        <v/>
      </c>
      <c r="D18" s="223" t="str">
        <f t="shared" ca="1" si="0"/>
        <v/>
      </c>
      <c r="E18" s="222"/>
      <c r="F18" s="222"/>
      <c r="G18" s="225"/>
      <c r="H18" s="226"/>
      <c r="I18" s="227"/>
      <c r="J18" s="225" t="str">
        <f t="shared" ca="1" si="1"/>
        <v/>
      </c>
      <c r="K18" s="225" t="str">
        <f t="shared" ca="1" si="1"/>
        <v/>
      </c>
      <c r="L18" s="225" t="str">
        <f t="shared" ca="1" si="1"/>
        <v/>
      </c>
      <c r="M18" s="223" t="str">
        <f t="shared" ca="1" si="2"/>
        <v/>
      </c>
      <c r="N18" s="222"/>
      <c r="O18" s="222"/>
      <c r="Q18" s="222"/>
      <c r="R18" s="223" t="str">
        <f ca="1">IF($R17="","",IF(INDIRECT(ADDRESS($R17+1,S$1-1,1,,"Score"))="SP",$R17+1,""))</f>
        <v/>
      </c>
      <c r="S18" s="224" t="str">
        <f t="shared" ca="1" si="3"/>
        <v/>
      </c>
      <c r="T18" s="223" t="str">
        <f t="shared" ca="1" si="3"/>
        <v/>
      </c>
      <c r="U18" s="222"/>
      <c r="V18" s="222"/>
      <c r="W18" s="225"/>
      <c r="X18" s="226"/>
      <c r="Y18" s="227"/>
      <c r="Z18" s="225" t="str">
        <f t="shared" ca="1" si="4"/>
        <v/>
      </c>
      <c r="AA18" s="225" t="str">
        <f t="shared" ca="1" si="4"/>
        <v/>
      </c>
      <c r="AB18" s="225" t="str">
        <f t="shared" ca="1" si="4"/>
        <v/>
      </c>
      <c r="AC18" s="223" t="str">
        <f t="shared" ca="1" si="5"/>
        <v/>
      </c>
      <c r="AD18" s="222"/>
      <c r="AE18" s="222"/>
    </row>
    <row r="19" spans="1:31" x14ac:dyDescent="0.25">
      <c r="A19" s="203">
        <f>A17+1</f>
        <v>9</v>
      </c>
      <c r="B19" s="201">
        <f>IF(ISNA(MATCH($A19,Score!A$4:A$41,0)),"",MATCH($A19,Score!A$4:A$41,0)+ROW(Score!A$3))</f>
        <v>13</v>
      </c>
      <c r="C19" s="202" t="str">
        <f t="shared" ca="1" si="0"/>
        <v>4</v>
      </c>
      <c r="D19" s="201">
        <f t="shared" ca="1" si="0"/>
        <v>15</v>
      </c>
      <c r="E19" s="203">
        <f ca="1">IF(B19="","",SUM(D19,D20))</f>
        <v>15</v>
      </c>
      <c r="F19" s="203">
        <f ca="1">IF(B19="","",E19-U19)</f>
        <v>15</v>
      </c>
      <c r="G19" s="231" t="str">
        <f ca="1">IF($B19="","",IF(ISBLANK(INDIRECT(ADDRESS($B19,G$1,1,,"Score"))),"",1))</f>
        <v/>
      </c>
      <c r="H19" s="231">
        <f ca="1">IF($B19="","",IF(ISBLANK(INDIRECT(ADDRESS($B19,H$1,1,,"Score"))),"",1))</f>
        <v>1</v>
      </c>
      <c r="I19" s="221">
        <f ca="1">IF(H19=1,F19,"")</f>
        <v>15</v>
      </c>
      <c r="J19" s="231">
        <f t="shared" ca="1" si="1"/>
        <v>1</v>
      </c>
      <c r="K19" s="231" t="str">
        <f t="shared" ca="1" si="1"/>
        <v/>
      </c>
      <c r="L19" s="231" t="str">
        <f t="shared" ca="1" si="1"/>
        <v/>
      </c>
      <c r="M19" s="201">
        <f t="shared" ca="1" si="2"/>
        <v>4</v>
      </c>
      <c r="N19" s="146">
        <f ca="1">IF(ISNA(MATCH($A19,'Game Clock'!A$11:A$48,0)),"",INDIRECT(ADDRESS(MATCH($A19,'Game Clock'!A$11:A$48,0)+ROW('Game Clock'!A$10),N$1,1,,"Game Clock")))</f>
        <v>0</v>
      </c>
      <c r="O19" s="146" t="str">
        <f ca="1">IF(OR(N19="",N19=0),"",60*E19/N19)</f>
        <v/>
      </c>
      <c r="Q19" s="203">
        <f>Q17+1</f>
        <v>9</v>
      </c>
      <c r="R19" s="201">
        <f>IF(ISNA(MATCH($Q19,Score!T$4:T$41,0)),"",MATCH($Q19,Score!T$4:T$41,0)++ROW(Score!T$3))</f>
        <v>13</v>
      </c>
      <c r="S19" s="202" t="str">
        <f t="shared" ca="1" si="3"/>
        <v>11G6</v>
      </c>
      <c r="T19" s="201">
        <f t="shared" ca="1" si="3"/>
        <v>0</v>
      </c>
      <c r="U19" s="203">
        <f ca="1">IF(R19="","",SUM(T19,T20))</f>
        <v>0</v>
      </c>
      <c r="V19" s="203">
        <f ca="1">IF(R19="","",U19-E19)</f>
        <v>-15</v>
      </c>
      <c r="W19" s="231" t="str">
        <f ca="1">IF($R19="","",IF(ISBLANK(INDIRECT(ADDRESS($R19,W$1,1,,"Score"))),"",1))</f>
        <v/>
      </c>
      <c r="X19" s="231" t="str">
        <f ca="1">IF($R19="","",IF(ISBLANK(INDIRECT(ADDRESS($R19,X$1,1,,"Score"))),"",1))</f>
        <v/>
      </c>
      <c r="Y19" s="221" t="str">
        <f ca="1">IF(X19=1,V19,"")</f>
        <v/>
      </c>
      <c r="Z19" s="231" t="str">
        <f t="shared" ca="1" si="4"/>
        <v/>
      </c>
      <c r="AA19" s="231" t="str">
        <f t="shared" ca="1" si="4"/>
        <v/>
      </c>
      <c r="AB19" s="231" t="str">
        <f t="shared" ca="1" si="4"/>
        <v/>
      </c>
      <c r="AC19" s="201">
        <f t="shared" ca="1" si="5"/>
        <v>1</v>
      </c>
      <c r="AD19" s="146">
        <f ca="1">N19</f>
        <v>0</v>
      </c>
      <c r="AE19" s="146" t="str">
        <f ca="1">IF(OR(AD19="",AD19=0),"",60*U19/AD19)</f>
        <v/>
      </c>
    </row>
    <row r="20" spans="1:31" x14ac:dyDescent="0.25">
      <c r="A20" s="203"/>
      <c r="B20" s="201" t="str">
        <f ca="1">IF($B19="","",IF(INDIRECT(ADDRESS($B19+1,C$1-1,1,,"Score"))="SP",$B19+1,""))</f>
        <v/>
      </c>
      <c r="C20" s="202" t="str">
        <f t="shared" ca="1" si="0"/>
        <v/>
      </c>
      <c r="D20" s="201" t="str">
        <f t="shared" ca="1" si="0"/>
        <v/>
      </c>
      <c r="E20" s="203"/>
      <c r="F20" s="203"/>
      <c r="G20" s="231"/>
      <c r="H20" s="231"/>
      <c r="I20" s="221"/>
      <c r="J20" s="231" t="str">
        <f t="shared" ca="1" si="1"/>
        <v/>
      </c>
      <c r="K20" s="231" t="str">
        <f t="shared" ca="1" si="1"/>
        <v/>
      </c>
      <c r="L20" s="231" t="str">
        <f t="shared" ca="1" si="1"/>
        <v/>
      </c>
      <c r="M20" s="201" t="str">
        <f t="shared" ca="1" si="2"/>
        <v/>
      </c>
      <c r="N20" s="146"/>
      <c r="O20" s="146"/>
      <c r="Q20" s="203"/>
      <c r="R20" s="201" t="str">
        <f ca="1">IF($R19="","",IF(INDIRECT(ADDRESS($R19+1,S$1-1,1,,"Score"))="SP",$R19+1,""))</f>
        <v/>
      </c>
      <c r="S20" s="202" t="str">
        <f t="shared" ca="1" si="3"/>
        <v/>
      </c>
      <c r="T20" s="201" t="str">
        <f t="shared" ca="1" si="3"/>
        <v/>
      </c>
      <c r="U20" s="203"/>
      <c r="V20" s="203"/>
      <c r="W20" s="231"/>
      <c r="X20" s="231"/>
      <c r="Y20" s="221"/>
      <c r="Z20" s="231" t="str">
        <f t="shared" ca="1" si="4"/>
        <v/>
      </c>
      <c r="AA20" s="231" t="str">
        <f t="shared" ca="1" si="4"/>
        <v/>
      </c>
      <c r="AB20" s="231" t="str">
        <f t="shared" ca="1" si="4"/>
        <v/>
      </c>
      <c r="AC20" s="201" t="str">
        <f t="shared" ca="1" si="5"/>
        <v/>
      </c>
      <c r="AD20" s="146"/>
      <c r="AE20" s="146"/>
    </row>
    <row r="21" spans="1:31" x14ac:dyDescent="0.25">
      <c r="A21" s="222">
        <f>A19+1</f>
        <v>10</v>
      </c>
      <c r="B21" s="223">
        <f>IF(ISNA(MATCH($A21,Score!A$4:A$41,0)),"",MATCH($A21,Score!A$4:A$41,0)+ROW(Score!A$3))</f>
        <v>14</v>
      </c>
      <c r="C21" s="224" t="str">
        <f t="shared" ca="1" si="0"/>
        <v>19</v>
      </c>
      <c r="D21" s="223">
        <f t="shared" ca="1" si="0"/>
        <v>0</v>
      </c>
      <c r="E21" s="222">
        <f ca="1">IF(B21="","",SUM(D21,D22))</f>
        <v>0</v>
      </c>
      <c r="F21" s="222">
        <f ca="1">IF(B21="","",E21-U21)</f>
        <v>0</v>
      </c>
      <c r="G21" s="225" t="str">
        <f ca="1">IF($B21="","",IF(ISBLANK(INDIRECT(ADDRESS($B21,G$1,1,,"Score"))),"",1))</f>
        <v/>
      </c>
      <c r="H21" s="225" t="str">
        <f ca="1">IF($B21="","",IF(ISBLANK(INDIRECT(ADDRESS($B21,H$1,1,,"Score"))),"",1))</f>
        <v/>
      </c>
      <c r="I21" s="227" t="str">
        <f ca="1">IF(H21=1,F21,"")</f>
        <v/>
      </c>
      <c r="J21" s="225" t="str">
        <f t="shared" ca="1" si="1"/>
        <v/>
      </c>
      <c r="K21" s="225" t="str">
        <f t="shared" ca="1" si="1"/>
        <v/>
      </c>
      <c r="L21" s="225" t="str">
        <f t="shared" ca="1" si="1"/>
        <v/>
      </c>
      <c r="M21" s="223">
        <f t="shared" ca="1" si="2"/>
        <v>1</v>
      </c>
      <c r="N21" s="146">
        <f ca="1">IF(ISNA(MATCH($A21,'Game Clock'!A$11:A$48,0)),"",INDIRECT(ADDRESS(MATCH($A21,'Game Clock'!A$11:A$48,0)+ROW('Game Clock'!A$10),N$1,1,,"Game Clock")))</f>
        <v>0</v>
      </c>
      <c r="O21" s="222" t="str">
        <f ca="1">IF(OR(N21="",N21=0),"",60*E21/N21)</f>
        <v/>
      </c>
      <c r="Q21" s="222">
        <f>Q19+1</f>
        <v>10</v>
      </c>
      <c r="R21" s="223">
        <f>IF(ISNA(MATCH($Q21,Score!T$4:T$41,0)),"",MATCH($Q21,Score!T$4:T$41,0)++ROW(Score!T$3))</f>
        <v>14</v>
      </c>
      <c r="S21" s="224" t="str">
        <f t="shared" ca="1" si="3"/>
        <v>58</v>
      </c>
      <c r="T21" s="223">
        <f t="shared" ca="1" si="3"/>
        <v>0</v>
      </c>
      <c r="U21" s="222">
        <f ca="1">IF(R21="","",SUM(T21,T22))</f>
        <v>0</v>
      </c>
      <c r="V21" s="222">
        <f ca="1">IF(R21="","",U21-E21)</f>
        <v>0</v>
      </c>
      <c r="W21" s="225" t="str">
        <f ca="1">IF($R21="","",IF(ISBLANK(INDIRECT(ADDRESS($R21,W$1,1,,"Score"))),"",1))</f>
        <v/>
      </c>
      <c r="X21" s="225">
        <f ca="1">IF($R21="","",IF(ISBLANK(INDIRECT(ADDRESS($R21,X$1,1,,"Score"))),"",1))</f>
        <v>1</v>
      </c>
      <c r="Y21" s="227">
        <f ca="1">IF(X21=1,V21,"")</f>
        <v>0</v>
      </c>
      <c r="Z21" s="225">
        <f t="shared" ca="1" si="4"/>
        <v>1</v>
      </c>
      <c r="AA21" s="225" t="str">
        <f t="shared" ca="1" si="4"/>
        <v/>
      </c>
      <c r="AB21" s="225" t="str">
        <f t="shared" ca="1" si="4"/>
        <v/>
      </c>
      <c r="AC21" s="223">
        <f t="shared" ca="1" si="5"/>
        <v>1</v>
      </c>
      <c r="AD21" s="222">
        <f ca="1">N21</f>
        <v>0</v>
      </c>
      <c r="AE21" s="222" t="str">
        <f ca="1">IF(OR(AD21="",AD21=0),"",60*U21/AD21)</f>
        <v/>
      </c>
    </row>
    <row r="22" spans="1:31" x14ac:dyDescent="0.3">
      <c r="A22" s="222"/>
      <c r="B22" s="223" t="str">
        <f ca="1">IF($B21="","",IF(INDIRECT(ADDRESS($B21+1,C$1-1,1,,"Score"))="SP",$B21+1,""))</f>
        <v/>
      </c>
      <c r="C22" s="224" t="str">
        <f t="shared" ca="1" si="0"/>
        <v/>
      </c>
      <c r="D22" s="223" t="str">
        <f t="shared" ca="1" si="0"/>
        <v/>
      </c>
      <c r="E22" s="222"/>
      <c r="F22" s="222"/>
      <c r="G22" s="225"/>
      <c r="H22" s="226"/>
      <c r="I22" s="227"/>
      <c r="J22" s="225" t="str">
        <f t="shared" ca="1" si="1"/>
        <v/>
      </c>
      <c r="K22" s="225" t="str">
        <f t="shared" ca="1" si="1"/>
        <v/>
      </c>
      <c r="L22" s="225" t="str">
        <f t="shared" ca="1" si="1"/>
        <v/>
      </c>
      <c r="M22" s="223" t="str">
        <f t="shared" ca="1" si="2"/>
        <v/>
      </c>
      <c r="N22" s="222"/>
      <c r="O22" s="222"/>
      <c r="Q22" s="222"/>
      <c r="R22" s="223" t="str">
        <f ca="1">IF($R21="","",IF(INDIRECT(ADDRESS($R21+1,S$1-1,1,,"Score"))="SP",$R21+1,""))</f>
        <v/>
      </c>
      <c r="S22" s="224" t="str">
        <f t="shared" ca="1" si="3"/>
        <v/>
      </c>
      <c r="T22" s="223" t="str">
        <f t="shared" ca="1" si="3"/>
        <v/>
      </c>
      <c r="U22" s="222"/>
      <c r="V22" s="222"/>
      <c r="W22" s="225"/>
      <c r="X22" s="226"/>
      <c r="Y22" s="227"/>
      <c r="Z22" s="225" t="str">
        <f t="shared" ca="1" si="4"/>
        <v/>
      </c>
      <c r="AA22" s="225" t="str">
        <f t="shared" ca="1" si="4"/>
        <v/>
      </c>
      <c r="AB22" s="225" t="str">
        <f t="shared" ca="1" si="4"/>
        <v/>
      </c>
      <c r="AC22" s="223" t="str">
        <f t="shared" ca="1" si="5"/>
        <v/>
      </c>
      <c r="AD22" s="222"/>
      <c r="AE22" s="222"/>
    </row>
    <row r="23" spans="1:31" x14ac:dyDescent="0.25">
      <c r="A23" s="203">
        <f>A21+1</f>
        <v>11</v>
      </c>
      <c r="B23" s="201">
        <f>IF(ISNA(MATCH($A23,Score!A$4:A$41,0)),"",MATCH($A23,Score!A$4:A$41,0)+ROW(Score!A$3))</f>
        <v>15</v>
      </c>
      <c r="C23" s="202" t="str">
        <f t="shared" ref="C23:D42" ca="1" si="6">IF($B23="","",INDIRECT(ADDRESS($B23,C$1,1,,"Score")))</f>
        <v>1321</v>
      </c>
      <c r="D23" s="201">
        <f t="shared" ca="1" si="6"/>
        <v>4</v>
      </c>
      <c r="E23" s="203">
        <f ca="1">IF(B23="","",SUM(D23,D24))</f>
        <v>4</v>
      </c>
      <c r="F23" s="203">
        <f ca="1">IF(B23="","",E23-U23)</f>
        <v>4</v>
      </c>
      <c r="G23" s="231" t="str">
        <f ca="1">IF($B23="","",IF(ISBLANK(INDIRECT(ADDRESS($B23,G$1,1,,"Score"))),"",1))</f>
        <v/>
      </c>
      <c r="H23" s="231">
        <f ca="1">IF($B23="","",IF(ISBLANK(INDIRECT(ADDRESS($B23,H$1,1,,"Score"))),"",1))</f>
        <v>1</v>
      </c>
      <c r="I23" s="221">
        <f ca="1">IF(H23=1,F23,"")</f>
        <v>4</v>
      </c>
      <c r="J23" s="231">
        <f t="shared" ref="J23:L42" ca="1" si="7">IF($B23="","",IF(ISBLANK(INDIRECT(ADDRESS($B23,J$1,1,,"Score"))),"",1))</f>
        <v>1</v>
      </c>
      <c r="K23" s="231" t="str">
        <f t="shared" ca="1" si="7"/>
        <v/>
      </c>
      <c r="L23" s="231" t="str">
        <f t="shared" ca="1" si="7"/>
        <v/>
      </c>
      <c r="M23" s="201">
        <f t="shared" ref="M23:M42" ca="1" si="8">IF($B23="","",INDIRECT(ADDRESS($B23,M$1,1,,"Score")))</f>
        <v>1</v>
      </c>
      <c r="N23" s="146">
        <f ca="1">IF(ISNA(MATCH($A23,'Game Clock'!A$11:A$48,0)),"",INDIRECT(ADDRESS(MATCH($A23,'Game Clock'!A$11:A$48,0)+ROW('Game Clock'!A$10),N$1,1,,"Game Clock")))</f>
        <v>0</v>
      </c>
      <c r="O23" s="146" t="str">
        <f ca="1">IF(OR(N23="",N23=0),"",60*E23/N23)</f>
        <v/>
      </c>
      <c r="Q23" s="203">
        <f>Q21+1</f>
        <v>11</v>
      </c>
      <c r="R23" s="201">
        <f>IF(ISNA(MATCH($Q23,Score!T$4:T$41,0)),"",MATCH($Q23,Score!T$4:T$41,0)++ROW(Score!T$3))</f>
        <v>15</v>
      </c>
      <c r="S23" s="202" t="str">
        <f t="shared" ref="S23:T42" ca="1" si="9">IF($R23="","",INDIRECT(ADDRESS($R23,S$1,1,,"Score")))</f>
        <v>K9</v>
      </c>
      <c r="T23" s="201">
        <f t="shared" ca="1" si="9"/>
        <v>0</v>
      </c>
      <c r="U23" s="203">
        <f ca="1">IF(R23="","",SUM(T23,T24))</f>
        <v>0</v>
      </c>
      <c r="V23" s="203">
        <f ca="1">IF(R23="","",U23-E23)</f>
        <v>-4</v>
      </c>
      <c r="W23" s="231" t="str">
        <f ca="1">IF($R23="","",IF(ISBLANK(INDIRECT(ADDRESS($R23,W$1,1,,"Score"))),"",1))</f>
        <v/>
      </c>
      <c r="X23" s="231" t="str">
        <f ca="1">IF($R23="","",IF(ISBLANK(INDIRECT(ADDRESS($R23,X$1,1,,"Score"))),"",1))</f>
        <v/>
      </c>
      <c r="Y23" s="221" t="str">
        <f ca="1">IF(X23=1,V23,"")</f>
        <v/>
      </c>
      <c r="Z23" s="231" t="str">
        <f t="shared" ref="Z23:AB42" ca="1" si="10">IF($R23="","",IF(ISBLANK(INDIRECT(ADDRESS($R23,Z$1,1,,"Score"))),"",1))</f>
        <v/>
      </c>
      <c r="AA23" s="231" t="str">
        <f t="shared" ca="1" si="10"/>
        <v/>
      </c>
      <c r="AB23" s="231" t="str">
        <f t="shared" ca="1" si="10"/>
        <v/>
      </c>
      <c r="AC23" s="201">
        <f t="shared" ref="AC23:AC42" ca="1" si="11">IF($R23="","",INDIRECT(ADDRESS($R23,AC$1,1,,"Score")))</f>
        <v>1</v>
      </c>
      <c r="AD23" s="146">
        <f ca="1">N23</f>
        <v>0</v>
      </c>
      <c r="AE23" s="146" t="str">
        <f ca="1">IF(OR(AD23="",AD23=0),"",60*U23/AD23)</f>
        <v/>
      </c>
    </row>
    <row r="24" spans="1:31" x14ac:dyDescent="0.25">
      <c r="A24" s="203"/>
      <c r="B24" s="201" t="str">
        <f ca="1">IF($B23="","",IF(INDIRECT(ADDRESS($B23+1,C$1-1,1,,"Score"))="SP",$B23+1,""))</f>
        <v/>
      </c>
      <c r="C24" s="202" t="str">
        <f t="shared" ca="1" si="6"/>
        <v/>
      </c>
      <c r="D24" s="201" t="str">
        <f t="shared" ca="1" si="6"/>
        <v/>
      </c>
      <c r="E24" s="203"/>
      <c r="F24" s="203"/>
      <c r="G24" s="231"/>
      <c r="H24" s="231"/>
      <c r="I24" s="221"/>
      <c r="J24" s="231" t="str">
        <f t="shared" ca="1" si="7"/>
        <v/>
      </c>
      <c r="K24" s="231" t="str">
        <f t="shared" ca="1" si="7"/>
        <v/>
      </c>
      <c r="L24" s="231" t="str">
        <f t="shared" ca="1" si="7"/>
        <v/>
      </c>
      <c r="M24" s="201" t="str">
        <f t="shared" ca="1" si="8"/>
        <v/>
      </c>
      <c r="N24" s="146"/>
      <c r="O24" s="146"/>
      <c r="Q24" s="203"/>
      <c r="R24" s="201" t="str">
        <f ca="1">IF($R23="","",IF(INDIRECT(ADDRESS($R23+1,S$1-1,1,,"Score"))="SP",$R23+1,""))</f>
        <v/>
      </c>
      <c r="S24" s="202" t="str">
        <f t="shared" ca="1" si="9"/>
        <v/>
      </c>
      <c r="T24" s="201" t="str">
        <f t="shared" ca="1" si="9"/>
        <v/>
      </c>
      <c r="U24" s="203"/>
      <c r="V24" s="203"/>
      <c r="W24" s="231"/>
      <c r="X24" s="231"/>
      <c r="Y24" s="221"/>
      <c r="Z24" s="231" t="str">
        <f t="shared" ca="1" si="10"/>
        <v/>
      </c>
      <c r="AA24" s="231" t="str">
        <f t="shared" ca="1" si="10"/>
        <v/>
      </c>
      <c r="AB24" s="231" t="str">
        <f t="shared" ca="1" si="10"/>
        <v/>
      </c>
      <c r="AC24" s="201" t="str">
        <f t="shared" ca="1" si="11"/>
        <v/>
      </c>
      <c r="AD24" s="146"/>
      <c r="AE24" s="146"/>
    </row>
    <row r="25" spans="1:31" x14ac:dyDescent="0.25">
      <c r="A25" s="222">
        <f>A23+1</f>
        <v>12</v>
      </c>
      <c r="B25" s="223">
        <f>IF(ISNA(MATCH($A25,Score!A$4:A$41,0)),"",MATCH($A25,Score!A$4:A$41,0)+ROW(Score!A$3))</f>
        <v>16</v>
      </c>
      <c r="C25" s="224" t="str">
        <f t="shared" ca="1" si="6"/>
        <v>84</v>
      </c>
      <c r="D25" s="223">
        <f t="shared" ca="1" si="6"/>
        <v>15</v>
      </c>
      <c r="E25" s="222">
        <f ca="1">IF(B25="","",SUM(D25,D26))</f>
        <v>15</v>
      </c>
      <c r="F25" s="222">
        <f ca="1">IF(B25="","",E25-U25)</f>
        <v>15</v>
      </c>
      <c r="G25" s="225" t="str">
        <f ca="1">IF($B25="","",IF(ISBLANK(INDIRECT(ADDRESS($B25,G$1,1,,"Score"))),"",1))</f>
        <v/>
      </c>
      <c r="H25" s="225">
        <f ca="1">IF($B25="","",IF(ISBLANK(INDIRECT(ADDRESS($B25,H$1,1,,"Score"))),"",1))</f>
        <v>1</v>
      </c>
      <c r="I25" s="227">
        <f ca="1">IF(H25=1,F25,"")</f>
        <v>15</v>
      </c>
      <c r="J25" s="225" t="str">
        <f t="shared" ca="1" si="7"/>
        <v/>
      </c>
      <c r="K25" s="225" t="str">
        <f t="shared" ca="1" si="7"/>
        <v/>
      </c>
      <c r="L25" s="225" t="str">
        <f t="shared" ca="1" si="7"/>
        <v/>
      </c>
      <c r="M25" s="223">
        <f t="shared" ca="1" si="8"/>
        <v>3</v>
      </c>
      <c r="N25" s="146">
        <f ca="1">IF(ISNA(MATCH($A25,'Game Clock'!A$11:A$48,0)),"",INDIRECT(ADDRESS(MATCH($A25,'Game Clock'!A$11:A$48,0)+ROW('Game Clock'!A$10),N$1,1,,"Game Clock")))</f>
        <v>0</v>
      </c>
      <c r="O25" s="222" t="str">
        <f ca="1">IF(OR(N25="",N25=0),"",60*E25/N25)</f>
        <v/>
      </c>
      <c r="Q25" s="222">
        <f>Q23+1</f>
        <v>12</v>
      </c>
      <c r="R25" s="223">
        <f>IF(ISNA(MATCH($Q25,Score!T$4:T$41,0)),"",MATCH($Q25,Score!T$4:T$41,0)++ROW(Score!T$3))</f>
        <v>16</v>
      </c>
      <c r="S25" s="224" t="str">
        <f t="shared" ca="1" si="9"/>
        <v>451</v>
      </c>
      <c r="T25" s="223">
        <f t="shared" ca="1" si="9"/>
        <v>0</v>
      </c>
      <c r="U25" s="222">
        <f ca="1">IF(R25="","",SUM(T25,T26))</f>
        <v>0</v>
      </c>
      <c r="V25" s="222">
        <f ca="1">IF(R25="","",U25-E25)</f>
        <v>-15</v>
      </c>
      <c r="W25" s="225" t="str">
        <f ca="1">IF($R25="","",IF(ISBLANK(INDIRECT(ADDRESS($R25,W$1,1,,"Score"))),"",1))</f>
        <v/>
      </c>
      <c r="X25" s="225" t="str">
        <f ca="1">IF($R25="","",IF(ISBLANK(INDIRECT(ADDRESS($R25,X$1,1,,"Score"))),"",1))</f>
        <v/>
      </c>
      <c r="Y25" s="227" t="str">
        <f ca="1">IF(X25=1,V25,"")</f>
        <v/>
      </c>
      <c r="Z25" s="225" t="str">
        <f t="shared" ca="1" si="10"/>
        <v/>
      </c>
      <c r="AA25" s="225" t="str">
        <f t="shared" ca="1" si="10"/>
        <v/>
      </c>
      <c r="AB25" s="225" t="str">
        <f t="shared" ca="1" si="10"/>
        <v/>
      </c>
      <c r="AC25" s="223">
        <f t="shared" ca="1" si="11"/>
        <v>1</v>
      </c>
      <c r="AD25" s="222">
        <f ca="1">N25</f>
        <v>0</v>
      </c>
      <c r="AE25" s="222" t="str">
        <f ca="1">IF(OR(AD25="",AD25=0),"",60*U25/AD25)</f>
        <v/>
      </c>
    </row>
    <row r="26" spans="1:31" x14ac:dyDescent="0.3">
      <c r="A26" s="222"/>
      <c r="B26" s="223" t="str">
        <f ca="1">IF($B25="","",IF(INDIRECT(ADDRESS($B25+1,C$1-1,1,,"Score"))="SP",$B25+1,""))</f>
        <v/>
      </c>
      <c r="C26" s="224" t="str">
        <f t="shared" ca="1" si="6"/>
        <v/>
      </c>
      <c r="D26" s="223" t="str">
        <f t="shared" ca="1" si="6"/>
        <v/>
      </c>
      <c r="E26" s="222"/>
      <c r="F26" s="222"/>
      <c r="G26" s="225"/>
      <c r="H26" s="226"/>
      <c r="I26" s="227"/>
      <c r="J26" s="225" t="str">
        <f t="shared" ca="1" si="7"/>
        <v/>
      </c>
      <c r="K26" s="225" t="str">
        <f t="shared" ca="1" si="7"/>
        <v/>
      </c>
      <c r="L26" s="225" t="str">
        <f t="shared" ca="1" si="7"/>
        <v/>
      </c>
      <c r="M26" s="223" t="str">
        <f t="shared" ca="1" si="8"/>
        <v/>
      </c>
      <c r="N26" s="222"/>
      <c r="O26" s="222"/>
      <c r="Q26" s="222"/>
      <c r="R26" s="223" t="str">
        <f ca="1">IF($R25="","",IF(INDIRECT(ADDRESS($R25+1,S$1-1,1,,"Score"))="SP",$R25+1,""))</f>
        <v/>
      </c>
      <c r="S26" s="224" t="str">
        <f t="shared" ca="1" si="9"/>
        <v/>
      </c>
      <c r="T26" s="223" t="str">
        <f t="shared" ca="1" si="9"/>
        <v/>
      </c>
      <c r="U26" s="222"/>
      <c r="V26" s="222"/>
      <c r="W26" s="225"/>
      <c r="X26" s="226"/>
      <c r="Y26" s="227"/>
      <c r="Z26" s="225" t="str">
        <f t="shared" ca="1" si="10"/>
        <v/>
      </c>
      <c r="AA26" s="225" t="str">
        <f t="shared" ca="1" si="10"/>
        <v/>
      </c>
      <c r="AB26" s="225" t="str">
        <f t="shared" ca="1" si="10"/>
        <v/>
      </c>
      <c r="AC26" s="223" t="str">
        <f t="shared" ca="1" si="11"/>
        <v/>
      </c>
      <c r="AD26" s="222"/>
      <c r="AE26" s="222"/>
    </row>
    <row r="27" spans="1:31" x14ac:dyDescent="0.25">
      <c r="A27" s="203">
        <f>A25+1</f>
        <v>13</v>
      </c>
      <c r="B27" s="201">
        <f>IF(ISNA(MATCH($A27,Score!A$4:A$41,0)),"",MATCH($A27,Score!A$4:A$41,0)+ROW(Score!A$3))</f>
        <v>17</v>
      </c>
      <c r="C27" s="202" t="str">
        <f t="shared" ca="1" si="6"/>
        <v>4</v>
      </c>
      <c r="D27" s="201">
        <f t="shared" ca="1" si="6"/>
        <v>12</v>
      </c>
      <c r="E27" s="203">
        <f ca="1">IF(B27="","",SUM(D27,D28))</f>
        <v>12</v>
      </c>
      <c r="F27" s="203">
        <f ca="1">IF(B27="","",E27-U27)</f>
        <v>12</v>
      </c>
      <c r="G27" s="231" t="str">
        <f ca="1">IF($B27="","",IF(ISBLANK(INDIRECT(ADDRESS($B27,G$1,1,,"Score"))),"",1))</f>
        <v/>
      </c>
      <c r="H27" s="231">
        <f ca="1">IF($B27="","",IF(ISBLANK(INDIRECT(ADDRESS($B27,H$1,1,,"Score"))),"",1))</f>
        <v>1</v>
      </c>
      <c r="I27" s="221">
        <f ca="1">IF(H27=1,F27,"")</f>
        <v>12</v>
      </c>
      <c r="J27" s="231">
        <f t="shared" ca="1" si="7"/>
        <v>1</v>
      </c>
      <c r="K27" s="231" t="str">
        <f t="shared" ca="1" si="7"/>
        <v/>
      </c>
      <c r="L27" s="231" t="str">
        <f t="shared" ca="1" si="7"/>
        <v/>
      </c>
      <c r="M27" s="201">
        <f t="shared" ca="1" si="8"/>
        <v>3</v>
      </c>
      <c r="N27" s="146">
        <f ca="1">IF(ISNA(MATCH($A27,'Game Clock'!A$11:A$48,0)),"",INDIRECT(ADDRESS(MATCH($A27,'Game Clock'!A$11:A$48,0)+ROW('Game Clock'!A$10),N$1,1,,"Game Clock")))</f>
        <v>0</v>
      </c>
      <c r="O27" s="146" t="str">
        <f ca="1">IF(OR(N27="",N27=0),"",60*E27/N27)</f>
        <v/>
      </c>
      <c r="Q27" s="203">
        <f>Q25+1</f>
        <v>13</v>
      </c>
      <c r="R27" s="201">
        <f>IF(ISNA(MATCH($Q27,Score!T$4:T$41,0)),"",MATCH($Q27,Score!T$4:T$41,0)++ROW(Score!T$3))</f>
        <v>17</v>
      </c>
      <c r="S27" s="202" t="str">
        <f t="shared" ca="1" si="9"/>
        <v>511</v>
      </c>
      <c r="T27" s="201">
        <f t="shared" ca="1" si="9"/>
        <v>0</v>
      </c>
      <c r="U27" s="203">
        <f ca="1">IF(R27="","",SUM(T27,T28))</f>
        <v>0</v>
      </c>
      <c r="V27" s="203">
        <f ca="1">IF(R27="","",U27-E27)</f>
        <v>-12</v>
      </c>
      <c r="W27" s="231">
        <f ca="1">IF($R27="","",IF(ISBLANK(INDIRECT(ADDRESS($R27,W$1,1,,"Score"))),"",1))</f>
        <v>1</v>
      </c>
      <c r="X27" s="231" t="str">
        <f ca="1">IF($R27="","",IF(ISBLANK(INDIRECT(ADDRESS($R27,X$1,1,,"Score"))),"",1))</f>
        <v/>
      </c>
      <c r="Y27" s="221" t="str">
        <f ca="1">IF(X27=1,V27,"")</f>
        <v/>
      </c>
      <c r="Z27" s="231" t="str">
        <f t="shared" ca="1" si="10"/>
        <v/>
      </c>
      <c r="AA27" s="231" t="str">
        <f t="shared" ca="1" si="10"/>
        <v/>
      </c>
      <c r="AB27" s="231">
        <f t="shared" ca="1" si="10"/>
        <v>1</v>
      </c>
      <c r="AC27" s="201">
        <f t="shared" ca="1" si="11"/>
        <v>0</v>
      </c>
      <c r="AD27" s="146">
        <f ca="1">N27</f>
        <v>0</v>
      </c>
      <c r="AE27" s="146" t="str">
        <f ca="1">IF(OR(AD27="",AD27=0),"",60*U27/AD27)</f>
        <v/>
      </c>
    </row>
    <row r="28" spans="1:31" x14ac:dyDescent="0.25">
      <c r="A28" s="203"/>
      <c r="B28" s="201" t="str">
        <f ca="1">IF($B27="","",IF(INDIRECT(ADDRESS($B27+1,C$1-1,1,,"Score"))="SP",$B27+1,""))</f>
        <v/>
      </c>
      <c r="C28" s="202" t="str">
        <f t="shared" ca="1" si="6"/>
        <v/>
      </c>
      <c r="D28" s="201" t="str">
        <f t="shared" ca="1" si="6"/>
        <v/>
      </c>
      <c r="E28" s="203"/>
      <c r="F28" s="203"/>
      <c r="G28" s="231"/>
      <c r="H28" s="231"/>
      <c r="I28" s="221"/>
      <c r="J28" s="231" t="str">
        <f t="shared" ca="1" si="7"/>
        <v/>
      </c>
      <c r="K28" s="231" t="str">
        <f t="shared" ca="1" si="7"/>
        <v/>
      </c>
      <c r="L28" s="231" t="str">
        <f t="shared" ca="1" si="7"/>
        <v/>
      </c>
      <c r="M28" s="201" t="str">
        <f t="shared" ca="1" si="8"/>
        <v/>
      </c>
      <c r="N28" s="146"/>
      <c r="O28" s="146"/>
      <c r="Q28" s="203"/>
      <c r="R28" s="201" t="str">
        <f ca="1">IF($R27="","",IF(INDIRECT(ADDRESS($R27+1,S$1-1,1,,"Score"))="SP",$R27+1,""))</f>
        <v/>
      </c>
      <c r="S28" s="202" t="str">
        <f t="shared" ca="1" si="9"/>
        <v/>
      </c>
      <c r="T28" s="201" t="str">
        <f t="shared" ca="1" si="9"/>
        <v/>
      </c>
      <c r="U28" s="203"/>
      <c r="V28" s="203"/>
      <c r="W28" s="231"/>
      <c r="X28" s="231"/>
      <c r="Y28" s="221"/>
      <c r="Z28" s="231" t="str">
        <f t="shared" ca="1" si="10"/>
        <v/>
      </c>
      <c r="AA28" s="231" t="str">
        <f t="shared" ca="1" si="10"/>
        <v/>
      </c>
      <c r="AB28" s="231" t="str">
        <f t="shared" ca="1" si="10"/>
        <v/>
      </c>
      <c r="AC28" s="201" t="str">
        <f t="shared" ca="1" si="11"/>
        <v/>
      </c>
      <c r="AD28" s="146"/>
      <c r="AE28" s="146"/>
    </row>
    <row r="29" spans="1:31" x14ac:dyDescent="0.25">
      <c r="A29" s="222">
        <f>A27+1</f>
        <v>14</v>
      </c>
      <c r="B29" s="223">
        <f>IF(ISNA(MATCH($A29,Score!A$4:A$41,0)),"",MATCH($A29,Score!A$4:A$41,0)+ROW(Score!A$3))</f>
        <v>18</v>
      </c>
      <c r="C29" s="224" t="str">
        <f t="shared" ca="1" si="6"/>
        <v>19</v>
      </c>
      <c r="D29" s="223">
        <f t="shared" ca="1" si="6"/>
        <v>4</v>
      </c>
      <c r="E29" s="222">
        <f ca="1">IF(B29="","",SUM(D29,D30))</f>
        <v>4</v>
      </c>
      <c r="F29" s="222">
        <f ca="1">IF(B29="","",E29-U29)</f>
        <v>4</v>
      </c>
      <c r="G29" s="225" t="str">
        <f ca="1">IF($B29="","",IF(ISBLANK(INDIRECT(ADDRESS($B29,G$1,1,,"Score"))),"",1))</f>
        <v/>
      </c>
      <c r="H29" s="225">
        <f ca="1">IF($B29="","",IF(ISBLANK(INDIRECT(ADDRESS($B29,H$1,1,,"Score"))),"",1))</f>
        <v>1</v>
      </c>
      <c r="I29" s="227">
        <f ca="1">IF(H29=1,F29,"")</f>
        <v>4</v>
      </c>
      <c r="J29" s="225">
        <f t="shared" ca="1" si="7"/>
        <v>1</v>
      </c>
      <c r="K29" s="225" t="str">
        <f t="shared" ca="1" si="7"/>
        <v/>
      </c>
      <c r="L29" s="225" t="str">
        <f t="shared" ca="1" si="7"/>
        <v/>
      </c>
      <c r="M29" s="223">
        <f t="shared" ca="1" si="8"/>
        <v>2</v>
      </c>
      <c r="N29" s="146">
        <f ca="1">IF(ISNA(MATCH($A29,'Game Clock'!A$11:A$48,0)),"",INDIRECT(ADDRESS(MATCH($A29,'Game Clock'!A$11:A$48,0)+ROW('Game Clock'!A$10),N$1,1,,"Game Clock")))</f>
        <v>0</v>
      </c>
      <c r="O29" s="222" t="str">
        <f ca="1">IF(OR(N29="",N29=0),"",60*E29/N29)</f>
        <v/>
      </c>
      <c r="Q29" s="222">
        <f>Q27+1</f>
        <v>14</v>
      </c>
      <c r="R29" s="223">
        <f>IF(ISNA(MATCH($Q29,Score!T$4:T$41,0)),"",MATCH($Q29,Score!T$4:T$41,0)++ROW(Score!T$3))</f>
        <v>18</v>
      </c>
      <c r="S29" s="224" t="str">
        <f t="shared" ca="1" si="9"/>
        <v>58</v>
      </c>
      <c r="T29" s="223">
        <f t="shared" ca="1" si="9"/>
        <v>0</v>
      </c>
      <c r="U29" s="222">
        <f ca="1">IF(R29="","",SUM(T29,T30))</f>
        <v>0</v>
      </c>
      <c r="V29" s="222">
        <f ca="1">IF(R29="","",U29-E29)</f>
        <v>-4</v>
      </c>
      <c r="W29" s="225" t="str">
        <f ca="1">IF($R29="","",IF(ISBLANK(INDIRECT(ADDRESS($R29,W$1,1,,"Score"))),"",1))</f>
        <v/>
      </c>
      <c r="X29" s="225" t="str">
        <f ca="1">IF($R29="","",IF(ISBLANK(INDIRECT(ADDRESS($R29,X$1,1,,"Score"))),"",1))</f>
        <v/>
      </c>
      <c r="Y29" s="227" t="str">
        <f ca="1">IF(X29=1,V29,"")</f>
        <v/>
      </c>
      <c r="Z29" s="225" t="str">
        <f t="shared" ca="1" si="10"/>
        <v/>
      </c>
      <c r="AA29" s="225" t="str">
        <f t="shared" ca="1" si="10"/>
        <v/>
      </c>
      <c r="AB29" s="225" t="str">
        <f t="shared" ca="1" si="10"/>
        <v/>
      </c>
      <c r="AC29" s="223">
        <f t="shared" ca="1" si="11"/>
        <v>1</v>
      </c>
      <c r="AD29" s="222">
        <f ca="1">N29</f>
        <v>0</v>
      </c>
      <c r="AE29" s="222" t="str">
        <f ca="1">IF(OR(AD29="",AD29=0),"",60*U29/AD29)</f>
        <v/>
      </c>
    </row>
    <row r="30" spans="1:31" x14ac:dyDescent="0.3">
      <c r="A30" s="222"/>
      <c r="B30" s="223" t="str">
        <f ca="1">IF($B29="","",IF(INDIRECT(ADDRESS($B29+1,C$1-1,1,,"Score"))="SP",$B29+1,""))</f>
        <v/>
      </c>
      <c r="C30" s="224" t="str">
        <f t="shared" ca="1" si="6"/>
        <v/>
      </c>
      <c r="D30" s="223" t="str">
        <f t="shared" ca="1" si="6"/>
        <v/>
      </c>
      <c r="E30" s="222"/>
      <c r="F30" s="222"/>
      <c r="G30" s="225"/>
      <c r="H30" s="226"/>
      <c r="I30" s="227"/>
      <c r="J30" s="225" t="str">
        <f t="shared" ca="1" si="7"/>
        <v/>
      </c>
      <c r="K30" s="225" t="str">
        <f t="shared" ca="1" si="7"/>
        <v/>
      </c>
      <c r="L30" s="225" t="str">
        <f t="shared" ca="1" si="7"/>
        <v/>
      </c>
      <c r="M30" s="223" t="str">
        <f t="shared" ca="1" si="8"/>
        <v/>
      </c>
      <c r="N30" s="222"/>
      <c r="O30" s="222"/>
      <c r="Q30" s="222"/>
      <c r="R30" s="223" t="str">
        <f ca="1">IF($R29="","",IF(INDIRECT(ADDRESS($R29+1,S$1-1,1,,"Score"))="SP",$R29+1,""))</f>
        <v/>
      </c>
      <c r="S30" s="224" t="str">
        <f t="shared" ca="1" si="9"/>
        <v/>
      </c>
      <c r="T30" s="223" t="str">
        <f t="shared" ca="1" si="9"/>
        <v/>
      </c>
      <c r="U30" s="222"/>
      <c r="V30" s="222"/>
      <c r="W30" s="225"/>
      <c r="X30" s="226"/>
      <c r="Y30" s="227"/>
      <c r="Z30" s="225" t="str">
        <f t="shared" ca="1" si="10"/>
        <v/>
      </c>
      <c r="AA30" s="225" t="str">
        <f t="shared" ca="1" si="10"/>
        <v/>
      </c>
      <c r="AB30" s="225" t="str">
        <f t="shared" ca="1" si="10"/>
        <v/>
      </c>
      <c r="AC30" s="223" t="str">
        <f t="shared" ca="1" si="11"/>
        <v/>
      </c>
      <c r="AD30" s="222"/>
      <c r="AE30" s="222"/>
    </row>
    <row r="31" spans="1:31" x14ac:dyDescent="0.25">
      <c r="A31" s="203">
        <f>A29+1</f>
        <v>15</v>
      </c>
      <c r="B31" s="201">
        <f>IF(ISNA(MATCH($A31,Score!A$4:A$41,0)),"",MATCH($A31,Score!A$4:A$41,0)+ROW(Score!A$3))</f>
        <v>19</v>
      </c>
      <c r="C31" s="202" t="str">
        <f t="shared" ca="1" si="6"/>
        <v>20</v>
      </c>
      <c r="D31" s="201">
        <f t="shared" ca="1" si="6"/>
        <v>0</v>
      </c>
      <c r="E31" s="203">
        <f ca="1">IF(B31="","",SUM(D31,D32))</f>
        <v>0</v>
      </c>
      <c r="F31" s="203">
        <f ca="1">IF(B31="","",E31-U31)</f>
        <v>0</v>
      </c>
      <c r="G31" s="231" t="str">
        <f ca="1">IF($B31="","",IF(ISBLANK(INDIRECT(ADDRESS($B31,G$1,1,,"Score"))),"",1))</f>
        <v/>
      </c>
      <c r="H31" s="231" t="str">
        <f ca="1">IF($B31="","",IF(ISBLANK(INDIRECT(ADDRESS($B31,H$1,1,,"Score"))),"",1))</f>
        <v/>
      </c>
      <c r="I31" s="221" t="str">
        <f ca="1">IF(H31=1,F31,"")</f>
        <v/>
      </c>
      <c r="J31" s="231" t="str">
        <f t="shared" ca="1" si="7"/>
        <v/>
      </c>
      <c r="K31" s="231" t="str">
        <f t="shared" ca="1" si="7"/>
        <v/>
      </c>
      <c r="L31" s="231" t="str">
        <f t="shared" ca="1" si="7"/>
        <v/>
      </c>
      <c r="M31" s="201">
        <f t="shared" ca="1" si="8"/>
        <v>1</v>
      </c>
      <c r="N31" s="146">
        <f ca="1">IF(ISNA(MATCH($A31,'Game Clock'!A$11:A$48,0)),"",INDIRECT(ADDRESS(MATCH($A31,'Game Clock'!A$11:A$48,0)+ROW('Game Clock'!A$10),N$1,1,,"Game Clock")))</f>
        <v>0</v>
      </c>
      <c r="O31" s="146" t="str">
        <f ca="1">IF(OR(N31="",N31=0),"",60*E31/N31)</f>
        <v/>
      </c>
      <c r="Q31" s="203">
        <f>Q29+1</f>
        <v>15</v>
      </c>
      <c r="R31" s="201">
        <f>IF(ISNA(MATCH($Q31,Score!T$4:T$41,0)),"",MATCH($Q31,Score!T$4:T$41,0)++ROW(Score!T$3))</f>
        <v>19</v>
      </c>
      <c r="S31" s="202" t="str">
        <f t="shared" ca="1" si="9"/>
        <v>K9</v>
      </c>
      <c r="T31" s="201">
        <f t="shared" ca="1" si="9"/>
        <v>0</v>
      </c>
      <c r="U31" s="203">
        <f ca="1">IF(R31="","",SUM(T31,T32))</f>
        <v>0</v>
      </c>
      <c r="V31" s="203">
        <f ca="1">IF(R31="","",U31-E31)</f>
        <v>0</v>
      </c>
      <c r="W31" s="231" t="str">
        <f ca="1">IF($R31="","",IF(ISBLANK(INDIRECT(ADDRESS($R31,W$1,1,,"Score"))),"",1))</f>
        <v/>
      </c>
      <c r="X31" s="231">
        <f ca="1">IF($R31="","",IF(ISBLANK(INDIRECT(ADDRESS($R31,X$1,1,,"Score"))),"",1))</f>
        <v>1</v>
      </c>
      <c r="Y31" s="221">
        <f ca="1">IF(X31=1,V31,"")</f>
        <v>0</v>
      </c>
      <c r="Z31" s="231">
        <f t="shared" ca="1" si="10"/>
        <v>1</v>
      </c>
      <c r="AA31" s="231" t="str">
        <f t="shared" ca="1" si="10"/>
        <v/>
      </c>
      <c r="AB31" s="231" t="str">
        <f t="shared" ca="1" si="10"/>
        <v/>
      </c>
      <c r="AC31" s="201">
        <f t="shared" ca="1" si="11"/>
        <v>1</v>
      </c>
      <c r="AD31" s="146">
        <f ca="1">N31</f>
        <v>0</v>
      </c>
      <c r="AE31" s="146" t="str">
        <f ca="1">IF(OR(AD31="",AD31=0),"",60*U31/AD31)</f>
        <v/>
      </c>
    </row>
    <row r="32" spans="1:31" x14ac:dyDescent="0.25">
      <c r="A32" s="203"/>
      <c r="B32" s="201" t="str">
        <f ca="1">IF($B31="","",IF(INDIRECT(ADDRESS($B31+1,C$1-1,1,,"Score"))="SP",$B31+1,""))</f>
        <v/>
      </c>
      <c r="C32" s="202" t="str">
        <f t="shared" ca="1" si="6"/>
        <v/>
      </c>
      <c r="D32" s="201" t="str">
        <f t="shared" ca="1" si="6"/>
        <v/>
      </c>
      <c r="E32" s="203"/>
      <c r="F32" s="203"/>
      <c r="G32" s="231"/>
      <c r="H32" s="231"/>
      <c r="I32" s="221"/>
      <c r="J32" s="231" t="str">
        <f t="shared" ca="1" si="7"/>
        <v/>
      </c>
      <c r="K32" s="231" t="str">
        <f t="shared" ca="1" si="7"/>
        <v/>
      </c>
      <c r="L32" s="231" t="str">
        <f t="shared" ca="1" si="7"/>
        <v/>
      </c>
      <c r="M32" s="201" t="str">
        <f t="shared" ca="1" si="8"/>
        <v/>
      </c>
      <c r="N32" s="146"/>
      <c r="O32" s="146"/>
      <c r="Q32" s="203"/>
      <c r="R32" s="201" t="str">
        <f ca="1">IF($R31="","",IF(INDIRECT(ADDRESS($R31+1,S$1-1,1,,"Score"))="SP",$R31+1,""))</f>
        <v/>
      </c>
      <c r="S32" s="202" t="str">
        <f t="shared" ca="1" si="9"/>
        <v/>
      </c>
      <c r="T32" s="201" t="str">
        <f t="shared" ca="1" si="9"/>
        <v/>
      </c>
      <c r="U32" s="203"/>
      <c r="V32" s="203"/>
      <c r="W32" s="231"/>
      <c r="X32" s="231"/>
      <c r="Y32" s="221"/>
      <c r="Z32" s="231" t="str">
        <f t="shared" ca="1" si="10"/>
        <v/>
      </c>
      <c r="AA32" s="231" t="str">
        <f t="shared" ca="1" si="10"/>
        <v/>
      </c>
      <c r="AB32" s="231" t="str">
        <f t="shared" ca="1" si="10"/>
        <v/>
      </c>
      <c r="AC32" s="201" t="str">
        <f t="shared" ca="1" si="11"/>
        <v/>
      </c>
      <c r="AD32" s="146"/>
      <c r="AE32" s="146"/>
    </row>
    <row r="33" spans="1:31" x14ac:dyDescent="0.25">
      <c r="A33" s="222">
        <f>A31+1</f>
        <v>16</v>
      </c>
      <c r="B33" s="223">
        <f>IF(ISNA(MATCH($A33,Score!A$4:A$41,0)),"",MATCH($A33,Score!A$4:A$41,0)+ROW(Score!A$3))</f>
        <v>20</v>
      </c>
      <c r="C33" s="224" t="str">
        <f t="shared" ca="1" si="6"/>
        <v>480</v>
      </c>
      <c r="D33" s="223">
        <f t="shared" ca="1" si="6"/>
        <v>0</v>
      </c>
      <c r="E33" s="222">
        <f ca="1">IF(B33="","",SUM(D33,D34))</f>
        <v>0</v>
      </c>
      <c r="F33" s="222">
        <f ca="1">IF(B33="","",E33-U33)</f>
        <v>-4</v>
      </c>
      <c r="G33" s="225" t="str">
        <f ca="1">IF($B33="","",IF(ISBLANK(INDIRECT(ADDRESS($B33,G$1,1,,"Score"))),"",1))</f>
        <v/>
      </c>
      <c r="H33" s="225" t="str">
        <f ca="1">IF($B33="","",IF(ISBLANK(INDIRECT(ADDRESS($B33,H$1,1,,"Score"))),"",1))</f>
        <v/>
      </c>
      <c r="I33" s="227" t="str">
        <f ca="1">IF(H33=1,F33,"")</f>
        <v/>
      </c>
      <c r="J33" s="225" t="str">
        <f t="shared" ca="1" si="7"/>
        <v/>
      </c>
      <c r="K33" s="225" t="str">
        <f t="shared" ca="1" si="7"/>
        <v/>
      </c>
      <c r="L33" s="225" t="str">
        <f t="shared" ca="1" si="7"/>
        <v/>
      </c>
      <c r="M33" s="223">
        <f t="shared" ca="1" si="8"/>
        <v>1</v>
      </c>
      <c r="N33" s="146">
        <f ca="1">IF(ISNA(MATCH($A33,'Game Clock'!A$11:A$48,0)),"",INDIRECT(ADDRESS(MATCH($A33,'Game Clock'!A$11:A$48,0)+ROW('Game Clock'!A$10),N$1,1,,"Game Clock")))</f>
        <v>0</v>
      </c>
      <c r="O33" s="222" t="str">
        <f ca="1">IF(OR(N33="",N33=0),"",60*E33/N33)</f>
        <v/>
      </c>
      <c r="Q33" s="222">
        <f>Q31+1</f>
        <v>16</v>
      </c>
      <c r="R33" s="223">
        <f>IF(ISNA(MATCH($Q33,Score!T$4:T$41,0)),"",MATCH($Q33,Score!T$4:T$41,0)++ROW(Score!T$3))</f>
        <v>20</v>
      </c>
      <c r="S33" s="224" t="str">
        <f t="shared" ca="1" si="9"/>
        <v>451</v>
      </c>
      <c r="T33" s="223">
        <f t="shared" ca="1" si="9"/>
        <v>4</v>
      </c>
      <c r="U33" s="222">
        <f ca="1">IF(R33="","",SUM(T33,T34))</f>
        <v>4</v>
      </c>
      <c r="V33" s="222">
        <f ca="1">IF(R33="","",U33-E33)</f>
        <v>4</v>
      </c>
      <c r="W33" s="225" t="str">
        <f ca="1">IF($R33="","",IF(ISBLANK(INDIRECT(ADDRESS($R33,W$1,1,,"Score"))),"",1))</f>
        <v/>
      </c>
      <c r="X33" s="225">
        <f ca="1">IF($R33="","",IF(ISBLANK(INDIRECT(ADDRESS($R33,X$1,1,,"Score"))),"",1))</f>
        <v>1</v>
      </c>
      <c r="Y33" s="227">
        <f ca="1">IF(X33=1,V33,"")</f>
        <v>4</v>
      </c>
      <c r="Z33" s="225">
        <f t="shared" ca="1" si="10"/>
        <v>1</v>
      </c>
      <c r="AA33" s="225" t="str">
        <f t="shared" ca="1" si="10"/>
        <v/>
      </c>
      <c r="AB33" s="225" t="str">
        <f t="shared" ca="1" si="10"/>
        <v/>
      </c>
      <c r="AC33" s="223">
        <f t="shared" ca="1" si="11"/>
        <v>1</v>
      </c>
      <c r="AD33" s="222">
        <f ca="1">N33</f>
        <v>0</v>
      </c>
      <c r="AE33" s="222" t="str">
        <f ca="1">IF(OR(AD33="",AD33=0),"",60*U33/AD33)</f>
        <v/>
      </c>
    </row>
    <row r="34" spans="1:31" x14ac:dyDescent="0.3">
      <c r="A34" s="222"/>
      <c r="B34" s="223" t="str">
        <f ca="1">IF($B33="","",IF(INDIRECT(ADDRESS($B33+1,C$1-1,1,,"Score"))="SP",$B33+1,""))</f>
        <v/>
      </c>
      <c r="C34" s="224" t="str">
        <f t="shared" ca="1" si="6"/>
        <v/>
      </c>
      <c r="D34" s="223" t="str">
        <f t="shared" ca="1" si="6"/>
        <v/>
      </c>
      <c r="E34" s="222"/>
      <c r="F34" s="222"/>
      <c r="G34" s="225"/>
      <c r="H34" s="226"/>
      <c r="I34" s="227"/>
      <c r="J34" s="225" t="str">
        <f t="shared" ca="1" si="7"/>
        <v/>
      </c>
      <c r="K34" s="225" t="str">
        <f t="shared" ca="1" si="7"/>
        <v/>
      </c>
      <c r="L34" s="225" t="str">
        <f t="shared" ca="1" si="7"/>
        <v/>
      </c>
      <c r="M34" s="223" t="str">
        <f t="shared" ca="1" si="8"/>
        <v/>
      </c>
      <c r="N34" s="222"/>
      <c r="O34" s="222"/>
      <c r="Q34" s="222"/>
      <c r="R34" s="223" t="str">
        <f ca="1">IF($R33="","",IF(INDIRECT(ADDRESS($R33+1,S$1-1,1,,"Score"))="SP",$R33+1,""))</f>
        <v/>
      </c>
      <c r="S34" s="224" t="str">
        <f t="shared" ca="1" si="9"/>
        <v/>
      </c>
      <c r="T34" s="223" t="str">
        <f t="shared" ca="1" si="9"/>
        <v/>
      </c>
      <c r="U34" s="222"/>
      <c r="V34" s="222"/>
      <c r="W34" s="225"/>
      <c r="X34" s="226"/>
      <c r="Y34" s="227"/>
      <c r="Z34" s="225" t="str">
        <f t="shared" ca="1" si="10"/>
        <v/>
      </c>
      <c r="AA34" s="225" t="str">
        <f t="shared" ca="1" si="10"/>
        <v/>
      </c>
      <c r="AB34" s="225" t="str">
        <f t="shared" ca="1" si="10"/>
        <v/>
      </c>
      <c r="AC34" s="223" t="str">
        <f t="shared" ca="1" si="11"/>
        <v/>
      </c>
      <c r="AD34" s="222"/>
      <c r="AE34" s="222"/>
    </row>
    <row r="35" spans="1:31" x14ac:dyDescent="0.25">
      <c r="A35" s="203">
        <f>A33+1</f>
        <v>17</v>
      </c>
      <c r="B35" s="201">
        <f>IF(ISNA(MATCH($A35,Score!A$4:A$41,0)),"",MATCH($A35,Score!A$4:A$41,0)+ROW(Score!A$3))</f>
        <v>21</v>
      </c>
      <c r="C35" s="202" t="str">
        <f t="shared" ca="1" si="6"/>
        <v>84</v>
      </c>
      <c r="D35" s="201">
        <f t="shared" ca="1" si="6"/>
        <v>0</v>
      </c>
      <c r="E35" s="203">
        <f ca="1">IF(B35="","",SUM(D35,D36))</f>
        <v>0</v>
      </c>
      <c r="F35" s="203">
        <f ca="1">IF(B35="","",E35-U35)</f>
        <v>-3</v>
      </c>
      <c r="G35" s="231" t="str">
        <f ca="1">IF($B35="","",IF(ISBLANK(INDIRECT(ADDRESS($B35,G$1,1,,"Score"))),"",1))</f>
        <v/>
      </c>
      <c r="H35" s="231" t="str">
        <f ca="1">IF($B35="","",IF(ISBLANK(INDIRECT(ADDRESS($B35,H$1,1,,"Score"))),"",1))</f>
        <v/>
      </c>
      <c r="I35" s="221" t="str">
        <f ca="1">IF(H35=1,F35,"")</f>
        <v/>
      </c>
      <c r="J35" s="231" t="str">
        <f t="shared" ca="1" si="7"/>
        <v/>
      </c>
      <c r="K35" s="231" t="str">
        <f t="shared" ca="1" si="7"/>
        <v/>
      </c>
      <c r="L35" s="231" t="str">
        <f t="shared" ca="1" si="7"/>
        <v/>
      </c>
      <c r="M35" s="201">
        <f t="shared" ca="1" si="8"/>
        <v>1</v>
      </c>
      <c r="N35" s="146">
        <f ca="1">IF(ISNA(MATCH($A35,'Game Clock'!A$11:A$48,0)),"",INDIRECT(ADDRESS(MATCH($A35,'Game Clock'!A$11:A$48,0)+ROW('Game Clock'!A$10),N$1,1,,"Game Clock")))</f>
        <v>0</v>
      </c>
      <c r="O35" s="146" t="str">
        <f ca="1">IF(OR(N35="",N35=0),"",60*E35/N35)</f>
        <v/>
      </c>
      <c r="Q35" s="203">
        <f>Q33+1</f>
        <v>17</v>
      </c>
      <c r="R35" s="201">
        <f>IF(ISNA(MATCH($Q35,Score!T$4:T$41,0)),"",MATCH($Q35,Score!T$4:T$41,0)++ROW(Score!T$3))</f>
        <v>21</v>
      </c>
      <c r="S35" s="202" t="str">
        <f t="shared" ca="1" si="9"/>
        <v>11G6</v>
      </c>
      <c r="T35" s="201">
        <f t="shared" ca="1" si="9"/>
        <v>3</v>
      </c>
      <c r="U35" s="203">
        <f ca="1">IF(R35="","",SUM(T35,T36))</f>
        <v>3</v>
      </c>
      <c r="V35" s="203">
        <f ca="1">IF(R35="","",U35-E35)</f>
        <v>3</v>
      </c>
      <c r="W35" s="231" t="str">
        <f ca="1">IF($R35="","",IF(ISBLANK(INDIRECT(ADDRESS($R35,W$1,1,,"Score"))),"",1))</f>
        <v/>
      </c>
      <c r="X35" s="231">
        <f ca="1">IF($R35="","",IF(ISBLANK(INDIRECT(ADDRESS($R35,X$1,1,,"Score"))),"",1))</f>
        <v>1</v>
      </c>
      <c r="Y35" s="221">
        <f ca="1">IF(X35=1,V35,"")</f>
        <v>3</v>
      </c>
      <c r="Z35" s="231">
        <f t="shared" ca="1" si="10"/>
        <v>1</v>
      </c>
      <c r="AA35" s="231" t="str">
        <f t="shared" ca="1" si="10"/>
        <v/>
      </c>
      <c r="AB35" s="231" t="str">
        <f t="shared" ca="1" si="10"/>
        <v/>
      </c>
      <c r="AC35" s="201">
        <f t="shared" ca="1" si="11"/>
        <v>1</v>
      </c>
      <c r="AD35" s="146">
        <f ca="1">N35</f>
        <v>0</v>
      </c>
      <c r="AE35" s="146" t="str">
        <f ca="1">IF(OR(AD35="",AD35=0),"",60*U35/AD35)</f>
        <v/>
      </c>
    </row>
    <row r="36" spans="1:31" x14ac:dyDescent="0.25">
      <c r="A36" s="203"/>
      <c r="B36" s="201" t="str">
        <f ca="1">IF($B35="","",IF(INDIRECT(ADDRESS($B35+1,C$1-1,1,,"Score"))="SP",$B35+1,""))</f>
        <v/>
      </c>
      <c r="C36" s="202" t="str">
        <f t="shared" ca="1" si="6"/>
        <v/>
      </c>
      <c r="D36" s="201" t="str">
        <f t="shared" ca="1" si="6"/>
        <v/>
      </c>
      <c r="E36" s="203"/>
      <c r="F36" s="203"/>
      <c r="G36" s="231"/>
      <c r="H36" s="231"/>
      <c r="I36" s="221"/>
      <c r="J36" s="231" t="str">
        <f t="shared" ca="1" si="7"/>
        <v/>
      </c>
      <c r="K36" s="231" t="str">
        <f t="shared" ca="1" si="7"/>
        <v/>
      </c>
      <c r="L36" s="231" t="str">
        <f t="shared" ca="1" si="7"/>
        <v/>
      </c>
      <c r="M36" s="201" t="str">
        <f t="shared" ca="1" si="8"/>
        <v/>
      </c>
      <c r="N36" s="146"/>
      <c r="O36" s="146"/>
      <c r="Q36" s="203"/>
      <c r="R36" s="201" t="str">
        <f ca="1">IF($R35="","",IF(INDIRECT(ADDRESS($R35+1,S$1-1,1,,"Score"))="SP",$R35+1,""))</f>
        <v/>
      </c>
      <c r="S36" s="202" t="str">
        <f t="shared" ca="1" si="9"/>
        <v/>
      </c>
      <c r="T36" s="201" t="str">
        <f t="shared" ca="1" si="9"/>
        <v/>
      </c>
      <c r="U36" s="203"/>
      <c r="V36" s="203"/>
      <c r="W36" s="231"/>
      <c r="X36" s="231"/>
      <c r="Y36" s="221"/>
      <c r="Z36" s="231" t="str">
        <f t="shared" ca="1" si="10"/>
        <v/>
      </c>
      <c r="AA36" s="231" t="str">
        <f t="shared" ca="1" si="10"/>
        <v/>
      </c>
      <c r="AB36" s="231" t="str">
        <f t="shared" ca="1" si="10"/>
        <v/>
      </c>
      <c r="AC36" s="201" t="str">
        <f t="shared" ca="1" si="11"/>
        <v/>
      </c>
      <c r="AD36" s="146"/>
      <c r="AE36" s="146"/>
    </row>
    <row r="37" spans="1:31" x14ac:dyDescent="0.25">
      <c r="A37" s="222">
        <f>A35+1</f>
        <v>18</v>
      </c>
      <c r="B37" s="223">
        <f>IF(ISNA(MATCH($A37,Score!A$4:A$41,0)),"",MATCH($A37,Score!A$4:A$41,0)+ROW(Score!A$3))</f>
        <v>22</v>
      </c>
      <c r="C37" s="224" t="str">
        <f t="shared" ca="1" si="6"/>
        <v>4</v>
      </c>
      <c r="D37" s="223">
        <f t="shared" ca="1" si="6"/>
        <v>4</v>
      </c>
      <c r="E37" s="222">
        <f ca="1">IF(B37="","",SUM(D37,D38))</f>
        <v>4</v>
      </c>
      <c r="F37" s="222">
        <f ca="1">IF(B37="","",E37-U37)</f>
        <v>4</v>
      </c>
      <c r="G37" s="225" t="str">
        <f ca="1">IF($B37="","",IF(ISBLANK(INDIRECT(ADDRESS($B37,G$1,1,,"Score"))),"",1))</f>
        <v/>
      </c>
      <c r="H37" s="225">
        <f ca="1">IF($B37="","",IF(ISBLANK(INDIRECT(ADDRESS($B37,H$1,1,,"Score"))),"",1))</f>
        <v>1</v>
      </c>
      <c r="I37" s="227">
        <f ca="1">IF(H37=1,F37,"")</f>
        <v>4</v>
      </c>
      <c r="J37" s="225">
        <f t="shared" ca="1" si="7"/>
        <v>1</v>
      </c>
      <c r="K37" s="225" t="str">
        <f t="shared" ca="1" si="7"/>
        <v/>
      </c>
      <c r="L37" s="225" t="str">
        <f t="shared" ca="1" si="7"/>
        <v/>
      </c>
      <c r="M37" s="223">
        <f t="shared" ca="1" si="8"/>
        <v>1</v>
      </c>
      <c r="N37" s="146">
        <f ca="1">IF(ISNA(MATCH($A37,'Game Clock'!A$11:A$48,0)),"",INDIRECT(ADDRESS(MATCH($A37,'Game Clock'!A$11:A$48,0)+ROW('Game Clock'!A$10),N$1,1,,"Game Clock")))</f>
        <v>0</v>
      </c>
      <c r="O37" s="222" t="str">
        <f ca="1">IF(OR(N37="",N37=0),"",60*E37/N37)</f>
        <v/>
      </c>
      <c r="Q37" s="222">
        <f>Q35+1</f>
        <v>18</v>
      </c>
      <c r="R37" s="223">
        <f>IF(ISNA(MATCH($Q37,Score!T$4:T$41,0)),"",MATCH($Q37,Score!T$4:T$41,0)++ROW(Score!T$3))</f>
        <v>22</v>
      </c>
      <c r="S37" s="224" t="str">
        <f t="shared" ca="1" si="9"/>
        <v>58</v>
      </c>
      <c r="T37" s="223">
        <f t="shared" ca="1" si="9"/>
        <v>0</v>
      </c>
      <c r="U37" s="222">
        <f ca="1">IF(R37="","",SUM(T37,T38))</f>
        <v>0</v>
      </c>
      <c r="V37" s="222">
        <f ca="1">IF(R37="","",U37-E37)</f>
        <v>-4</v>
      </c>
      <c r="W37" s="225" t="str">
        <f ca="1">IF($R37="","",IF(ISBLANK(INDIRECT(ADDRESS($R37,W$1,1,,"Score"))),"",1))</f>
        <v/>
      </c>
      <c r="X37" s="225" t="str">
        <f ca="1">IF($R37="","",IF(ISBLANK(INDIRECT(ADDRESS($R37,X$1,1,,"Score"))),"",1))</f>
        <v/>
      </c>
      <c r="Y37" s="227" t="str">
        <f ca="1">IF(X37=1,V37,"")</f>
        <v/>
      </c>
      <c r="Z37" s="225" t="str">
        <f t="shared" ca="1" si="10"/>
        <v/>
      </c>
      <c r="AA37" s="225" t="str">
        <f t="shared" ca="1" si="10"/>
        <v/>
      </c>
      <c r="AB37" s="225">
        <f t="shared" ca="1" si="10"/>
        <v>1</v>
      </c>
      <c r="AC37" s="223">
        <f t="shared" ca="1" si="11"/>
        <v>0</v>
      </c>
      <c r="AD37" s="222">
        <f ca="1">N37</f>
        <v>0</v>
      </c>
      <c r="AE37" s="222" t="str">
        <f ca="1">IF(OR(AD37="",AD37=0),"",60*U37/AD37)</f>
        <v/>
      </c>
    </row>
    <row r="38" spans="1:31" x14ac:dyDescent="0.3">
      <c r="A38" s="222"/>
      <c r="B38" s="223" t="str">
        <f ca="1">IF($B37="","",IF(INDIRECT(ADDRESS($B37+1,C$1-1,1,,"Score"))="SP",$B37+1,""))</f>
        <v/>
      </c>
      <c r="C38" s="224" t="str">
        <f t="shared" ca="1" si="6"/>
        <v/>
      </c>
      <c r="D38" s="223" t="str">
        <f t="shared" ca="1" si="6"/>
        <v/>
      </c>
      <c r="E38" s="222"/>
      <c r="F38" s="222"/>
      <c r="G38" s="225"/>
      <c r="H38" s="226"/>
      <c r="I38" s="227"/>
      <c r="J38" s="225" t="str">
        <f t="shared" ca="1" si="7"/>
        <v/>
      </c>
      <c r="K38" s="225" t="str">
        <f t="shared" ca="1" si="7"/>
        <v/>
      </c>
      <c r="L38" s="225" t="str">
        <f t="shared" ca="1" si="7"/>
        <v/>
      </c>
      <c r="M38" s="223" t="str">
        <f t="shared" ca="1" si="8"/>
        <v/>
      </c>
      <c r="N38" s="222"/>
      <c r="O38" s="222"/>
      <c r="Q38" s="222"/>
      <c r="R38" s="223">
        <f ca="1">IF($R37="","",IF(INDIRECT(ADDRESS($R37+1,S$1-1,1,,"Score"))="SP",$R37+1,""))</f>
        <v>23</v>
      </c>
      <c r="S38" s="224" t="str">
        <f t="shared" ca="1" si="9"/>
        <v>26</v>
      </c>
      <c r="T38" s="223">
        <f t="shared" ca="1" si="9"/>
        <v>0</v>
      </c>
      <c r="U38" s="222"/>
      <c r="V38" s="222"/>
      <c r="W38" s="225"/>
      <c r="X38" s="226"/>
      <c r="Y38" s="227"/>
      <c r="Z38" s="225" t="str">
        <f t="shared" ca="1" si="10"/>
        <v/>
      </c>
      <c r="AA38" s="225" t="str">
        <f t="shared" ca="1" si="10"/>
        <v/>
      </c>
      <c r="AB38" s="225" t="str">
        <f t="shared" ca="1" si="10"/>
        <v/>
      </c>
      <c r="AC38" s="223">
        <f t="shared" ca="1" si="11"/>
        <v>1</v>
      </c>
      <c r="AD38" s="222"/>
      <c r="AE38" s="222"/>
    </row>
    <row r="39" spans="1:31" x14ac:dyDescent="0.25">
      <c r="A39" s="203">
        <f>A37+1</f>
        <v>19</v>
      </c>
      <c r="B39" s="201">
        <f>IF(ISNA(MATCH($A39,Score!A$4:A$41,0)),"",MATCH($A39,Score!A$4:A$41,0)+ROW(Score!A$3))</f>
        <v>24</v>
      </c>
      <c r="C39" s="202" t="str">
        <f t="shared" ca="1" si="6"/>
        <v>84</v>
      </c>
      <c r="D39" s="201">
        <f t="shared" ca="1" si="6"/>
        <v>8</v>
      </c>
      <c r="E39" s="203">
        <f ca="1">IF(B39="","",SUM(D39,D40))</f>
        <v>8</v>
      </c>
      <c r="F39" s="203">
        <f ca="1">IF(B39="","",E39-U39)</f>
        <v>4</v>
      </c>
      <c r="G39" s="231" t="str">
        <f ca="1">IF($B39="","",IF(ISBLANK(INDIRECT(ADDRESS($B39,G$1,1,,"Score"))),"",1))</f>
        <v/>
      </c>
      <c r="H39" s="231">
        <f ca="1">IF($B39="","",IF(ISBLANK(INDIRECT(ADDRESS($B39,H$1,1,,"Score"))),"",1))</f>
        <v>1</v>
      </c>
      <c r="I39" s="221">
        <f ca="1">IF(H39=1,F39,"")</f>
        <v>4</v>
      </c>
      <c r="J39" s="231" t="str">
        <f t="shared" ca="1" si="7"/>
        <v/>
      </c>
      <c r="K39" s="231" t="str">
        <f t="shared" ca="1" si="7"/>
        <v/>
      </c>
      <c r="L39" s="231" t="str">
        <f t="shared" ca="1" si="7"/>
        <v/>
      </c>
      <c r="M39" s="201">
        <f t="shared" ca="1" si="8"/>
        <v>2</v>
      </c>
      <c r="N39" s="146">
        <f ca="1">IF(ISNA(MATCH($A39,'Game Clock'!A$11:A$48,0)),"",INDIRECT(ADDRESS(MATCH($A39,'Game Clock'!A$11:A$48,0)+ROW('Game Clock'!A$10),N$1,1,,"Game Clock")))</f>
        <v>0</v>
      </c>
      <c r="O39" s="146" t="str">
        <f ca="1">IF(OR(N39="",N39=0),"",60*E39/N39)</f>
        <v/>
      </c>
      <c r="Q39" s="203">
        <f>Q37+1</f>
        <v>19</v>
      </c>
      <c r="R39" s="201">
        <f>IF(ISNA(MATCH($Q39,Score!T$4:T$41,0)),"",MATCH($Q39,Score!T$4:T$41,0)++ROW(Score!T$3))</f>
        <v>24</v>
      </c>
      <c r="S39" s="202" t="str">
        <f t="shared" ca="1" si="9"/>
        <v>K9</v>
      </c>
      <c r="T39" s="201">
        <f t="shared" ca="1" si="9"/>
        <v>4</v>
      </c>
      <c r="U39" s="203">
        <f ca="1">IF(R39="","",SUM(T39,T40))</f>
        <v>4</v>
      </c>
      <c r="V39" s="203">
        <f ca="1">IF(R39="","",U39-E39)</f>
        <v>-4</v>
      </c>
      <c r="W39" s="231" t="str">
        <f ca="1">IF($R39="","",IF(ISBLANK(INDIRECT(ADDRESS($R39,W$1,1,,"Score"))),"",1))</f>
        <v/>
      </c>
      <c r="X39" s="231" t="str">
        <f ca="1">IF($R39="","",IF(ISBLANK(INDIRECT(ADDRESS($R39,X$1,1,,"Score"))),"",1))</f>
        <v/>
      </c>
      <c r="Y39" s="221" t="str">
        <f ca="1">IF(X39=1,V39,"")</f>
        <v/>
      </c>
      <c r="Z39" s="231" t="str">
        <f t="shared" ca="1" si="10"/>
        <v/>
      </c>
      <c r="AA39" s="231" t="str">
        <f t="shared" ca="1" si="10"/>
        <v/>
      </c>
      <c r="AB39" s="231" t="str">
        <f t="shared" ca="1" si="10"/>
        <v/>
      </c>
      <c r="AC39" s="201">
        <f t="shared" ca="1" si="11"/>
        <v>2</v>
      </c>
      <c r="AD39" s="146">
        <f ca="1">N39</f>
        <v>0</v>
      </c>
      <c r="AE39" s="146" t="str">
        <f ca="1">IF(OR(AD39="",AD39=0),"",60*U39/AD39)</f>
        <v/>
      </c>
    </row>
    <row r="40" spans="1:31" x14ac:dyDescent="0.25">
      <c r="A40" s="203"/>
      <c r="B40" s="201" t="str">
        <f ca="1">IF($B39="","",IF(INDIRECT(ADDRESS($B39+1,C$1-1,1,,"Score"))="SP",$B39+1,""))</f>
        <v/>
      </c>
      <c r="C40" s="202" t="str">
        <f t="shared" ca="1" si="6"/>
        <v/>
      </c>
      <c r="D40" s="201" t="str">
        <f t="shared" ca="1" si="6"/>
        <v/>
      </c>
      <c r="E40" s="203"/>
      <c r="F40" s="203"/>
      <c r="G40" s="231"/>
      <c r="H40" s="231"/>
      <c r="I40" s="221"/>
      <c r="J40" s="231" t="str">
        <f t="shared" ca="1" si="7"/>
        <v/>
      </c>
      <c r="K40" s="231" t="str">
        <f t="shared" ca="1" si="7"/>
        <v/>
      </c>
      <c r="L40" s="231" t="str">
        <f t="shared" ca="1" si="7"/>
        <v/>
      </c>
      <c r="M40" s="201" t="str">
        <f t="shared" ca="1" si="8"/>
        <v/>
      </c>
      <c r="N40" s="146"/>
      <c r="O40" s="146"/>
      <c r="Q40" s="203"/>
      <c r="R40" s="201" t="str">
        <f ca="1">IF($R39="","",IF(INDIRECT(ADDRESS($R39+1,S$1-1,1,,"Score"))="SP",$R39+1,""))</f>
        <v/>
      </c>
      <c r="S40" s="202" t="str">
        <f t="shared" ca="1" si="9"/>
        <v/>
      </c>
      <c r="T40" s="201" t="str">
        <f t="shared" ca="1" si="9"/>
        <v/>
      </c>
      <c r="U40" s="203"/>
      <c r="V40" s="203"/>
      <c r="W40" s="231"/>
      <c r="X40" s="231"/>
      <c r="Y40" s="221"/>
      <c r="Z40" s="231" t="str">
        <f t="shared" ca="1" si="10"/>
        <v/>
      </c>
      <c r="AA40" s="231" t="str">
        <f t="shared" ca="1" si="10"/>
        <v/>
      </c>
      <c r="AB40" s="231" t="str">
        <f t="shared" ca="1" si="10"/>
        <v/>
      </c>
      <c r="AC40" s="201" t="str">
        <f t="shared" ca="1" si="11"/>
        <v/>
      </c>
      <c r="AD40" s="146"/>
      <c r="AE40" s="146"/>
    </row>
    <row r="41" spans="1:31" x14ac:dyDescent="0.25">
      <c r="A41" s="222">
        <f>A39+1</f>
        <v>20</v>
      </c>
      <c r="B41" s="223" t="str">
        <f>IF(ISNA(MATCH($A41,Score!A$4:A$41,0)),"",MATCH($A41,Score!A$4:A$41,0)+ROW(Score!A$3))</f>
        <v/>
      </c>
      <c r="C41" s="224" t="str">
        <f t="shared" ca="1" si="6"/>
        <v/>
      </c>
      <c r="D41" s="223" t="str">
        <f t="shared" ca="1" si="6"/>
        <v/>
      </c>
      <c r="E41" s="222" t="str">
        <f>IF(B41="","",SUM(D41,D42))</f>
        <v/>
      </c>
      <c r="F41" s="222" t="str">
        <f>IF(B41="","",E41-U41)</f>
        <v/>
      </c>
      <c r="G41" s="225" t="str">
        <f ca="1">IF($B41="","",IF(ISBLANK(INDIRECT(ADDRESS($B41,G$1,1,,"Score"))),"",1))</f>
        <v/>
      </c>
      <c r="H41" s="225" t="str">
        <f ca="1">IF($B41="","",IF(ISBLANK(INDIRECT(ADDRESS($B41,H$1,1,,"Score"))),"",1))</f>
        <v/>
      </c>
      <c r="I41" s="227" t="str">
        <f ca="1">IF(H41=1,F41,"")</f>
        <v/>
      </c>
      <c r="J41" s="225" t="str">
        <f t="shared" ca="1" si="7"/>
        <v/>
      </c>
      <c r="K41" s="225" t="str">
        <f t="shared" ca="1" si="7"/>
        <v/>
      </c>
      <c r="L41" s="225" t="str">
        <f t="shared" ca="1" si="7"/>
        <v/>
      </c>
      <c r="M41" s="223" t="str">
        <f t="shared" ca="1" si="8"/>
        <v/>
      </c>
      <c r="N41" s="146" t="str">
        <f ca="1">IF(ISNA(MATCH($A41,'Game Clock'!A$11:A$48,0)),"",INDIRECT(ADDRESS(MATCH($A41,'Game Clock'!A$11:A$48,0)+ROW('Game Clock'!A$10),N$1,1,,"Game Clock")))</f>
        <v/>
      </c>
      <c r="O41" s="222" t="str">
        <f ca="1">IF(OR(N41="",N41=0),"",60*E41/N41)</f>
        <v/>
      </c>
      <c r="Q41" s="222">
        <f>Q39+1</f>
        <v>20</v>
      </c>
      <c r="R41" s="223" t="str">
        <f>IF(ISNA(MATCH($Q41,Score!T$4:T$41,0)),"",MATCH($Q41,Score!T$4:T$41,0)++ROW(Score!T$3))</f>
        <v/>
      </c>
      <c r="S41" s="224" t="str">
        <f t="shared" ca="1" si="9"/>
        <v/>
      </c>
      <c r="T41" s="223" t="str">
        <f t="shared" ca="1" si="9"/>
        <v/>
      </c>
      <c r="U41" s="222" t="str">
        <f>IF(R41="","",SUM(T41,T42))</f>
        <v/>
      </c>
      <c r="V41" s="222" t="str">
        <f>IF(R41="","",U41-E41)</f>
        <v/>
      </c>
      <c r="W41" s="225" t="str">
        <f ca="1">IF($R41="","",IF(ISBLANK(INDIRECT(ADDRESS($R41,W$1,1,,"Score"))),"",1))</f>
        <v/>
      </c>
      <c r="X41" s="225" t="str">
        <f ca="1">IF($R41="","",IF(ISBLANK(INDIRECT(ADDRESS($R41,X$1,1,,"Score"))),"",1))</f>
        <v/>
      </c>
      <c r="Y41" s="227" t="str">
        <f ca="1">IF(X41=1,V41,"")</f>
        <v/>
      </c>
      <c r="Z41" s="225" t="str">
        <f t="shared" ca="1" si="10"/>
        <v/>
      </c>
      <c r="AA41" s="225" t="str">
        <f t="shared" ca="1" si="10"/>
        <v/>
      </c>
      <c r="AB41" s="225" t="str">
        <f t="shared" ca="1" si="10"/>
        <v/>
      </c>
      <c r="AC41" s="223" t="str">
        <f t="shared" ca="1" si="11"/>
        <v/>
      </c>
      <c r="AD41" s="222" t="str">
        <f ca="1">N41</f>
        <v/>
      </c>
      <c r="AE41" s="222" t="str">
        <f ca="1">IF(OR(AD41="",AD41=0),"",60*U41/AD41)</f>
        <v/>
      </c>
    </row>
    <row r="42" spans="1:31" x14ac:dyDescent="0.3">
      <c r="A42" s="222"/>
      <c r="B42" s="223" t="str">
        <f ca="1">IF($B41="","",IF(INDIRECT(ADDRESS($B41+1,C$1-1,1,,"Score"))="SP",$B41+1,""))</f>
        <v/>
      </c>
      <c r="C42" s="224" t="str">
        <f t="shared" ca="1" si="6"/>
        <v/>
      </c>
      <c r="D42" s="223" t="str">
        <f t="shared" ca="1" si="6"/>
        <v/>
      </c>
      <c r="E42" s="222"/>
      <c r="F42" s="222"/>
      <c r="G42" s="225"/>
      <c r="H42" s="226"/>
      <c r="I42" s="227"/>
      <c r="J42" s="225" t="str">
        <f t="shared" ca="1" si="7"/>
        <v/>
      </c>
      <c r="K42" s="225" t="str">
        <f t="shared" ca="1" si="7"/>
        <v/>
      </c>
      <c r="L42" s="225" t="str">
        <f t="shared" ca="1" si="7"/>
        <v/>
      </c>
      <c r="M42" s="223" t="str">
        <f t="shared" ca="1" si="8"/>
        <v/>
      </c>
      <c r="N42" s="222"/>
      <c r="O42" s="222"/>
      <c r="Q42" s="222"/>
      <c r="R42" s="223" t="str">
        <f ca="1">IF($R41="","",IF(INDIRECT(ADDRESS($R41+1,S$1-1,1,,"Score"))="SP",$R41+1,""))</f>
        <v/>
      </c>
      <c r="S42" s="224" t="str">
        <f t="shared" ca="1" si="9"/>
        <v/>
      </c>
      <c r="T42" s="223" t="str">
        <f t="shared" ca="1" si="9"/>
        <v/>
      </c>
      <c r="U42" s="222"/>
      <c r="V42" s="222"/>
      <c r="W42" s="225"/>
      <c r="X42" s="226"/>
      <c r="Y42" s="227"/>
      <c r="Z42" s="225" t="str">
        <f t="shared" ca="1" si="10"/>
        <v/>
      </c>
      <c r="AA42" s="225" t="str">
        <f t="shared" ca="1" si="10"/>
        <v/>
      </c>
      <c r="AB42" s="225" t="str">
        <f t="shared" ca="1" si="10"/>
        <v/>
      </c>
      <c r="AC42" s="223" t="str">
        <f t="shared" ca="1" si="11"/>
        <v/>
      </c>
      <c r="AD42" s="222"/>
      <c r="AE42" s="222"/>
    </row>
    <row r="43" spans="1:31" x14ac:dyDescent="0.25">
      <c r="A43" s="203">
        <f>A41+1</f>
        <v>21</v>
      </c>
      <c r="B43" s="201" t="str">
        <f>IF(ISNA(MATCH($A43,Score!A$4:A$41,0)),"",MATCH($A43,Score!A$4:A$41,0)+ROW(Score!A$3))</f>
        <v/>
      </c>
      <c r="C43" s="202" t="str">
        <f t="shared" ref="C43:D58" ca="1" si="12">IF($B43="","",INDIRECT(ADDRESS($B43,C$1,1,,"Score")))</f>
        <v/>
      </c>
      <c r="D43" s="201" t="str">
        <f t="shared" ca="1" si="12"/>
        <v/>
      </c>
      <c r="E43" s="203" t="str">
        <f>IF(B43="","",SUM(D43,D44))</f>
        <v/>
      </c>
      <c r="F43" s="203" t="str">
        <f>IF(B43="","",E43-U43)</f>
        <v/>
      </c>
      <c r="G43" s="231" t="str">
        <f ca="1">IF($B43="","",IF(ISBLANK(INDIRECT(ADDRESS($B43,G$1,1,,"Score"))),"",1))</f>
        <v/>
      </c>
      <c r="H43" s="231" t="str">
        <f ca="1">IF($B43="","",IF(ISBLANK(INDIRECT(ADDRESS($B43,H$1,1,,"Score"))),"",1))</f>
        <v/>
      </c>
      <c r="I43" s="221" t="str">
        <f ca="1">IF(H43=1,F43,"")</f>
        <v/>
      </c>
      <c r="J43" s="231" t="str">
        <f t="shared" ref="J43:L58" ca="1" si="13">IF($B43="","",IF(ISBLANK(INDIRECT(ADDRESS($B43,J$1,1,,"Score"))),"",1))</f>
        <v/>
      </c>
      <c r="K43" s="231" t="str">
        <f t="shared" ca="1" si="13"/>
        <v/>
      </c>
      <c r="L43" s="231" t="str">
        <f t="shared" ca="1" si="13"/>
        <v/>
      </c>
      <c r="M43" s="201" t="str">
        <f t="shared" ref="M43:M58" ca="1" si="14">IF($B43="","",INDIRECT(ADDRESS($B43,M$1,1,,"Score")))</f>
        <v/>
      </c>
      <c r="N43" s="146" t="str">
        <f ca="1">IF(ISNA(MATCH($A43,'Game Clock'!A$11:A$48,0)),"",INDIRECT(ADDRESS(MATCH($A43,'Game Clock'!A$11:A$48,0)+ROW('Game Clock'!A$10),N$1,1,,"Game Clock")))</f>
        <v/>
      </c>
      <c r="O43" s="146" t="str">
        <f ca="1">IF(OR(N43="",N43=0),"",60*E43/N43)</f>
        <v/>
      </c>
      <c r="Q43" s="203">
        <f>Q41+1</f>
        <v>21</v>
      </c>
      <c r="R43" s="201" t="str">
        <f>IF(ISNA(MATCH($Q43,Score!T$4:T$41,0)),"",MATCH($Q43,Score!T$4:T$41,0)++ROW(Score!T$3))</f>
        <v/>
      </c>
      <c r="S43" s="202" t="str">
        <f t="shared" ref="S43:T58" ca="1" si="15">IF($R43="","",INDIRECT(ADDRESS($R43,S$1,1,,"Score")))</f>
        <v/>
      </c>
      <c r="T43" s="201" t="str">
        <f t="shared" ca="1" si="15"/>
        <v/>
      </c>
      <c r="U43" s="203" t="str">
        <f>IF(R43="","",SUM(T43,T44))</f>
        <v/>
      </c>
      <c r="V43" s="203" t="str">
        <f>IF(R43="","",U43-E43)</f>
        <v/>
      </c>
      <c r="W43" s="231" t="str">
        <f ca="1">IF($R43="","",IF(ISBLANK(INDIRECT(ADDRESS($R43,W$1,1,,"Score"))),"",1))</f>
        <v/>
      </c>
      <c r="X43" s="231" t="str">
        <f ca="1">IF($R43="","",IF(ISBLANK(INDIRECT(ADDRESS($R43,X$1,1,,"Score"))),"",1))</f>
        <v/>
      </c>
      <c r="Y43" s="221" t="str">
        <f ca="1">IF(X43=1,V43,"")</f>
        <v/>
      </c>
      <c r="Z43" s="231" t="str">
        <f t="shared" ref="Z43:AB58" ca="1" si="16">IF($R43="","",IF(ISBLANK(INDIRECT(ADDRESS($R43,Z$1,1,,"Score"))),"",1))</f>
        <v/>
      </c>
      <c r="AA43" s="231" t="str">
        <f t="shared" ca="1" si="16"/>
        <v/>
      </c>
      <c r="AB43" s="231" t="str">
        <f t="shared" ca="1" si="16"/>
        <v/>
      </c>
      <c r="AC43" s="201" t="str">
        <f t="shared" ref="AC43:AC58" ca="1" si="17">IF($R43="","",INDIRECT(ADDRESS($R43,AC$1,1,,"Score")))</f>
        <v/>
      </c>
      <c r="AD43" s="146" t="str">
        <f ca="1">N43</f>
        <v/>
      </c>
      <c r="AE43" s="146" t="str">
        <f ca="1">IF(OR(AD43="",AD43=0),"",60*U43/AD43)</f>
        <v/>
      </c>
    </row>
    <row r="44" spans="1:31" x14ac:dyDescent="0.25">
      <c r="A44" s="203"/>
      <c r="B44" s="201" t="str">
        <f ca="1">IF($B43="","",IF(INDIRECT(ADDRESS($B43+1,C$1-1,1,,"Score"))="SP",$B43+1,""))</f>
        <v/>
      </c>
      <c r="C44" s="202" t="str">
        <f t="shared" ca="1" si="12"/>
        <v/>
      </c>
      <c r="D44" s="201" t="str">
        <f t="shared" ca="1" si="12"/>
        <v/>
      </c>
      <c r="E44" s="203"/>
      <c r="F44" s="203"/>
      <c r="G44" s="231"/>
      <c r="H44" s="231"/>
      <c r="I44" s="221"/>
      <c r="J44" s="231" t="str">
        <f t="shared" ca="1" si="13"/>
        <v/>
      </c>
      <c r="K44" s="231" t="str">
        <f t="shared" ca="1" si="13"/>
        <v/>
      </c>
      <c r="L44" s="231" t="str">
        <f t="shared" ca="1" si="13"/>
        <v/>
      </c>
      <c r="M44" s="201" t="str">
        <f t="shared" ca="1" si="14"/>
        <v/>
      </c>
      <c r="N44" s="146"/>
      <c r="O44" s="146"/>
      <c r="Q44" s="203"/>
      <c r="R44" s="201" t="str">
        <f ca="1">IF($R43="","",IF(INDIRECT(ADDRESS($R43+1,S$1-1,1,,"Score"))="SP",$R43+1,""))</f>
        <v/>
      </c>
      <c r="S44" s="202" t="str">
        <f t="shared" ca="1" si="15"/>
        <v/>
      </c>
      <c r="T44" s="201" t="str">
        <f t="shared" ca="1" si="15"/>
        <v/>
      </c>
      <c r="U44" s="203"/>
      <c r="V44" s="203"/>
      <c r="W44" s="231"/>
      <c r="X44" s="231"/>
      <c r="Y44" s="221"/>
      <c r="Z44" s="231" t="str">
        <f t="shared" ca="1" si="16"/>
        <v/>
      </c>
      <c r="AA44" s="231" t="str">
        <f t="shared" ca="1" si="16"/>
        <v/>
      </c>
      <c r="AB44" s="231" t="str">
        <f t="shared" ca="1" si="16"/>
        <v/>
      </c>
      <c r="AC44" s="201" t="str">
        <f t="shared" ca="1" si="17"/>
        <v/>
      </c>
      <c r="AD44" s="146"/>
      <c r="AE44" s="146"/>
    </row>
    <row r="45" spans="1:31" x14ac:dyDescent="0.25">
      <c r="A45" s="222">
        <f>A43+1</f>
        <v>22</v>
      </c>
      <c r="B45" s="223" t="str">
        <f>IF(ISNA(MATCH($A45,Score!A$4:A$41,0)),"",MATCH($A45,Score!A$4:A$41,0)+ROW(Score!A$3))</f>
        <v/>
      </c>
      <c r="C45" s="224" t="str">
        <f t="shared" ca="1" si="12"/>
        <v/>
      </c>
      <c r="D45" s="223" t="str">
        <f t="shared" ca="1" si="12"/>
        <v/>
      </c>
      <c r="E45" s="222" t="str">
        <f>IF(B45="","",SUM(D45,D46))</f>
        <v/>
      </c>
      <c r="F45" s="222" t="str">
        <f>IF(B45="","",E45-U45)</f>
        <v/>
      </c>
      <c r="G45" s="225" t="str">
        <f ca="1">IF($B45="","",IF(ISBLANK(INDIRECT(ADDRESS($B45,G$1,1,,"Score"))),"",1))</f>
        <v/>
      </c>
      <c r="H45" s="225" t="str">
        <f ca="1">IF($B45="","",IF(ISBLANK(INDIRECT(ADDRESS($B45,H$1,1,,"Score"))),"",1))</f>
        <v/>
      </c>
      <c r="I45" s="227" t="str">
        <f ca="1">IF(H45=1,F45,"")</f>
        <v/>
      </c>
      <c r="J45" s="225" t="str">
        <f t="shared" ca="1" si="13"/>
        <v/>
      </c>
      <c r="K45" s="225" t="str">
        <f t="shared" ca="1" si="13"/>
        <v/>
      </c>
      <c r="L45" s="225" t="str">
        <f t="shared" ca="1" si="13"/>
        <v/>
      </c>
      <c r="M45" s="223" t="str">
        <f t="shared" ca="1" si="14"/>
        <v/>
      </c>
      <c r="N45" s="146" t="str">
        <f ca="1">IF(ISNA(MATCH($A45,'Game Clock'!A$11:A$48,0)),"",INDIRECT(ADDRESS(MATCH($A45,'Game Clock'!A$11:A$48,0)+ROW('Game Clock'!A$10),N$1,1,,"Game Clock")))</f>
        <v/>
      </c>
      <c r="O45" s="222" t="str">
        <f ca="1">IF(OR(N45="",N45=0),"",60*E45/N45)</f>
        <v/>
      </c>
      <c r="Q45" s="222">
        <f>Q43+1</f>
        <v>22</v>
      </c>
      <c r="R45" s="223" t="str">
        <f>IF(ISNA(MATCH($Q45,Score!T$4:T$41,0)),"",MATCH($Q45,Score!T$4:T$41,0)++ROW(Score!T$3))</f>
        <v/>
      </c>
      <c r="S45" s="224" t="str">
        <f t="shared" ca="1" si="15"/>
        <v/>
      </c>
      <c r="T45" s="223" t="str">
        <f t="shared" ca="1" si="15"/>
        <v/>
      </c>
      <c r="U45" s="222" t="str">
        <f>IF(R45="","",SUM(T45,T46))</f>
        <v/>
      </c>
      <c r="V45" s="222" t="str">
        <f>IF(R45="","",U45-E45)</f>
        <v/>
      </c>
      <c r="W45" s="225" t="str">
        <f ca="1">IF($R45="","",IF(ISBLANK(INDIRECT(ADDRESS($R45,W$1,1,,"Score"))),"",1))</f>
        <v/>
      </c>
      <c r="X45" s="225" t="str">
        <f ca="1">IF($R45="","",IF(ISBLANK(INDIRECT(ADDRESS($R45,X$1,1,,"Score"))),"",1))</f>
        <v/>
      </c>
      <c r="Y45" s="227" t="str">
        <f ca="1">IF(X45=1,V45,"")</f>
        <v/>
      </c>
      <c r="Z45" s="225" t="str">
        <f t="shared" ca="1" si="16"/>
        <v/>
      </c>
      <c r="AA45" s="225" t="str">
        <f t="shared" ca="1" si="16"/>
        <v/>
      </c>
      <c r="AB45" s="225" t="str">
        <f t="shared" ca="1" si="16"/>
        <v/>
      </c>
      <c r="AC45" s="223" t="str">
        <f t="shared" ca="1" si="17"/>
        <v/>
      </c>
      <c r="AD45" s="222" t="str">
        <f ca="1">N45</f>
        <v/>
      </c>
      <c r="AE45" s="222" t="str">
        <f ca="1">IF(OR(AD45="",AD45=0),"",60*U45/AD45)</f>
        <v/>
      </c>
    </row>
    <row r="46" spans="1:31" x14ac:dyDescent="0.3">
      <c r="A46" s="222"/>
      <c r="B46" s="223" t="str">
        <f ca="1">IF($B45="","",IF(INDIRECT(ADDRESS($B45+1,C$1-1,1,,"Score"))="SP",$B45+1,""))</f>
        <v/>
      </c>
      <c r="C46" s="224" t="str">
        <f t="shared" ca="1" si="12"/>
        <v/>
      </c>
      <c r="D46" s="223" t="str">
        <f t="shared" ca="1" si="12"/>
        <v/>
      </c>
      <c r="E46" s="222"/>
      <c r="F46" s="222"/>
      <c r="G46" s="225"/>
      <c r="H46" s="226"/>
      <c r="I46" s="227"/>
      <c r="J46" s="225" t="str">
        <f t="shared" ca="1" si="13"/>
        <v/>
      </c>
      <c r="K46" s="225" t="str">
        <f t="shared" ca="1" si="13"/>
        <v/>
      </c>
      <c r="L46" s="225" t="str">
        <f t="shared" ca="1" si="13"/>
        <v/>
      </c>
      <c r="M46" s="223" t="str">
        <f t="shared" ca="1" si="14"/>
        <v/>
      </c>
      <c r="N46" s="222"/>
      <c r="O46" s="222"/>
      <c r="Q46" s="222"/>
      <c r="R46" s="223" t="str">
        <f ca="1">IF($R45="","",IF(INDIRECT(ADDRESS($R45+1,S$1-1,1,,"Score"))="SP",$R45+1,""))</f>
        <v/>
      </c>
      <c r="S46" s="224" t="str">
        <f t="shared" ca="1" si="15"/>
        <v/>
      </c>
      <c r="T46" s="223" t="str">
        <f t="shared" ca="1" si="15"/>
        <v/>
      </c>
      <c r="U46" s="222"/>
      <c r="V46" s="222"/>
      <c r="W46" s="225"/>
      <c r="X46" s="226"/>
      <c r="Y46" s="227"/>
      <c r="Z46" s="225" t="str">
        <f t="shared" ca="1" si="16"/>
        <v/>
      </c>
      <c r="AA46" s="225" t="str">
        <f t="shared" ca="1" si="16"/>
        <v/>
      </c>
      <c r="AB46" s="225" t="str">
        <f t="shared" ca="1" si="16"/>
        <v/>
      </c>
      <c r="AC46" s="223" t="str">
        <f t="shared" ca="1" si="17"/>
        <v/>
      </c>
      <c r="AD46" s="222"/>
      <c r="AE46" s="222"/>
    </row>
    <row r="47" spans="1:31" x14ac:dyDescent="0.25">
      <c r="A47" s="203">
        <f>A45+1</f>
        <v>23</v>
      </c>
      <c r="B47" s="201" t="str">
        <f>IF(ISNA(MATCH($A47,Score!A$4:A$41,0)),"",MATCH($A47,Score!A$4:A$41,0)+ROW(Score!A$3))</f>
        <v/>
      </c>
      <c r="C47" s="202" t="str">
        <f t="shared" ca="1" si="12"/>
        <v/>
      </c>
      <c r="D47" s="201" t="str">
        <f t="shared" ca="1" si="12"/>
        <v/>
      </c>
      <c r="E47" s="203" t="str">
        <f>IF(B47="","",SUM(D47,D48))</f>
        <v/>
      </c>
      <c r="F47" s="203" t="str">
        <f>IF(B47="","",E47-U47)</f>
        <v/>
      </c>
      <c r="G47" s="231" t="str">
        <f ca="1">IF($B47="","",IF(ISBLANK(INDIRECT(ADDRESS($B47,G$1,1,,"Score"))),"",1))</f>
        <v/>
      </c>
      <c r="H47" s="231" t="str">
        <f ca="1">IF($B47="","",IF(ISBLANK(INDIRECT(ADDRESS($B47,H$1,1,,"Score"))),"",1))</f>
        <v/>
      </c>
      <c r="I47" s="221" t="str">
        <f ca="1">IF(H47=1,F47,"")</f>
        <v/>
      </c>
      <c r="J47" s="231" t="str">
        <f t="shared" ca="1" si="13"/>
        <v/>
      </c>
      <c r="K47" s="231" t="str">
        <f t="shared" ca="1" si="13"/>
        <v/>
      </c>
      <c r="L47" s="231" t="str">
        <f t="shared" ca="1" si="13"/>
        <v/>
      </c>
      <c r="M47" s="201" t="str">
        <f t="shared" ca="1" si="14"/>
        <v/>
      </c>
      <c r="N47" s="146" t="str">
        <f ca="1">IF(ISNA(MATCH($A47,'Game Clock'!A$11:A$48,0)),"",INDIRECT(ADDRESS(MATCH($A47,'Game Clock'!A$11:A$48,0)+ROW('Game Clock'!A$10),N$1,1,,"Game Clock")))</f>
        <v/>
      </c>
      <c r="O47" s="146" t="str">
        <f ca="1">IF(OR(N47="",N47=0),"",60*E47/N47)</f>
        <v/>
      </c>
      <c r="Q47" s="203">
        <f>Q45+1</f>
        <v>23</v>
      </c>
      <c r="R47" s="201" t="str">
        <f>IF(ISNA(MATCH($Q47,Score!T$4:T$41,0)),"",MATCH($Q47,Score!T$4:T$41,0)++ROW(Score!T$3))</f>
        <v/>
      </c>
      <c r="S47" s="202" t="str">
        <f t="shared" ca="1" si="15"/>
        <v/>
      </c>
      <c r="T47" s="201" t="str">
        <f t="shared" ca="1" si="15"/>
        <v/>
      </c>
      <c r="U47" s="203" t="str">
        <f>IF(R47="","",SUM(T47,T48))</f>
        <v/>
      </c>
      <c r="V47" s="203" t="str">
        <f>IF(R47="","",U47-E47)</f>
        <v/>
      </c>
      <c r="W47" s="231" t="str">
        <f ca="1">IF($R47="","",IF(ISBLANK(INDIRECT(ADDRESS($R47,W$1,1,,"Score"))),"",1))</f>
        <v/>
      </c>
      <c r="X47" s="231" t="str">
        <f ca="1">IF($R47="","",IF(ISBLANK(INDIRECT(ADDRESS($R47,X$1,1,,"Score"))),"",1))</f>
        <v/>
      </c>
      <c r="Y47" s="221" t="str">
        <f ca="1">IF(X47=1,V47,"")</f>
        <v/>
      </c>
      <c r="Z47" s="231" t="str">
        <f t="shared" ca="1" si="16"/>
        <v/>
      </c>
      <c r="AA47" s="231" t="str">
        <f t="shared" ca="1" si="16"/>
        <v/>
      </c>
      <c r="AB47" s="231" t="str">
        <f t="shared" ca="1" si="16"/>
        <v/>
      </c>
      <c r="AC47" s="201" t="str">
        <f t="shared" ca="1" si="17"/>
        <v/>
      </c>
      <c r="AD47" s="146" t="str">
        <f ca="1">N47</f>
        <v/>
      </c>
      <c r="AE47" s="146" t="str">
        <f ca="1">IF(OR(AD47="",AD47=0),"",60*U47/AD47)</f>
        <v/>
      </c>
    </row>
    <row r="48" spans="1:31" x14ac:dyDescent="0.25">
      <c r="A48" s="203"/>
      <c r="B48" s="201" t="str">
        <f ca="1">IF($B47="","",IF(INDIRECT(ADDRESS($B47+1,C$1-1,1,,"Score"))="SP",$B47+1,""))</f>
        <v/>
      </c>
      <c r="C48" s="202" t="str">
        <f t="shared" ca="1" si="12"/>
        <v/>
      </c>
      <c r="D48" s="201" t="str">
        <f t="shared" ca="1" si="12"/>
        <v/>
      </c>
      <c r="E48" s="203"/>
      <c r="F48" s="203"/>
      <c r="G48" s="231"/>
      <c r="H48" s="231"/>
      <c r="I48" s="221"/>
      <c r="J48" s="231" t="str">
        <f t="shared" ca="1" si="13"/>
        <v/>
      </c>
      <c r="K48" s="231" t="str">
        <f t="shared" ca="1" si="13"/>
        <v/>
      </c>
      <c r="L48" s="231" t="str">
        <f t="shared" ca="1" si="13"/>
        <v/>
      </c>
      <c r="M48" s="201" t="str">
        <f t="shared" ca="1" si="14"/>
        <v/>
      </c>
      <c r="N48" s="146"/>
      <c r="O48" s="146"/>
      <c r="Q48" s="203"/>
      <c r="R48" s="201" t="str">
        <f ca="1">IF($R47="","",IF(INDIRECT(ADDRESS($R47+1,S$1-1,1,,"Score"))="SP",$R47+1,""))</f>
        <v/>
      </c>
      <c r="S48" s="202" t="str">
        <f t="shared" ca="1" si="15"/>
        <v/>
      </c>
      <c r="T48" s="201" t="str">
        <f t="shared" ca="1" si="15"/>
        <v/>
      </c>
      <c r="U48" s="203"/>
      <c r="V48" s="203"/>
      <c r="W48" s="231"/>
      <c r="X48" s="231"/>
      <c r="Y48" s="221"/>
      <c r="Z48" s="231" t="str">
        <f t="shared" ca="1" si="16"/>
        <v/>
      </c>
      <c r="AA48" s="231" t="str">
        <f t="shared" ca="1" si="16"/>
        <v/>
      </c>
      <c r="AB48" s="231" t="str">
        <f t="shared" ca="1" si="16"/>
        <v/>
      </c>
      <c r="AC48" s="201" t="str">
        <f t="shared" ca="1" si="17"/>
        <v/>
      </c>
      <c r="AD48" s="146"/>
      <c r="AE48" s="146"/>
    </row>
    <row r="49" spans="1:31" x14ac:dyDescent="0.25">
      <c r="A49" s="222">
        <f>A47+1</f>
        <v>24</v>
      </c>
      <c r="B49" s="223" t="str">
        <f>IF(ISNA(MATCH($A49,Score!A$4:A$41,0)),"",MATCH($A49,Score!A$4:A$41,0)+ROW(Score!A$3))</f>
        <v/>
      </c>
      <c r="C49" s="224" t="str">
        <f t="shared" ca="1" si="12"/>
        <v/>
      </c>
      <c r="D49" s="223" t="str">
        <f t="shared" ca="1" si="12"/>
        <v/>
      </c>
      <c r="E49" s="222" t="str">
        <f>IF(B49="","",SUM(D49,D50))</f>
        <v/>
      </c>
      <c r="F49" s="222" t="str">
        <f>IF(B49="","",E49-U49)</f>
        <v/>
      </c>
      <c r="G49" s="225" t="str">
        <f ca="1">IF($B49="","",IF(ISBLANK(INDIRECT(ADDRESS($B49,G$1,1,,"Score"))),"",1))</f>
        <v/>
      </c>
      <c r="H49" s="225" t="str">
        <f ca="1">IF($B49="","",IF(ISBLANK(INDIRECT(ADDRESS($B49,H$1,1,,"Score"))),"",1))</f>
        <v/>
      </c>
      <c r="I49" s="227" t="str">
        <f ca="1">IF(H49=1,F49,"")</f>
        <v/>
      </c>
      <c r="J49" s="225" t="str">
        <f t="shared" ca="1" si="13"/>
        <v/>
      </c>
      <c r="K49" s="225" t="str">
        <f t="shared" ca="1" si="13"/>
        <v/>
      </c>
      <c r="L49" s="225" t="str">
        <f t="shared" ca="1" si="13"/>
        <v/>
      </c>
      <c r="M49" s="223" t="str">
        <f t="shared" ca="1" si="14"/>
        <v/>
      </c>
      <c r="N49" s="146" t="str">
        <f ca="1">IF(ISNA(MATCH($A49,'Game Clock'!A$11:A$48,0)),"",INDIRECT(ADDRESS(MATCH($A49,'Game Clock'!A$11:A$48,0)+ROW('Game Clock'!A$10),N$1,1,,"Game Clock")))</f>
        <v/>
      </c>
      <c r="O49" s="222" t="str">
        <f ca="1">IF(OR(N49="",N49=0),"",60*E49/N49)</f>
        <v/>
      </c>
      <c r="Q49" s="222">
        <f>Q47+1</f>
        <v>24</v>
      </c>
      <c r="R49" s="223" t="str">
        <f>IF(ISNA(MATCH($Q49,Score!T$4:T$41,0)),"",MATCH($Q49,Score!T$4:T$41,0)++ROW(Score!T$3))</f>
        <v/>
      </c>
      <c r="S49" s="224" t="str">
        <f t="shared" ca="1" si="15"/>
        <v/>
      </c>
      <c r="T49" s="223" t="str">
        <f t="shared" ca="1" si="15"/>
        <v/>
      </c>
      <c r="U49" s="222" t="str">
        <f>IF(R49="","",SUM(T49,T50))</f>
        <v/>
      </c>
      <c r="V49" s="222" t="str">
        <f>IF(R49="","",U49-E49)</f>
        <v/>
      </c>
      <c r="W49" s="225" t="str">
        <f ca="1">IF($R49="","",IF(ISBLANK(INDIRECT(ADDRESS($R49,W$1,1,,"Score"))),"",1))</f>
        <v/>
      </c>
      <c r="X49" s="225" t="str">
        <f ca="1">IF($R49="","",IF(ISBLANK(INDIRECT(ADDRESS($R49,X$1,1,,"Score"))),"",1))</f>
        <v/>
      </c>
      <c r="Y49" s="227" t="str">
        <f ca="1">IF(X49=1,V49,"")</f>
        <v/>
      </c>
      <c r="Z49" s="225" t="str">
        <f t="shared" ca="1" si="16"/>
        <v/>
      </c>
      <c r="AA49" s="225" t="str">
        <f t="shared" ca="1" si="16"/>
        <v/>
      </c>
      <c r="AB49" s="225" t="str">
        <f t="shared" ca="1" si="16"/>
        <v/>
      </c>
      <c r="AC49" s="223" t="str">
        <f t="shared" ca="1" si="17"/>
        <v/>
      </c>
      <c r="AD49" s="222" t="str">
        <f ca="1">N49</f>
        <v/>
      </c>
      <c r="AE49" s="222" t="str">
        <f ca="1">IF(OR(AD49="",AD49=0),"",60*U49/AD49)</f>
        <v/>
      </c>
    </row>
    <row r="50" spans="1:31" x14ac:dyDescent="0.3">
      <c r="A50" s="222"/>
      <c r="B50" s="223" t="str">
        <f ca="1">IF($B49="","",IF(INDIRECT(ADDRESS($B49+1,C$1-1,1,,"Score"))="SP",$B49+1,""))</f>
        <v/>
      </c>
      <c r="C50" s="224" t="str">
        <f t="shared" ca="1" si="12"/>
        <v/>
      </c>
      <c r="D50" s="223" t="str">
        <f t="shared" ca="1" si="12"/>
        <v/>
      </c>
      <c r="E50" s="222"/>
      <c r="F50" s="222"/>
      <c r="G50" s="225"/>
      <c r="H50" s="226"/>
      <c r="I50" s="227"/>
      <c r="J50" s="225" t="str">
        <f t="shared" ca="1" si="13"/>
        <v/>
      </c>
      <c r="K50" s="225" t="str">
        <f t="shared" ca="1" si="13"/>
        <v/>
      </c>
      <c r="L50" s="225" t="str">
        <f t="shared" ca="1" si="13"/>
        <v/>
      </c>
      <c r="M50" s="223" t="str">
        <f t="shared" ca="1" si="14"/>
        <v/>
      </c>
      <c r="N50" s="222"/>
      <c r="O50" s="222"/>
      <c r="Q50" s="222"/>
      <c r="R50" s="223" t="str">
        <f ca="1">IF($R49="","",IF(INDIRECT(ADDRESS($R49+1,S$1-1,1,,"Score"))="SP",$R49+1,""))</f>
        <v/>
      </c>
      <c r="S50" s="224" t="str">
        <f t="shared" ca="1" si="15"/>
        <v/>
      </c>
      <c r="T50" s="223" t="str">
        <f t="shared" ca="1" si="15"/>
        <v/>
      </c>
      <c r="U50" s="222"/>
      <c r="V50" s="222"/>
      <c r="W50" s="225"/>
      <c r="X50" s="226"/>
      <c r="Y50" s="227"/>
      <c r="Z50" s="225" t="str">
        <f t="shared" ca="1" si="16"/>
        <v/>
      </c>
      <c r="AA50" s="225" t="str">
        <f t="shared" ca="1" si="16"/>
        <v/>
      </c>
      <c r="AB50" s="225" t="str">
        <f t="shared" ca="1" si="16"/>
        <v/>
      </c>
      <c r="AC50" s="223" t="str">
        <f t="shared" ca="1" si="17"/>
        <v/>
      </c>
      <c r="AD50" s="222"/>
      <c r="AE50" s="222"/>
    </row>
    <row r="51" spans="1:31" x14ac:dyDescent="0.25">
      <c r="A51" s="203">
        <f>A49+1</f>
        <v>25</v>
      </c>
      <c r="B51" s="201" t="str">
        <f>IF(ISNA(MATCH($A51,Score!A$4:A$41,0)),"",MATCH($A51,Score!A$4:A$41,0)+ROW(Score!A$3))</f>
        <v/>
      </c>
      <c r="C51" s="202" t="str">
        <f t="shared" ca="1" si="12"/>
        <v/>
      </c>
      <c r="D51" s="201" t="str">
        <f t="shared" ca="1" si="12"/>
        <v/>
      </c>
      <c r="E51" s="203" t="str">
        <f>IF(B51="","",SUM(D51,D52))</f>
        <v/>
      </c>
      <c r="F51" s="203" t="str">
        <f>IF(B51="","",E51-U51)</f>
        <v/>
      </c>
      <c r="G51" s="231" t="str">
        <f ca="1">IF($B51="","",IF(ISBLANK(INDIRECT(ADDRESS($B51,G$1,1,,"Score"))),"",1))</f>
        <v/>
      </c>
      <c r="H51" s="231" t="str">
        <f ca="1">IF($B51="","",IF(ISBLANK(INDIRECT(ADDRESS($B51,H$1,1,,"Score"))),"",1))</f>
        <v/>
      </c>
      <c r="I51" s="221" t="str">
        <f ca="1">IF(H51=1,F51,"")</f>
        <v/>
      </c>
      <c r="J51" s="231" t="str">
        <f t="shared" ca="1" si="13"/>
        <v/>
      </c>
      <c r="K51" s="231" t="str">
        <f t="shared" ca="1" si="13"/>
        <v/>
      </c>
      <c r="L51" s="231" t="str">
        <f t="shared" ca="1" si="13"/>
        <v/>
      </c>
      <c r="M51" s="201" t="str">
        <f t="shared" ca="1" si="14"/>
        <v/>
      </c>
      <c r="N51" s="146" t="str">
        <f ca="1">IF(ISNA(MATCH($A51,'Game Clock'!A$11:A$48,0)),"",INDIRECT(ADDRESS(MATCH($A51,'Game Clock'!A$11:A$48,0)+ROW('Game Clock'!A$10),N$1,1,,"Game Clock")))</f>
        <v/>
      </c>
      <c r="O51" s="146" t="str">
        <f ca="1">IF(OR(N51="",N51=0),"",60*E51/N51)</f>
        <v/>
      </c>
      <c r="Q51" s="203">
        <f>Q49+1</f>
        <v>25</v>
      </c>
      <c r="R51" s="201" t="str">
        <f>IF(ISNA(MATCH($Q51,Score!T$4:T$41,0)),"",MATCH($Q51,Score!T$4:T$41,0)++ROW(Score!T$3))</f>
        <v/>
      </c>
      <c r="S51" s="202" t="str">
        <f t="shared" ca="1" si="15"/>
        <v/>
      </c>
      <c r="T51" s="201" t="str">
        <f t="shared" ca="1" si="15"/>
        <v/>
      </c>
      <c r="U51" s="203" t="str">
        <f>IF(R51="","",SUM(T51,T52))</f>
        <v/>
      </c>
      <c r="V51" s="203" t="str">
        <f>IF(R51="","",U51-E51)</f>
        <v/>
      </c>
      <c r="W51" s="231" t="str">
        <f ca="1">IF($R51="","",IF(ISBLANK(INDIRECT(ADDRESS($R51,W$1,1,,"Score"))),"",1))</f>
        <v/>
      </c>
      <c r="X51" s="231" t="str">
        <f ca="1">IF($R51="","",IF(ISBLANK(INDIRECT(ADDRESS($R51,X$1,1,,"Score"))),"",1))</f>
        <v/>
      </c>
      <c r="Y51" s="221" t="str">
        <f ca="1">IF(X51=1,V51,"")</f>
        <v/>
      </c>
      <c r="Z51" s="231" t="str">
        <f t="shared" ca="1" si="16"/>
        <v/>
      </c>
      <c r="AA51" s="231" t="str">
        <f t="shared" ca="1" si="16"/>
        <v/>
      </c>
      <c r="AB51" s="231" t="str">
        <f t="shared" ca="1" si="16"/>
        <v/>
      </c>
      <c r="AC51" s="201" t="str">
        <f t="shared" ca="1" si="17"/>
        <v/>
      </c>
      <c r="AD51" s="146" t="str">
        <f ca="1">N51</f>
        <v/>
      </c>
      <c r="AE51" s="146" t="str">
        <f ca="1">IF(OR(AD51="",AD51=0),"",60*U51/AD51)</f>
        <v/>
      </c>
    </row>
    <row r="52" spans="1:31" x14ac:dyDescent="0.25">
      <c r="A52" s="203"/>
      <c r="B52" s="201" t="str">
        <f ca="1">IF($B51="","",IF(INDIRECT(ADDRESS($B51+1,C$1-1,1,,"Score"))="SP",$B51+1,""))</f>
        <v/>
      </c>
      <c r="C52" s="202" t="str">
        <f t="shared" ca="1" si="12"/>
        <v/>
      </c>
      <c r="D52" s="201" t="str">
        <f t="shared" ca="1" si="12"/>
        <v/>
      </c>
      <c r="E52" s="203"/>
      <c r="F52" s="203"/>
      <c r="G52" s="231"/>
      <c r="H52" s="231"/>
      <c r="I52" s="221"/>
      <c r="J52" s="231" t="str">
        <f t="shared" ca="1" si="13"/>
        <v/>
      </c>
      <c r="K52" s="231" t="str">
        <f t="shared" ca="1" si="13"/>
        <v/>
      </c>
      <c r="L52" s="231" t="str">
        <f t="shared" ca="1" si="13"/>
        <v/>
      </c>
      <c r="M52" s="201" t="str">
        <f t="shared" ca="1" si="14"/>
        <v/>
      </c>
      <c r="N52" s="146"/>
      <c r="O52" s="146"/>
      <c r="Q52" s="203"/>
      <c r="R52" s="201" t="str">
        <f ca="1">IF($R51="","",IF(INDIRECT(ADDRESS($R51+1,S$1-1,1,,"Score"))="SP",$R51+1,""))</f>
        <v/>
      </c>
      <c r="S52" s="202" t="str">
        <f t="shared" ca="1" si="15"/>
        <v/>
      </c>
      <c r="T52" s="201" t="str">
        <f t="shared" ca="1" si="15"/>
        <v/>
      </c>
      <c r="U52" s="203"/>
      <c r="V52" s="203"/>
      <c r="W52" s="231"/>
      <c r="X52" s="231"/>
      <c r="Y52" s="221"/>
      <c r="Z52" s="231" t="str">
        <f t="shared" ca="1" si="16"/>
        <v/>
      </c>
      <c r="AA52" s="231" t="str">
        <f t="shared" ca="1" si="16"/>
        <v/>
      </c>
      <c r="AB52" s="231" t="str">
        <f t="shared" ca="1" si="16"/>
        <v/>
      </c>
      <c r="AC52" s="201" t="str">
        <f t="shared" ca="1" si="17"/>
        <v/>
      </c>
      <c r="AD52" s="146"/>
      <c r="AE52" s="146"/>
    </row>
    <row r="53" spans="1:31" x14ac:dyDescent="0.25">
      <c r="A53" s="222">
        <f>A51+1</f>
        <v>26</v>
      </c>
      <c r="B53" s="223" t="str">
        <f>IF(ISNA(MATCH($A53,Score!A$4:A$41,0)),"",MATCH($A53,Score!A$4:A$41,0)+ROW(Score!A$3))</f>
        <v/>
      </c>
      <c r="C53" s="224" t="str">
        <f t="shared" ca="1" si="12"/>
        <v/>
      </c>
      <c r="D53" s="223" t="str">
        <f t="shared" ca="1" si="12"/>
        <v/>
      </c>
      <c r="E53" s="222" t="str">
        <f>IF(B53="","",SUM(D53,D54))</f>
        <v/>
      </c>
      <c r="F53" s="222" t="str">
        <f>IF(B53="","",E53-U53)</f>
        <v/>
      </c>
      <c r="G53" s="225" t="str">
        <f ca="1">IF($B53="","",IF(ISBLANK(INDIRECT(ADDRESS($B53,G$1,1,,"Score"))),"",1))</f>
        <v/>
      </c>
      <c r="H53" s="225" t="str">
        <f ca="1">IF($B53="","",IF(ISBLANK(INDIRECT(ADDRESS($B53,H$1,1,,"Score"))),"",1))</f>
        <v/>
      </c>
      <c r="I53" s="227" t="str">
        <f ca="1">IF(H53=1,F53,"")</f>
        <v/>
      </c>
      <c r="J53" s="225" t="str">
        <f t="shared" ca="1" si="13"/>
        <v/>
      </c>
      <c r="K53" s="225" t="str">
        <f t="shared" ca="1" si="13"/>
        <v/>
      </c>
      <c r="L53" s="225" t="str">
        <f t="shared" ca="1" si="13"/>
        <v/>
      </c>
      <c r="M53" s="223" t="str">
        <f t="shared" ca="1" si="14"/>
        <v/>
      </c>
      <c r="N53" s="146" t="str">
        <f ca="1">IF(ISNA(MATCH($A53,'Game Clock'!A$11:A$48,0)),"",INDIRECT(ADDRESS(MATCH($A53,'Game Clock'!A$11:A$48,0)+ROW('Game Clock'!A$10),N$1,1,,"Game Clock")))</f>
        <v/>
      </c>
      <c r="O53" s="222" t="str">
        <f ca="1">IF(OR(N53="",N53=0),"",60*E53/N53)</f>
        <v/>
      </c>
      <c r="Q53" s="222">
        <f>Q51+1</f>
        <v>26</v>
      </c>
      <c r="R53" s="223" t="str">
        <f>IF(ISNA(MATCH($Q53,Score!T$4:T$41,0)),"",MATCH($Q53,Score!T$4:T$41,0)++ROW(Score!T$3))</f>
        <v/>
      </c>
      <c r="S53" s="224" t="str">
        <f t="shared" ca="1" si="15"/>
        <v/>
      </c>
      <c r="T53" s="223" t="str">
        <f t="shared" ca="1" si="15"/>
        <v/>
      </c>
      <c r="U53" s="222" t="str">
        <f>IF(R53="","",SUM(T53,T54))</f>
        <v/>
      </c>
      <c r="V53" s="222" t="str">
        <f>IF(R53="","",U53-E53)</f>
        <v/>
      </c>
      <c r="W53" s="225" t="str">
        <f ca="1">IF($R53="","",IF(ISBLANK(INDIRECT(ADDRESS($R53,W$1,1,,"Score"))),"",1))</f>
        <v/>
      </c>
      <c r="X53" s="225" t="str">
        <f ca="1">IF($R53="","",IF(ISBLANK(INDIRECT(ADDRESS($R53,X$1,1,,"Score"))),"",1))</f>
        <v/>
      </c>
      <c r="Y53" s="227" t="str">
        <f ca="1">IF(X53=1,V53,"")</f>
        <v/>
      </c>
      <c r="Z53" s="225" t="str">
        <f t="shared" ca="1" si="16"/>
        <v/>
      </c>
      <c r="AA53" s="225" t="str">
        <f t="shared" ca="1" si="16"/>
        <v/>
      </c>
      <c r="AB53" s="225" t="str">
        <f t="shared" ca="1" si="16"/>
        <v/>
      </c>
      <c r="AC53" s="223" t="str">
        <f t="shared" ca="1" si="17"/>
        <v/>
      </c>
      <c r="AD53" s="222" t="str">
        <f ca="1">N53</f>
        <v/>
      </c>
      <c r="AE53" s="222" t="str">
        <f ca="1">IF(OR(AD53="",AD53=0),"",60*U53/AD53)</f>
        <v/>
      </c>
    </row>
    <row r="54" spans="1:31" x14ac:dyDescent="0.3">
      <c r="A54" s="222"/>
      <c r="B54" s="223" t="str">
        <f ca="1">IF($B53="","",IF(INDIRECT(ADDRESS($B53+1,C$1-1,1,,"Score"))="SP",$B53+1,""))</f>
        <v/>
      </c>
      <c r="C54" s="224" t="str">
        <f t="shared" ca="1" si="12"/>
        <v/>
      </c>
      <c r="D54" s="223" t="str">
        <f t="shared" ca="1" si="12"/>
        <v/>
      </c>
      <c r="E54" s="222"/>
      <c r="F54" s="222"/>
      <c r="G54" s="225"/>
      <c r="H54" s="226"/>
      <c r="I54" s="227"/>
      <c r="J54" s="225" t="str">
        <f t="shared" ca="1" si="13"/>
        <v/>
      </c>
      <c r="K54" s="225" t="str">
        <f t="shared" ca="1" si="13"/>
        <v/>
      </c>
      <c r="L54" s="225" t="str">
        <f t="shared" ca="1" si="13"/>
        <v/>
      </c>
      <c r="M54" s="223" t="str">
        <f t="shared" ca="1" si="14"/>
        <v/>
      </c>
      <c r="N54" s="222"/>
      <c r="O54" s="222"/>
      <c r="Q54" s="222"/>
      <c r="R54" s="223" t="str">
        <f ca="1">IF($R53="","",IF(INDIRECT(ADDRESS($R53+1,S$1-1,1,,"Score"))="SP",$R53+1,""))</f>
        <v/>
      </c>
      <c r="S54" s="224" t="str">
        <f t="shared" ca="1" si="15"/>
        <v/>
      </c>
      <c r="T54" s="223" t="str">
        <f t="shared" ca="1" si="15"/>
        <v/>
      </c>
      <c r="U54" s="222"/>
      <c r="V54" s="222"/>
      <c r="W54" s="225"/>
      <c r="X54" s="226"/>
      <c r="Y54" s="227"/>
      <c r="Z54" s="225" t="str">
        <f t="shared" ca="1" si="16"/>
        <v/>
      </c>
      <c r="AA54" s="225" t="str">
        <f t="shared" ca="1" si="16"/>
        <v/>
      </c>
      <c r="AB54" s="225" t="str">
        <f t="shared" ca="1" si="16"/>
        <v/>
      </c>
      <c r="AC54" s="223" t="str">
        <f t="shared" ca="1" si="17"/>
        <v/>
      </c>
      <c r="AD54" s="222"/>
      <c r="AE54" s="222"/>
    </row>
    <row r="55" spans="1:31" x14ac:dyDescent="0.25">
      <c r="A55" s="203">
        <f>A53+1</f>
        <v>27</v>
      </c>
      <c r="B55" s="201" t="str">
        <f>IF(ISNA(MATCH($A55,Score!A$4:A$41,0)),"",MATCH($A55,Score!A$4:A$41,0)+ROW(Score!A$3))</f>
        <v/>
      </c>
      <c r="C55" s="202" t="str">
        <f t="shared" ca="1" si="12"/>
        <v/>
      </c>
      <c r="D55" s="201" t="str">
        <f t="shared" ca="1" si="12"/>
        <v/>
      </c>
      <c r="E55" s="203" t="str">
        <f>IF(B55="","",SUM(D55,D56))</f>
        <v/>
      </c>
      <c r="F55" s="203" t="str">
        <f>IF(B55="","",E55-U55)</f>
        <v/>
      </c>
      <c r="G55" s="231" t="str">
        <f ca="1">IF($B55="","",IF(ISBLANK(INDIRECT(ADDRESS($B55,G$1,1,,"Score"))),"",1))</f>
        <v/>
      </c>
      <c r="H55" s="231" t="str">
        <f ca="1">IF($B55="","",IF(ISBLANK(INDIRECT(ADDRESS($B55,H$1,1,,"Score"))),"",1))</f>
        <v/>
      </c>
      <c r="I55" s="221" t="str">
        <f ca="1">IF(H55=1,F55,"")</f>
        <v/>
      </c>
      <c r="J55" s="231" t="str">
        <f t="shared" ca="1" si="13"/>
        <v/>
      </c>
      <c r="K55" s="231" t="str">
        <f t="shared" ca="1" si="13"/>
        <v/>
      </c>
      <c r="L55" s="231" t="str">
        <f t="shared" ca="1" si="13"/>
        <v/>
      </c>
      <c r="M55" s="201" t="str">
        <f t="shared" ca="1" si="14"/>
        <v/>
      </c>
      <c r="N55" s="146" t="str">
        <f ca="1">IF(ISNA(MATCH($A55,'Game Clock'!A$11:A$48,0)),"",INDIRECT(ADDRESS(MATCH($A55,'Game Clock'!A$11:A$48,0)+ROW('Game Clock'!A$10),N$1,1,,"Game Clock")))</f>
        <v/>
      </c>
      <c r="O55" s="146" t="str">
        <f ca="1">IF(OR(N55="",N55=0),"",60*E55/N55)</f>
        <v/>
      </c>
      <c r="Q55" s="203">
        <f>Q53+1</f>
        <v>27</v>
      </c>
      <c r="R55" s="201" t="str">
        <f>IF(ISNA(MATCH($Q55,Score!T$4:T$41,0)),"",MATCH($Q55,Score!T$4:T$41,0)++ROW(Score!T$3))</f>
        <v/>
      </c>
      <c r="S55" s="202" t="str">
        <f t="shared" ca="1" si="15"/>
        <v/>
      </c>
      <c r="T55" s="201" t="str">
        <f t="shared" ca="1" si="15"/>
        <v/>
      </c>
      <c r="U55" s="203" t="str">
        <f>IF(R55="","",SUM(T55,T56))</f>
        <v/>
      </c>
      <c r="V55" s="203" t="str">
        <f>IF(R55="","",U55-E55)</f>
        <v/>
      </c>
      <c r="W55" s="231" t="str">
        <f ca="1">IF($R55="","",IF(ISBLANK(INDIRECT(ADDRESS($R55,W$1,1,,"Score"))),"",1))</f>
        <v/>
      </c>
      <c r="X55" s="231" t="str">
        <f ca="1">IF($R55="","",IF(ISBLANK(INDIRECT(ADDRESS($R55,X$1,1,,"Score"))),"",1))</f>
        <v/>
      </c>
      <c r="Y55" s="221" t="str">
        <f ca="1">IF(X55=1,V55,"")</f>
        <v/>
      </c>
      <c r="Z55" s="231" t="str">
        <f t="shared" ca="1" si="16"/>
        <v/>
      </c>
      <c r="AA55" s="231" t="str">
        <f t="shared" ca="1" si="16"/>
        <v/>
      </c>
      <c r="AB55" s="231" t="str">
        <f t="shared" ca="1" si="16"/>
        <v/>
      </c>
      <c r="AC55" s="201" t="str">
        <f t="shared" ca="1" si="17"/>
        <v/>
      </c>
      <c r="AD55" s="146" t="str">
        <f ca="1">N55</f>
        <v/>
      </c>
      <c r="AE55" s="146" t="str">
        <f ca="1">IF(OR(AD55="",AD55=0),"",60*U55/AD55)</f>
        <v/>
      </c>
    </row>
    <row r="56" spans="1:31" x14ac:dyDescent="0.25">
      <c r="A56" s="203"/>
      <c r="B56" s="201" t="str">
        <f ca="1">IF($B55="","",IF(INDIRECT(ADDRESS($B55+1,C$1-1,1,,"Score"))="SP",$B55+1,""))</f>
        <v/>
      </c>
      <c r="C56" s="202" t="str">
        <f t="shared" ca="1" si="12"/>
        <v/>
      </c>
      <c r="D56" s="201" t="str">
        <f t="shared" ca="1" si="12"/>
        <v/>
      </c>
      <c r="E56" s="203"/>
      <c r="F56" s="203"/>
      <c r="G56" s="231"/>
      <c r="H56" s="231"/>
      <c r="I56" s="221"/>
      <c r="J56" s="231" t="str">
        <f t="shared" ca="1" si="13"/>
        <v/>
      </c>
      <c r="K56" s="231" t="str">
        <f t="shared" ca="1" si="13"/>
        <v/>
      </c>
      <c r="L56" s="231" t="str">
        <f t="shared" ca="1" si="13"/>
        <v/>
      </c>
      <c r="M56" s="201" t="str">
        <f t="shared" ca="1" si="14"/>
        <v/>
      </c>
      <c r="N56" s="146"/>
      <c r="O56" s="146"/>
      <c r="Q56" s="203"/>
      <c r="R56" s="201" t="str">
        <f ca="1">IF($R55="","",IF(INDIRECT(ADDRESS($R55+1,S$1-1,1,,"Score"))="SP",$R55+1,""))</f>
        <v/>
      </c>
      <c r="S56" s="202" t="str">
        <f t="shared" ca="1" si="15"/>
        <v/>
      </c>
      <c r="T56" s="201" t="str">
        <f t="shared" ca="1" si="15"/>
        <v/>
      </c>
      <c r="U56" s="203"/>
      <c r="V56" s="203"/>
      <c r="W56" s="231"/>
      <c r="X56" s="231"/>
      <c r="Y56" s="221"/>
      <c r="Z56" s="231" t="str">
        <f t="shared" ca="1" si="16"/>
        <v/>
      </c>
      <c r="AA56" s="231" t="str">
        <f t="shared" ca="1" si="16"/>
        <v/>
      </c>
      <c r="AB56" s="231" t="str">
        <f t="shared" ca="1" si="16"/>
        <v/>
      </c>
      <c r="AC56" s="201" t="str">
        <f t="shared" ca="1" si="17"/>
        <v/>
      </c>
      <c r="AD56" s="146"/>
      <c r="AE56" s="146"/>
    </row>
    <row r="57" spans="1:31" x14ac:dyDescent="0.25">
      <c r="A57" s="222">
        <f>A55+1</f>
        <v>28</v>
      </c>
      <c r="B57" s="223" t="str">
        <f>IF(ISNA(MATCH($A57,Score!A$4:A$41,0)),"",MATCH($A57,Score!A$4:A$41,0)+ROW(Score!A$3))</f>
        <v/>
      </c>
      <c r="C57" s="224" t="str">
        <f t="shared" ca="1" si="12"/>
        <v/>
      </c>
      <c r="D57" s="223" t="str">
        <f t="shared" ca="1" si="12"/>
        <v/>
      </c>
      <c r="E57" s="222" t="str">
        <f>IF(B57="","",SUM(D57,D58))</f>
        <v/>
      </c>
      <c r="F57" s="222" t="str">
        <f>IF(B57="","",E57-U57)</f>
        <v/>
      </c>
      <c r="G57" s="225" t="str">
        <f ca="1">IF($B57="","",IF(ISBLANK(INDIRECT(ADDRESS($B57,G$1,1,,"Score"))),"",1))</f>
        <v/>
      </c>
      <c r="H57" s="225" t="str">
        <f ca="1">IF($B57="","",IF(ISBLANK(INDIRECT(ADDRESS($B57,H$1,1,,"Score"))),"",1))</f>
        <v/>
      </c>
      <c r="I57" s="227" t="str">
        <f ca="1">IF(H57=1,F57,"")</f>
        <v/>
      </c>
      <c r="J57" s="225" t="str">
        <f t="shared" ca="1" si="13"/>
        <v/>
      </c>
      <c r="K57" s="225" t="str">
        <f t="shared" ca="1" si="13"/>
        <v/>
      </c>
      <c r="L57" s="225" t="str">
        <f t="shared" ca="1" si="13"/>
        <v/>
      </c>
      <c r="M57" s="223" t="str">
        <f t="shared" ca="1" si="14"/>
        <v/>
      </c>
      <c r="N57" s="146" t="str">
        <f ca="1">IF(ISNA(MATCH($A57,'Game Clock'!A$11:A$48,0)),"",INDIRECT(ADDRESS(MATCH($A57,'Game Clock'!A$11:A$48,0)+ROW('Game Clock'!A$10),N$1,1,,"Game Clock")))</f>
        <v/>
      </c>
      <c r="O57" s="222" t="str">
        <f ca="1">IF(OR(N57="",N57=0),"",60*E57/N57)</f>
        <v/>
      </c>
      <c r="Q57" s="222">
        <f>Q55+1</f>
        <v>28</v>
      </c>
      <c r="R57" s="223" t="str">
        <f>IF(ISNA(MATCH($Q57,Score!T$4:T$41,0)),"",MATCH($Q57,Score!T$4:T$41,0)++ROW(Score!T$3))</f>
        <v/>
      </c>
      <c r="S57" s="224" t="str">
        <f t="shared" ca="1" si="15"/>
        <v/>
      </c>
      <c r="T57" s="223" t="str">
        <f t="shared" ca="1" si="15"/>
        <v/>
      </c>
      <c r="U57" s="222" t="str">
        <f>IF(R57="","",SUM(T57,T58))</f>
        <v/>
      </c>
      <c r="V57" s="222" t="str">
        <f>IF(R57="","",U57-E57)</f>
        <v/>
      </c>
      <c r="W57" s="225" t="str">
        <f ca="1">IF($R57="","",IF(ISBLANK(INDIRECT(ADDRESS($R57,W$1,1,,"Score"))),"",1))</f>
        <v/>
      </c>
      <c r="X57" s="225" t="str">
        <f ca="1">IF($R57="","",IF(ISBLANK(INDIRECT(ADDRESS($R57,X$1,1,,"Score"))),"",1))</f>
        <v/>
      </c>
      <c r="Y57" s="227" t="str">
        <f ca="1">IF(X57=1,V57,"")</f>
        <v/>
      </c>
      <c r="Z57" s="225" t="str">
        <f t="shared" ca="1" si="16"/>
        <v/>
      </c>
      <c r="AA57" s="225" t="str">
        <f t="shared" ca="1" si="16"/>
        <v/>
      </c>
      <c r="AB57" s="225" t="str">
        <f t="shared" ca="1" si="16"/>
        <v/>
      </c>
      <c r="AC57" s="223" t="str">
        <f t="shared" ca="1" si="17"/>
        <v/>
      </c>
      <c r="AD57" s="222" t="str">
        <f ca="1">N57</f>
        <v/>
      </c>
      <c r="AE57" s="222" t="str">
        <f ca="1">IF(OR(AD57="",AD57=0),"",60*U57/AD57)</f>
        <v/>
      </c>
    </row>
    <row r="58" spans="1:31" x14ac:dyDescent="0.3">
      <c r="A58" s="222"/>
      <c r="B58" s="223" t="str">
        <f ca="1">IF($B57="","",IF(INDIRECT(ADDRESS($B57+1,C$1-1,1,,"Score"))="SP",$B57+1,""))</f>
        <v/>
      </c>
      <c r="C58" s="224" t="str">
        <f t="shared" ca="1" si="12"/>
        <v/>
      </c>
      <c r="D58" s="223" t="str">
        <f t="shared" ca="1" si="12"/>
        <v/>
      </c>
      <c r="E58" s="222"/>
      <c r="F58" s="222"/>
      <c r="G58" s="225"/>
      <c r="H58" s="226"/>
      <c r="I58" s="227"/>
      <c r="J58" s="225" t="str">
        <f t="shared" ca="1" si="13"/>
        <v/>
      </c>
      <c r="K58" s="225" t="str">
        <f t="shared" ca="1" si="13"/>
        <v/>
      </c>
      <c r="L58" s="225" t="str">
        <f t="shared" ca="1" si="13"/>
        <v/>
      </c>
      <c r="M58" s="223" t="str">
        <f t="shared" ca="1" si="14"/>
        <v/>
      </c>
      <c r="N58" s="222"/>
      <c r="O58" s="222"/>
      <c r="Q58" s="222"/>
      <c r="R58" s="223" t="str">
        <f ca="1">IF($R57="","",IF(INDIRECT(ADDRESS($R57+1,S$1-1,1,,"Score"))="SP",$R57+1,""))</f>
        <v/>
      </c>
      <c r="S58" s="224" t="str">
        <f t="shared" ca="1" si="15"/>
        <v/>
      </c>
      <c r="T58" s="223" t="str">
        <f t="shared" ca="1" si="15"/>
        <v/>
      </c>
      <c r="U58" s="222"/>
      <c r="V58" s="222"/>
      <c r="W58" s="225"/>
      <c r="X58" s="226"/>
      <c r="Y58" s="227"/>
      <c r="Z58" s="225" t="str">
        <f t="shared" ca="1" si="16"/>
        <v/>
      </c>
      <c r="AA58" s="225" t="str">
        <f t="shared" ca="1" si="16"/>
        <v/>
      </c>
      <c r="AB58" s="225" t="str">
        <f t="shared" ca="1" si="16"/>
        <v/>
      </c>
      <c r="AC58" s="223" t="str">
        <f t="shared" ca="1" si="17"/>
        <v/>
      </c>
      <c r="AD58" s="222"/>
      <c r="AE58" s="222"/>
    </row>
    <row r="59" spans="1:31" x14ac:dyDescent="0.25">
      <c r="A59" s="203">
        <f>A57+1</f>
        <v>29</v>
      </c>
      <c r="B59" s="201" t="str">
        <f>IF(ISNA(MATCH($A59,Score!A$4:A$41,0)),"",MATCH($A59,Score!A$4:A$41,0)+ROW(Score!A$3))</f>
        <v/>
      </c>
      <c r="C59" s="202" t="str">
        <f t="shared" ref="C59:D74" ca="1" si="18">IF($B59="","",INDIRECT(ADDRESS($B59,C$1,1,,"Score")))</f>
        <v/>
      </c>
      <c r="D59" s="201" t="str">
        <f t="shared" ca="1" si="18"/>
        <v/>
      </c>
      <c r="E59" s="203" t="str">
        <f>IF(B59="","",SUM(D59,D60))</f>
        <v/>
      </c>
      <c r="F59" s="203" t="str">
        <f>IF(B59="","",E59-U59)</f>
        <v/>
      </c>
      <c r="G59" s="231" t="str">
        <f ca="1">IF($B59="","",IF(ISBLANK(INDIRECT(ADDRESS($B59,G$1,1,,"Score"))),"",1))</f>
        <v/>
      </c>
      <c r="H59" s="231" t="str">
        <f ca="1">IF($B59="","",IF(ISBLANK(INDIRECT(ADDRESS($B59,H$1,1,,"Score"))),"",1))</f>
        <v/>
      </c>
      <c r="I59" s="221" t="str">
        <f ca="1">IF(H59=1,F59,"")</f>
        <v/>
      </c>
      <c r="J59" s="231" t="str">
        <f t="shared" ref="J59:L74" ca="1" si="19">IF($B59="","",IF(ISBLANK(INDIRECT(ADDRESS($B59,J$1,1,,"Score"))),"",1))</f>
        <v/>
      </c>
      <c r="K59" s="231" t="str">
        <f t="shared" ca="1" si="19"/>
        <v/>
      </c>
      <c r="L59" s="231" t="str">
        <f t="shared" ca="1" si="19"/>
        <v/>
      </c>
      <c r="M59" s="201" t="str">
        <f t="shared" ref="M59:M78" ca="1" si="20">IF($B59="","",INDIRECT(ADDRESS($B59,M$1,1,,"Score")))</f>
        <v/>
      </c>
      <c r="N59" s="146" t="str">
        <f ca="1">IF(ISNA(MATCH($A59,'Game Clock'!A$11:A$48,0)),"",INDIRECT(ADDRESS(MATCH($A59,'Game Clock'!A$11:A$48,0)+ROW('Game Clock'!A$10),N$1,1,,"Game Clock")))</f>
        <v/>
      </c>
      <c r="O59" s="146" t="str">
        <f ca="1">IF(OR(N59="",N59=0),"",60*E59/N59)</f>
        <v/>
      </c>
      <c r="Q59" s="203">
        <f>Q57+1</f>
        <v>29</v>
      </c>
      <c r="R59" s="201" t="str">
        <f>IF(ISNA(MATCH($Q59,Score!T$4:T$41,0)),"",MATCH($Q59,Score!T$4:T$41,0)++ROW(Score!T$3))</f>
        <v/>
      </c>
      <c r="S59" s="202" t="str">
        <f t="shared" ref="S59:T74" ca="1" si="21">IF($R59="","",INDIRECT(ADDRESS($R59,S$1,1,,"Score")))</f>
        <v/>
      </c>
      <c r="T59" s="201" t="str">
        <f t="shared" ca="1" si="21"/>
        <v/>
      </c>
      <c r="U59" s="203" t="str">
        <f>IF(R59="","",SUM(T59,T60))</f>
        <v/>
      </c>
      <c r="V59" s="203" t="str">
        <f>IF(R59="","",U59-E59)</f>
        <v/>
      </c>
      <c r="W59" s="231" t="str">
        <f ca="1">IF($R59="","",IF(ISBLANK(INDIRECT(ADDRESS($R59,W$1,1,,"Score"))),"",1))</f>
        <v/>
      </c>
      <c r="X59" s="231" t="str">
        <f ca="1">IF($R59="","",IF(ISBLANK(INDIRECT(ADDRESS($R59,X$1,1,,"Score"))),"",1))</f>
        <v/>
      </c>
      <c r="Y59" s="221" t="str">
        <f ca="1">IF(X59=1,V59,"")</f>
        <v/>
      </c>
      <c r="Z59" s="231" t="str">
        <f t="shared" ref="Z59:AB74" ca="1" si="22">IF($R59="","",IF(ISBLANK(INDIRECT(ADDRESS($R59,Z$1,1,,"Score"))),"",1))</f>
        <v/>
      </c>
      <c r="AA59" s="231" t="str">
        <f t="shared" ca="1" si="22"/>
        <v/>
      </c>
      <c r="AB59" s="231" t="str">
        <f t="shared" ca="1" si="22"/>
        <v/>
      </c>
      <c r="AC59" s="201" t="str">
        <f t="shared" ref="AC59:AC78" ca="1" si="23">IF($R59="","",INDIRECT(ADDRESS($R59,AC$1,1,,"Score")))</f>
        <v/>
      </c>
      <c r="AD59" s="146" t="str">
        <f ca="1">N59</f>
        <v/>
      </c>
      <c r="AE59" s="146" t="str">
        <f ca="1">IF(OR(AD59="",AD59=0),"",60*U59/AD59)</f>
        <v/>
      </c>
    </row>
    <row r="60" spans="1:31" x14ac:dyDescent="0.25">
      <c r="A60" s="203"/>
      <c r="B60" s="201" t="str">
        <f ca="1">IF($B59="","",IF(INDIRECT(ADDRESS($B59+1,C$1-1,1,,"Score"))="SP",$B59+1,""))</f>
        <v/>
      </c>
      <c r="C60" s="202" t="str">
        <f t="shared" ca="1" si="18"/>
        <v/>
      </c>
      <c r="D60" s="201" t="str">
        <f t="shared" ca="1" si="18"/>
        <v/>
      </c>
      <c r="E60" s="203"/>
      <c r="F60" s="203"/>
      <c r="G60" s="231"/>
      <c r="H60" s="231"/>
      <c r="I60" s="221"/>
      <c r="J60" s="231" t="str">
        <f t="shared" ca="1" si="19"/>
        <v/>
      </c>
      <c r="K60" s="231" t="str">
        <f t="shared" ca="1" si="19"/>
        <v/>
      </c>
      <c r="L60" s="231" t="str">
        <f t="shared" ca="1" si="19"/>
        <v/>
      </c>
      <c r="M60" s="201" t="str">
        <f t="shared" ca="1" si="20"/>
        <v/>
      </c>
      <c r="N60" s="146"/>
      <c r="O60" s="146"/>
      <c r="Q60" s="203"/>
      <c r="R60" s="201" t="str">
        <f ca="1">IF($R59="","",IF(INDIRECT(ADDRESS($R59+1,S$1-1,1,,"Score"))="SP",$R59+1,""))</f>
        <v/>
      </c>
      <c r="S60" s="202" t="str">
        <f t="shared" ca="1" si="21"/>
        <v/>
      </c>
      <c r="T60" s="201" t="str">
        <f t="shared" ca="1" si="21"/>
        <v/>
      </c>
      <c r="U60" s="203"/>
      <c r="V60" s="203"/>
      <c r="W60" s="231"/>
      <c r="X60" s="231"/>
      <c r="Y60" s="221"/>
      <c r="Z60" s="231" t="str">
        <f t="shared" ca="1" si="22"/>
        <v/>
      </c>
      <c r="AA60" s="231" t="str">
        <f t="shared" ca="1" si="22"/>
        <v/>
      </c>
      <c r="AB60" s="231" t="str">
        <f t="shared" ca="1" si="22"/>
        <v/>
      </c>
      <c r="AC60" s="201" t="str">
        <f t="shared" ca="1" si="23"/>
        <v/>
      </c>
      <c r="AD60" s="146"/>
      <c r="AE60" s="146"/>
    </row>
    <row r="61" spans="1:31" x14ac:dyDescent="0.25">
      <c r="A61" s="222">
        <f>A59+1</f>
        <v>30</v>
      </c>
      <c r="B61" s="223" t="str">
        <f>IF(ISNA(MATCH($A61,Score!A$4:A$41,0)),"",MATCH($A61,Score!A$4:A$41,0)+ROW(Score!A$3))</f>
        <v/>
      </c>
      <c r="C61" s="224" t="str">
        <f t="shared" ca="1" si="18"/>
        <v/>
      </c>
      <c r="D61" s="223" t="str">
        <f t="shared" ca="1" si="18"/>
        <v/>
      </c>
      <c r="E61" s="222" t="str">
        <f>IF(B61="","",SUM(D61,D62))</f>
        <v/>
      </c>
      <c r="F61" s="222" t="str">
        <f>IF(B61="","",E61-U61)</f>
        <v/>
      </c>
      <c r="G61" s="225" t="str">
        <f ca="1">IF($B61="","",IF(ISBLANK(INDIRECT(ADDRESS($B61,G$1,1,,"Score"))),"",1))</f>
        <v/>
      </c>
      <c r="H61" s="225" t="str">
        <f ca="1">IF($B61="","",IF(ISBLANK(INDIRECT(ADDRESS($B61,H$1,1,,"Score"))),"",1))</f>
        <v/>
      </c>
      <c r="I61" s="227" t="str">
        <f ca="1">IF(H61=1,F61,"")</f>
        <v/>
      </c>
      <c r="J61" s="225" t="str">
        <f t="shared" ca="1" si="19"/>
        <v/>
      </c>
      <c r="K61" s="225" t="str">
        <f t="shared" ca="1" si="19"/>
        <v/>
      </c>
      <c r="L61" s="225" t="str">
        <f t="shared" ca="1" si="19"/>
        <v/>
      </c>
      <c r="M61" s="223" t="str">
        <f t="shared" ca="1" si="20"/>
        <v/>
      </c>
      <c r="N61" s="146" t="str">
        <f ca="1">IF(ISNA(MATCH($A61,'Game Clock'!A$11:A$48,0)),"",INDIRECT(ADDRESS(MATCH($A61,'Game Clock'!A$11:A$48,0)+ROW('Game Clock'!A$10),N$1,1,,"Game Clock")))</f>
        <v/>
      </c>
      <c r="O61" s="222" t="str">
        <f ca="1">IF(OR(N61="",N61=0),"",60*E61/N61)</f>
        <v/>
      </c>
      <c r="Q61" s="222">
        <f>Q59+1</f>
        <v>30</v>
      </c>
      <c r="R61" s="223" t="str">
        <f>IF(ISNA(MATCH($Q61,Score!T$4:T$41,0)),"",MATCH($Q61,Score!T$4:T$41,0)++ROW(Score!T$3))</f>
        <v/>
      </c>
      <c r="S61" s="224" t="str">
        <f t="shared" ca="1" si="21"/>
        <v/>
      </c>
      <c r="T61" s="223" t="str">
        <f t="shared" ca="1" si="21"/>
        <v/>
      </c>
      <c r="U61" s="222" t="str">
        <f>IF(R61="","",SUM(T61,T62))</f>
        <v/>
      </c>
      <c r="V61" s="222" t="str">
        <f>IF(R61="","",U61-E61)</f>
        <v/>
      </c>
      <c r="W61" s="225" t="str">
        <f ca="1">IF($R61="","",IF(ISBLANK(INDIRECT(ADDRESS($R61,W$1,1,,"Score"))),"",1))</f>
        <v/>
      </c>
      <c r="X61" s="225" t="str">
        <f ca="1">IF($R61="","",IF(ISBLANK(INDIRECT(ADDRESS($R61,X$1,1,,"Score"))),"",1))</f>
        <v/>
      </c>
      <c r="Y61" s="227" t="str">
        <f ca="1">IF(X61=1,V61,"")</f>
        <v/>
      </c>
      <c r="Z61" s="225" t="str">
        <f t="shared" ca="1" si="22"/>
        <v/>
      </c>
      <c r="AA61" s="225" t="str">
        <f t="shared" ca="1" si="22"/>
        <v/>
      </c>
      <c r="AB61" s="225" t="str">
        <f t="shared" ca="1" si="22"/>
        <v/>
      </c>
      <c r="AC61" s="223" t="str">
        <f t="shared" ca="1" si="23"/>
        <v/>
      </c>
      <c r="AD61" s="222" t="str">
        <f ca="1">N61</f>
        <v/>
      </c>
      <c r="AE61" s="222" t="str">
        <f ca="1">IF(OR(AD61="",AD61=0),"",60*U61/AD61)</f>
        <v/>
      </c>
    </row>
    <row r="62" spans="1:31" x14ac:dyDescent="0.3">
      <c r="A62" s="222"/>
      <c r="B62" s="223" t="str">
        <f ca="1">IF($B61="","",IF(INDIRECT(ADDRESS($B61+1,C$1-1,1,,"Score"))="SP",$B61+1,""))</f>
        <v/>
      </c>
      <c r="C62" s="224" t="str">
        <f t="shared" ca="1" si="18"/>
        <v/>
      </c>
      <c r="D62" s="223" t="str">
        <f t="shared" ca="1" si="18"/>
        <v/>
      </c>
      <c r="E62" s="222"/>
      <c r="F62" s="222"/>
      <c r="G62" s="225"/>
      <c r="H62" s="226"/>
      <c r="I62" s="227"/>
      <c r="J62" s="225" t="str">
        <f t="shared" ca="1" si="19"/>
        <v/>
      </c>
      <c r="K62" s="225" t="str">
        <f t="shared" ca="1" si="19"/>
        <v/>
      </c>
      <c r="L62" s="225" t="str">
        <f t="shared" ca="1" si="19"/>
        <v/>
      </c>
      <c r="M62" s="223" t="str">
        <f t="shared" ca="1" si="20"/>
        <v/>
      </c>
      <c r="N62" s="222"/>
      <c r="O62" s="222"/>
      <c r="Q62" s="222"/>
      <c r="R62" s="223" t="str">
        <f ca="1">IF($R61="","",IF(INDIRECT(ADDRESS($R61+1,S$1-1,1,,"Score"))="SP",$R61+1,""))</f>
        <v/>
      </c>
      <c r="S62" s="224" t="str">
        <f t="shared" ca="1" si="21"/>
        <v/>
      </c>
      <c r="T62" s="223" t="str">
        <f t="shared" ca="1" si="21"/>
        <v/>
      </c>
      <c r="U62" s="222"/>
      <c r="V62" s="222"/>
      <c r="W62" s="225"/>
      <c r="X62" s="226"/>
      <c r="Y62" s="227"/>
      <c r="Z62" s="225" t="str">
        <f t="shared" ca="1" si="22"/>
        <v/>
      </c>
      <c r="AA62" s="225" t="str">
        <f t="shared" ca="1" si="22"/>
        <v/>
      </c>
      <c r="AB62" s="225" t="str">
        <f t="shared" ca="1" si="22"/>
        <v/>
      </c>
      <c r="AC62" s="223" t="str">
        <f t="shared" ca="1" si="23"/>
        <v/>
      </c>
      <c r="AD62" s="222"/>
      <c r="AE62" s="222"/>
    </row>
    <row r="63" spans="1:31" x14ac:dyDescent="0.25">
      <c r="A63" s="203">
        <f>A61+1</f>
        <v>31</v>
      </c>
      <c r="B63" s="201" t="str">
        <f>IF(ISNA(MATCH($A63,Score!A$4:A$41,0)),"",MATCH($A63,Score!A$4:A$41,0)+ROW(Score!A$3))</f>
        <v/>
      </c>
      <c r="C63" s="202" t="str">
        <f t="shared" ca="1" si="18"/>
        <v/>
      </c>
      <c r="D63" s="201" t="str">
        <f t="shared" ca="1" si="18"/>
        <v/>
      </c>
      <c r="E63" s="203" t="str">
        <f>IF(B63="","",SUM(D63,D64))</f>
        <v/>
      </c>
      <c r="F63" s="203" t="str">
        <f>IF(B63="","",E63-U63)</f>
        <v/>
      </c>
      <c r="G63" s="231" t="str">
        <f ca="1">IF($B63="","",IF(ISBLANK(INDIRECT(ADDRESS($B63,G$1,1,,"Score"))),"",1))</f>
        <v/>
      </c>
      <c r="H63" s="231" t="str">
        <f ca="1">IF($B63="","",IF(ISBLANK(INDIRECT(ADDRESS($B63,H$1,1,,"Score"))),"",1))</f>
        <v/>
      </c>
      <c r="I63" s="221" t="str">
        <f ca="1">IF(H63=1,F63,"")</f>
        <v/>
      </c>
      <c r="J63" s="231" t="str">
        <f t="shared" ca="1" si="19"/>
        <v/>
      </c>
      <c r="K63" s="231" t="str">
        <f t="shared" ca="1" si="19"/>
        <v/>
      </c>
      <c r="L63" s="231" t="str">
        <f t="shared" ca="1" si="19"/>
        <v/>
      </c>
      <c r="M63" s="201" t="str">
        <f t="shared" ca="1" si="20"/>
        <v/>
      </c>
      <c r="N63" s="146" t="str">
        <f ca="1">IF(ISNA(MATCH($A63,'Game Clock'!A$11:A$48,0)),"",INDIRECT(ADDRESS(MATCH($A63,'Game Clock'!A$11:A$48,0)+ROW('Game Clock'!A$10),N$1,1,,"Game Clock")))</f>
        <v/>
      </c>
      <c r="O63" s="146" t="str">
        <f ca="1">IF(OR(N63="",N63=0),"",60*E63/N63)</f>
        <v/>
      </c>
      <c r="Q63" s="203">
        <f>Q61+1</f>
        <v>31</v>
      </c>
      <c r="R63" s="201" t="str">
        <f>IF(ISNA(MATCH($Q63,Score!T$4:T$41,0)),"",MATCH($Q63,Score!T$4:T$41,0)++ROW(Score!T$3))</f>
        <v/>
      </c>
      <c r="S63" s="202" t="str">
        <f t="shared" ca="1" si="21"/>
        <v/>
      </c>
      <c r="T63" s="201" t="str">
        <f t="shared" ca="1" si="21"/>
        <v/>
      </c>
      <c r="U63" s="203" t="str">
        <f>IF(R63="","",SUM(T63,T64))</f>
        <v/>
      </c>
      <c r="V63" s="203" t="str">
        <f>IF(R63="","",U63-E63)</f>
        <v/>
      </c>
      <c r="W63" s="231" t="str">
        <f ca="1">IF($R63="","",IF(ISBLANK(INDIRECT(ADDRESS($R63,W$1,1,,"Score"))),"",1))</f>
        <v/>
      </c>
      <c r="X63" s="231" t="str">
        <f ca="1">IF($R63="","",IF(ISBLANK(INDIRECT(ADDRESS($R63,X$1,1,,"Score"))),"",1))</f>
        <v/>
      </c>
      <c r="Y63" s="221" t="str">
        <f ca="1">IF(X63=1,V63,"")</f>
        <v/>
      </c>
      <c r="Z63" s="231" t="str">
        <f t="shared" ca="1" si="22"/>
        <v/>
      </c>
      <c r="AA63" s="231" t="str">
        <f t="shared" ca="1" si="22"/>
        <v/>
      </c>
      <c r="AB63" s="231" t="str">
        <f t="shared" ca="1" si="22"/>
        <v/>
      </c>
      <c r="AC63" s="201" t="str">
        <f t="shared" ca="1" si="23"/>
        <v/>
      </c>
      <c r="AD63" s="146" t="str">
        <f ca="1">N63</f>
        <v/>
      </c>
      <c r="AE63" s="146" t="str">
        <f ca="1">IF(OR(AD63="",AD63=0),"",60*U63/AD63)</f>
        <v/>
      </c>
    </row>
    <row r="64" spans="1:31" x14ac:dyDescent="0.25">
      <c r="A64" s="203"/>
      <c r="B64" s="201" t="str">
        <f ca="1">IF($B63="","",IF(INDIRECT(ADDRESS($B63+1,C$1-1,1,,"Score"))="SP",$B63+1,""))</f>
        <v/>
      </c>
      <c r="C64" s="202" t="str">
        <f t="shared" ca="1" si="18"/>
        <v/>
      </c>
      <c r="D64" s="201" t="str">
        <f t="shared" ca="1" si="18"/>
        <v/>
      </c>
      <c r="E64" s="203"/>
      <c r="F64" s="203"/>
      <c r="G64" s="231"/>
      <c r="H64" s="231"/>
      <c r="I64" s="221"/>
      <c r="J64" s="231" t="str">
        <f t="shared" ca="1" si="19"/>
        <v/>
      </c>
      <c r="K64" s="231" t="str">
        <f t="shared" ca="1" si="19"/>
        <v/>
      </c>
      <c r="L64" s="231" t="str">
        <f t="shared" ca="1" si="19"/>
        <v/>
      </c>
      <c r="M64" s="201" t="str">
        <f t="shared" ca="1" si="20"/>
        <v/>
      </c>
      <c r="N64" s="146"/>
      <c r="O64" s="146"/>
      <c r="Q64" s="203"/>
      <c r="R64" s="201" t="str">
        <f ca="1">IF($R63="","",IF(INDIRECT(ADDRESS($R63+1,S$1-1,1,,"Score"))="SP",$R63+1,""))</f>
        <v/>
      </c>
      <c r="S64" s="202" t="str">
        <f t="shared" ca="1" si="21"/>
        <v/>
      </c>
      <c r="T64" s="201" t="str">
        <f t="shared" ca="1" si="21"/>
        <v/>
      </c>
      <c r="U64" s="203"/>
      <c r="V64" s="203"/>
      <c r="W64" s="231"/>
      <c r="X64" s="231"/>
      <c r="Y64" s="221"/>
      <c r="Z64" s="231" t="str">
        <f t="shared" ca="1" si="22"/>
        <v/>
      </c>
      <c r="AA64" s="231" t="str">
        <f t="shared" ca="1" si="22"/>
        <v/>
      </c>
      <c r="AB64" s="231" t="str">
        <f t="shared" ca="1" si="22"/>
        <v/>
      </c>
      <c r="AC64" s="201" t="str">
        <f t="shared" ca="1" si="23"/>
        <v/>
      </c>
      <c r="AD64" s="146"/>
      <c r="AE64" s="146"/>
    </row>
    <row r="65" spans="1:31" x14ac:dyDescent="0.25">
      <c r="A65" s="222">
        <f>A63+1</f>
        <v>32</v>
      </c>
      <c r="B65" s="223" t="str">
        <f>IF(ISNA(MATCH($A65,Score!A$4:A$41,0)),"",MATCH($A65,Score!A$4:A$41,0)+ROW(Score!A$3))</f>
        <v/>
      </c>
      <c r="C65" s="224" t="str">
        <f t="shared" ca="1" si="18"/>
        <v/>
      </c>
      <c r="D65" s="223" t="str">
        <f t="shared" ca="1" si="18"/>
        <v/>
      </c>
      <c r="E65" s="222" t="str">
        <f>IF(B65="","",SUM(D65,D66))</f>
        <v/>
      </c>
      <c r="F65" s="222" t="str">
        <f>IF(B65="","",E65-U65)</f>
        <v/>
      </c>
      <c r="G65" s="225" t="str">
        <f ca="1">IF($B65="","",IF(ISBLANK(INDIRECT(ADDRESS($B65,G$1,1,,"Score"))),"",1))</f>
        <v/>
      </c>
      <c r="H65" s="225" t="str">
        <f ca="1">IF($B65="","",IF(ISBLANK(INDIRECT(ADDRESS($B65,H$1,1,,"Score"))),"",1))</f>
        <v/>
      </c>
      <c r="I65" s="227" t="str">
        <f ca="1">IF(H65=1,F65,"")</f>
        <v/>
      </c>
      <c r="J65" s="225" t="str">
        <f t="shared" ca="1" si="19"/>
        <v/>
      </c>
      <c r="K65" s="225" t="str">
        <f t="shared" ca="1" si="19"/>
        <v/>
      </c>
      <c r="L65" s="225" t="str">
        <f t="shared" ca="1" si="19"/>
        <v/>
      </c>
      <c r="M65" s="223" t="str">
        <f t="shared" ca="1" si="20"/>
        <v/>
      </c>
      <c r="N65" s="146" t="str">
        <f ca="1">IF(ISNA(MATCH($A65,'Game Clock'!A$11:A$48,0)),"",INDIRECT(ADDRESS(MATCH($A65,'Game Clock'!A$11:A$48,0)+ROW('Game Clock'!A$10),N$1,1,,"Game Clock")))</f>
        <v/>
      </c>
      <c r="O65" s="222" t="str">
        <f ca="1">IF(OR(N65="",N65=0),"",60*E65/N65)</f>
        <v/>
      </c>
      <c r="Q65" s="222">
        <f>Q63+1</f>
        <v>32</v>
      </c>
      <c r="R65" s="223" t="str">
        <f>IF(ISNA(MATCH($Q65,Score!T$4:T$41,0)),"",MATCH($Q65,Score!T$4:T$41,0)++ROW(Score!T$3))</f>
        <v/>
      </c>
      <c r="S65" s="224" t="str">
        <f t="shared" ca="1" si="21"/>
        <v/>
      </c>
      <c r="T65" s="223" t="str">
        <f t="shared" ca="1" si="21"/>
        <v/>
      </c>
      <c r="U65" s="222" t="str">
        <f>IF(R65="","",SUM(T65,T66))</f>
        <v/>
      </c>
      <c r="V65" s="222" t="str">
        <f>IF(R65="","",U65-E65)</f>
        <v/>
      </c>
      <c r="W65" s="225" t="str">
        <f ca="1">IF($R65="","",IF(ISBLANK(INDIRECT(ADDRESS($R65,W$1,1,,"Score"))),"",1))</f>
        <v/>
      </c>
      <c r="X65" s="225" t="str">
        <f ca="1">IF($R65="","",IF(ISBLANK(INDIRECT(ADDRESS($R65,X$1,1,,"Score"))),"",1))</f>
        <v/>
      </c>
      <c r="Y65" s="227" t="str">
        <f ca="1">IF(X65=1,V65,"")</f>
        <v/>
      </c>
      <c r="Z65" s="225" t="str">
        <f t="shared" ca="1" si="22"/>
        <v/>
      </c>
      <c r="AA65" s="225" t="str">
        <f t="shared" ca="1" si="22"/>
        <v/>
      </c>
      <c r="AB65" s="225" t="str">
        <f t="shared" ca="1" si="22"/>
        <v/>
      </c>
      <c r="AC65" s="223" t="str">
        <f t="shared" ca="1" si="23"/>
        <v/>
      </c>
      <c r="AD65" s="222" t="str">
        <f ca="1">N65</f>
        <v/>
      </c>
      <c r="AE65" s="222" t="str">
        <f ca="1">IF(OR(AD65="",AD65=0),"",60*U65/AD65)</f>
        <v/>
      </c>
    </row>
    <row r="66" spans="1:31" x14ac:dyDescent="0.3">
      <c r="A66" s="222"/>
      <c r="B66" s="223" t="str">
        <f ca="1">IF($B65="","",IF(INDIRECT(ADDRESS($B65+1,C$1-1,1,,"Score"))="SP",$B65+1,""))</f>
        <v/>
      </c>
      <c r="C66" s="224" t="str">
        <f t="shared" ca="1" si="18"/>
        <v/>
      </c>
      <c r="D66" s="223" t="str">
        <f t="shared" ca="1" si="18"/>
        <v/>
      </c>
      <c r="E66" s="222"/>
      <c r="F66" s="222"/>
      <c r="G66" s="225"/>
      <c r="H66" s="226"/>
      <c r="I66" s="227"/>
      <c r="J66" s="225" t="str">
        <f t="shared" ca="1" si="19"/>
        <v/>
      </c>
      <c r="K66" s="225" t="str">
        <f t="shared" ca="1" si="19"/>
        <v/>
      </c>
      <c r="L66" s="225" t="str">
        <f t="shared" ca="1" si="19"/>
        <v/>
      </c>
      <c r="M66" s="223" t="str">
        <f t="shared" ca="1" si="20"/>
        <v/>
      </c>
      <c r="N66" s="222"/>
      <c r="O66" s="222"/>
      <c r="Q66" s="222"/>
      <c r="R66" s="223" t="str">
        <f ca="1">IF($R65="","",IF(INDIRECT(ADDRESS($R65+1,S$1-1,1,,"Score"))="SP",$R65+1,""))</f>
        <v/>
      </c>
      <c r="S66" s="224" t="str">
        <f t="shared" ca="1" si="21"/>
        <v/>
      </c>
      <c r="T66" s="223" t="str">
        <f t="shared" ca="1" si="21"/>
        <v/>
      </c>
      <c r="U66" s="222"/>
      <c r="V66" s="222"/>
      <c r="W66" s="225"/>
      <c r="X66" s="226"/>
      <c r="Y66" s="227"/>
      <c r="Z66" s="225" t="str">
        <f t="shared" ca="1" si="22"/>
        <v/>
      </c>
      <c r="AA66" s="225" t="str">
        <f t="shared" ca="1" si="22"/>
        <v/>
      </c>
      <c r="AB66" s="225" t="str">
        <f t="shared" ca="1" si="22"/>
        <v/>
      </c>
      <c r="AC66" s="223" t="str">
        <f t="shared" ca="1" si="23"/>
        <v/>
      </c>
      <c r="AD66" s="222"/>
      <c r="AE66" s="222"/>
    </row>
    <row r="67" spans="1:31" x14ac:dyDescent="0.25">
      <c r="A67" s="203">
        <f>A65+1</f>
        <v>33</v>
      </c>
      <c r="B67" s="201" t="str">
        <f>IF(ISNA(MATCH($A67,Score!A$4:A$41,0)),"",MATCH($A67,Score!A$4:A$41,0)+ROW(Score!A$3))</f>
        <v/>
      </c>
      <c r="C67" s="202" t="str">
        <f t="shared" ca="1" si="18"/>
        <v/>
      </c>
      <c r="D67" s="201" t="str">
        <f t="shared" ca="1" si="18"/>
        <v/>
      </c>
      <c r="E67" s="203" t="str">
        <f>IF(B67="","",SUM(D67,D68))</f>
        <v/>
      </c>
      <c r="F67" s="203" t="str">
        <f>IF(B67="","",E67-U67)</f>
        <v/>
      </c>
      <c r="G67" s="231" t="str">
        <f ca="1">IF($B67="","",IF(ISBLANK(INDIRECT(ADDRESS($B67,G$1,1,,"Score"))),"",1))</f>
        <v/>
      </c>
      <c r="H67" s="231" t="str">
        <f ca="1">IF($B67="","",IF(ISBLANK(INDIRECT(ADDRESS($B67,H$1,1,,"Score"))),"",1))</f>
        <v/>
      </c>
      <c r="I67" s="221" t="str">
        <f ca="1">IF(H67=1,F67,"")</f>
        <v/>
      </c>
      <c r="J67" s="231" t="str">
        <f t="shared" ca="1" si="19"/>
        <v/>
      </c>
      <c r="K67" s="231" t="str">
        <f t="shared" ca="1" si="19"/>
        <v/>
      </c>
      <c r="L67" s="231" t="str">
        <f t="shared" ca="1" si="19"/>
        <v/>
      </c>
      <c r="M67" s="201" t="str">
        <f t="shared" ca="1" si="20"/>
        <v/>
      </c>
      <c r="N67" s="146" t="str">
        <f ca="1">IF(ISNA(MATCH($A67,'Game Clock'!A$11:A$48,0)),"",INDIRECT(ADDRESS(MATCH($A67,'Game Clock'!A$11:A$48,0)+ROW('Game Clock'!A$10),N$1,1,,"Game Clock")))</f>
        <v/>
      </c>
      <c r="O67" s="146" t="str">
        <f ca="1">IF(OR(N67="",N67=0),"",60*E67/N67)</f>
        <v/>
      </c>
      <c r="Q67" s="203">
        <f>Q65+1</f>
        <v>33</v>
      </c>
      <c r="R67" s="201" t="str">
        <f>IF(ISNA(MATCH($Q67,Score!T$4:T$41,0)),"",MATCH($Q67,Score!T$4:T$41,0)++ROW(Score!T$3))</f>
        <v/>
      </c>
      <c r="S67" s="202" t="str">
        <f t="shared" ca="1" si="21"/>
        <v/>
      </c>
      <c r="T67" s="201" t="str">
        <f t="shared" ca="1" si="21"/>
        <v/>
      </c>
      <c r="U67" s="203" t="str">
        <f>IF(R67="","",SUM(T67,T68))</f>
        <v/>
      </c>
      <c r="V67" s="203" t="str">
        <f>IF(R67="","",U67-E67)</f>
        <v/>
      </c>
      <c r="W67" s="231" t="str">
        <f ca="1">IF($R67="","",IF(ISBLANK(INDIRECT(ADDRESS($R67,W$1,1,,"Score"))),"",1))</f>
        <v/>
      </c>
      <c r="X67" s="231" t="str">
        <f ca="1">IF($R67="","",IF(ISBLANK(INDIRECT(ADDRESS($R67,X$1,1,,"Score"))),"",1))</f>
        <v/>
      </c>
      <c r="Y67" s="221" t="str">
        <f ca="1">IF(X67=1,V67,"")</f>
        <v/>
      </c>
      <c r="Z67" s="231" t="str">
        <f t="shared" ca="1" si="22"/>
        <v/>
      </c>
      <c r="AA67" s="231" t="str">
        <f t="shared" ca="1" si="22"/>
        <v/>
      </c>
      <c r="AB67" s="231" t="str">
        <f t="shared" ca="1" si="22"/>
        <v/>
      </c>
      <c r="AC67" s="201" t="str">
        <f t="shared" ca="1" si="23"/>
        <v/>
      </c>
      <c r="AD67" s="146" t="str">
        <f ca="1">N67</f>
        <v/>
      </c>
      <c r="AE67" s="146" t="str">
        <f ca="1">IF(OR(AD67="",AD67=0),"",60*U67/AD67)</f>
        <v/>
      </c>
    </row>
    <row r="68" spans="1:31" x14ac:dyDescent="0.25">
      <c r="A68" s="203"/>
      <c r="B68" s="201" t="str">
        <f ca="1">IF($B67="","",IF(INDIRECT(ADDRESS($B67+1,C$1-1,1,,"Score"))="SP",$B67+1,""))</f>
        <v/>
      </c>
      <c r="C68" s="202" t="str">
        <f t="shared" ca="1" si="18"/>
        <v/>
      </c>
      <c r="D68" s="201" t="str">
        <f t="shared" ca="1" si="18"/>
        <v/>
      </c>
      <c r="E68" s="203"/>
      <c r="F68" s="203"/>
      <c r="G68" s="231"/>
      <c r="H68" s="231"/>
      <c r="I68" s="221"/>
      <c r="J68" s="231" t="str">
        <f t="shared" ca="1" si="19"/>
        <v/>
      </c>
      <c r="K68" s="231" t="str">
        <f t="shared" ca="1" si="19"/>
        <v/>
      </c>
      <c r="L68" s="231" t="str">
        <f t="shared" ca="1" si="19"/>
        <v/>
      </c>
      <c r="M68" s="201" t="str">
        <f t="shared" ca="1" si="20"/>
        <v/>
      </c>
      <c r="N68" s="146"/>
      <c r="O68" s="146"/>
      <c r="Q68" s="203"/>
      <c r="R68" s="201" t="str">
        <f ca="1">IF($R67="","",IF(INDIRECT(ADDRESS($R67+1,S$1-1,1,,"Score"))="SP",$R67+1,""))</f>
        <v/>
      </c>
      <c r="S68" s="202" t="str">
        <f t="shared" ca="1" si="21"/>
        <v/>
      </c>
      <c r="T68" s="201" t="str">
        <f t="shared" ca="1" si="21"/>
        <v/>
      </c>
      <c r="U68" s="203"/>
      <c r="V68" s="203"/>
      <c r="W68" s="231"/>
      <c r="X68" s="231"/>
      <c r="Y68" s="221"/>
      <c r="Z68" s="231" t="str">
        <f t="shared" ca="1" si="22"/>
        <v/>
      </c>
      <c r="AA68" s="231" t="str">
        <f t="shared" ca="1" si="22"/>
        <v/>
      </c>
      <c r="AB68" s="231" t="str">
        <f t="shared" ca="1" si="22"/>
        <v/>
      </c>
      <c r="AC68" s="201" t="str">
        <f t="shared" ca="1" si="23"/>
        <v/>
      </c>
      <c r="AD68" s="146"/>
      <c r="AE68" s="146"/>
    </row>
    <row r="69" spans="1:31" x14ac:dyDescent="0.25">
      <c r="A69" s="222">
        <f>A67+1</f>
        <v>34</v>
      </c>
      <c r="B69" s="223" t="str">
        <f>IF(ISNA(MATCH($A69,Score!A$4:A$41,0)),"",MATCH($A69,Score!A$4:A$41,0)+ROW(Score!A$3))</f>
        <v/>
      </c>
      <c r="C69" s="224" t="str">
        <f t="shared" ca="1" si="18"/>
        <v/>
      </c>
      <c r="D69" s="223" t="str">
        <f t="shared" ca="1" si="18"/>
        <v/>
      </c>
      <c r="E69" s="222" t="str">
        <f>IF(B69="","",SUM(D69,D70))</f>
        <v/>
      </c>
      <c r="F69" s="222" t="str">
        <f>IF(B69="","",E69-U69)</f>
        <v/>
      </c>
      <c r="G69" s="225" t="str">
        <f ca="1">IF($B69="","",IF(ISBLANK(INDIRECT(ADDRESS($B69,G$1,1,,"Score"))),"",1))</f>
        <v/>
      </c>
      <c r="H69" s="225" t="str">
        <f ca="1">IF($B69="","",IF(ISBLANK(INDIRECT(ADDRESS($B69,H$1,1,,"Score"))),"",1))</f>
        <v/>
      </c>
      <c r="I69" s="227" t="str">
        <f ca="1">IF(H69=1,F69,"")</f>
        <v/>
      </c>
      <c r="J69" s="225" t="str">
        <f t="shared" ca="1" si="19"/>
        <v/>
      </c>
      <c r="K69" s="225" t="str">
        <f t="shared" ca="1" si="19"/>
        <v/>
      </c>
      <c r="L69" s="225" t="str">
        <f t="shared" ca="1" si="19"/>
        <v/>
      </c>
      <c r="M69" s="223" t="str">
        <f t="shared" ca="1" si="20"/>
        <v/>
      </c>
      <c r="N69" s="146" t="str">
        <f ca="1">IF(ISNA(MATCH($A69,'Game Clock'!A$11:A$48,0)),"",INDIRECT(ADDRESS(MATCH($A69,'Game Clock'!A$11:A$48,0)+ROW('Game Clock'!A$10),N$1,1,,"Game Clock")))</f>
        <v/>
      </c>
      <c r="O69" s="222" t="str">
        <f ca="1">IF(OR(N69="",N69=0),"",60*E69/N69)</f>
        <v/>
      </c>
      <c r="Q69" s="222">
        <f>Q67+1</f>
        <v>34</v>
      </c>
      <c r="R69" s="223" t="str">
        <f>IF(ISNA(MATCH($Q69,Score!T$4:T$41,0)),"",MATCH($Q69,Score!T$4:T$41,0)++ROW(Score!T$3))</f>
        <v/>
      </c>
      <c r="S69" s="224" t="str">
        <f t="shared" ca="1" si="21"/>
        <v/>
      </c>
      <c r="T69" s="223" t="str">
        <f t="shared" ca="1" si="21"/>
        <v/>
      </c>
      <c r="U69" s="222" t="str">
        <f>IF(R69="","",SUM(T69,T70))</f>
        <v/>
      </c>
      <c r="V69" s="222" t="str">
        <f>IF(R69="","",U69-E69)</f>
        <v/>
      </c>
      <c r="W69" s="225" t="str">
        <f ca="1">IF($R69="","",IF(ISBLANK(INDIRECT(ADDRESS($R69,W$1,1,,"Score"))),"",1))</f>
        <v/>
      </c>
      <c r="X69" s="225" t="str">
        <f ca="1">IF($R69="","",IF(ISBLANK(INDIRECT(ADDRESS($R69,X$1,1,,"Score"))),"",1))</f>
        <v/>
      </c>
      <c r="Y69" s="227" t="str">
        <f ca="1">IF(X69=1,V69,"")</f>
        <v/>
      </c>
      <c r="Z69" s="225" t="str">
        <f t="shared" ca="1" si="22"/>
        <v/>
      </c>
      <c r="AA69" s="225" t="str">
        <f t="shared" ca="1" si="22"/>
        <v/>
      </c>
      <c r="AB69" s="225" t="str">
        <f t="shared" ca="1" si="22"/>
        <v/>
      </c>
      <c r="AC69" s="223" t="str">
        <f t="shared" ca="1" si="23"/>
        <v/>
      </c>
      <c r="AD69" s="222" t="str">
        <f ca="1">N69</f>
        <v/>
      </c>
      <c r="AE69" s="222" t="str">
        <f ca="1">IF(OR(AD69="",AD69=0),"",60*U69/AD69)</f>
        <v/>
      </c>
    </row>
    <row r="70" spans="1:31" x14ac:dyDescent="0.3">
      <c r="A70" s="222"/>
      <c r="B70" s="223" t="str">
        <f ca="1">IF($B69="","",IF(INDIRECT(ADDRESS($B69+1,C$1-1,1,,"Score"))="SP",$B69+1,""))</f>
        <v/>
      </c>
      <c r="C70" s="224" t="str">
        <f t="shared" ca="1" si="18"/>
        <v/>
      </c>
      <c r="D70" s="223" t="str">
        <f t="shared" ca="1" si="18"/>
        <v/>
      </c>
      <c r="E70" s="222"/>
      <c r="F70" s="222"/>
      <c r="G70" s="225"/>
      <c r="H70" s="226"/>
      <c r="I70" s="227"/>
      <c r="J70" s="225" t="str">
        <f t="shared" ca="1" si="19"/>
        <v/>
      </c>
      <c r="K70" s="225" t="str">
        <f t="shared" ca="1" si="19"/>
        <v/>
      </c>
      <c r="L70" s="225" t="str">
        <f t="shared" ca="1" si="19"/>
        <v/>
      </c>
      <c r="M70" s="223" t="str">
        <f t="shared" ca="1" si="20"/>
        <v/>
      </c>
      <c r="N70" s="222"/>
      <c r="O70" s="222"/>
      <c r="Q70" s="222"/>
      <c r="R70" s="223" t="str">
        <f ca="1">IF($R69="","",IF(INDIRECT(ADDRESS($R69+1,S$1-1,1,,"Score"))="SP",$R69+1,""))</f>
        <v/>
      </c>
      <c r="S70" s="224" t="str">
        <f t="shared" ca="1" si="21"/>
        <v/>
      </c>
      <c r="T70" s="223" t="str">
        <f t="shared" ca="1" si="21"/>
        <v/>
      </c>
      <c r="U70" s="222"/>
      <c r="V70" s="222"/>
      <c r="W70" s="225"/>
      <c r="X70" s="226"/>
      <c r="Y70" s="227"/>
      <c r="Z70" s="225" t="str">
        <f t="shared" ca="1" si="22"/>
        <v/>
      </c>
      <c r="AA70" s="225" t="str">
        <f t="shared" ca="1" si="22"/>
        <v/>
      </c>
      <c r="AB70" s="225" t="str">
        <f t="shared" ca="1" si="22"/>
        <v/>
      </c>
      <c r="AC70" s="223" t="str">
        <f t="shared" ca="1" si="23"/>
        <v/>
      </c>
      <c r="AD70" s="222"/>
      <c r="AE70" s="222"/>
    </row>
    <row r="71" spans="1:31" x14ac:dyDescent="0.25">
      <c r="A71" s="203">
        <f>A69+1</f>
        <v>35</v>
      </c>
      <c r="B71" s="201" t="str">
        <f>IF(ISNA(MATCH($A71,Score!A$4:A$41,0)),"",MATCH($A71,Score!A$4:A$41,0)+ROW(Score!A$3))</f>
        <v/>
      </c>
      <c r="C71" s="202" t="str">
        <f t="shared" ca="1" si="18"/>
        <v/>
      </c>
      <c r="D71" s="201" t="str">
        <f t="shared" ca="1" si="18"/>
        <v/>
      </c>
      <c r="E71" s="203" t="str">
        <f>IF(B71="","",SUM(D71,D72))</f>
        <v/>
      </c>
      <c r="F71" s="203" t="str">
        <f>IF(B71="","",E71-U71)</f>
        <v/>
      </c>
      <c r="G71" s="231" t="str">
        <f ca="1">IF($B71="","",IF(ISBLANK(INDIRECT(ADDRESS($B71,G$1,1,,"Score"))),"",1))</f>
        <v/>
      </c>
      <c r="H71" s="231" t="str">
        <f ca="1">IF($B71="","",IF(ISBLANK(INDIRECT(ADDRESS($B71,H$1,1,,"Score"))),"",1))</f>
        <v/>
      </c>
      <c r="I71" s="221" t="str">
        <f ca="1">IF(H71=1,F71,"")</f>
        <v/>
      </c>
      <c r="J71" s="231" t="str">
        <f t="shared" ca="1" si="19"/>
        <v/>
      </c>
      <c r="K71" s="231" t="str">
        <f t="shared" ca="1" si="19"/>
        <v/>
      </c>
      <c r="L71" s="231" t="str">
        <f t="shared" ca="1" si="19"/>
        <v/>
      </c>
      <c r="M71" s="201" t="str">
        <f t="shared" ca="1" si="20"/>
        <v/>
      </c>
      <c r="N71" s="146" t="str">
        <f ca="1">IF(ISNA(MATCH($A71,'Game Clock'!A$11:A$48,0)),"",INDIRECT(ADDRESS(MATCH($A71,'Game Clock'!A$11:A$48,0)+ROW('Game Clock'!A$10),N$1,1,,"Game Clock")))</f>
        <v/>
      </c>
      <c r="O71" s="146" t="str">
        <f ca="1">IF(OR(N71="",N71=0),"",60*E71/N71)</f>
        <v/>
      </c>
      <c r="Q71" s="203">
        <f>Q69+1</f>
        <v>35</v>
      </c>
      <c r="R71" s="201" t="str">
        <f>IF(ISNA(MATCH($Q71,Score!T$4:T$41,0)),"",MATCH($Q71,Score!T$4:T$41,0)++ROW(Score!T$3))</f>
        <v/>
      </c>
      <c r="S71" s="202" t="str">
        <f t="shared" ca="1" si="21"/>
        <v/>
      </c>
      <c r="T71" s="201" t="str">
        <f t="shared" ca="1" si="21"/>
        <v/>
      </c>
      <c r="U71" s="203" t="str">
        <f>IF(R71="","",SUM(T71,T72))</f>
        <v/>
      </c>
      <c r="V71" s="203" t="str">
        <f>IF(R71="","",U71-E71)</f>
        <v/>
      </c>
      <c r="W71" s="231" t="str">
        <f ca="1">IF($R71="","",IF(ISBLANK(INDIRECT(ADDRESS($R71,W$1,1,,"Score"))),"",1))</f>
        <v/>
      </c>
      <c r="X71" s="231" t="str">
        <f ca="1">IF($R71="","",IF(ISBLANK(INDIRECT(ADDRESS($R71,X$1,1,,"Score"))),"",1))</f>
        <v/>
      </c>
      <c r="Y71" s="221" t="str">
        <f ca="1">IF(X71=1,V71,"")</f>
        <v/>
      </c>
      <c r="Z71" s="231" t="str">
        <f t="shared" ca="1" si="22"/>
        <v/>
      </c>
      <c r="AA71" s="231" t="str">
        <f t="shared" ca="1" si="22"/>
        <v/>
      </c>
      <c r="AB71" s="231" t="str">
        <f t="shared" ca="1" si="22"/>
        <v/>
      </c>
      <c r="AC71" s="201" t="str">
        <f t="shared" ca="1" si="23"/>
        <v/>
      </c>
      <c r="AD71" s="146" t="str">
        <f ca="1">N71</f>
        <v/>
      </c>
      <c r="AE71" s="146" t="str">
        <f ca="1">IF(OR(AD71="",AD71=0),"",60*U71/AD71)</f>
        <v/>
      </c>
    </row>
    <row r="72" spans="1:31" x14ac:dyDescent="0.25">
      <c r="A72" s="203"/>
      <c r="B72" s="201" t="str">
        <f ca="1">IF($B71="","",IF(INDIRECT(ADDRESS($B71+1,C$1-1,1,,"Score"))="SP",$B71+1,""))</f>
        <v/>
      </c>
      <c r="C72" s="202" t="str">
        <f t="shared" ca="1" si="18"/>
        <v/>
      </c>
      <c r="D72" s="201" t="str">
        <f t="shared" ca="1" si="18"/>
        <v/>
      </c>
      <c r="E72" s="203"/>
      <c r="F72" s="203"/>
      <c r="G72" s="231"/>
      <c r="H72" s="231"/>
      <c r="I72" s="221"/>
      <c r="J72" s="231" t="str">
        <f t="shared" ca="1" si="19"/>
        <v/>
      </c>
      <c r="K72" s="231" t="str">
        <f t="shared" ca="1" si="19"/>
        <v/>
      </c>
      <c r="L72" s="231" t="str">
        <f t="shared" ca="1" si="19"/>
        <v/>
      </c>
      <c r="M72" s="201" t="str">
        <f t="shared" ca="1" si="20"/>
        <v/>
      </c>
      <c r="N72" s="146"/>
      <c r="O72" s="146"/>
      <c r="Q72" s="203"/>
      <c r="R72" s="201" t="str">
        <f ca="1">IF($R71="","",IF(INDIRECT(ADDRESS($R71+1,S$1-1,1,,"Score"))="SP",$R71+1,""))</f>
        <v/>
      </c>
      <c r="S72" s="202" t="str">
        <f t="shared" ca="1" si="21"/>
        <v/>
      </c>
      <c r="T72" s="201" t="str">
        <f t="shared" ca="1" si="21"/>
        <v/>
      </c>
      <c r="U72" s="203"/>
      <c r="V72" s="203"/>
      <c r="W72" s="231"/>
      <c r="X72" s="231"/>
      <c r="Y72" s="221"/>
      <c r="Z72" s="231" t="str">
        <f t="shared" ca="1" si="22"/>
        <v/>
      </c>
      <c r="AA72" s="231" t="str">
        <f t="shared" ca="1" si="22"/>
        <v/>
      </c>
      <c r="AB72" s="231" t="str">
        <f t="shared" ca="1" si="22"/>
        <v/>
      </c>
      <c r="AC72" s="201" t="str">
        <f t="shared" ca="1" si="23"/>
        <v/>
      </c>
      <c r="AD72" s="146"/>
      <c r="AE72" s="146"/>
    </row>
    <row r="73" spans="1:31" x14ac:dyDescent="0.25">
      <c r="A73" s="222">
        <f>A71+1</f>
        <v>36</v>
      </c>
      <c r="B73" s="223" t="str">
        <f>IF(ISNA(MATCH($A73,Score!A$4:A$41,0)),"",MATCH($A73,Score!A$4:A$41,0)+ROW(Score!A$3))</f>
        <v/>
      </c>
      <c r="C73" s="224" t="str">
        <f t="shared" ca="1" si="18"/>
        <v/>
      </c>
      <c r="D73" s="223" t="str">
        <f t="shared" ca="1" si="18"/>
        <v/>
      </c>
      <c r="E73" s="222" t="str">
        <f>IF(B73="","",SUM(D73,D74))</f>
        <v/>
      </c>
      <c r="F73" s="222" t="str">
        <f>IF(B73="","",E73-U73)</f>
        <v/>
      </c>
      <c r="G73" s="225" t="str">
        <f ca="1">IF($B73="","",IF(ISBLANK(INDIRECT(ADDRESS($B73,G$1,1,,"Score"))),"",1))</f>
        <v/>
      </c>
      <c r="H73" s="225" t="str">
        <f ca="1">IF($B73="","",IF(ISBLANK(INDIRECT(ADDRESS($B73,H$1,1,,"Score"))),"",1))</f>
        <v/>
      </c>
      <c r="I73" s="227" t="str">
        <f ca="1">IF(H73=1,F73,"")</f>
        <v/>
      </c>
      <c r="J73" s="225" t="str">
        <f t="shared" ca="1" si="19"/>
        <v/>
      </c>
      <c r="K73" s="225" t="str">
        <f t="shared" ca="1" si="19"/>
        <v/>
      </c>
      <c r="L73" s="225" t="str">
        <f t="shared" ca="1" si="19"/>
        <v/>
      </c>
      <c r="M73" s="223" t="str">
        <f t="shared" ca="1" si="20"/>
        <v/>
      </c>
      <c r="N73" s="146" t="str">
        <f ca="1">IF(ISNA(MATCH($A73,'Game Clock'!A$11:A$48,0)),"",INDIRECT(ADDRESS(MATCH($A73,'Game Clock'!A$11:A$48,0)+ROW('Game Clock'!A$10),N$1,1,,"Game Clock")))</f>
        <v/>
      </c>
      <c r="O73" s="222" t="str">
        <f ca="1">IF(OR(N73="",N73=0),"",60*E73/N73)</f>
        <v/>
      </c>
      <c r="Q73" s="222">
        <f>Q71+1</f>
        <v>36</v>
      </c>
      <c r="R73" s="223" t="str">
        <f>IF(ISNA(MATCH($Q73,Score!T$4:T$41,0)),"",MATCH($Q73,Score!T$4:T$41,0)++ROW(Score!T$3))</f>
        <v/>
      </c>
      <c r="S73" s="224" t="str">
        <f t="shared" ca="1" si="21"/>
        <v/>
      </c>
      <c r="T73" s="223" t="str">
        <f t="shared" ca="1" si="21"/>
        <v/>
      </c>
      <c r="U73" s="222" t="str">
        <f>IF(R73="","",SUM(T73,T74))</f>
        <v/>
      </c>
      <c r="V73" s="222" t="str">
        <f>IF(R73="","",U73-E73)</f>
        <v/>
      </c>
      <c r="W73" s="225" t="str">
        <f ca="1">IF($R73="","",IF(ISBLANK(INDIRECT(ADDRESS($R73,W$1,1,,"Score"))),"",1))</f>
        <v/>
      </c>
      <c r="X73" s="225" t="str">
        <f ca="1">IF($R73="","",IF(ISBLANK(INDIRECT(ADDRESS($R73,X$1,1,,"Score"))),"",1))</f>
        <v/>
      </c>
      <c r="Y73" s="227" t="str">
        <f ca="1">IF(X73=1,V73,"")</f>
        <v/>
      </c>
      <c r="Z73" s="225" t="str">
        <f t="shared" ca="1" si="22"/>
        <v/>
      </c>
      <c r="AA73" s="225" t="str">
        <f t="shared" ca="1" si="22"/>
        <v/>
      </c>
      <c r="AB73" s="225" t="str">
        <f t="shared" ca="1" si="22"/>
        <v/>
      </c>
      <c r="AC73" s="223" t="str">
        <f t="shared" ca="1" si="23"/>
        <v/>
      </c>
      <c r="AD73" s="222" t="str">
        <f ca="1">N73</f>
        <v/>
      </c>
      <c r="AE73" s="222" t="str">
        <f ca="1">IF(OR(AD73="",AD73=0),"",60*U73/AD73)</f>
        <v/>
      </c>
    </row>
    <row r="74" spans="1:31" x14ac:dyDescent="0.3">
      <c r="A74" s="222"/>
      <c r="B74" s="223" t="str">
        <f ca="1">IF($B73="","",IF(INDIRECT(ADDRESS($B73+1,C$1-1,1,,"Score"))="SP",$B73+1,""))</f>
        <v/>
      </c>
      <c r="C74" s="224" t="str">
        <f t="shared" ca="1" si="18"/>
        <v/>
      </c>
      <c r="D74" s="223" t="str">
        <f t="shared" ca="1" si="18"/>
        <v/>
      </c>
      <c r="E74" s="222"/>
      <c r="F74" s="222"/>
      <c r="G74" s="225"/>
      <c r="H74" s="226"/>
      <c r="I74" s="227"/>
      <c r="J74" s="225" t="str">
        <f t="shared" ca="1" si="19"/>
        <v/>
      </c>
      <c r="K74" s="225" t="str">
        <f t="shared" ca="1" si="19"/>
        <v/>
      </c>
      <c r="L74" s="225" t="str">
        <f t="shared" ca="1" si="19"/>
        <v/>
      </c>
      <c r="M74" s="223" t="str">
        <f t="shared" ca="1" si="20"/>
        <v/>
      </c>
      <c r="N74" s="222"/>
      <c r="O74" s="222"/>
      <c r="Q74" s="222"/>
      <c r="R74" s="223" t="str">
        <f ca="1">IF($R73="","",IF(INDIRECT(ADDRESS($R73+1,S$1-1,1,,"Score"))="SP",$R73+1,""))</f>
        <v/>
      </c>
      <c r="S74" s="224" t="str">
        <f t="shared" ca="1" si="21"/>
        <v/>
      </c>
      <c r="T74" s="223" t="str">
        <f t="shared" ca="1" si="21"/>
        <v/>
      </c>
      <c r="U74" s="222"/>
      <c r="V74" s="222"/>
      <c r="W74" s="225"/>
      <c r="X74" s="226"/>
      <c r="Y74" s="227"/>
      <c r="Z74" s="225" t="str">
        <f t="shared" ca="1" si="22"/>
        <v/>
      </c>
      <c r="AA74" s="225" t="str">
        <f t="shared" ca="1" si="22"/>
        <v/>
      </c>
      <c r="AB74" s="225" t="str">
        <f t="shared" ca="1" si="22"/>
        <v/>
      </c>
      <c r="AC74" s="223" t="str">
        <f t="shared" ca="1" si="23"/>
        <v/>
      </c>
      <c r="AD74" s="222"/>
      <c r="AE74" s="222"/>
    </row>
    <row r="75" spans="1:31" x14ac:dyDescent="0.25">
      <c r="A75" s="203">
        <f>A73+1</f>
        <v>37</v>
      </c>
      <c r="B75" s="201" t="str">
        <f>IF(ISNA(MATCH($A75,Score!A$4:A$41,0)),"",MATCH($A75,Score!A$4:A$41,0)+ROW(Score!A$3))</f>
        <v/>
      </c>
      <c r="C75" s="202" t="str">
        <f t="shared" ref="C75:D78" ca="1" si="24">IF($B75="","",INDIRECT(ADDRESS($B75,C$1,1,,"Score")))</f>
        <v/>
      </c>
      <c r="D75" s="201" t="str">
        <f t="shared" ca="1" si="24"/>
        <v/>
      </c>
      <c r="E75" s="203" t="str">
        <f>IF(B75="","",SUM(D75,D76))</f>
        <v/>
      </c>
      <c r="F75" s="203" t="str">
        <f>IF(B75="","",E75-U75)</f>
        <v/>
      </c>
      <c r="G75" s="231" t="str">
        <f ca="1">IF($B75="","",IF(ISBLANK(INDIRECT(ADDRESS($B75,G$1,1,,"Score"))),"",1))</f>
        <v/>
      </c>
      <c r="H75" s="231" t="str">
        <f ca="1">IF($B75="","",IF(ISBLANK(INDIRECT(ADDRESS($B75,H$1,1,,"Score"))),"",1))</f>
        <v/>
      </c>
      <c r="I75" s="221" t="str">
        <f ca="1">IF(H75=1,F75,"")</f>
        <v/>
      </c>
      <c r="J75" s="231" t="str">
        <f t="shared" ref="J75:L78" ca="1" si="25">IF($B75="","",IF(ISBLANK(INDIRECT(ADDRESS($B75,J$1,1,,"Score"))),"",1))</f>
        <v/>
      </c>
      <c r="K75" s="231" t="str">
        <f t="shared" ca="1" si="25"/>
        <v/>
      </c>
      <c r="L75" s="231" t="str">
        <f t="shared" ca="1" si="25"/>
        <v/>
      </c>
      <c r="M75" s="201" t="str">
        <f t="shared" ca="1" si="20"/>
        <v/>
      </c>
      <c r="N75" s="146" t="str">
        <f ca="1">IF(ISNA(MATCH($A75,'Game Clock'!A$11:A$48,0)),"",INDIRECT(ADDRESS(MATCH($A75,'Game Clock'!A$11:A$48,0)+ROW('Game Clock'!A$10),N$1,1,,"Game Clock")))</f>
        <v/>
      </c>
      <c r="O75" s="146" t="str">
        <f ca="1">IF(OR(N75="",N75=0),"",60*E75/N75)</f>
        <v/>
      </c>
      <c r="Q75" s="203">
        <f>Q73+1</f>
        <v>37</v>
      </c>
      <c r="R75" s="201" t="str">
        <f>IF(ISNA(MATCH($Q75,Score!T$4:T$41,0)),"",MATCH($Q75,Score!T$4:T$41,0)++ROW(Score!T$3))</f>
        <v/>
      </c>
      <c r="S75" s="202" t="str">
        <f t="shared" ref="S75:T78" ca="1" si="26">IF($R75="","",INDIRECT(ADDRESS($R75,S$1,1,,"Score")))</f>
        <v/>
      </c>
      <c r="T75" s="201" t="str">
        <f t="shared" ca="1" si="26"/>
        <v/>
      </c>
      <c r="U75" s="203" t="str">
        <f>IF(R75="","",SUM(T75,T76))</f>
        <v/>
      </c>
      <c r="V75" s="203" t="str">
        <f>IF(R75="","",U75-E75)</f>
        <v/>
      </c>
      <c r="W75" s="231" t="str">
        <f ca="1">IF($R75="","",IF(ISBLANK(INDIRECT(ADDRESS($R75,W$1,1,,"Score"))),"",1))</f>
        <v/>
      </c>
      <c r="X75" s="231" t="str">
        <f ca="1">IF($R75="","",IF(ISBLANK(INDIRECT(ADDRESS($R75,X$1,1,,"Score"))),"",1))</f>
        <v/>
      </c>
      <c r="Y75" s="221" t="str">
        <f ca="1">IF(X75=1,V75,"")</f>
        <v/>
      </c>
      <c r="Z75" s="231" t="str">
        <f t="shared" ref="Z75:AB78" ca="1" si="27">IF($R75="","",IF(ISBLANK(INDIRECT(ADDRESS($R75,Z$1,1,,"Score"))),"",1))</f>
        <v/>
      </c>
      <c r="AA75" s="231" t="str">
        <f t="shared" ca="1" si="27"/>
        <v/>
      </c>
      <c r="AB75" s="231" t="str">
        <f t="shared" ca="1" si="27"/>
        <v/>
      </c>
      <c r="AC75" s="201" t="str">
        <f t="shared" ca="1" si="23"/>
        <v/>
      </c>
      <c r="AD75" s="146" t="str">
        <f ca="1">N75</f>
        <v/>
      </c>
      <c r="AE75" s="146" t="str">
        <f ca="1">IF(OR(AD75="",AD75=0),"",60*U75/AD75)</f>
        <v/>
      </c>
    </row>
    <row r="76" spans="1:31" x14ac:dyDescent="0.25">
      <c r="A76" s="203"/>
      <c r="B76" s="201" t="str">
        <f ca="1">IF($B75="","",IF(INDIRECT(ADDRESS($B75+1,C$1-1,1,,"Score"))="SP",$B75+1,""))</f>
        <v/>
      </c>
      <c r="C76" s="202" t="str">
        <f t="shared" ca="1" si="24"/>
        <v/>
      </c>
      <c r="D76" s="201" t="str">
        <f t="shared" ca="1" si="24"/>
        <v/>
      </c>
      <c r="E76" s="203"/>
      <c r="F76" s="203"/>
      <c r="G76" s="231"/>
      <c r="H76" s="231"/>
      <c r="I76" s="221"/>
      <c r="J76" s="231" t="str">
        <f t="shared" ca="1" si="25"/>
        <v/>
      </c>
      <c r="K76" s="231" t="str">
        <f t="shared" ca="1" si="25"/>
        <v/>
      </c>
      <c r="L76" s="231" t="str">
        <f t="shared" ca="1" si="25"/>
        <v/>
      </c>
      <c r="M76" s="201" t="str">
        <f t="shared" ca="1" si="20"/>
        <v/>
      </c>
      <c r="N76" s="146"/>
      <c r="O76" s="146"/>
      <c r="Q76" s="203"/>
      <c r="R76" s="201" t="str">
        <f ca="1">IF($R75="","",IF(INDIRECT(ADDRESS($R75+1,S$1-1,1,,"Score"))="SP",$R75+1,""))</f>
        <v/>
      </c>
      <c r="S76" s="202" t="str">
        <f t="shared" ca="1" si="26"/>
        <v/>
      </c>
      <c r="T76" s="201" t="str">
        <f t="shared" ca="1" si="26"/>
        <v/>
      </c>
      <c r="U76" s="203"/>
      <c r="V76" s="203"/>
      <c r="W76" s="231"/>
      <c r="X76" s="231"/>
      <c r="Y76" s="221"/>
      <c r="Z76" s="231" t="str">
        <f t="shared" ca="1" si="27"/>
        <v/>
      </c>
      <c r="AA76" s="231" t="str">
        <f t="shared" ca="1" si="27"/>
        <v/>
      </c>
      <c r="AB76" s="231" t="str">
        <f t="shared" ca="1" si="27"/>
        <v/>
      </c>
      <c r="AC76" s="201" t="str">
        <f t="shared" ca="1" si="23"/>
        <v/>
      </c>
      <c r="AD76" s="146"/>
      <c r="AE76" s="146"/>
    </row>
    <row r="77" spans="1:31" x14ac:dyDescent="0.25">
      <c r="A77" s="222">
        <f>A75+1</f>
        <v>38</v>
      </c>
      <c r="B77" s="223" t="str">
        <f>IF(ISNA(MATCH($A77,Score!A$4:A$41,0)),"",MATCH($A77,Score!A$4:A$41,0)+ROW(Score!A$3))</f>
        <v/>
      </c>
      <c r="C77" s="224" t="str">
        <f t="shared" ca="1" si="24"/>
        <v/>
      </c>
      <c r="D77" s="223" t="str">
        <f t="shared" ca="1" si="24"/>
        <v/>
      </c>
      <c r="E77" s="222" t="str">
        <f>IF(B77="","",SUM(D77,D78))</f>
        <v/>
      </c>
      <c r="F77" s="222" t="str">
        <f>IF(B77="","",E77-U77)</f>
        <v/>
      </c>
      <c r="G77" s="225" t="str">
        <f ca="1">IF($B77="","",IF(ISBLANK(INDIRECT(ADDRESS($B77,G$1,1,,"Score"))),"",1))</f>
        <v/>
      </c>
      <c r="H77" s="225" t="str">
        <f ca="1">IF($B77="","",IF(ISBLANK(INDIRECT(ADDRESS($B77,H$1,1,,"Score"))),"",1))</f>
        <v/>
      </c>
      <c r="I77" s="227" t="str">
        <f ca="1">IF(H77=1,F77,"")</f>
        <v/>
      </c>
      <c r="J77" s="225" t="str">
        <f t="shared" ca="1" si="25"/>
        <v/>
      </c>
      <c r="K77" s="225" t="str">
        <f t="shared" ca="1" si="25"/>
        <v/>
      </c>
      <c r="L77" s="225" t="str">
        <f t="shared" ca="1" si="25"/>
        <v/>
      </c>
      <c r="M77" s="223" t="str">
        <f t="shared" ca="1" si="20"/>
        <v/>
      </c>
      <c r="N77" s="146" t="str">
        <f ca="1">IF(ISNA(MATCH($A77,'Game Clock'!A$11:A$48,0)),"",INDIRECT(ADDRESS(MATCH($A77,'Game Clock'!A$11:A$48,0)+ROW('Game Clock'!A$10),N$1,1,,"Game Clock")))</f>
        <v/>
      </c>
      <c r="O77" s="222" t="str">
        <f ca="1">IF(OR(N77="",N77=0),"",60*E77/N77)</f>
        <v/>
      </c>
      <c r="Q77" s="222">
        <f>Q75+1</f>
        <v>38</v>
      </c>
      <c r="R77" s="223" t="str">
        <f>IF(ISNA(MATCH($Q77,Score!T$4:T$41,0)),"",MATCH($Q77,Score!T$4:T$41,0)++ROW(Score!T$3))</f>
        <v/>
      </c>
      <c r="S77" s="224" t="str">
        <f t="shared" ca="1" si="26"/>
        <v/>
      </c>
      <c r="T77" s="223" t="str">
        <f t="shared" ca="1" si="26"/>
        <v/>
      </c>
      <c r="U77" s="222" t="str">
        <f>IF(R77="","",SUM(T77,T78))</f>
        <v/>
      </c>
      <c r="V77" s="222" t="str">
        <f>IF(R77="","",U77-E77)</f>
        <v/>
      </c>
      <c r="W77" s="225" t="str">
        <f ca="1">IF($R77="","",IF(ISBLANK(INDIRECT(ADDRESS($R77,W$1,1,,"Score"))),"",1))</f>
        <v/>
      </c>
      <c r="X77" s="225" t="str">
        <f ca="1">IF($R77="","",IF(ISBLANK(INDIRECT(ADDRESS($R77,X$1,1,,"Score"))),"",1))</f>
        <v/>
      </c>
      <c r="Y77" s="227" t="str">
        <f ca="1">IF(X77=1,V77,"")</f>
        <v/>
      </c>
      <c r="Z77" s="225" t="str">
        <f t="shared" ca="1" si="27"/>
        <v/>
      </c>
      <c r="AA77" s="225" t="str">
        <f t="shared" ca="1" si="27"/>
        <v/>
      </c>
      <c r="AB77" s="225" t="str">
        <f t="shared" ca="1" si="27"/>
        <v/>
      </c>
      <c r="AC77" s="223" t="str">
        <f t="shared" ca="1" si="23"/>
        <v/>
      </c>
      <c r="AD77" s="222" t="str">
        <f ca="1">N77</f>
        <v/>
      </c>
      <c r="AE77" s="222" t="str">
        <f ca="1">IF(OR(AD77="",AD77=0),"",60*U77/AD77)</f>
        <v/>
      </c>
    </row>
    <row r="78" spans="1:31" x14ac:dyDescent="0.3">
      <c r="A78" s="222"/>
      <c r="B78" s="223" t="str">
        <f ca="1">IF($B77="","",IF(INDIRECT(ADDRESS($B77+1,C$1-1,1,,"Score"))="SP",$B77+1,""))</f>
        <v/>
      </c>
      <c r="C78" s="224" t="str">
        <f t="shared" ca="1" si="24"/>
        <v/>
      </c>
      <c r="D78" s="223" t="str">
        <f t="shared" ca="1" si="24"/>
        <v/>
      </c>
      <c r="E78" s="222"/>
      <c r="F78" s="222"/>
      <c r="G78" s="225"/>
      <c r="H78" s="226"/>
      <c r="I78" s="227"/>
      <c r="J78" s="225" t="str">
        <f t="shared" ca="1" si="25"/>
        <v/>
      </c>
      <c r="K78" s="225" t="str">
        <f t="shared" ca="1" si="25"/>
        <v/>
      </c>
      <c r="L78" s="225" t="str">
        <f t="shared" ca="1" si="25"/>
        <v/>
      </c>
      <c r="M78" s="223" t="str">
        <f t="shared" ca="1" si="20"/>
        <v/>
      </c>
      <c r="N78" s="222"/>
      <c r="O78" s="222"/>
      <c r="Q78" s="222"/>
      <c r="R78" s="223" t="str">
        <f ca="1">IF($R77="","",IF(INDIRECT(ADDRESS($R77+1,S$1-1,1,,"Score"))="SP",$R77+1,""))</f>
        <v/>
      </c>
      <c r="S78" s="224" t="str">
        <f t="shared" ca="1" si="26"/>
        <v/>
      </c>
      <c r="T78" s="223" t="str">
        <f t="shared" ca="1" si="26"/>
        <v/>
      </c>
      <c r="U78" s="222"/>
      <c r="V78" s="222"/>
      <c r="W78" s="225"/>
      <c r="X78" s="226"/>
      <c r="Y78" s="227"/>
      <c r="Z78" s="225" t="str">
        <f t="shared" ca="1" si="27"/>
        <v/>
      </c>
      <c r="AA78" s="225" t="str">
        <f t="shared" ca="1" si="27"/>
        <v/>
      </c>
      <c r="AB78" s="225" t="str">
        <f t="shared" ca="1" si="27"/>
        <v/>
      </c>
      <c r="AC78" s="223" t="str">
        <f t="shared" ca="1" si="23"/>
        <v/>
      </c>
      <c r="AD78" s="222"/>
      <c r="AE78" s="222"/>
    </row>
    <row r="79" spans="1:31" ht="12.75" customHeight="1" x14ac:dyDescent="0.25">
      <c r="A79" s="1174" t="s">
        <v>31</v>
      </c>
      <c r="B79" s="232"/>
      <c r="C79" s="232"/>
      <c r="D79" s="232"/>
      <c r="E79" s="233">
        <f ca="1">SUM(E3:E78)</f>
        <v>126</v>
      </c>
      <c r="F79" s="234"/>
      <c r="G79" s="230">
        <f ca="1">SUM(G3:G78)</f>
        <v>2</v>
      </c>
      <c r="H79" s="230">
        <f ca="1">SUM(H3:H78)</f>
        <v>14</v>
      </c>
      <c r="I79" s="220"/>
      <c r="J79" s="1175">
        <f ca="1">SUM(J3:J78)</f>
        <v>9</v>
      </c>
      <c r="K79" s="1175">
        <f ca="1">SUM(K3:K78)</f>
        <v>0</v>
      </c>
      <c r="L79" s="230">
        <f ca="1">SUM(L3,L5,L7,L9,L11,L13,L15,L17,L19,L21,L23,L25,L27,L29,L31,L33,L35,L37,L39,L41,L43,L45,L47,L49,L51,L53,L55,L57,L59,L61,L63,L65,L67,L69,L71,L73,L75,L77)</f>
        <v>0</v>
      </c>
      <c r="M79" s="232"/>
      <c r="N79" s="234" t="s">
        <v>32</v>
      </c>
      <c r="O79" s="233" t="str">
        <f ca="1">IF(COUNT(O3:O78),AVERAGE(O3:O78),"")</f>
        <v/>
      </c>
      <c r="Q79" s="1174" t="s">
        <v>31</v>
      </c>
      <c r="R79" s="232"/>
      <c r="S79" s="232"/>
      <c r="T79" s="232"/>
      <c r="U79" s="233">
        <f ca="1">SUM(U3:U78)</f>
        <v>25</v>
      </c>
      <c r="V79" s="234"/>
      <c r="W79" s="230">
        <f ca="1">SUM(W3:W78)</f>
        <v>1</v>
      </c>
      <c r="X79" s="230">
        <f ca="1">SUM(X3:X78)</f>
        <v>5</v>
      </c>
      <c r="Y79" s="220"/>
      <c r="Z79" s="1175">
        <f ca="1">SUM(Z3:Z78)</f>
        <v>5</v>
      </c>
      <c r="AA79" s="1175">
        <f ca="1">SUM(AA3:AA78)</f>
        <v>0</v>
      </c>
      <c r="AB79" s="230">
        <f ca="1">SUM(AB3,AB5,AB7,AB9,AB11,AB13,AB15,AB17,AB19,AB21,AB23,AB25,AB27,AB29,AB31,AB33,AB35,AB37,AB39,AB41,AB43,AB45,AB47,AB49,AB51,AB53,AB55,AB57,AB59,AB61, AB63, AB65, AB67, AB69, AB71,AB73,AB75,AB77)</f>
        <v>4</v>
      </c>
      <c r="AC79" s="232"/>
      <c r="AD79" s="234" t="s">
        <v>32</v>
      </c>
      <c r="AE79" s="233" t="str">
        <f ca="1">IF(COUNT(AE3:AE78),AVERAGE(AE3:AE78),"")</f>
        <v/>
      </c>
    </row>
    <row r="80" spans="1:31" x14ac:dyDescent="0.3">
      <c r="A80" s="1174"/>
      <c r="B80" s="232"/>
      <c r="C80" s="232"/>
      <c r="D80" s="232"/>
      <c r="E80" s="233"/>
      <c r="F80" s="234"/>
      <c r="G80" s="230"/>
      <c r="H80" s="235"/>
      <c r="I80" s="220"/>
      <c r="J80" s="1175"/>
      <c r="K80" s="1175"/>
      <c r="L80" s="230">
        <f ca="1">SUM(L4,L6,L8,L10,L12,L14,L16,L18,L20,L22,L24,L26,L28,L30,L32,L34,L36,L38,L40,L42,L44,L46,L48,L50,L52,L54,L56,L58,L60,L62, L64, L66, L68, L70, L72,L74,L76,L78)</f>
        <v>0</v>
      </c>
      <c r="M80" s="232"/>
      <c r="N80" s="234"/>
      <c r="O80" s="233"/>
      <c r="Q80" s="1174"/>
      <c r="R80" s="232"/>
      <c r="S80" s="232"/>
      <c r="T80" s="232"/>
      <c r="U80" s="233"/>
      <c r="V80" s="234"/>
      <c r="W80" s="230"/>
      <c r="X80" s="235"/>
      <c r="Y80" s="220"/>
      <c r="Z80" s="1175"/>
      <c r="AA80" s="1175"/>
      <c r="AB80" s="230">
        <f ca="1">SUM(AB4,AB6,AB8,AB10,AB12,AB14,AB16,AB18,AB20,AB22,AB24,AB26,AB28,AB30,AB32,AB34,AB36,AB38,AB40,AB42,AB44,AB46,AB48,AB50,AB52,AB54,AB56,AB58,AB60,AB62, AB64, AB66, AB68, AB70, AB72,AB74,AB76,AB78)</f>
        <v>0</v>
      </c>
      <c r="AC80" s="232"/>
      <c r="AD80" s="234"/>
      <c r="AE80" s="233"/>
    </row>
    <row r="86" spans="1:31" x14ac:dyDescent="0.25">
      <c r="A86" s="217" t="s">
        <v>33</v>
      </c>
      <c r="B86" s="217" t="s">
        <v>18</v>
      </c>
      <c r="C86" s="218"/>
      <c r="D86" s="218"/>
      <c r="E86" s="219"/>
      <c r="F86" s="219"/>
      <c r="G86" s="229"/>
      <c r="H86" s="229"/>
      <c r="I86" s="220"/>
      <c r="J86" s="229"/>
      <c r="K86" s="229"/>
      <c r="L86" s="229"/>
      <c r="M86" s="218"/>
      <c r="N86" s="218"/>
      <c r="O86" s="219"/>
      <c r="P86" s="201"/>
      <c r="Q86" s="217" t="s">
        <v>33</v>
      </c>
      <c r="R86" s="217" t="s">
        <v>20</v>
      </c>
      <c r="S86" s="218"/>
      <c r="T86" s="218"/>
      <c r="U86" s="219"/>
      <c r="V86" s="219"/>
      <c r="W86" s="229"/>
      <c r="X86" s="229"/>
      <c r="Y86" s="220"/>
      <c r="Z86" s="229"/>
      <c r="AA86" s="229"/>
      <c r="AB86" s="229"/>
      <c r="AC86" s="218"/>
      <c r="AD86" s="218"/>
      <c r="AE86" s="219"/>
    </row>
    <row r="87" spans="1:31" x14ac:dyDescent="0.25">
      <c r="A87" s="219" t="s">
        <v>8</v>
      </c>
      <c r="B87" s="219" t="s">
        <v>21</v>
      </c>
      <c r="C87" s="219" t="s">
        <v>124</v>
      </c>
      <c r="D87" s="219" t="s">
        <v>180</v>
      </c>
      <c r="E87" s="219" t="s">
        <v>22</v>
      </c>
      <c r="F87" s="219" t="s">
        <v>23</v>
      </c>
      <c r="G87" s="230" t="s">
        <v>24</v>
      </c>
      <c r="H87" s="230" t="s">
        <v>25</v>
      </c>
      <c r="I87" s="220" t="s">
        <v>26</v>
      </c>
      <c r="J87" s="230" t="s">
        <v>27</v>
      </c>
      <c r="K87" s="230" t="s">
        <v>28</v>
      </c>
      <c r="L87" s="230" t="s">
        <v>197</v>
      </c>
      <c r="M87" s="219" t="s">
        <v>132</v>
      </c>
      <c r="N87" s="219" t="s">
        <v>29</v>
      </c>
      <c r="O87" s="219" t="s">
        <v>30</v>
      </c>
      <c r="P87" s="201"/>
      <c r="Q87" s="219" t="s">
        <v>8</v>
      </c>
      <c r="R87" s="219" t="s">
        <v>21</v>
      </c>
      <c r="S87" s="219" t="s">
        <v>124</v>
      </c>
      <c r="T87" s="219" t="s">
        <v>180</v>
      </c>
      <c r="U87" s="219" t="s">
        <v>22</v>
      </c>
      <c r="V87" s="219" t="s">
        <v>23</v>
      </c>
      <c r="W87" s="230" t="s">
        <v>24</v>
      </c>
      <c r="X87" s="230" t="s">
        <v>25</v>
      </c>
      <c r="Y87" s="220" t="s">
        <v>26</v>
      </c>
      <c r="Z87" s="230" t="s">
        <v>27</v>
      </c>
      <c r="AA87" s="230" t="s">
        <v>28</v>
      </c>
      <c r="AB87" s="230" t="s">
        <v>197</v>
      </c>
      <c r="AC87" s="219" t="s">
        <v>132</v>
      </c>
      <c r="AD87" s="219" t="s">
        <v>29</v>
      </c>
      <c r="AE87" s="219" t="s">
        <v>30</v>
      </c>
    </row>
    <row r="88" spans="1:31" x14ac:dyDescent="0.25">
      <c r="A88" s="203">
        <v>1</v>
      </c>
      <c r="B88" s="201">
        <f>IF(ISNA(MATCH($A88,Score!A$46:A$83,0)),"",MATCH($A88,Score!A$46:A$83,0)+ROW(Score!A$45))</f>
        <v>46</v>
      </c>
      <c r="C88" s="202" t="str">
        <f t="shared" ref="C88:D107" ca="1" si="28">IF($B88="","",INDIRECT(ADDRESS($B88,C$1,1,,"Score")))</f>
        <v>4</v>
      </c>
      <c r="D88" s="201">
        <f t="shared" ca="1" si="28"/>
        <v>15</v>
      </c>
      <c r="E88" s="203">
        <f ca="1">IF(B88="","",SUM(D88,D89))</f>
        <v>15</v>
      </c>
      <c r="F88" s="203">
        <f ca="1">IF(B88="","",E88-U88)</f>
        <v>15</v>
      </c>
      <c r="G88" s="231" t="str">
        <f ca="1">IF($B88="","",IF(ISBLANK(INDIRECT(ADDRESS($B88,G$1,1,,"Score"))),"",1))</f>
        <v/>
      </c>
      <c r="H88" s="231">
        <f ca="1">IF($B88="","",IF(ISBLANK(INDIRECT(ADDRESS($B88,H$1,1,,"Score"))),"",1))</f>
        <v>1</v>
      </c>
      <c r="I88" s="221">
        <f ca="1">IF(H88=1,F88,"")</f>
        <v>15</v>
      </c>
      <c r="J88" s="231">
        <f t="shared" ref="J88:L107" ca="1" si="29">IF($B88="","",IF(ISBLANK(INDIRECT(ADDRESS($B88,J$1,1,,"Score"))),"",1))</f>
        <v>1</v>
      </c>
      <c r="K88" s="231" t="str">
        <f t="shared" ca="1" si="29"/>
        <v/>
      </c>
      <c r="L88" s="231" t="str">
        <f t="shared" ca="1" si="29"/>
        <v/>
      </c>
      <c r="M88" s="201">
        <f t="shared" ref="M88:M107" ca="1" si="30">IF($B88="","",INDIRECT(ADDRESS($B88,M$1,1,,"Score")))</f>
        <v>3</v>
      </c>
      <c r="N88" s="146">
        <f ca="1">IF(ISNA(MATCH($A88,'Game Clock'!A$62:A$99,0)),"",INDIRECT(ADDRESS(MATCH($A88,'Game Clock'!A$62:A$99,0)+ROW('Game Clock'!A$61),N$1,1,,"Game Clock")))</f>
        <v>0</v>
      </c>
      <c r="O88" s="146" t="str">
        <f ca="1">IF(OR(N88="",N88=0),"",60*E88/N88)</f>
        <v/>
      </c>
      <c r="P88" s="201"/>
      <c r="Q88" s="203">
        <v>1</v>
      </c>
      <c r="R88" s="201">
        <f>IF(ISNA(MATCH($Q88,Score!T$46:T$83,0)),"",MATCH($Q88,Score!T$46:T$83,0)+ROW(Score!T$45) )</f>
        <v>46</v>
      </c>
      <c r="S88" s="202" t="str">
        <f t="shared" ref="S88:T107" ca="1" si="31">IF($R88="","",INDIRECT(ADDRESS($R88,S$1,1,,"Score")))</f>
        <v>58</v>
      </c>
      <c r="T88" s="201">
        <f t="shared" ca="1" si="31"/>
        <v>0</v>
      </c>
      <c r="U88" s="203">
        <f ca="1">IF(R88="","",SUM(T88,T89))</f>
        <v>0</v>
      </c>
      <c r="V88" s="203">
        <f ca="1">IF(R88="","",U88-E88)</f>
        <v>-15</v>
      </c>
      <c r="W88" s="231" t="str">
        <f ca="1">IF($R88="","",IF(ISBLANK(INDIRECT(ADDRESS($R88,W$1,1,,"Score"))),"",1))</f>
        <v/>
      </c>
      <c r="X88" s="231" t="str">
        <f ca="1">IF($R88="","",IF(ISBLANK(INDIRECT(ADDRESS($R88,X$1,1,,"Score"))),"",1))</f>
        <v/>
      </c>
      <c r="Y88" s="221" t="str">
        <f ca="1">IF(X88=1,V88,"")</f>
        <v/>
      </c>
      <c r="Z88" s="231" t="str">
        <f t="shared" ref="Z88:AB107" ca="1" si="32">IF($R88="","",IF(ISBLANK(INDIRECT(ADDRESS($R88,Z$1,1,,"Score"))),"",1))</f>
        <v/>
      </c>
      <c r="AA88" s="231" t="str">
        <f t="shared" ca="1" si="32"/>
        <v/>
      </c>
      <c r="AB88" s="231">
        <f t="shared" ca="1" si="32"/>
        <v>1</v>
      </c>
      <c r="AC88" s="201">
        <f t="shared" ref="AC88:AC107" ca="1" si="33">IF($R88="","",INDIRECT(ADDRESS($R88,AC$1,1,,"Score")))</f>
        <v>0</v>
      </c>
      <c r="AD88" s="146">
        <f ca="1">N88</f>
        <v>0</v>
      </c>
      <c r="AE88" s="146" t="str">
        <f ca="1">IF(OR(AD88="",AD88=0),"",60*U88/AD88)</f>
        <v/>
      </c>
    </row>
    <row r="89" spans="1:31" x14ac:dyDescent="0.25">
      <c r="A89" s="203"/>
      <c r="B89" s="201" t="str">
        <f ca="1">IF($B88="","",IF(INDIRECT(ADDRESS($B88+1,C$1-1,1,,"Score"))="SP",$B88+1,""))</f>
        <v/>
      </c>
      <c r="C89" s="202" t="str">
        <f t="shared" ca="1" si="28"/>
        <v/>
      </c>
      <c r="D89" s="201" t="str">
        <f t="shared" ca="1" si="28"/>
        <v/>
      </c>
      <c r="E89" s="203"/>
      <c r="F89" s="203"/>
      <c r="G89" s="231"/>
      <c r="H89" s="231"/>
      <c r="I89" s="221"/>
      <c r="J89" s="231" t="str">
        <f t="shared" ca="1" si="29"/>
        <v/>
      </c>
      <c r="K89" s="231" t="str">
        <f t="shared" ca="1" si="29"/>
        <v/>
      </c>
      <c r="L89" s="231" t="str">
        <f t="shared" ca="1" si="29"/>
        <v/>
      </c>
      <c r="M89" s="201" t="str">
        <f t="shared" ca="1" si="30"/>
        <v/>
      </c>
      <c r="N89" s="146"/>
      <c r="O89" s="146"/>
      <c r="P89" s="201"/>
      <c r="Q89" s="203"/>
      <c r="R89" s="201" t="str">
        <f ca="1">IF($R88="","",IF(INDIRECT(ADDRESS($R88+1,S$1-1,1,,"Score"))="SP",$R88+1,""))</f>
        <v/>
      </c>
      <c r="S89" s="202" t="str">
        <f t="shared" ca="1" si="31"/>
        <v/>
      </c>
      <c r="T89" s="201" t="str">
        <f t="shared" ca="1" si="31"/>
        <v/>
      </c>
      <c r="U89" s="203"/>
      <c r="V89" s="203"/>
      <c r="W89" s="231"/>
      <c r="X89" s="231"/>
      <c r="Y89" s="221"/>
      <c r="Z89" s="231" t="str">
        <f t="shared" ca="1" si="32"/>
        <v/>
      </c>
      <c r="AA89" s="231" t="str">
        <f t="shared" ca="1" si="32"/>
        <v/>
      </c>
      <c r="AB89" s="231" t="str">
        <f t="shared" ca="1" si="32"/>
        <v/>
      </c>
      <c r="AC89" s="201" t="str">
        <f t="shared" ca="1" si="33"/>
        <v/>
      </c>
      <c r="AD89" s="146"/>
      <c r="AE89" s="146"/>
    </row>
    <row r="90" spans="1:31" x14ac:dyDescent="0.25">
      <c r="A90" s="222">
        <f>A88+1</f>
        <v>2</v>
      </c>
      <c r="B90" s="223">
        <f>IF(ISNA(MATCH($A90,Score!A$46:A$83,0)),"",MATCH($A90,Score!A$46:A$83,0)+ROW(Score!A$45))</f>
        <v>47</v>
      </c>
      <c r="C90" s="224" t="str">
        <f t="shared" ca="1" si="28"/>
        <v>19</v>
      </c>
      <c r="D90" s="223">
        <f t="shared" ca="1" si="28"/>
        <v>7</v>
      </c>
      <c r="E90" s="222">
        <f ca="1">IF(B90="","",SUM(D90,D91))</f>
        <v>7</v>
      </c>
      <c r="F90" s="222">
        <f ca="1">IF(B90="","",E90-U90)</f>
        <v>7</v>
      </c>
      <c r="G90" s="225" t="str">
        <f ca="1">IF($B90="","",IF(ISBLANK(INDIRECT(ADDRESS($B90,G$1,1,,"Score"))),"",1))</f>
        <v/>
      </c>
      <c r="H90" s="225">
        <f ca="1">IF($B90="","",IF(ISBLANK(INDIRECT(ADDRESS($B90,H$1,1,,"Score"))),"",1))</f>
        <v>1</v>
      </c>
      <c r="I90" s="227">
        <f ca="1">IF(H90=1,F90,"")</f>
        <v>7</v>
      </c>
      <c r="J90" s="225">
        <f t="shared" ca="1" si="29"/>
        <v>1</v>
      </c>
      <c r="K90" s="225" t="str">
        <f t="shared" ca="1" si="29"/>
        <v/>
      </c>
      <c r="L90" s="225" t="str">
        <f t="shared" ca="1" si="29"/>
        <v/>
      </c>
      <c r="M90" s="223">
        <f t="shared" ca="1" si="30"/>
        <v>2</v>
      </c>
      <c r="N90" s="146">
        <f ca="1">IF(ISNA(MATCH($A90,'Game Clock'!A$62:A$99,0)),"",INDIRECT(ADDRESS(MATCH($A90,'Game Clock'!A$62:A$99,0)+ROW('Game Clock'!A$61),N$1,1,,"Game Clock")))</f>
        <v>0</v>
      </c>
      <c r="O90" s="222" t="str">
        <f ca="1">IF(OR(N90="",N90=0),"",60*E90/N90)</f>
        <v/>
      </c>
      <c r="P90" s="201"/>
      <c r="Q90" s="222">
        <f>Q88+1</f>
        <v>2</v>
      </c>
      <c r="R90" s="223">
        <f>IF(ISNA(MATCH($Q90,Score!T$46:T$83,0)),"",MATCH($Q90,Score!T$46:T$83,0)+ROW(Score!T$45) )</f>
        <v>47</v>
      </c>
      <c r="S90" s="224" t="str">
        <f t="shared" ca="1" si="31"/>
        <v>11G6</v>
      </c>
      <c r="T90" s="223">
        <f t="shared" ca="1" si="31"/>
        <v>0</v>
      </c>
      <c r="U90" s="222">
        <f ca="1">IF(R90="","",SUM(T90,T91))</f>
        <v>0</v>
      </c>
      <c r="V90" s="222">
        <f ca="1">IF(R90="","",U90-E90)</f>
        <v>-7</v>
      </c>
      <c r="W90" s="225" t="str">
        <f ca="1">IF($R90="","",IF(ISBLANK(INDIRECT(ADDRESS($R90,W$1,1,,"Score"))),"",1))</f>
        <v/>
      </c>
      <c r="X90" s="225" t="str">
        <f ca="1">IF($R90="","",IF(ISBLANK(INDIRECT(ADDRESS($R90,X$1,1,,"Score"))),"",1))</f>
        <v/>
      </c>
      <c r="Y90" s="227" t="str">
        <f ca="1">IF(X90=1,V90,"")</f>
        <v/>
      </c>
      <c r="Z90" s="225" t="str">
        <f t="shared" ca="1" si="32"/>
        <v/>
      </c>
      <c r="AA90" s="225" t="str">
        <f t="shared" ca="1" si="32"/>
        <v/>
      </c>
      <c r="AB90" s="225" t="str">
        <f t="shared" ca="1" si="32"/>
        <v/>
      </c>
      <c r="AC90" s="223">
        <f t="shared" ca="1" si="33"/>
        <v>1</v>
      </c>
      <c r="AD90" s="222">
        <f ca="1">N90</f>
        <v>0</v>
      </c>
      <c r="AE90" s="222" t="str">
        <f ca="1">IF(OR(AD90="",AD90=0),"",60*U90/AD90)</f>
        <v/>
      </c>
    </row>
    <row r="91" spans="1:31" x14ac:dyDescent="0.3">
      <c r="A91" s="222"/>
      <c r="B91" s="223" t="str">
        <f ca="1">IF($B90="","",IF(INDIRECT(ADDRESS($B90+1,C$1-1,1,,"Score"))="SP",$B90+1,""))</f>
        <v/>
      </c>
      <c r="C91" s="224" t="str">
        <f t="shared" ca="1" si="28"/>
        <v/>
      </c>
      <c r="D91" s="223" t="str">
        <f t="shared" ca="1" si="28"/>
        <v/>
      </c>
      <c r="E91" s="222"/>
      <c r="F91" s="222"/>
      <c r="G91" s="225"/>
      <c r="H91" s="226"/>
      <c r="I91" s="227"/>
      <c r="J91" s="225" t="str">
        <f t="shared" ca="1" si="29"/>
        <v/>
      </c>
      <c r="K91" s="225" t="str">
        <f t="shared" ca="1" si="29"/>
        <v/>
      </c>
      <c r="L91" s="225" t="str">
        <f t="shared" ca="1" si="29"/>
        <v/>
      </c>
      <c r="M91" s="223" t="str">
        <f t="shared" ca="1" si="30"/>
        <v/>
      </c>
      <c r="N91" s="222"/>
      <c r="O91" s="222"/>
      <c r="P91" s="201"/>
      <c r="Q91" s="222"/>
      <c r="R91" s="223" t="str">
        <f ca="1">IF($R90="","",IF(INDIRECT(ADDRESS($R90+1,S$1-1,1,,"Score"))="SP",$R90+1,""))</f>
        <v/>
      </c>
      <c r="S91" s="224" t="str">
        <f t="shared" ca="1" si="31"/>
        <v/>
      </c>
      <c r="T91" s="223" t="str">
        <f t="shared" ca="1" si="31"/>
        <v/>
      </c>
      <c r="U91" s="222"/>
      <c r="V91" s="222"/>
      <c r="W91" s="225"/>
      <c r="X91" s="226"/>
      <c r="Y91" s="227"/>
      <c r="Z91" s="225" t="str">
        <f t="shared" ca="1" si="32"/>
        <v/>
      </c>
      <c r="AA91" s="225" t="str">
        <f t="shared" ca="1" si="32"/>
        <v/>
      </c>
      <c r="AB91" s="225" t="str">
        <f t="shared" ca="1" si="32"/>
        <v/>
      </c>
      <c r="AC91" s="223" t="str">
        <f t="shared" ca="1" si="33"/>
        <v/>
      </c>
      <c r="AD91" s="222"/>
      <c r="AE91" s="222"/>
    </row>
    <row r="92" spans="1:31" x14ac:dyDescent="0.25">
      <c r="A92" s="203">
        <f>A90+1</f>
        <v>3</v>
      </c>
      <c r="B92" s="201">
        <f>IF(ISNA(MATCH($A92,Score!A$46:A$83,0)),"",MATCH($A92,Score!A$46:A$83,0)+ROW(Score!A$45))</f>
        <v>48</v>
      </c>
      <c r="C92" s="202" t="str">
        <f t="shared" ca="1" si="28"/>
        <v>84</v>
      </c>
      <c r="D92" s="201">
        <f t="shared" ca="1" si="28"/>
        <v>0</v>
      </c>
      <c r="E92" s="203">
        <f ca="1">IF(B92="","",SUM(D92,D93))</f>
        <v>0</v>
      </c>
      <c r="F92" s="203">
        <f ca="1">IF(B92="","",E92-U92)</f>
        <v>-12</v>
      </c>
      <c r="G92" s="231">
        <f ca="1">IF($B92="","",IF(ISBLANK(INDIRECT(ADDRESS($B92,G$1,1,,"Score"))),"",1))</f>
        <v>1</v>
      </c>
      <c r="H92" s="231" t="str">
        <f ca="1">IF($B92="","",IF(ISBLANK(INDIRECT(ADDRESS($B92,H$1,1,,"Score"))),"",1))</f>
        <v/>
      </c>
      <c r="I92" s="221" t="str">
        <f ca="1">IF(H92=1,F92,"")</f>
        <v/>
      </c>
      <c r="J92" s="231" t="str">
        <f t="shared" ca="1" si="29"/>
        <v/>
      </c>
      <c r="K92" s="231" t="str">
        <f t="shared" ca="1" si="29"/>
        <v/>
      </c>
      <c r="L92" s="231" t="str">
        <f t="shared" ca="1" si="29"/>
        <v/>
      </c>
      <c r="M92" s="201">
        <f t="shared" ca="1" si="30"/>
        <v>1</v>
      </c>
      <c r="N92" s="146">
        <f ca="1">IF(ISNA(MATCH($A92,'Game Clock'!A$62:A$99,0)),"",INDIRECT(ADDRESS(MATCH($A92,'Game Clock'!A$62:A$99,0)+ROW('Game Clock'!A$61),N$1,1,,"Game Clock")))</f>
        <v>0</v>
      </c>
      <c r="O92" s="146" t="str">
        <f ca="1">IF(OR(N92="",N92=0),"",60*E92/N92)</f>
        <v/>
      </c>
      <c r="P92" s="201"/>
      <c r="Q92" s="203">
        <f>Q90+1</f>
        <v>3</v>
      </c>
      <c r="R92" s="201">
        <f>IF(ISNA(MATCH($Q92,Score!T$46:T$83,0)),"",MATCH($Q92,Score!T$46:T$83,0)+ROW(Score!T$45) )</f>
        <v>48</v>
      </c>
      <c r="S92" s="202" t="str">
        <f t="shared" ca="1" si="31"/>
        <v>K9</v>
      </c>
      <c r="T92" s="201">
        <f t="shared" ca="1" si="31"/>
        <v>12</v>
      </c>
      <c r="U92" s="203">
        <f ca="1">IF(R92="","",SUM(T92,T93))</f>
        <v>12</v>
      </c>
      <c r="V92" s="203">
        <f ca="1">IF(R92="","",U92-E92)</f>
        <v>12</v>
      </c>
      <c r="W92" s="231" t="str">
        <f ca="1">IF($R92="","",IF(ISBLANK(INDIRECT(ADDRESS($R92,W$1,1,,"Score"))),"",1))</f>
        <v/>
      </c>
      <c r="X92" s="231">
        <f ca="1">IF($R92="","",IF(ISBLANK(INDIRECT(ADDRESS($R92,X$1,1,,"Score"))),"",1))</f>
        <v>1</v>
      </c>
      <c r="Y92" s="221">
        <f ca="1">IF(X92=1,V92,"")</f>
        <v>12</v>
      </c>
      <c r="Z92" s="231">
        <f t="shared" ca="1" si="32"/>
        <v>1</v>
      </c>
      <c r="AA92" s="231" t="str">
        <f t="shared" ca="1" si="32"/>
        <v/>
      </c>
      <c r="AB92" s="231" t="str">
        <f t="shared" ca="1" si="32"/>
        <v/>
      </c>
      <c r="AC92" s="201">
        <f t="shared" ca="1" si="33"/>
        <v>3</v>
      </c>
      <c r="AD92" s="146">
        <f ca="1">N92</f>
        <v>0</v>
      </c>
      <c r="AE92" s="146" t="str">
        <f ca="1">IF(OR(AD92="",AD92=0),"",60*U92/AD92)</f>
        <v/>
      </c>
    </row>
    <row r="93" spans="1:31" x14ac:dyDescent="0.25">
      <c r="A93" s="203"/>
      <c r="B93" s="201" t="str">
        <f ca="1">IF($B92="","",IF(INDIRECT(ADDRESS($B92+1,C$1-1,1,,"Score"))="SP",$B92+1,""))</f>
        <v/>
      </c>
      <c r="C93" s="202" t="str">
        <f t="shared" ca="1" si="28"/>
        <v/>
      </c>
      <c r="D93" s="201" t="str">
        <f t="shared" ca="1" si="28"/>
        <v/>
      </c>
      <c r="E93" s="203"/>
      <c r="F93" s="203"/>
      <c r="G93" s="231"/>
      <c r="H93" s="231"/>
      <c r="I93" s="221"/>
      <c r="J93" s="231" t="str">
        <f t="shared" ca="1" si="29"/>
        <v/>
      </c>
      <c r="K93" s="231" t="str">
        <f t="shared" ca="1" si="29"/>
        <v/>
      </c>
      <c r="L93" s="231" t="str">
        <f t="shared" ca="1" si="29"/>
        <v/>
      </c>
      <c r="M93" s="201" t="str">
        <f t="shared" ca="1" si="30"/>
        <v/>
      </c>
      <c r="N93" s="146"/>
      <c r="O93" s="146"/>
      <c r="P93" s="201"/>
      <c r="Q93" s="203"/>
      <c r="R93" s="201" t="str">
        <f ca="1">IF($R92="","",IF(INDIRECT(ADDRESS($R92+1,S$1-1,1,,"Score"))="SP",$R92+1,""))</f>
        <v/>
      </c>
      <c r="S93" s="202" t="str">
        <f t="shared" ca="1" si="31"/>
        <v/>
      </c>
      <c r="T93" s="201" t="str">
        <f t="shared" ca="1" si="31"/>
        <v/>
      </c>
      <c r="U93" s="203"/>
      <c r="V93" s="203"/>
      <c r="W93" s="231"/>
      <c r="X93" s="231"/>
      <c r="Y93" s="221"/>
      <c r="Z93" s="231" t="str">
        <f t="shared" ca="1" si="32"/>
        <v/>
      </c>
      <c r="AA93" s="231" t="str">
        <f t="shared" ca="1" si="32"/>
        <v/>
      </c>
      <c r="AB93" s="231" t="str">
        <f t="shared" ca="1" si="32"/>
        <v/>
      </c>
      <c r="AC93" s="201" t="str">
        <f t="shared" ca="1" si="33"/>
        <v/>
      </c>
      <c r="AD93" s="146"/>
      <c r="AE93" s="146"/>
    </row>
    <row r="94" spans="1:31" x14ac:dyDescent="0.25">
      <c r="A94" s="222">
        <f>A92+1</f>
        <v>4</v>
      </c>
      <c r="B94" s="223">
        <f>IF(ISNA(MATCH($A94,Score!A$46:A$83,0)),"",MATCH($A94,Score!A$46:A$83,0)+ROW(Score!A$45))</f>
        <v>49</v>
      </c>
      <c r="C94" s="224" t="str">
        <f t="shared" ca="1" si="28"/>
        <v>4</v>
      </c>
      <c r="D94" s="223">
        <f t="shared" ca="1" si="28"/>
        <v>4</v>
      </c>
      <c r="E94" s="222">
        <f ca="1">IF(B94="","",SUM(D94,D95))</f>
        <v>4</v>
      </c>
      <c r="F94" s="222">
        <f ca="1">IF(B94="","",E94-U94)</f>
        <v>0</v>
      </c>
      <c r="G94" s="225" t="str">
        <f ca="1">IF($B94="","",IF(ISBLANK(INDIRECT(ADDRESS($B94,G$1,1,,"Score"))),"",1))</f>
        <v/>
      </c>
      <c r="H94" s="225">
        <f ca="1">IF($B94="","",IF(ISBLANK(INDIRECT(ADDRESS($B94,H$1,1,,"Score"))),"",1))</f>
        <v>1</v>
      </c>
      <c r="I94" s="227">
        <f ca="1">IF(H94=1,F94,"")</f>
        <v>0</v>
      </c>
      <c r="J94" s="225">
        <f t="shared" ca="1" si="29"/>
        <v>1</v>
      </c>
      <c r="K94" s="225" t="str">
        <f t="shared" ca="1" si="29"/>
        <v/>
      </c>
      <c r="L94" s="225" t="str">
        <f t="shared" ca="1" si="29"/>
        <v/>
      </c>
      <c r="M94" s="223">
        <f t="shared" ca="1" si="30"/>
        <v>2</v>
      </c>
      <c r="N94" s="146">
        <f ca="1">IF(ISNA(MATCH($A94,'Game Clock'!A$62:A$99,0)),"",INDIRECT(ADDRESS(MATCH($A94,'Game Clock'!A$62:A$99,0)+ROW('Game Clock'!A$61),N$1,1,,"Game Clock")))</f>
        <v>0</v>
      </c>
      <c r="O94" s="222" t="str">
        <f ca="1">IF(OR(N94="",N94=0),"",60*E94/N94)</f>
        <v/>
      </c>
      <c r="P94" s="201"/>
      <c r="Q94" s="222">
        <f>Q92+1</f>
        <v>4</v>
      </c>
      <c r="R94" s="223">
        <f>IF(ISNA(MATCH($Q94,Score!T$46:T$83,0)),"",MATCH($Q94,Score!T$46:T$83,0)+ROW(Score!T$45) )</f>
        <v>49</v>
      </c>
      <c r="S94" s="224" t="str">
        <f t="shared" ca="1" si="31"/>
        <v>451</v>
      </c>
      <c r="T94" s="223">
        <f t="shared" ca="1" si="31"/>
        <v>4</v>
      </c>
      <c r="U94" s="222">
        <f ca="1">IF(R94="","",SUM(T94,T95))</f>
        <v>4</v>
      </c>
      <c r="V94" s="222">
        <f ca="1">IF(R94="","",U94-E94)</f>
        <v>0</v>
      </c>
      <c r="W94" s="225" t="str">
        <f ca="1">IF($R94="","",IF(ISBLANK(INDIRECT(ADDRESS($R94,W$1,1,,"Score"))),"",1))</f>
        <v/>
      </c>
      <c r="X94" s="225" t="str">
        <f ca="1">IF($R94="","",IF(ISBLANK(INDIRECT(ADDRESS($R94,X$1,1,,"Score"))),"",1))</f>
        <v/>
      </c>
      <c r="Y94" s="227" t="str">
        <f ca="1">IF(X94=1,V94,"")</f>
        <v/>
      </c>
      <c r="Z94" s="225" t="str">
        <f t="shared" ca="1" si="32"/>
        <v/>
      </c>
      <c r="AA94" s="225" t="str">
        <f t="shared" ca="1" si="32"/>
        <v/>
      </c>
      <c r="AB94" s="225" t="str">
        <f t="shared" ca="1" si="32"/>
        <v/>
      </c>
      <c r="AC94" s="223">
        <f t="shared" ca="1" si="33"/>
        <v>2</v>
      </c>
      <c r="AD94" s="222">
        <f ca="1">N94</f>
        <v>0</v>
      </c>
      <c r="AE94" s="222" t="str">
        <f ca="1">IF(OR(AD94="",AD94=0),"",60*U94/AD94)</f>
        <v/>
      </c>
    </row>
    <row r="95" spans="1:31" x14ac:dyDescent="0.3">
      <c r="A95" s="222"/>
      <c r="B95" s="223" t="str">
        <f ca="1">IF($B94="","",IF(INDIRECT(ADDRESS($B94+1,C$1-1,1,,"Score"))="SP",$B94+1,""))</f>
        <v/>
      </c>
      <c r="C95" s="224" t="str">
        <f t="shared" ca="1" si="28"/>
        <v/>
      </c>
      <c r="D95" s="223" t="str">
        <f t="shared" ca="1" si="28"/>
        <v/>
      </c>
      <c r="E95" s="222"/>
      <c r="F95" s="222"/>
      <c r="G95" s="225"/>
      <c r="H95" s="226"/>
      <c r="I95" s="227"/>
      <c r="J95" s="225" t="str">
        <f t="shared" ca="1" si="29"/>
        <v/>
      </c>
      <c r="K95" s="225" t="str">
        <f t="shared" ca="1" si="29"/>
        <v/>
      </c>
      <c r="L95" s="225" t="str">
        <f t="shared" ca="1" si="29"/>
        <v/>
      </c>
      <c r="M95" s="223" t="str">
        <f t="shared" ca="1" si="30"/>
        <v/>
      </c>
      <c r="N95" s="222"/>
      <c r="O95" s="222"/>
      <c r="P95" s="201"/>
      <c r="Q95" s="222"/>
      <c r="R95" s="223" t="str">
        <f ca="1">IF($R94="","",IF(INDIRECT(ADDRESS($R94+1,S$1-1,1,,"Score"))="SP",$R94+1,""))</f>
        <v/>
      </c>
      <c r="S95" s="224" t="str">
        <f t="shared" ca="1" si="31"/>
        <v/>
      </c>
      <c r="T95" s="223" t="str">
        <f t="shared" ca="1" si="31"/>
        <v/>
      </c>
      <c r="U95" s="222"/>
      <c r="V95" s="222"/>
      <c r="W95" s="225"/>
      <c r="X95" s="226"/>
      <c r="Y95" s="227"/>
      <c r="Z95" s="225" t="str">
        <f t="shared" ca="1" si="32"/>
        <v/>
      </c>
      <c r="AA95" s="225" t="str">
        <f t="shared" ca="1" si="32"/>
        <v/>
      </c>
      <c r="AB95" s="225" t="str">
        <f t="shared" ca="1" si="32"/>
        <v/>
      </c>
      <c r="AC95" s="223" t="str">
        <f t="shared" ca="1" si="33"/>
        <v/>
      </c>
      <c r="AD95" s="222"/>
      <c r="AE95" s="222"/>
    </row>
    <row r="96" spans="1:31" x14ac:dyDescent="0.25">
      <c r="A96" s="203">
        <f>A94+1</f>
        <v>5</v>
      </c>
      <c r="B96" s="201">
        <f>IF(ISNA(MATCH($A96,Score!A$46:A$83,0)),"",MATCH($A96,Score!A$46:A$83,0)+ROW(Score!A$45))</f>
        <v>50</v>
      </c>
      <c r="C96" s="202" t="str">
        <f t="shared" ca="1" si="28"/>
        <v>19</v>
      </c>
      <c r="D96" s="201">
        <f t="shared" ca="1" si="28"/>
        <v>9</v>
      </c>
      <c r="E96" s="203">
        <f ca="1">IF(B96="","",SUM(D96,D97))</f>
        <v>9</v>
      </c>
      <c r="F96" s="203">
        <f ca="1">IF(B96="","",E96-U96)</f>
        <v>1</v>
      </c>
      <c r="G96" s="231" t="str">
        <f ca="1">IF($B96="","",IF(ISBLANK(INDIRECT(ADDRESS($B96,G$1,1,,"Score"))),"",1))</f>
        <v/>
      </c>
      <c r="H96" s="231">
        <f ca="1">IF($B96="","",IF(ISBLANK(INDIRECT(ADDRESS($B96,H$1,1,,"Score"))),"",1))</f>
        <v>1</v>
      </c>
      <c r="I96" s="221">
        <f ca="1">IF(H96=1,F96,"")</f>
        <v>1</v>
      </c>
      <c r="J96" s="231">
        <f t="shared" ca="1" si="29"/>
        <v>1</v>
      </c>
      <c r="K96" s="231" t="str">
        <f t="shared" ca="1" si="29"/>
        <v/>
      </c>
      <c r="L96" s="231" t="str">
        <f t="shared" ca="1" si="29"/>
        <v/>
      </c>
      <c r="M96" s="201">
        <f t="shared" ca="1" si="30"/>
        <v>3</v>
      </c>
      <c r="N96" s="146">
        <f ca="1">IF(ISNA(MATCH($A96,'Game Clock'!A$62:A$99,0)),"",INDIRECT(ADDRESS(MATCH($A96,'Game Clock'!A$62:A$99,0)+ROW('Game Clock'!A$61),N$1,1,,"Game Clock")))</f>
        <v>0</v>
      </c>
      <c r="O96" s="146" t="str">
        <f ca="1">IF(OR(N96="",N96=0),"",60*E96/N96)</f>
        <v/>
      </c>
      <c r="P96" s="201"/>
      <c r="Q96" s="203">
        <f>Q94+1</f>
        <v>5</v>
      </c>
      <c r="R96" s="201">
        <f>IF(ISNA(MATCH($Q96,Score!T$46:T$83,0)),"",MATCH($Q96,Score!T$46:T$83,0)+ROW(Score!T$45) )</f>
        <v>50</v>
      </c>
      <c r="S96" s="202" t="str">
        <f t="shared" ca="1" si="31"/>
        <v>11G6</v>
      </c>
      <c r="T96" s="201">
        <f t="shared" ca="1" si="31"/>
        <v>0</v>
      </c>
      <c r="U96" s="203">
        <f ca="1">IF(R96="","",SUM(T96,T97))</f>
        <v>8</v>
      </c>
      <c r="V96" s="203">
        <f ca="1">IF(R96="","",U96-E96)</f>
        <v>-1</v>
      </c>
      <c r="W96" s="231" t="str">
        <f ca="1">IF($R96="","",IF(ISBLANK(INDIRECT(ADDRESS($R96,W$1,1,,"Score"))),"",1))</f>
        <v/>
      </c>
      <c r="X96" s="231" t="str">
        <f ca="1">IF($R96="","",IF(ISBLANK(INDIRECT(ADDRESS($R96,X$1,1,,"Score"))),"",1))</f>
        <v/>
      </c>
      <c r="Y96" s="221" t="str">
        <f ca="1">IF(X96=1,V96,"")</f>
        <v/>
      </c>
      <c r="Z96" s="231" t="str">
        <f t="shared" ca="1" si="32"/>
        <v/>
      </c>
      <c r="AA96" s="231" t="str">
        <f t="shared" ca="1" si="32"/>
        <v/>
      </c>
      <c r="AB96" s="231" t="str">
        <f t="shared" ca="1" si="32"/>
        <v/>
      </c>
      <c r="AC96" s="201">
        <f t="shared" ca="1" si="33"/>
        <v>0</v>
      </c>
      <c r="AD96" s="146">
        <f ca="1">N96</f>
        <v>0</v>
      </c>
      <c r="AE96" s="146" t="str">
        <f ca="1">IF(OR(AD96="",AD96=0),"",60*U96/AD96)</f>
        <v/>
      </c>
    </row>
    <row r="97" spans="1:31" x14ac:dyDescent="0.25">
      <c r="A97" s="203"/>
      <c r="B97" s="201" t="str">
        <f ca="1">IF($B96="","",IF(INDIRECT(ADDRESS($B96+1,C$1-1,1,,"Score"))="SP",$B96+1,""))</f>
        <v/>
      </c>
      <c r="C97" s="202" t="str">
        <f t="shared" ca="1" si="28"/>
        <v/>
      </c>
      <c r="D97" s="201" t="str">
        <f t="shared" ca="1" si="28"/>
        <v/>
      </c>
      <c r="E97" s="203"/>
      <c r="F97" s="203"/>
      <c r="G97" s="231"/>
      <c r="H97" s="231"/>
      <c r="I97" s="221"/>
      <c r="J97" s="231" t="str">
        <f t="shared" ca="1" si="29"/>
        <v/>
      </c>
      <c r="K97" s="231" t="str">
        <f t="shared" ca="1" si="29"/>
        <v/>
      </c>
      <c r="L97" s="231" t="str">
        <f t="shared" ca="1" si="29"/>
        <v/>
      </c>
      <c r="M97" s="201" t="str">
        <f t="shared" ca="1" si="30"/>
        <v/>
      </c>
      <c r="N97" s="146"/>
      <c r="O97" s="146"/>
      <c r="P97" s="201"/>
      <c r="Q97" s="203"/>
      <c r="R97" s="201">
        <f ca="1">IF($R96="","",IF(INDIRECT(ADDRESS($R96+1,S$1-1,1,,"Score"))="SP",$R96+1,""))</f>
        <v>51</v>
      </c>
      <c r="S97" s="202" t="str">
        <f t="shared" ca="1" si="31"/>
        <v>519</v>
      </c>
      <c r="T97" s="201">
        <f t="shared" ca="1" si="31"/>
        <v>8</v>
      </c>
      <c r="U97" s="203"/>
      <c r="V97" s="203"/>
      <c r="W97" s="231"/>
      <c r="X97" s="231"/>
      <c r="Y97" s="221"/>
      <c r="Z97" s="231" t="str">
        <f t="shared" ca="1" si="32"/>
        <v/>
      </c>
      <c r="AA97" s="231" t="str">
        <f t="shared" ca="1" si="32"/>
        <v/>
      </c>
      <c r="AB97" s="231" t="str">
        <f t="shared" ca="1" si="32"/>
        <v/>
      </c>
      <c r="AC97" s="201">
        <f t="shared" ca="1" si="33"/>
        <v>3</v>
      </c>
      <c r="AD97" s="146"/>
      <c r="AE97" s="146"/>
    </row>
    <row r="98" spans="1:31" x14ac:dyDescent="0.25">
      <c r="A98" s="222">
        <f>A96+1</f>
        <v>6</v>
      </c>
      <c r="B98" s="223">
        <f>IF(ISNA(MATCH($A98,Score!A$46:A$83,0)),"",MATCH($A98,Score!A$46:A$83,0)+ROW(Score!A$45))</f>
        <v>52</v>
      </c>
      <c r="C98" s="224" t="str">
        <f t="shared" ca="1" si="28"/>
        <v>20</v>
      </c>
      <c r="D98" s="223">
        <f t="shared" ca="1" si="28"/>
        <v>30</v>
      </c>
      <c r="E98" s="222">
        <f ca="1">IF(B98="","",SUM(D98,D99))</f>
        <v>30</v>
      </c>
      <c r="F98" s="222">
        <f ca="1">IF(B98="","",E98-U98)</f>
        <v>30</v>
      </c>
      <c r="G98" s="225" t="str">
        <f ca="1">IF($B98="","",IF(ISBLANK(INDIRECT(ADDRESS($B98,G$1,1,,"Score"))),"",1))</f>
        <v/>
      </c>
      <c r="H98" s="225">
        <f ca="1">IF($B98="","",IF(ISBLANK(INDIRECT(ADDRESS($B98,H$1,1,,"Score"))),"",1))</f>
        <v>1</v>
      </c>
      <c r="I98" s="227">
        <f ca="1">IF(H98=1,F98,"")</f>
        <v>30</v>
      </c>
      <c r="J98" s="225">
        <f t="shared" ca="1" si="29"/>
        <v>1</v>
      </c>
      <c r="K98" s="225" t="str">
        <f t="shared" ca="1" si="29"/>
        <v/>
      </c>
      <c r="L98" s="225" t="str">
        <f t="shared" ca="1" si="29"/>
        <v/>
      </c>
      <c r="M98" s="223">
        <f t="shared" ca="1" si="30"/>
        <v>7</v>
      </c>
      <c r="N98" s="146">
        <f ca="1">IF(ISNA(MATCH($A98,'Game Clock'!A$62:A$99,0)),"",INDIRECT(ADDRESS(MATCH($A98,'Game Clock'!A$62:A$99,0)+ROW('Game Clock'!A$61),N$1,1,,"Game Clock")))</f>
        <v>0</v>
      </c>
      <c r="O98" s="222" t="str">
        <f ca="1">IF(OR(N98="",N98=0),"",60*E98/N98)</f>
        <v/>
      </c>
      <c r="P98" s="201"/>
      <c r="Q98" s="222">
        <f>Q96+1</f>
        <v>6</v>
      </c>
      <c r="R98" s="223">
        <f>IF(ISNA(MATCH($Q98,Score!T$46:T$83,0)),"",MATCH($Q98,Score!T$46:T$83,0)+ROW(Score!T$45) )</f>
        <v>52</v>
      </c>
      <c r="S98" s="224" t="str">
        <f t="shared" ca="1" si="31"/>
        <v>58</v>
      </c>
      <c r="T98" s="223">
        <f t="shared" ca="1" si="31"/>
        <v>0</v>
      </c>
      <c r="U98" s="222">
        <f ca="1">IF(R98="","",SUM(T98,T99))</f>
        <v>0</v>
      </c>
      <c r="V98" s="222">
        <f ca="1">IF(R98="","",U98-E98)</f>
        <v>-30</v>
      </c>
      <c r="W98" s="225" t="str">
        <f ca="1">IF($R98="","",IF(ISBLANK(INDIRECT(ADDRESS($R98,W$1,1,,"Score"))),"",1))</f>
        <v/>
      </c>
      <c r="X98" s="225" t="str">
        <f ca="1">IF($R98="","",IF(ISBLANK(INDIRECT(ADDRESS($R98,X$1,1,,"Score"))),"",1))</f>
        <v/>
      </c>
      <c r="Y98" s="227" t="str">
        <f ca="1">IF(X98=1,V98,"")</f>
        <v/>
      </c>
      <c r="Z98" s="225" t="str">
        <f t="shared" ca="1" si="32"/>
        <v/>
      </c>
      <c r="AA98" s="225" t="str">
        <f t="shared" ca="1" si="32"/>
        <v/>
      </c>
      <c r="AB98" s="225">
        <f t="shared" ca="1" si="32"/>
        <v>1</v>
      </c>
      <c r="AC98" s="223">
        <f t="shared" ca="1" si="33"/>
        <v>0</v>
      </c>
      <c r="AD98" s="222">
        <f ca="1">N98</f>
        <v>0</v>
      </c>
      <c r="AE98" s="222" t="str">
        <f ca="1">IF(OR(AD98="",AD98=0),"",60*U98/AD98)</f>
        <v/>
      </c>
    </row>
    <row r="99" spans="1:31" x14ac:dyDescent="0.3">
      <c r="A99" s="222"/>
      <c r="B99" s="223" t="str">
        <f ca="1">IF($B98="","",IF(INDIRECT(ADDRESS($B98+1,C$1-1,1,,"Score"))="SP",$B98+1,""))</f>
        <v/>
      </c>
      <c r="C99" s="224" t="str">
        <f t="shared" ca="1" si="28"/>
        <v/>
      </c>
      <c r="D99" s="223" t="str">
        <f t="shared" ca="1" si="28"/>
        <v/>
      </c>
      <c r="E99" s="222"/>
      <c r="F99" s="222"/>
      <c r="G99" s="225"/>
      <c r="H99" s="226"/>
      <c r="I99" s="227"/>
      <c r="J99" s="225" t="str">
        <f t="shared" ca="1" si="29"/>
        <v/>
      </c>
      <c r="K99" s="225" t="str">
        <f t="shared" ca="1" si="29"/>
        <v/>
      </c>
      <c r="L99" s="225" t="str">
        <f t="shared" ca="1" si="29"/>
        <v/>
      </c>
      <c r="M99" s="223" t="str">
        <f t="shared" ca="1" si="30"/>
        <v/>
      </c>
      <c r="N99" s="222"/>
      <c r="O99" s="222"/>
      <c r="P99" s="201"/>
      <c r="Q99" s="222"/>
      <c r="R99" s="223">
        <f ca="1">IF($R98="","",IF(INDIRECT(ADDRESS($R98+1,S$1-1,1,,"Score"))="SP",$R98+1,""))</f>
        <v>53</v>
      </c>
      <c r="S99" s="224" t="str">
        <f t="shared" ca="1" si="31"/>
        <v>26</v>
      </c>
      <c r="T99" s="223">
        <f t="shared" ca="1" si="31"/>
        <v>0</v>
      </c>
      <c r="U99" s="222"/>
      <c r="V99" s="222"/>
      <c r="W99" s="225"/>
      <c r="X99" s="226"/>
      <c r="Y99" s="227"/>
      <c r="Z99" s="225" t="str">
        <f t="shared" ca="1" si="32"/>
        <v/>
      </c>
      <c r="AA99" s="225" t="str">
        <f t="shared" ca="1" si="32"/>
        <v/>
      </c>
      <c r="AB99" s="225">
        <f t="shared" ca="1" si="32"/>
        <v>1</v>
      </c>
      <c r="AC99" s="223">
        <f t="shared" ca="1" si="33"/>
        <v>0</v>
      </c>
      <c r="AD99" s="222"/>
      <c r="AE99" s="222"/>
    </row>
    <row r="100" spans="1:31" x14ac:dyDescent="0.25">
      <c r="A100" s="203">
        <f>A98+1</f>
        <v>7</v>
      </c>
      <c r="B100" s="201">
        <f>IF(ISNA(MATCH($A100,Score!A$46:A$83,0)),"",MATCH($A100,Score!A$46:A$83,0)+ROW(Score!A$45))</f>
        <v>54</v>
      </c>
      <c r="C100" s="202" t="str">
        <f t="shared" ca="1" si="28"/>
        <v>84</v>
      </c>
      <c r="D100" s="201">
        <f t="shared" ca="1" si="28"/>
        <v>4</v>
      </c>
      <c r="E100" s="203">
        <f ca="1">IF(B100="","",SUM(D100,D101))</f>
        <v>4</v>
      </c>
      <c r="F100" s="203">
        <f ca="1">IF(B100="","",E100-U100)</f>
        <v>3</v>
      </c>
      <c r="G100" s="231" t="str">
        <f ca="1">IF($B100="","",IF(ISBLANK(INDIRECT(ADDRESS($B100,G$1,1,,"Score"))),"",1))</f>
        <v/>
      </c>
      <c r="H100" s="231">
        <f ca="1">IF($B100="","",IF(ISBLANK(INDIRECT(ADDRESS($B100,H$1,1,,"Score"))),"",1))</f>
        <v>1</v>
      </c>
      <c r="I100" s="221">
        <f ca="1">IF(H100=1,F100,"")</f>
        <v>3</v>
      </c>
      <c r="J100" s="231">
        <f t="shared" ca="1" si="29"/>
        <v>1</v>
      </c>
      <c r="K100" s="231" t="str">
        <f t="shared" ca="1" si="29"/>
        <v/>
      </c>
      <c r="L100" s="231" t="str">
        <f t="shared" ca="1" si="29"/>
        <v/>
      </c>
      <c r="M100" s="201">
        <f t="shared" ca="1" si="30"/>
        <v>2</v>
      </c>
      <c r="N100" s="146">
        <f ca="1">IF(ISNA(MATCH($A100,'Game Clock'!A$62:A$99,0)),"",INDIRECT(ADDRESS(MATCH($A100,'Game Clock'!A$62:A$99,0)+ROW('Game Clock'!A$61),N$1,1,,"Game Clock")))</f>
        <v>0</v>
      </c>
      <c r="O100" s="146" t="str">
        <f ca="1">IF(OR(N100="",N100=0),"",60*E100/N100)</f>
        <v/>
      </c>
      <c r="P100" s="201"/>
      <c r="Q100" s="203">
        <f>Q98+1</f>
        <v>7</v>
      </c>
      <c r="R100" s="201">
        <f>IF(ISNA(MATCH($Q100,Score!T$46:T$83,0)),"",MATCH($Q100,Score!T$46:T$83,0)+ROW(Score!T$45) )</f>
        <v>54</v>
      </c>
      <c r="S100" s="202" t="str">
        <f t="shared" ca="1" si="31"/>
        <v>26</v>
      </c>
      <c r="T100" s="201">
        <f t="shared" ca="1" si="31"/>
        <v>0</v>
      </c>
      <c r="U100" s="203">
        <f ca="1">IF(R100="","",SUM(T100,T101))</f>
        <v>1</v>
      </c>
      <c r="V100" s="203">
        <f ca="1">IF(R100="","",U100-E100)</f>
        <v>-3</v>
      </c>
      <c r="W100" s="231" t="str">
        <f ca="1">IF($R100="","",IF(ISBLANK(INDIRECT(ADDRESS($R100,W$1,1,,"Score"))),"",1))</f>
        <v/>
      </c>
      <c r="X100" s="231" t="str">
        <f ca="1">IF($R100="","",IF(ISBLANK(INDIRECT(ADDRESS($R100,X$1,1,,"Score"))),"",1))</f>
        <v/>
      </c>
      <c r="Y100" s="221" t="str">
        <f ca="1">IF(X100=1,V100,"")</f>
        <v/>
      </c>
      <c r="Z100" s="231" t="str">
        <f t="shared" ca="1" si="32"/>
        <v/>
      </c>
      <c r="AA100" s="231" t="str">
        <f t="shared" ca="1" si="32"/>
        <v/>
      </c>
      <c r="AB100" s="231" t="str">
        <f t="shared" ca="1" si="32"/>
        <v/>
      </c>
      <c r="AC100" s="201">
        <f t="shared" ca="1" si="33"/>
        <v>0</v>
      </c>
      <c r="AD100" s="146">
        <f ca="1">N100</f>
        <v>0</v>
      </c>
      <c r="AE100" s="146" t="str">
        <f ca="1">IF(OR(AD100="",AD100=0),"",60*U100/AD100)</f>
        <v/>
      </c>
    </row>
    <row r="101" spans="1:31" x14ac:dyDescent="0.25">
      <c r="A101" s="203"/>
      <c r="B101" s="201" t="str">
        <f ca="1">IF($B100="","",IF(INDIRECT(ADDRESS($B100+1,C$1-1,1,,"Score"))="SP",$B100+1,""))</f>
        <v/>
      </c>
      <c r="C101" s="202" t="str">
        <f t="shared" ca="1" si="28"/>
        <v/>
      </c>
      <c r="D101" s="201" t="str">
        <f t="shared" ca="1" si="28"/>
        <v/>
      </c>
      <c r="E101" s="203"/>
      <c r="F101" s="203"/>
      <c r="G101" s="231"/>
      <c r="H101" s="231"/>
      <c r="I101" s="221"/>
      <c r="J101" s="231" t="str">
        <f t="shared" ca="1" si="29"/>
        <v/>
      </c>
      <c r="K101" s="231" t="str">
        <f t="shared" ca="1" si="29"/>
        <v/>
      </c>
      <c r="L101" s="231" t="str">
        <f t="shared" ca="1" si="29"/>
        <v/>
      </c>
      <c r="M101" s="201" t="str">
        <f t="shared" ca="1" si="30"/>
        <v/>
      </c>
      <c r="N101" s="146"/>
      <c r="O101" s="146"/>
      <c r="P101" s="201"/>
      <c r="Q101" s="203"/>
      <c r="R101" s="201">
        <f ca="1">IF($R100="","",IF(INDIRECT(ADDRESS($R100+1,S$1-1,1,,"Score"))="SP",$R100+1,""))</f>
        <v>55</v>
      </c>
      <c r="S101" s="202" t="str">
        <f t="shared" ca="1" si="31"/>
        <v>519</v>
      </c>
      <c r="T101" s="201">
        <f t="shared" ca="1" si="31"/>
        <v>1</v>
      </c>
      <c r="U101" s="203"/>
      <c r="V101" s="203"/>
      <c r="W101" s="231"/>
      <c r="X101" s="231"/>
      <c r="Y101" s="221"/>
      <c r="Z101" s="231" t="str">
        <f t="shared" ca="1" si="32"/>
        <v/>
      </c>
      <c r="AA101" s="231" t="str">
        <f t="shared" ca="1" si="32"/>
        <v/>
      </c>
      <c r="AB101" s="231" t="str">
        <f t="shared" ca="1" si="32"/>
        <v/>
      </c>
      <c r="AC101" s="201">
        <f t="shared" ca="1" si="33"/>
        <v>1</v>
      </c>
      <c r="AD101" s="146"/>
      <c r="AE101" s="146"/>
    </row>
    <row r="102" spans="1:31" x14ac:dyDescent="0.25">
      <c r="A102" s="222">
        <f>A100+1</f>
        <v>8</v>
      </c>
      <c r="B102" s="223">
        <f>IF(ISNA(MATCH($A102,Score!A$46:A$83,0)),"",MATCH($A102,Score!A$46:A$83,0)+ROW(Score!A$45))</f>
        <v>56</v>
      </c>
      <c r="C102" s="224" t="str">
        <f t="shared" ca="1" si="28"/>
        <v>4</v>
      </c>
      <c r="D102" s="223">
        <f t="shared" ca="1" si="28"/>
        <v>4</v>
      </c>
      <c r="E102" s="222">
        <f ca="1">IF(B102="","",SUM(D102,D103))</f>
        <v>4</v>
      </c>
      <c r="F102" s="222">
        <f ca="1">IF(B102="","",E102-U102)</f>
        <v>0</v>
      </c>
      <c r="G102" s="225" t="str">
        <f ca="1">IF($B102="","",IF(ISBLANK(INDIRECT(ADDRESS($B102,G$1,1,,"Score"))),"",1))</f>
        <v/>
      </c>
      <c r="H102" s="225" t="str">
        <f ca="1">IF($B102="","",IF(ISBLANK(INDIRECT(ADDRESS($B102,H$1,1,,"Score"))),"",1))</f>
        <v/>
      </c>
      <c r="I102" s="227" t="str">
        <f ca="1">IF(H102=1,F102,"")</f>
        <v/>
      </c>
      <c r="J102" s="225" t="str">
        <f t="shared" ca="1" si="29"/>
        <v/>
      </c>
      <c r="K102" s="225" t="str">
        <f t="shared" ca="1" si="29"/>
        <v/>
      </c>
      <c r="L102" s="225" t="str">
        <f t="shared" ca="1" si="29"/>
        <v/>
      </c>
      <c r="M102" s="223">
        <f t="shared" ca="1" si="30"/>
        <v>2</v>
      </c>
      <c r="N102" s="146">
        <f ca="1">IF(ISNA(MATCH($A102,'Game Clock'!A$62:A$99,0)),"",INDIRECT(ADDRESS(MATCH($A102,'Game Clock'!A$62:A$99,0)+ROW('Game Clock'!A$61),N$1,1,,"Game Clock")))</f>
        <v>0</v>
      </c>
      <c r="O102" s="222" t="str">
        <f ca="1">IF(OR(N102="",N102=0),"",60*E102/N102)</f>
        <v/>
      </c>
      <c r="P102" s="201"/>
      <c r="Q102" s="222">
        <f>Q100+1</f>
        <v>8</v>
      </c>
      <c r="R102" s="223">
        <f>IF(ISNA(MATCH($Q102,Score!T$46:T$83,0)),"",MATCH($Q102,Score!T$46:T$83,0)+ROW(Score!T$45) )</f>
        <v>56</v>
      </c>
      <c r="S102" s="224" t="str">
        <f t="shared" ca="1" si="31"/>
        <v>K9</v>
      </c>
      <c r="T102" s="223">
        <f t="shared" ca="1" si="31"/>
        <v>4</v>
      </c>
      <c r="U102" s="222">
        <f ca="1">IF(R102="","",SUM(T102,T103))</f>
        <v>4</v>
      </c>
      <c r="V102" s="222">
        <f ca="1">IF(R102="","",U102-E102)</f>
        <v>0</v>
      </c>
      <c r="W102" s="225" t="str">
        <f ca="1">IF($R102="","",IF(ISBLANK(INDIRECT(ADDRESS($R102,W$1,1,,"Score"))),"",1))</f>
        <v/>
      </c>
      <c r="X102" s="225">
        <f ca="1">IF($R102="","",IF(ISBLANK(INDIRECT(ADDRESS($R102,X$1,1,,"Score"))),"",1))</f>
        <v>1</v>
      </c>
      <c r="Y102" s="227">
        <f ca="1">IF(X102=1,V102,"")</f>
        <v>0</v>
      </c>
      <c r="Z102" s="225">
        <f t="shared" ca="1" si="32"/>
        <v>1</v>
      </c>
      <c r="AA102" s="225" t="str">
        <f t="shared" ca="1" si="32"/>
        <v/>
      </c>
      <c r="AB102" s="225" t="str">
        <f t="shared" ca="1" si="32"/>
        <v/>
      </c>
      <c r="AC102" s="223">
        <f t="shared" ca="1" si="33"/>
        <v>1</v>
      </c>
      <c r="AD102" s="222">
        <f ca="1">N102</f>
        <v>0</v>
      </c>
      <c r="AE102" s="222" t="str">
        <f ca="1">IF(OR(AD102="",AD102=0),"",60*U102/AD102)</f>
        <v/>
      </c>
    </row>
    <row r="103" spans="1:31" x14ac:dyDescent="0.3">
      <c r="A103" s="222"/>
      <c r="B103" s="223" t="str">
        <f ca="1">IF($B102="","",IF(INDIRECT(ADDRESS($B102+1,C$1-1,1,,"Score"))="SP",$B102+1,""))</f>
        <v/>
      </c>
      <c r="C103" s="224" t="str">
        <f t="shared" ca="1" si="28"/>
        <v/>
      </c>
      <c r="D103" s="223" t="str">
        <f t="shared" ca="1" si="28"/>
        <v/>
      </c>
      <c r="E103" s="222"/>
      <c r="F103" s="222"/>
      <c r="G103" s="225"/>
      <c r="H103" s="226"/>
      <c r="I103" s="227"/>
      <c r="J103" s="225" t="str">
        <f t="shared" ca="1" si="29"/>
        <v/>
      </c>
      <c r="K103" s="225" t="str">
        <f t="shared" ca="1" si="29"/>
        <v/>
      </c>
      <c r="L103" s="225" t="str">
        <f t="shared" ca="1" si="29"/>
        <v/>
      </c>
      <c r="M103" s="223" t="str">
        <f t="shared" ca="1" si="30"/>
        <v/>
      </c>
      <c r="N103" s="222"/>
      <c r="O103" s="222"/>
      <c r="P103" s="201"/>
      <c r="Q103" s="222"/>
      <c r="R103" s="223" t="str">
        <f ca="1">IF($R102="","",IF(INDIRECT(ADDRESS($R102+1,S$1-1,1,,"Score"))="SP",$R102+1,""))</f>
        <v/>
      </c>
      <c r="S103" s="224" t="str">
        <f t="shared" ca="1" si="31"/>
        <v/>
      </c>
      <c r="T103" s="223" t="str">
        <f t="shared" ca="1" si="31"/>
        <v/>
      </c>
      <c r="U103" s="222"/>
      <c r="V103" s="222"/>
      <c r="W103" s="225"/>
      <c r="X103" s="226"/>
      <c r="Y103" s="227"/>
      <c r="Z103" s="225" t="str">
        <f t="shared" ca="1" si="32"/>
        <v/>
      </c>
      <c r="AA103" s="225" t="str">
        <f t="shared" ca="1" si="32"/>
        <v/>
      </c>
      <c r="AB103" s="225" t="str">
        <f t="shared" ca="1" si="32"/>
        <v/>
      </c>
      <c r="AC103" s="223" t="str">
        <f t="shared" ca="1" si="33"/>
        <v/>
      </c>
      <c r="AD103" s="222"/>
      <c r="AE103" s="222"/>
    </row>
    <row r="104" spans="1:31" x14ac:dyDescent="0.25">
      <c r="A104" s="203">
        <f>A102+1</f>
        <v>9</v>
      </c>
      <c r="B104" s="201">
        <f>IF(ISNA(MATCH($A104,Score!A$46:A$83,0)),"",MATCH($A104,Score!A$46:A$83,0)+ROW(Score!A$45))</f>
        <v>57</v>
      </c>
      <c r="C104" s="202" t="str">
        <f t="shared" ca="1" si="28"/>
        <v>19</v>
      </c>
      <c r="D104" s="201">
        <f t="shared" ca="1" si="28"/>
        <v>4</v>
      </c>
      <c r="E104" s="203">
        <f ca="1">IF(B104="","",SUM(D104,D105))</f>
        <v>4</v>
      </c>
      <c r="F104" s="203">
        <f ca="1">IF(B104="","",E104-U104)</f>
        <v>2</v>
      </c>
      <c r="G104" s="231">
        <f ca="1">IF($B104="","",IF(ISBLANK(INDIRECT(ADDRESS($B104,G$1,1,,"Score"))),"",1))</f>
        <v>1</v>
      </c>
      <c r="H104" s="231" t="str">
        <f ca="1">IF($B104="","",IF(ISBLANK(INDIRECT(ADDRESS($B104,H$1,1,,"Score"))),"",1))</f>
        <v/>
      </c>
      <c r="I104" s="221" t="str">
        <f ca="1">IF(H104=1,F104,"")</f>
        <v/>
      </c>
      <c r="J104" s="231" t="str">
        <f t="shared" ca="1" si="29"/>
        <v/>
      </c>
      <c r="K104" s="231" t="str">
        <f t="shared" ca="1" si="29"/>
        <v/>
      </c>
      <c r="L104" s="231" t="str">
        <f t="shared" ca="1" si="29"/>
        <v/>
      </c>
      <c r="M104" s="201">
        <f t="shared" ca="1" si="30"/>
        <v>2</v>
      </c>
      <c r="N104" s="146">
        <f ca="1">IF(ISNA(MATCH($A104,'Game Clock'!A$62:A$99,0)),"",INDIRECT(ADDRESS(MATCH($A104,'Game Clock'!A$62:A$99,0)+ROW('Game Clock'!A$61),N$1,1,,"Game Clock")))</f>
        <v>0</v>
      </c>
      <c r="O104" s="146" t="str">
        <f ca="1">IF(OR(N104="",N104=0),"",60*E104/N104)</f>
        <v/>
      </c>
      <c r="P104" s="201"/>
      <c r="Q104" s="203">
        <f>Q102+1</f>
        <v>9</v>
      </c>
      <c r="R104" s="201">
        <f>IF(ISNA(MATCH($Q104,Score!T$46:T$83,0)),"",MATCH($Q104,Score!T$46:T$83,0)+ROW(Score!T$45) )</f>
        <v>57</v>
      </c>
      <c r="S104" s="202" t="str">
        <f t="shared" ca="1" si="31"/>
        <v>451</v>
      </c>
      <c r="T104" s="201">
        <f t="shared" ca="1" si="31"/>
        <v>2</v>
      </c>
      <c r="U104" s="203">
        <f ca="1">IF(R104="","",SUM(T104,T105))</f>
        <v>2</v>
      </c>
      <c r="V104" s="203">
        <f ca="1">IF(R104="","",U104-E104)</f>
        <v>-2</v>
      </c>
      <c r="W104" s="231" t="str">
        <f ca="1">IF($R104="","",IF(ISBLANK(INDIRECT(ADDRESS($R104,W$1,1,,"Score"))),"",1))</f>
        <v/>
      </c>
      <c r="X104" s="231">
        <f ca="1">IF($R104="","",IF(ISBLANK(INDIRECT(ADDRESS($R104,X$1,1,,"Score"))),"",1))</f>
        <v>1</v>
      </c>
      <c r="Y104" s="221">
        <f ca="1">IF(X104=1,V104,"")</f>
        <v>-2</v>
      </c>
      <c r="Z104" s="231">
        <f t="shared" ca="1" si="32"/>
        <v>1</v>
      </c>
      <c r="AA104" s="231" t="str">
        <f t="shared" ca="1" si="32"/>
        <v/>
      </c>
      <c r="AB104" s="231" t="str">
        <f t="shared" ca="1" si="32"/>
        <v/>
      </c>
      <c r="AC104" s="201">
        <f t="shared" ca="1" si="33"/>
        <v>1</v>
      </c>
      <c r="AD104" s="146">
        <f ca="1">N104</f>
        <v>0</v>
      </c>
      <c r="AE104" s="146" t="str">
        <f ca="1">IF(OR(AD104="",AD104=0),"",60*U104/AD104)</f>
        <v/>
      </c>
    </row>
    <row r="105" spans="1:31" x14ac:dyDescent="0.25">
      <c r="A105" s="203"/>
      <c r="B105" s="201" t="str">
        <f ca="1">IF($B104="","",IF(INDIRECT(ADDRESS($B104+1,C$1-1,1,,"Score"))="SP",$B104+1,""))</f>
        <v/>
      </c>
      <c r="C105" s="202" t="str">
        <f t="shared" ca="1" si="28"/>
        <v/>
      </c>
      <c r="D105" s="201" t="str">
        <f t="shared" ca="1" si="28"/>
        <v/>
      </c>
      <c r="E105" s="203"/>
      <c r="F105" s="203"/>
      <c r="G105" s="231"/>
      <c r="H105" s="231"/>
      <c r="I105" s="221"/>
      <c r="J105" s="231" t="str">
        <f t="shared" ca="1" si="29"/>
        <v/>
      </c>
      <c r="K105" s="231" t="str">
        <f t="shared" ca="1" si="29"/>
        <v/>
      </c>
      <c r="L105" s="231" t="str">
        <f t="shared" ca="1" si="29"/>
        <v/>
      </c>
      <c r="M105" s="201" t="str">
        <f t="shared" ca="1" si="30"/>
        <v/>
      </c>
      <c r="N105" s="146"/>
      <c r="O105" s="146"/>
      <c r="P105" s="201"/>
      <c r="Q105" s="203"/>
      <c r="R105" s="201" t="str">
        <f ca="1">IF($R104="","",IF(INDIRECT(ADDRESS($R104+1,S$1-1,1,,"Score"))="SP",$R104+1,""))</f>
        <v/>
      </c>
      <c r="S105" s="202" t="str">
        <f t="shared" ca="1" si="31"/>
        <v/>
      </c>
      <c r="T105" s="201" t="str">
        <f t="shared" ca="1" si="31"/>
        <v/>
      </c>
      <c r="U105" s="203"/>
      <c r="V105" s="203"/>
      <c r="W105" s="231"/>
      <c r="X105" s="231"/>
      <c r="Y105" s="221"/>
      <c r="Z105" s="231" t="str">
        <f t="shared" ca="1" si="32"/>
        <v/>
      </c>
      <c r="AA105" s="231" t="str">
        <f t="shared" ca="1" si="32"/>
        <v/>
      </c>
      <c r="AB105" s="231" t="str">
        <f t="shared" ca="1" si="32"/>
        <v/>
      </c>
      <c r="AC105" s="201" t="str">
        <f t="shared" ca="1" si="33"/>
        <v/>
      </c>
      <c r="AD105" s="146"/>
      <c r="AE105" s="146"/>
    </row>
    <row r="106" spans="1:31" x14ac:dyDescent="0.25">
      <c r="A106" s="222">
        <f>A104+1</f>
        <v>10</v>
      </c>
      <c r="B106" s="223">
        <f>IF(ISNA(MATCH($A106,Score!A$46:A$83,0)),"",MATCH($A106,Score!A$46:A$83,0)+ROW(Score!A$45))</f>
        <v>58</v>
      </c>
      <c r="C106" s="224" t="str">
        <f t="shared" ca="1" si="28"/>
        <v>20</v>
      </c>
      <c r="D106" s="223">
        <f t="shared" ca="1" si="28"/>
        <v>0</v>
      </c>
      <c r="E106" s="222">
        <f ca="1">IF(B106="","",SUM(D106,D107))</f>
        <v>0</v>
      </c>
      <c r="F106" s="222">
        <f ca="1">IF(B106="","",E106-U106)</f>
        <v>0</v>
      </c>
      <c r="G106" s="225" t="str">
        <f ca="1">IF($B106="","",IF(ISBLANK(INDIRECT(ADDRESS($B106,G$1,1,,"Score"))),"",1))</f>
        <v/>
      </c>
      <c r="H106" s="225" t="str">
        <f ca="1">IF($B106="","",IF(ISBLANK(INDIRECT(ADDRESS($B106,H$1,1,,"Score"))),"",1))</f>
        <v/>
      </c>
      <c r="I106" s="227" t="str">
        <f ca="1">IF(H106=1,F106,"")</f>
        <v/>
      </c>
      <c r="J106" s="225" t="str">
        <f t="shared" ca="1" si="29"/>
        <v/>
      </c>
      <c r="K106" s="225" t="str">
        <f t="shared" ca="1" si="29"/>
        <v/>
      </c>
      <c r="L106" s="225" t="str">
        <f t="shared" ca="1" si="29"/>
        <v/>
      </c>
      <c r="M106" s="223">
        <f t="shared" ca="1" si="30"/>
        <v>1</v>
      </c>
      <c r="N106" s="146">
        <f ca="1">IF(ISNA(MATCH($A106,'Game Clock'!A$62:A$99,0)),"",INDIRECT(ADDRESS(MATCH($A106,'Game Clock'!A$62:A$99,0)+ROW('Game Clock'!A$61),N$1,1,,"Game Clock")))</f>
        <v>0</v>
      </c>
      <c r="O106" s="222" t="str">
        <f ca="1">IF(OR(N106="",N106=0),"",60*E106/N106)</f>
        <v/>
      </c>
      <c r="P106" s="201"/>
      <c r="Q106" s="222">
        <f>Q104+1</f>
        <v>10</v>
      </c>
      <c r="R106" s="223">
        <f>IF(ISNA(MATCH($Q106,Score!T$46:T$83,0)),"",MATCH($Q106,Score!T$46:T$83,0)+ROW(Score!T$45) )</f>
        <v>58</v>
      </c>
      <c r="S106" s="224" t="str">
        <f t="shared" ca="1" si="31"/>
        <v>11G6</v>
      </c>
      <c r="T106" s="223">
        <f t="shared" ca="1" si="31"/>
        <v>0</v>
      </c>
      <c r="U106" s="222">
        <f ca="1">IF(R106="","",SUM(T106,T107))</f>
        <v>0</v>
      </c>
      <c r="V106" s="222">
        <f ca="1">IF(R106="","",U106-E106)</f>
        <v>0</v>
      </c>
      <c r="W106" s="225" t="str">
        <f ca="1">IF($R106="","",IF(ISBLANK(INDIRECT(ADDRESS($R106,W$1,1,,"Score"))),"",1))</f>
        <v/>
      </c>
      <c r="X106" s="225">
        <f ca="1">IF($R106="","",IF(ISBLANK(INDIRECT(ADDRESS($R106,X$1,1,,"Score"))),"",1))</f>
        <v>1</v>
      </c>
      <c r="Y106" s="227">
        <f ca="1">IF(X106=1,V106,"")</f>
        <v>0</v>
      </c>
      <c r="Z106" s="225">
        <f t="shared" ca="1" si="32"/>
        <v>1</v>
      </c>
      <c r="AA106" s="225" t="str">
        <f t="shared" ca="1" si="32"/>
        <v/>
      </c>
      <c r="AB106" s="225" t="str">
        <f t="shared" ca="1" si="32"/>
        <v/>
      </c>
      <c r="AC106" s="223">
        <f t="shared" ca="1" si="33"/>
        <v>1</v>
      </c>
      <c r="AD106" s="222">
        <f ca="1">N106</f>
        <v>0</v>
      </c>
      <c r="AE106" s="222" t="str">
        <f ca="1">IF(OR(AD106="",AD106=0),"",60*U106/AD106)</f>
        <v/>
      </c>
    </row>
    <row r="107" spans="1:31" x14ac:dyDescent="0.3">
      <c r="A107" s="222"/>
      <c r="B107" s="223" t="str">
        <f ca="1">IF($B106="","",IF(INDIRECT(ADDRESS($B106+1,C$1-1,1,,"Score"))="SP",$B106+1,""))</f>
        <v/>
      </c>
      <c r="C107" s="224" t="str">
        <f t="shared" ca="1" si="28"/>
        <v/>
      </c>
      <c r="D107" s="223" t="str">
        <f t="shared" ca="1" si="28"/>
        <v/>
      </c>
      <c r="E107" s="222"/>
      <c r="F107" s="222"/>
      <c r="G107" s="225"/>
      <c r="H107" s="226"/>
      <c r="I107" s="227"/>
      <c r="J107" s="225" t="str">
        <f t="shared" ca="1" si="29"/>
        <v/>
      </c>
      <c r="K107" s="225" t="str">
        <f t="shared" ca="1" si="29"/>
        <v/>
      </c>
      <c r="L107" s="225" t="str">
        <f t="shared" ca="1" si="29"/>
        <v/>
      </c>
      <c r="M107" s="223" t="str">
        <f t="shared" ca="1" si="30"/>
        <v/>
      </c>
      <c r="N107" s="222"/>
      <c r="O107" s="222"/>
      <c r="P107" s="201"/>
      <c r="Q107" s="222"/>
      <c r="R107" s="223" t="str">
        <f ca="1">IF($R106="","",IF(INDIRECT(ADDRESS($R106+1,S$1-1,1,,"Score"))="SP",$R106+1,""))</f>
        <v/>
      </c>
      <c r="S107" s="224" t="str">
        <f t="shared" ca="1" si="31"/>
        <v/>
      </c>
      <c r="T107" s="223" t="str">
        <f t="shared" ca="1" si="31"/>
        <v/>
      </c>
      <c r="U107" s="222"/>
      <c r="V107" s="222"/>
      <c r="W107" s="225"/>
      <c r="X107" s="226"/>
      <c r="Y107" s="227"/>
      <c r="Z107" s="225" t="str">
        <f t="shared" ca="1" si="32"/>
        <v/>
      </c>
      <c r="AA107" s="225" t="str">
        <f t="shared" ca="1" si="32"/>
        <v/>
      </c>
      <c r="AB107" s="225" t="str">
        <f t="shared" ca="1" si="32"/>
        <v/>
      </c>
      <c r="AC107" s="223" t="str">
        <f t="shared" ca="1" si="33"/>
        <v/>
      </c>
      <c r="AD107" s="222"/>
      <c r="AE107" s="222"/>
    </row>
    <row r="108" spans="1:31" x14ac:dyDescent="0.25">
      <c r="A108" s="203">
        <f>A106+1</f>
        <v>11</v>
      </c>
      <c r="B108" s="201">
        <f>IF(ISNA(MATCH($A108,Score!A$46:A$83,0)),"",MATCH($A108,Score!A$46:A$83,0)+ROW(Score!A$45))</f>
        <v>59</v>
      </c>
      <c r="C108" s="202" t="str">
        <f t="shared" ref="C108:D127" ca="1" si="34">IF($B108="","",INDIRECT(ADDRESS($B108,C$1,1,,"Score")))</f>
        <v>4</v>
      </c>
      <c r="D108" s="201">
        <f t="shared" ca="1" si="34"/>
        <v>4</v>
      </c>
      <c r="E108" s="203">
        <f ca="1">IF(B108="","",SUM(D108,D109))</f>
        <v>4</v>
      </c>
      <c r="F108" s="203">
        <f ca="1">IF(B108="","",E108-U108)</f>
        <v>-11</v>
      </c>
      <c r="G108" s="231">
        <f ca="1">IF($B108="","",IF(ISBLANK(INDIRECT(ADDRESS($B108,G$1,1,,"Score"))),"",1))</f>
        <v>1</v>
      </c>
      <c r="H108" s="231" t="str">
        <f ca="1">IF($B108="","",IF(ISBLANK(INDIRECT(ADDRESS($B108,H$1,1,,"Score"))),"",1))</f>
        <v/>
      </c>
      <c r="I108" s="221" t="str">
        <f ca="1">IF(H108=1,F108,"")</f>
        <v/>
      </c>
      <c r="J108" s="231" t="str">
        <f t="shared" ref="J108:L127" ca="1" si="35">IF($B108="","",IF(ISBLANK(INDIRECT(ADDRESS($B108,J$1,1,,"Score"))),"",1))</f>
        <v/>
      </c>
      <c r="K108" s="231" t="str">
        <f t="shared" ca="1" si="35"/>
        <v/>
      </c>
      <c r="L108" s="231" t="str">
        <f t="shared" ca="1" si="35"/>
        <v/>
      </c>
      <c r="M108" s="201">
        <f t="shared" ref="M108:M127" ca="1" si="36">IF($B108="","",INDIRECT(ADDRESS($B108,M$1,1,,"Score")))</f>
        <v>2</v>
      </c>
      <c r="N108" s="146">
        <f ca="1">IF(ISNA(MATCH($A108,'Game Clock'!A$62:A$99,0)),"",INDIRECT(ADDRESS(MATCH($A108,'Game Clock'!A$62:A$99,0)+ROW('Game Clock'!A$61),N$1,1,,"Game Clock")))</f>
        <v>0</v>
      </c>
      <c r="O108" s="146" t="str">
        <f ca="1">IF(OR(N108="",N108=0),"",60*E108/N108)</f>
        <v/>
      </c>
      <c r="P108" s="201"/>
      <c r="Q108" s="203">
        <f>Q106+1</f>
        <v>11</v>
      </c>
      <c r="R108" s="201">
        <f>IF(ISNA(MATCH($Q108,Score!T$46:T$83,0)),"",MATCH($Q108,Score!T$46:T$83,0)+ROW(Score!T$45) )</f>
        <v>59</v>
      </c>
      <c r="S108" s="202" t="str">
        <f t="shared" ref="S108:T127" ca="1" si="37">IF($R108="","",INDIRECT(ADDRESS($R108,S$1,1,,"Score")))</f>
        <v>58</v>
      </c>
      <c r="T108" s="201">
        <f t="shared" ca="1" si="37"/>
        <v>0</v>
      </c>
      <c r="U108" s="203">
        <f ca="1">IF(R108="","",SUM(T108,T109))</f>
        <v>15</v>
      </c>
      <c r="V108" s="203">
        <f ca="1">IF(R108="","",U108-E108)</f>
        <v>11</v>
      </c>
      <c r="W108" s="231" t="str">
        <f ca="1">IF($R108="","",IF(ISBLANK(INDIRECT(ADDRESS($R108,W$1,1,,"Score"))),"",1))</f>
        <v/>
      </c>
      <c r="X108" s="231" t="str">
        <f ca="1">IF($R108="","",IF(ISBLANK(INDIRECT(ADDRESS($R108,X$1,1,,"Score"))),"",1))</f>
        <v/>
      </c>
      <c r="Y108" s="221" t="str">
        <f ca="1">IF(X108=1,V108,"")</f>
        <v/>
      </c>
      <c r="Z108" s="231" t="str">
        <f t="shared" ref="Z108:AB127" ca="1" si="38">IF($R108="","",IF(ISBLANK(INDIRECT(ADDRESS($R108,Z$1,1,,"Score"))),"",1))</f>
        <v/>
      </c>
      <c r="AA108" s="231" t="str">
        <f t="shared" ca="1" si="38"/>
        <v/>
      </c>
      <c r="AB108" s="231" t="str">
        <f t="shared" ca="1" si="38"/>
        <v/>
      </c>
      <c r="AC108" s="201">
        <f t="shared" ref="AC108:AC127" ca="1" si="39">IF($R108="","",INDIRECT(ADDRESS($R108,AC$1,1,,"Score")))</f>
        <v>0</v>
      </c>
      <c r="AD108" s="146">
        <f ca="1">N108</f>
        <v>0</v>
      </c>
      <c r="AE108" s="146" t="str">
        <f ca="1">IF(OR(AD108="",AD108=0),"",60*U108/AD108)</f>
        <v/>
      </c>
    </row>
    <row r="109" spans="1:31" x14ac:dyDescent="0.25">
      <c r="A109" s="203"/>
      <c r="B109" s="201" t="str">
        <f ca="1">IF($B108="","",IF(INDIRECT(ADDRESS($B108+1,C$1-1,1,,"Score"))="SP",$B108+1,""))</f>
        <v/>
      </c>
      <c r="C109" s="202" t="str">
        <f t="shared" ca="1" si="34"/>
        <v/>
      </c>
      <c r="D109" s="201" t="str">
        <f t="shared" ca="1" si="34"/>
        <v/>
      </c>
      <c r="E109" s="203"/>
      <c r="F109" s="203"/>
      <c r="G109" s="231"/>
      <c r="H109" s="231"/>
      <c r="I109" s="221"/>
      <c r="J109" s="231" t="str">
        <f t="shared" ca="1" si="35"/>
        <v/>
      </c>
      <c r="K109" s="231" t="str">
        <f t="shared" ca="1" si="35"/>
        <v/>
      </c>
      <c r="L109" s="231" t="str">
        <f t="shared" ca="1" si="35"/>
        <v/>
      </c>
      <c r="M109" s="201" t="str">
        <f t="shared" ca="1" si="36"/>
        <v/>
      </c>
      <c r="N109" s="146"/>
      <c r="O109" s="146"/>
      <c r="P109" s="201"/>
      <c r="Q109" s="203"/>
      <c r="R109" s="201">
        <f ca="1">IF($R108="","",IF(INDIRECT(ADDRESS($R108+1,S$1-1,1,,"Score"))="SP",$R108+1,""))</f>
        <v>60</v>
      </c>
      <c r="S109" s="202" t="str">
        <f t="shared" ca="1" si="37"/>
        <v>519</v>
      </c>
      <c r="T109" s="201">
        <f t="shared" ca="1" si="37"/>
        <v>15</v>
      </c>
      <c r="U109" s="203"/>
      <c r="V109" s="203"/>
      <c r="W109" s="231"/>
      <c r="X109" s="231"/>
      <c r="Y109" s="221"/>
      <c r="Z109" s="231" t="str">
        <f t="shared" ca="1" si="38"/>
        <v/>
      </c>
      <c r="AA109" s="231" t="str">
        <f t="shared" ca="1" si="38"/>
        <v/>
      </c>
      <c r="AB109" s="231" t="str">
        <f t="shared" ca="1" si="38"/>
        <v/>
      </c>
      <c r="AC109" s="201">
        <f t="shared" ca="1" si="39"/>
        <v>4</v>
      </c>
      <c r="AD109" s="146"/>
      <c r="AE109" s="146"/>
    </row>
    <row r="110" spans="1:31" x14ac:dyDescent="0.25">
      <c r="A110" s="222">
        <f>A108+1</f>
        <v>12</v>
      </c>
      <c r="B110" s="223">
        <f>IF(ISNA(MATCH($A110,Score!A$46:A$83,0)),"",MATCH($A110,Score!A$46:A$83,0)+ROW(Score!A$45))</f>
        <v>61</v>
      </c>
      <c r="C110" s="224" t="str">
        <f t="shared" ca="1" si="34"/>
        <v>4</v>
      </c>
      <c r="D110" s="223">
        <f t="shared" ca="1" si="34"/>
        <v>0</v>
      </c>
      <c r="E110" s="222">
        <f ca="1">IF(B110="","",SUM(D110,D111))</f>
        <v>0</v>
      </c>
      <c r="F110" s="222">
        <f ca="1">IF(B110="","",E110-U110)</f>
        <v>0</v>
      </c>
      <c r="G110" s="225" t="str">
        <f ca="1">IF($B110="","",IF(ISBLANK(INDIRECT(ADDRESS($B110,G$1,1,,"Score"))),"",1))</f>
        <v/>
      </c>
      <c r="H110" s="225" t="str">
        <f ca="1">IF($B110="","",IF(ISBLANK(INDIRECT(ADDRESS($B110,H$1,1,,"Score"))),"",1))</f>
        <v/>
      </c>
      <c r="I110" s="227" t="str">
        <f ca="1">IF(H110=1,F110,"")</f>
        <v/>
      </c>
      <c r="J110" s="225" t="str">
        <f t="shared" ca="1" si="35"/>
        <v/>
      </c>
      <c r="K110" s="225" t="str">
        <f t="shared" ca="1" si="35"/>
        <v/>
      </c>
      <c r="L110" s="225" t="str">
        <f t="shared" ca="1" si="35"/>
        <v/>
      </c>
      <c r="M110" s="223">
        <f t="shared" ca="1" si="36"/>
        <v>1</v>
      </c>
      <c r="N110" s="146">
        <f ca="1">IF(ISNA(MATCH($A110,'Game Clock'!A$62:A$99,0)),"",INDIRECT(ADDRESS(MATCH($A110,'Game Clock'!A$62:A$99,0)+ROW('Game Clock'!A$61),N$1,1,,"Game Clock")))</f>
        <v>0</v>
      </c>
      <c r="O110" s="222" t="str">
        <f ca="1">IF(OR(N110="",N110=0),"",60*E110/N110)</f>
        <v/>
      </c>
      <c r="P110" s="201"/>
      <c r="Q110" s="222">
        <f>Q108+1</f>
        <v>12</v>
      </c>
      <c r="R110" s="223">
        <f>IF(ISNA(MATCH($Q110,Score!T$46:T$83,0)),"",MATCH($Q110,Score!T$46:T$83,0)+ROW(Score!T$45) )</f>
        <v>61</v>
      </c>
      <c r="S110" s="224" t="str">
        <f t="shared" ca="1" si="37"/>
        <v>K9</v>
      </c>
      <c r="T110" s="223">
        <f t="shared" ca="1" si="37"/>
        <v>0</v>
      </c>
      <c r="U110" s="222">
        <f ca="1">IF(R110="","",SUM(T110,T111))</f>
        <v>0</v>
      </c>
      <c r="V110" s="222">
        <f ca="1">IF(R110="","",U110-E110)</f>
        <v>0</v>
      </c>
      <c r="W110" s="225" t="str">
        <f ca="1">IF($R110="","",IF(ISBLANK(INDIRECT(ADDRESS($R110,W$1,1,,"Score"))),"",1))</f>
        <v/>
      </c>
      <c r="X110" s="225">
        <f ca="1">IF($R110="","",IF(ISBLANK(INDIRECT(ADDRESS($R110,X$1,1,,"Score"))),"",1))</f>
        <v>1</v>
      </c>
      <c r="Y110" s="227">
        <f ca="1">IF(X110=1,V110,"")</f>
        <v>0</v>
      </c>
      <c r="Z110" s="225">
        <f t="shared" ca="1" si="38"/>
        <v>1</v>
      </c>
      <c r="AA110" s="225" t="str">
        <f t="shared" ca="1" si="38"/>
        <v/>
      </c>
      <c r="AB110" s="225" t="str">
        <f t="shared" ca="1" si="38"/>
        <v/>
      </c>
      <c r="AC110" s="223">
        <f t="shared" ca="1" si="39"/>
        <v>1</v>
      </c>
      <c r="AD110" s="222">
        <f ca="1">N110</f>
        <v>0</v>
      </c>
      <c r="AE110" s="222" t="str">
        <f ca="1">IF(OR(AD110="",AD110=0),"",60*U110/AD110)</f>
        <v/>
      </c>
    </row>
    <row r="111" spans="1:31" x14ac:dyDescent="0.3">
      <c r="A111" s="222"/>
      <c r="B111" s="223" t="str">
        <f ca="1">IF($B110="","",IF(INDIRECT(ADDRESS($B110+1,C$1-1,1,,"Score"))="SP",$B110+1,""))</f>
        <v/>
      </c>
      <c r="C111" s="224" t="str">
        <f t="shared" ca="1" si="34"/>
        <v/>
      </c>
      <c r="D111" s="223" t="str">
        <f t="shared" ca="1" si="34"/>
        <v/>
      </c>
      <c r="E111" s="222"/>
      <c r="F111" s="222"/>
      <c r="G111" s="225"/>
      <c r="H111" s="226"/>
      <c r="I111" s="227"/>
      <c r="J111" s="225" t="str">
        <f t="shared" ca="1" si="35"/>
        <v/>
      </c>
      <c r="K111" s="225" t="str">
        <f t="shared" ca="1" si="35"/>
        <v/>
      </c>
      <c r="L111" s="225" t="str">
        <f t="shared" ca="1" si="35"/>
        <v/>
      </c>
      <c r="M111" s="223" t="str">
        <f t="shared" ca="1" si="36"/>
        <v/>
      </c>
      <c r="N111" s="222"/>
      <c r="O111" s="222"/>
      <c r="P111" s="201"/>
      <c r="Q111" s="222"/>
      <c r="R111" s="223" t="str">
        <f ca="1">IF($R110="","",IF(INDIRECT(ADDRESS($R110+1,S$1-1,1,,"Score"))="SP",$R110+1,""))</f>
        <v/>
      </c>
      <c r="S111" s="224" t="str">
        <f t="shared" ca="1" si="37"/>
        <v/>
      </c>
      <c r="T111" s="223" t="str">
        <f t="shared" ca="1" si="37"/>
        <v/>
      </c>
      <c r="U111" s="222"/>
      <c r="V111" s="222"/>
      <c r="W111" s="225"/>
      <c r="X111" s="226"/>
      <c r="Y111" s="227"/>
      <c r="Z111" s="225" t="str">
        <f t="shared" ca="1" si="38"/>
        <v/>
      </c>
      <c r="AA111" s="225" t="str">
        <f t="shared" ca="1" si="38"/>
        <v/>
      </c>
      <c r="AB111" s="225" t="str">
        <f t="shared" ca="1" si="38"/>
        <v/>
      </c>
      <c r="AC111" s="223" t="str">
        <f t="shared" ca="1" si="39"/>
        <v/>
      </c>
      <c r="AD111" s="222"/>
      <c r="AE111" s="222"/>
    </row>
    <row r="112" spans="1:31" x14ac:dyDescent="0.25">
      <c r="A112" s="203">
        <f>A110+1</f>
        <v>13</v>
      </c>
      <c r="B112" s="201">
        <f>IF(ISNA(MATCH($A112,Score!A$46:A$83,0)),"",MATCH($A112,Score!A$46:A$83,0)+ROW(Score!A$45))</f>
        <v>62</v>
      </c>
      <c r="C112" s="202" t="str">
        <f t="shared" ca="1" si="34"/>
        <v>19</v>
      </c>
      <c r="D112" s="201">
        <f t="shared" ca="1" si="34"/>
        <v>12</v>
      </c>
      <c r="E112" s="203">
        <f ca="1">IF(B112="","",SUM(D112,D113))</f>
        <v>12</v>
      </c>
      <c r="F112" s="203">
        <f ca="1">IF(B112="","",E112-U112)</f>
        <v>12</v>
      </c>
      <c r="G112" s="231">
        <f ca="1">IF($B112="","",IF(ISBLANK(INDIRECT(ADDRESS($B112,G$1,1,,"Score"))),"",1))</f>
        <v>1</v>
      </c>
      <c r="H112" s="231">
        <f ca="1">IF($B112="","",IF(ISBLANK(INDIRECT(ADDRESS($B112,H$1,1,,"Score"))),"",1))</f>
        <v>1</v>
      </c>
      <c r="I112" s="221">
        <f ca="1">IF(H112=1,F112,"")</f>
        <v>12</v>
      </c>
      <c r="J112" s="231" t="str">
        <f t="shared" ca="1" si="35"/>
        <v/>
      </c>
      <c r="K112" s="231" t="str">
        <f t="shared" ca="1" si="35"/>
        <v/>
      </c>
      <c r="L112" s="231" t="str">
        <f t="shared" ca="1" si="35"/>
        <v/>
      </c>
      <c r="M112" s="201">
        <f t="shared" ca="1" si="36"/>
        <v>3</v>
      </c>
      <c r="N112" s="146">
        <f ca="1">IF(ISNA(MATCH($A112,'Game Clock'!A$62:A$99,0)),"",INDIRECT(ADDRESS(MATCH($A112,'Game Clock'!A$62:A$99,0)+ROW('Game Clock'!A$61),N$1,1,,"Game Clock")))</f>
        <v>0</v>
      </c>
      <c r="O112" s="146" t="str">
        <f ca="1">IF(OR(N112="",N112=0),"",60*E112/N112)</f>
        <v/>
      </c>
      <c r="P112" s="201"/>
      <c r="Q112" s="203">
        <f>Q110+1</f>
        <v>13</v>
      </c>
      <c r="R112" s="201">
        <f>IF(ISNA(MATCH($Q112,Score!T$46:T$83,0)),"",MATCH($Q112,Score!T$46:T$83,0)+ROW(Score!T$45) )</f>
        <v>62</v>
      </c>
      <c r="S112" s="202" t="str">
        <f t="shared" ca="1" si="37"/>
        <v>451</v>
      </c>
      <c r="T112" s="201">
        <f t="shared" ca="1" si="37"/>
        <v>0</v>
      </c>
      <c r="U112" s="203">
        <f ca="1">IF(R112="","",SUM(T112,T113))</f>
        <v>0</v>
      </c>
      <c r="V112" s="203">
        <f ca="1">IF(R112="","",U112-E112)</f>
        <v>-12</v>
      </c>
      <c r="W112" s="231" t="str">
        <f ca="1">IF($R112="","",IF(ISBLANK(INDIRECT(ADDRESS($R112,W$1,1,,"Score"))),"",1))</f>
        <v/>
      </c>
      <c r="X112" s="231" t="str">
        <f ca="1">IF($R112="","",IF(ISBLANK(INDIRECT(ADDRESS($R112,X$1,1,,"Score"))),"",1))</f>
        <v/>
      </c>
      <c r="Y112" s="221" t="str">
        <f ca="1">IF(X112=1,V112,"")</f>
        <v/>
      </c>
      <c r="Z112" s="231" t="str">
        <f t="shared" ca="1" si="38"/>
        <v/>
      </c>
      <c r="AA112" s="231" t="str">
        <f t="shared" ca="1" si="38"/>
        <v/>
      </c>
      <c r="AB112" s="231" t="str">
        <f t="shared" ca="1" si="38"/>
        <v/>
      </c>
      <c r="AC112" s="201">
        <f t="shared" ca="1" si="39"/>
        <v>0</v>
      </c>
      <c r="AD112" s="146">
        <f ca="1">N112</f>
        <v>0</v>
      </c>
      <c r="AE112" s="146" t="str">
        <f ca="1">IF(OR(AD112="",AD112=0),"",60*U112/AD112)</f>
        <v/>
      </c>
    </row>
    <row r="113" spans="1:31" x14ac:dyDescent="0.25">
      <c r="A113" s="203"/>
      <c r="B113" s="201" t="str">
        <f ca="1">IF($B112="","",IF(INDIRECT(ADDRESS($B112+1,C$1-1,1,,"Score"))="SP",$B112+1,""))</f>
        <v/>
      </c>
      <c r="C113" s="202" t="str">
        <f t="shared" ca="1" si="34"/>
        <v/>
      </c>
      <c r="D113" s="201" t="str">
        <f t="shared" ca="1" si="34"/>
        <v/>
      </c>
      <c r="E113" s="203"/>
      <c r="F113" s="203"/>
      <c r="G113" s="231"/>
      <c r="H113" s="231"/>
      <c r="I113" s="221"/>
      <c r="J113" s="231" t="str">
        <f t="shared" ca="1" si="35"/>
        <v/>
      </c>
      <c r="K113" s="231" t="str">
        <f t="shared" ca="1" si="35"/>
        <v/>
      </c>
      <c r="L113" s="231" t="str">
        <f t="shared" ca="1" si="35"/>
        <v/>
      </c>
      <c r="M113" s="201" t="str">
        <f t="shared" ca="1" si="36"/>
        <v/>
      </c>
      <c r="N113" s="146"/>
      <c r="O113" s="146"/>
      <c r="P113" s="201"/>
      <c r="Q113" s="203"/>
      <c r="R113" s="201">
        <f ca="1">IF($R112="","",IF(INDIRECT(ADDRESS($R112+1,S$1-1,1,,"Score"))="SP",$R112+1,""))</f>
        <v>63</v>
      </c>
      <c r="S113" s="202" t="str">
        <f t="shared" ca="1" si="37"/>
        <v>511</v>
      </c>
      <c r="T113" s="201">
        <f t="shared" ca="1" si="37"/>
        <v>0</v>
      </c>
      <c r="U113" s="203"/>
      <c r="V113" s="203"/>
      <c r="W113" s="231"/>
      <c r="X113" s="231"/>
      <c r="Y113" s="221"/>
      <c r="Z113" s="231" t="str">
        <f t="shared" ca="1" si="38"/>
        <v/>
      </c>
      <c r="AA113" s="231" t="str">
        <f t="shared" ca="1" si="38"/>
        <v/>
      </c>
      <c r="AB113" s="231" t="str">
        <f t="shared" ca="1" si="38"/>
        <v/>
      </c>
      <c r="AC113" s="201">
        <f t="shared" ca="1" si="39"/>
        <v>1</v>
      </c>
      <c r="AD113" s="146"/>
      <c r="AE113" s="146"/>
    </row>
    <row r="114" spans="1:31" x14ac:dyDescent="0.25">
      <c r="A114" s="222">
        <f>A112+1</f>
        <v>14</v>
      </c>
      <c r="B114" s="223">
        <f>IF(ISNA(MATCH($A114,Score!A$46:A$83,0)),"",MATCH($A114,Score!A$46:A$83,0)+ROW(Score!A$45))</f>
        <v>64</v>
      </c>
      <c r="C114" s="224" t="str">
        <f t="shared" ca="1" si="34"/>
        <v>84</v>
      </c>
      <c r="D114" s="223">
        <f t="shared" ca="1" si="34"/>
        <v>0</v>
      </c>
      <c r="E114" s="222">
        <f ca="1">IF(B114="","",SUM(D114,D115))</f>
        <v>0</v>
      </c>
      <c r="F114" s="222">
        <f ca="1">IF(B114="","",E114-U114)</f>
        <v>-4</v>
      </c>
      <c r="G114" s="225" t="str">
        <f ca="1">IF($B114="","",IF(ISBLANK(INDIRECT(ADDRESS($B114,G$1,1,,"Score"))),"",1))</f>
        <v/>
      </c>
      <c r="H114" s="225" t="str">
        <f ca="1">IF($B114="","",IF(ISBLANK(INDIRECT(ADDRESS($B114,H$1,1,,"Score"))),"",1))</f>
        <v/>
      </c>
      <c r="I114" s="227" t="str">
        <f ca="1">IF(H114=1,F114,"")</f>
        <v/>
      </c>
      <c r="J114" s="225" t="str">
        <f t="shared" ca="1" si="35"/>
        <v/>
      </c>
      <c r="K114" s="225" t="str">
        <f t="shared" ca="1" si="35"/>
        <v/>
      </c>
      <c r="L114" s="225" t="str">
        <f t="shared" ca="1" si="35"/>
        <v/>
      </c>
      <c r="M114" s="223">
        <f t="shared" ca="1" si="36"/>
        <v>1</v>
      </c>
      <c r="N114" s="146">
        <f ca="1">IF(ISNA(MATCH($A114,'Game Clock'!A$62:A$99,0)),"",INDIRECT(ADDRESS(MATCH($A114,'Game Clock'!A$62:A$99,0)+ROW('Game Clock'!A$61),N$1,1,,"Game Clock")))</f>
        <v>0</v>
      </c>
      <c r="O114" s="222" t="str">
        <f ca="1">IF(OR(N114="",N114=0),"",60*E114/N114)</f>
        <v/>
      </c>
      <c r="P114" s="201"/>
      <c r="Q114" s="222">
        <f>Q112+1</f>
        <v>14</v>
      </c>
      <c r="R114" s="223">
        <f>IF(ISNA(MATCH($Q114,Score!T$46:T$83,0)),"",MATCH($Q114,Score!T$46:T$83,0)+ROW(Score!T$45) )</f>
        <v>64</v>
      </c>
      <c r="S114" s="224" t="str">
        <f t="shared" ca="1" si="37"/>
        <v>11G6</v>
      </c>
      <c r="T114" s="223">
        <f t="shared" ca="1" si="37"/>
        <v>4</v>
      </c>
      <c r="U114" s="222">
        <f ca="1">IF(R114="","",SUM(T114,T115))</f>
        <v>4</v>
      </c>
      <c r="V114" s="222">
        <f ca="1">IF(R114="","",U114-E114)</f>
        <v>4</v>
      </c>
      <c r="W114" s="225" t="str">
        <f ca="1">IF($R114="","",IF(ISBLANK(INDIRECT(ADDRESS($R114,W$1,1,,"Score"))),"",1))</f>
        <v/>
      </c>
      <c r="X114" s="225">
        <f ca="1">IF($R114="","",IF(ISBLANK(INDIRECT(ADDRESS($R114,X$1,1,,"Score"))),"",1))</f>
        <v>1</v>
      </c>
      <c r="Y114" s="227">
        <f ca="1">IF(X114=1,V114,"")</f>
        <v>4</v>
      </c>
      <c r="Z114" s="225">
        <f t="shared" ca="1" si="38"/>
        <v>1</v>
      </c>
      <c r="AA114" s="225" t="str">
        <f t="shared" ca="1" si="38"/>
        <v/>
      </c>
      <c r="AB114" s="225" t="str">
        <f t="shared" ca="1" si="38"/>
        <v/>
      </c>
      <c r="AC114" s="223">
        <f t="shared" ca="1" si="39"/>
        <v>1</v>
      </c>
      <c r="AD114" s="222">
        <f ca="1">N114</f>
        <v>0</v>
      </c>
      <c r="AE114" s="222" t="str">
        <f ca="1">IF(OR(AD114="",AD114=0),"",60*U114/AD114)</f>
        <v/>
      </c>
    </row>
    <row r="115" spans="1:31" x14ac:dyDescent="0.3">
      <c r="A115" s="222"/>
      <c r="B115" s="223" t="str">
        <f ca="1">IF($B114="","",IF(INDIRECT(ADDRESS($B114+1,C$1-1,1,,"Score"))="SP",$B114+1,""))</f>
        <v/>
      </c>
      <c r="C115" s="224" t="str">
        <f t="shared" ca="1" si="34"/>
        <v/>
      </c>
      <c r="D115" s="223" t="str">
        <f t="shared" ca="1" si="34"/>
        <v/>
      </c>
      <c r="E115" s="222"/>
      <c r="F115" s="222"/>
      <c r="G115" s="225"/>
      <c r="H115" s="226"/>
      <c r="I115" s="227"/>
      <c r="J115" s="225" t="str">
        <f t="shared" ca="1" si="35"/>
        <v/>
      </c>
      <c r="K115" s="225" t="str">
        <f t="shared" ca="1" si="35"/>
        <v/>
      </c>
      <c r="L115" s="225" t="str">
        <f t="shared" ca="1" si="35"/>
        <v/>
      </c>
      <c r="M115" s="223" t="str">
        <f t="shared" ca="1" si="36"/>
        <v/>
      </c>
      <c r="N115" s="222"/>
      <c r="O115" s="222"/>
      <c r="P115" s="201"/>
      <c r="Q115" s="222"/>
      <c r="R115" s="223" t="str">
        <f ca="1">IF($R114="","",IF(INDIRECT(ADDRESS($R114+1,S$1-1,1,,"Score"))="SP",$R114+1,""))</f>
        <v/>
      </c>
      <c r="S115" s="224" t="str">
        <f t="shared" ca="1" si="37"/>
        <v/>
      </c>
      <c r="T115" s="223" t="str">
        <f t="shared" ca="1" si="37"/>
        <v/>
      </c>
      <c r="U115" s="222"/>
      <c r="V115" s="222"/>
      <c r="W115" s="225"/>
      <c r="X115" s="226"/>
      <c r="Y115" s="227"/>
      <c r="Z115" s="225" t="str">
        <f t="shared" ca="1" si="38"/>
        <v/>
      </c>
      <c r="AA115" s="225" t="str">
        <f t="shared" ca="1" si="38"/>
        <v/>
      </c>
      <c r="AB115" s="225" t="str">
        <f t="shared" ca="1" si="38"/>
        <v/>
      </c>
      <c r="AC115" s="223" t="str">
        <f t="shared" ca="1" si="39"/>
        <v/>
      </c>
      <c r="AD115" s="222"/>
      <c r="AE115" s="222"/>
    </row>
    <row r="116" spans="1:31" x14ac:dyDescent="0.25">
      <c r="A116" s="203">
        <f>A114+1</f>
        <v>15</v>
      </c>
      <c r="B116" s="201">
        <f>IF(ISNA(MATCH($A116,Score!A$46:A$83,0)),"",MATCH($A116,Score!A$46:A$83,0)+ROW(Score!A$45))</f>
        <v>65</v>
      </c>
      <c r="C116" s="202" t="str">
        <f t="shared" ca="1" si="34"/>
        <v>33</v>
      </c>
      <c r="D116" s="201">
        <f t="shared" ca="1" si="34"/>
        <v>20</v>
      </c>
      <c r="E116" s="203">
        <f ca="1">IF(B116="","",SUM(D116,D117))</f>
        <v>20</v>
      </c>
      <c r="F116" s="203">
        <f ca="1">IF(B116="","",E116-U116)</f>
        <v>20</v>
      </c>
      <c r="G116" s="231" t="str">
        <f ca="1">IF($B116="","",IF(ISBLANK(INDIRECT(ADDRESS($B116,G$1,1,,"Score"))),"",1))</f>
        <v/>
      </c>
      <c r="H116" s="231">
        <f ca="1">IF($B116="","",IF(ISBLANK(INDIRECT(ADDRESS($B116,H$1,1,,"Score"))),"",1))</f>
        <v>1</v>
      </c>
      <c r="I116" s="221">
        <f ca="1">IF(H116=1,F116,"")</f>
        <v>20</v>
      </c>
      <c r="J116" s="231" t="str">
        <f t="shared" ca="1" si="35"/>
        <v/>
      </c>
      <c r="K116" s="231" t="str">
        <f t="shared" ca="1" si="35"/>
        <v/>
      </c>
      <c r="L116" s="231" t="str">
        <f t="shared" ca="1" si="35"/>
        <v/>
      </c>
      <c r="M116" s="201">
        <f t="shared" ca="1" si="36"/>
        <v>4</v>
      </c>
      <c r="N116" s="146">
        <f ca="1">IF(ISNA(MATCH($A116,'Game Clock'!A$62:A$99,0)),"",INDIRECT(ADDRESS(MATCH($A116,'Game Clock'!A$62:A$99,0)+ROW('Game Clock'!A$61),N$1,1,,"Game Clock")))</f>
        <v>0</v>
      </c>
      <c r="O116" s="146" t="str">
        <f ca="1">IF(OR(N116="",N116=0),"",60*E116/N116)</f>
        <v/>
      </c>
      <c r="P116" s="201"/>
      <c r="Q116" s="203">
        <f>Q114+1</f>
        <v>15</v>
      </c>
      <c r="R116" s="201">
        <f>IF(ISNA(MATCH($Q116,Score!T$46:T$83,0)),"",MATCH($Q116,Score!T$46:T$83,0)+ROW(Score!T$45) )</f>
        <v>65</v>
      </c>
      <c r="S116" s="202" t="str">
        <f t="shared" ca="1" si="37"/>
        <v>58</v>
      </c>
      <c r="T116" s="201">
        <f t="shared" ca="1" si="37"/>
        <v>0</v>
      </c>
      <c r="U116" s="203">
        <f ca="1">IF(R116="","",SUM(T116,T117))</f>
        <v>0</v>
      </c>
      <c r="V116" s="203">
        <f ca="1">IF(R116="","",U116-E116)</f>
        <v>-20</v>
      </c>
      <c r="W116" s="231" t="str">
        <f ca="1">IF($R116="","",IF(ISBLANK(INDIRECT(ADDRESS($R116,W$1,1,,"Score"))),"",1))</f>
        <v/>
      </c>
      <c r="X116" s="231" t="str">
        <f ca="1">IF($R116="","",IF(ISBLANK(INDIRECT(ADDRESS($R116,X$1,1,,"Score"))),"",1))</f>
        <v/>
      </c>
      <c r="Y116" s="221" t="str">
        <f ca="1">IF(X116=1,V116,"")</f>
        <v/>
      </c>
      <c r="Z116" s="231" t="str">
        <f t="shared" ca="1" si="38"/>
        <v/>
      </c>
      <c r="AA116" s="231" t="str">
        <f t="shared" ca="1" si="38"/>
        <v/>
      </c>
      <c r="AB116" s="231">
        <f t="shared" ca="1" si="38"/>
        <v>1</v>
      </c>
      <c r="AC116" s="201">
        <f t="shared" ca="1" si="39"/>
        <v>0</v>
      </c>
      <c r="AD116" s="146">
        <f ca="1">N116</f>
        <v>0</v>
      </c>
      <c r="AE116" s="146" t="str">
        <f ca="1">IF(OR(AD116="",AD116=0),"",60*U116/AD116)</f>
        <v/>
      </c>
    </row>
    <row r="117" spans="1:31" x14ac:dyDescent="0.25">
      <c r="A117" s="203"/>
      <c r="B117" s="201" t="str">
        <f ca="1">IF($B116="","",IF(INDIRECT(ADDRESS($B116+1,C$1-1,1,,"Score"))="SP",$B116+1,""))</f>
        <v/>
      </c>
      <c r="C117" s="202" t="str">
        <f t="shared" ca="1" si="34"/>
        <v/>
      </c>
      <c r="D117" s="201" t="str">
        <f t="shared" ca="1" si="34"/>
        <v/>
      </c>
      <c r="E117" s="203"/>
      <c r="F117" s="203"/>
      <c r="G117" s="231"/>
      <c r="H117" s="231"/>
      <c r="I117" s="221"/>
      <c r="J117" s="231" t="str">
        <f t="shared" ca="1" si="35"/>
        <v/>
      </c>
      <c r="K117" s="231" t="str">
        <f t="shared" ca="1" si="35"/>
        <v/>
      </c>
      <c r="L117" s="231" t="str">
        <f t="shared" ca="1" si="35"/>
        <v/>
      </c>
      <c r="M117" s="201" t="str">
        <f t="shared" ca="1" si="36"/>
        <v/>
      </c>
      <c r="N117" s="146"/>
      <c r="O117" s="146"/>
      <c r="P117" s="201"/>
      <c r="Q117" s="203"/>
      <c r="R117" s="201">
        <f ca="1">IF($R116="","",IF(INDIRECT(ADDRESS($R116+1,S$1-1,1,,"Score"))="SP",$R116+1,""))</f>
        <v>66</v>
      </c>
      <c r="S117" s="202" t="str">
        <f t="shared" ca="1" si="37"/>
        <v>45</v>
      </c>
      <c r="T117" s="201">
        <f t="shared" ca="1" si="37"/>
        <v>0</v>
      </c>
      <c r="U117" s="203"/>
      <c r="V117" s="203"/>
      <c r="W117" s="231"/>
      <c r="X117" s="231"/>
      <c r="Y117" s="221"/>
      <c r="Z117" s="231" t="str">
        <f t="shared" ca="1" si="38"/>
        <v/>
      </c>
      <c r="AA117" s="231" t="str">
        <f t="shared" ca="1" si="38"/>
        <v/>
      </c>
      <c r="AB117" s="231">
        <f t="shared" ca="1" si="38"/>
        <v>1</v>
      </c>
      <c r="AC117" s="201">
        <f t="shared" ca="1" si="39"/>
        <v>0</v>
      </c>
      <c r="AD117" s="146"/>
      <c r="AE117" s="146"/>
    </row>
    <row r="118" spans="1:31" x14ac:dyDescent="0.25">
      <c r="A118" s="222">
        <f>A116+1</f>
        <v>16</v>
      </c>
      <c r="B118" s="223">
        <f>IF(ISNA(MATCH($A118,Score!A$46:A$83,0)),"",MATCH($A118,Score!A$46:A$83,0)+ROW(Score!A$45))</f>
        <v>67</v>
      </c>
      <c r="C118" s="224" t="str">
        <f t="shared" ca="1" si="34"/>
        <v>20</v>
      </c>
      <c r="D118" s="223">
        <f t="shared" ca="1" si="34"/>
        <v>4</v>
      </c>
      <c r="E118" s="222">
        <f ca="1">IF(B118="","",SUM(D118,D119))</f>
        <v>4</v>
      </c>
      <c r="F118" s="222">
        <f ca="1">IF(B118="","",E118-U118)</f>
        <v>4</v>
      </c>
      <c r="G118" s="225" t="str">
        <f ca="1">IF($B118="","",IF(ISBLANK(INDIRECT(ADDRESS($B118,G$1,1,,"Score"))),"",1))</f>
        <v/>
      </c>
      <c r="H118" s="225">
        <f ca="1">IF($B118="","",IF(ISBLANK(INDIRECT(ADDRESS($B118,H$1,1,,"Score"))),"",1))</f>
        <v>1</v>
      </c>
      <c r="I118" s="227">
        <f ca="1">IF(H118=1,F118,"")</f>
        <v>4</v>
      </c>
      <c r="J118" s="225">
        <f t="shared" ca="1" si="35"/>
        <v>1</v>
      </c>
      <c r="K118" s="225" t="str">
        <f t="shared" ca="1" si="35"/>
        <v/>
      </c>
      <c r="L118" s="225" t="str">
        <f t="shared" ca="1" si="35"/>
        <v/>
      </c>
      <c r="M118" s="223">
        <f t="shared" ca="1" si="36"/>
        <v>2</v>
      </c>
      <c r="N118" s="146">
        <f ca="1">IF(ISNA(MATCH($A118,'Game Clock'!A$62:A$99,0)),"",INDIRECT(ADDRESS(MATCH($A118,'Game Clock'!A$62:A$99,0)+ROW('Game Clock'!A$61),N$1,1,,"Game Clock")))</f>
        <v>0</v>
      </c>
      <c r="O118" s="222" t="str">
        <f ca="1">IF(OR(N118="",N118=0),"",60*E118/N118)</f>
        <v/>
      </c>
      <c r="P118" s="201"/>
      <c r="Q118" s="222">
        <f>Q116+1</f>
        <v>16</v>
      </c>
      <c r="R118" s="223">
        <f>IF(ISNA(MATCH($Q118,Score!T$46:T$83,0)),"",MATCH($Q118,Score!T$46:T$83,0)+ROW(Score!T$45) )</f>
        <v>67</v>
      </c>
      <c r="S118" s="224" t="str">
        <f t="shared" ca="1" si="37"/>
        <v>45</v>
      </c>
      <c r="T118" s="223">
        <f t="shared" ca="1" si="37"/>
        <v>0</v>
      </c>
      <c r="U118" s="222">
        <f ca="1">IF(R118="","",SUM(T118,T119))</f>
        <v>0</v>
      </c>
      <c r="V118" s="222">
        <f ca="1">IF(R118="","",U118-E118)</f>
        <v>-4</v>
      </c>
      <c r="W118" s="225" t="str">
        <f ca="1">IF($R118="","",IF(ISBLANK(INDIRECT(ADDRESS($R118,W$1,1,,"Score"))),"",1))</f>
        <v/>
      </c>
      <c r="X118" s="225" t="str">
        <f ca="1">IF($R118="","",IF(ISBLANK(INDIRECT(ADDRESS($R118,X$1,1,,"Score"))),"",1))</f>
        <v/>
      </c>
      <c r="Y118" s="227" t="str">
        <f ca="1">IF(X118=1,V118,"")</f>
        <v/>
      </c>
      <c r="Z118" s="225" t="str">
        <f t="shared" ca="1" si="38"/>
        <v/>
      </c>
      <c r="AA118" s="225" t="str">
        <f t="shared" ca="1" si="38"/>
        <v/>
      </c>
      <c r="AB118" s="225" t="str">
        <f t="shared" ca="1" si="38"/>
        <v/>
      </c>
      <c r="AC118" s="223">
        <f t="shared" ca="1" si="39"/>
        <v>0</v>
      </c>
      <c r="AD118" s="222">
        <f ca="1">N118</f>
        <v>0</v>
      </c>
      <c r="AE118" s="222" t="str">
        <f ca="1">IF(OR(AD118="",AD118=0),"",60*U118/AD118)</f>
        <v/>
      </c>
    </row>
    <row r="119" spans="1:31" x14ac:dyDescent="0.3">
      <c r="A119" s="222"/>
      <c r="B119" s="223" t="str">
        <f ca="1">IF($B118="","",IF(INDIRECT(ADDRESS($B118+1,C$1-1,1,,"Score"))="SP",$B118+1,""))</f>
        <v/>
      </c>
      <c r="C119" s="224" t="str">
        <f t="shared" ca="1" si="34"/>
        <v/>
      </c>
      <c r="D119" s="223" t="str">
        <f t="shared" ca="1" si="34"/>
        <v/>
      </c>
      <c r="E119" s="222"/>
      <c r="F119" s="222"/>
      <c r="G119" s="225"/>
      <c r="H119" s="226"/>
      <c r="I119" s="227"/>
      <c r="J119" s="225" t="str">
        <f t="shared" ca="1" si="35"/>
        <v/>
      </c>
      <c r="K119" s="225" t="str">
        <f t="shared" ca="1" si="35"/>
        <v/>
      </c>
      <c r="L119" s="225" t="str">
        <f t="shared" ca="1" si="35"/>
        <v/>
      </c>
      <c r="M119" s="223" t="str">
        <f t="shared" ca="1" si="36"/>
        <v/>
      </c>
      <c r="N119" s="222"/>
      <c r="O119" s="222"/>
      <c r="P119" s="201"/>
      <c r="Q119" s="222"/>
      <c r="R119" s="223">
        <f ca="1">IF($R118="","",IF(INDIRECT(ADDRESS($R118+1,S$1-1,1,,"Score"))="SP",$R118+1,""))</f>
        <v>68</v>
      </c>
      <c r="S119" s="224" t="str">
        <f t="shared" ca="1" si="37"/>
        <v>519</v>
      </c>
      <c r="T119" s="223">
        <f t="shared" ca="1" si="37"/>
        <v>0</v>
      </c>
      <c r="U119" s="222"/>
      <c r="V119" s="222"/>
      <c r="W119" s="225"/>
      <c r="X119" s="226"/>
      <c r="Y119" s="227"/>
      <c r="Z119" s="225" t="str">
        <f t="shared" ca="1" si="38"/>
        <v/>
      </c>
      <c r="AA119" s="225" t="str">
        <f t="shared" ca="1" si="38"/>
        <v/>
      </c>
      <c r="AB119" s="225" t="str">
        <f t="shared" ca="1" si="38"/>
        <v/>
      </c>
      <c r="AC119" s="223">
        <f t="shared" ca="1" si="39"/>
        <v>1</v>
      </c>
      <c r="AD119" s="222"/>
      <c r="AE119" s="222"/>
    </row>
    <row r="120" spans="1:31" x14ac:dyDescent="0.25">
      <c r="A120" s="203">
        <f>A118+1</f>
        <v>17</v>
      </c>
      <c r="B120" s="201">
        <f>IF(ISNA(MATCH($A120,Score!A$46:A$83,0)),"",MATCH($A120,Score!A$46:A$83,0)+ROW(Score!A$45))</f>
        <v>69</v>
      </c>
      <c r="C120" s="202" t="str">
        <f t="shared" ca="1" si="34"/>
        <v>4</v>
      </c>
      <c r="D120" s="201">
        <f t="shared" ca="1" si="34"/>
        <v>10</v>
      </c>
      <c r="E120" s="203">
        <f ca="1">IF(B120="","",SUM(D120,D121))</f>
        <v>10</v>
      </c>
      <c r="F120" s="203">
        <f ca="1">IF(B120="","",E120-U120)</f>
        <v>10</v>
      </c>
      <c r="G120" s="231" t="str">
        <f ca="1">IF($B120="","",IF(ISBLANK(INDIRECT(ADDRESS($B120,G$1,1,,"Score"))),"",1))</f>
        <v/>
      </c>
      <c r="H120" s="231">
        <f ca="1">IF($B120="","",IF(ISBLANK(INDIRECT(ADDRESS($B120,H$1,1,,"Score"))),"",1))</f>
        <v>1</v>
      </c>
      <c r="I120" s="221">
        <f ca="1">IF(H120=1,F120,"")</f>
        <v>10</v>
      </c>
      <c r="J120" s="231">
        <f t="shared" ca="1" si="35"/>
        <v>1</v>
      </c>
      <c r="K120" s="231" t="str">
        <f t="shared" ca="1" si="35"/>
        <v/>
      </c>
      <c r="L120" s="231" t="str">
        <f t="shared" ca="1" si="35"/>
        <v/>
      </c>
      <c r="M120" s="201">
        <f t="shared" ca="1" si="36"/>
        <v>2</v>
      </c>
      <c r="N120" s="146">
        <f ca="1">IF(ISNA(MATCH($A120,'Game Clock'!A$62:A$99,0)),"",INDIRECT(ADDRESS(MATCH($A120,'Game Clock'!A$62:A$99,0)+ROW('Game Clock'!A$61),N$1,1,,"Game Clock")))</f>
        <v>0</v>
      </c>
      <c r="O120" s="146" t="str">
        <f ca="1">IF(OR(N120="",N120=0),"",60*E120/N120)</f>
        <v/>
      </c>
      <c r="P120" s="201"/>
      <c r="Q120" s="203">
        <f>Q118+1</f>
        <v>17</v>
      </c>
      <c r="R120" s="201">
        <f>IF(ISNA(MATCH($Q120,Score!T$46:T$83,0)),"",MATCH($Q120,Score!T$46:T$83,0)+ROW(Score!T$45) )</f>
        <v>69</v>
      </c>
      <c r="S120" s="202" t="str">
        <f t="shared" ca="1" si="37"/>
        <v>K9</v>
      </c>
      <c r="T120" s="201">
        <f t="shared" ca="1" si="37"/>
        <v>0</v>
      </c>
      <c r="U120" s="203">
        <f ca="1">IF(R120="","",SUM(T120,T121))</f>
        <v>0</v>
      </c>
      <c r="V120" s="203">
        <f ca="1">IF(R120="","",U120-E120)</f>
        <v>-10</v>
      </c>
      <c r="W120" s="231" t="str">
        <f ca="1">IF($R120="","",IF(ISBLANK(INDIRECT(ADDRESS($R120,W$1,1,,"Score"))),"",1))</f>
        <v/>
      </c>
      <c r="X120" s="231" t="str">
        <f ca="1">IF($R120="","",IF(ISBLANK(INDIRECT(ADDRESS($R120,X$1,1,,"Score"))),"",1))</f>
        <v/>
      </c>
      <c r="Y120" s="221" t="str">
        <f ca="1">IF(X120=1,V120,"")</f>
        <v/>
      </c>
      <c r="Z120" s="231" t="str">
        <f t="shared" ca="1" si="38"/>
        <v/>
      </c>
      <c r="AA120" s="231" t="str">
        <f t="shared" ca="1" si="38"/>
        <v/>
      </c>
      <c r="AB120" s="231">
        <f t="shared" ca="1" si="38"/>
        <v>1</v>
      </c>
      <c r="AC120" s="201">
        <f t="shared" ca="1" si="39"/>
        <v>0</v>
      </c>
      <c r="AD120" s="146">
        <f ca="1">N120</f>
        <v>0</v>
      </c>
      <c r="AE120" s="146" t="str">
        <f ca="1">IF(OR(AD120="",AD120=0),"",60*U120/AD120)</f>
        <v/>
      </c>
    </row>
    <row r="121" spans="1:31" x14ac:dyDescent="0.25">
      <c r="A121" s="203"/>
      <c r="B121" s="201" t="str">
        <f ca="1">IF($B120="","",IF(INDIRECT(ADDRESS($B120+1,C$1-1,1,,"Score"))="SP",$B120+1,""))</f>
        <v/>
      </c>
      <c r="C121" s="202" t="str">
        <f t="shared" ca="1" si="34"/>
        <v/>
      </c>
      <c r="D121" s="201" t="str">
        <f t="shared" ca="1" si="34"/>
        <v/>
      </c>
      <c r="E121" s="203"/>
      <c r="F121" s="203"/>
      <c r="G121" s="231"/>
      <c r="H121" s="231"/>
      <c r="I121" s="221"/>
      <c r="J121" s="231" t="str">
        <f t="shared" ca="1" si="35"/>
        <v/>
      </c>
      <c r="K121" s="231" t="str">
        <f t="shared" ca="1" si="35"/>
        <v/>
      </c>
      <c r="L121" s="231" t="str">
        <f t="shared" ca="1" si="35"/>
        <v/>
      </c>
      <c r="M121" s="201" t="str">
        <f t="shared" ca="1" si="36"/>
        <v/>
      </c>
      <c r="N121" s="146"/>
      <c r="O121" s="146"/>
      <c r="P121" s="201"/>
      <c r="Q121" s="203"/>
      <c r="R121" s="201" t="str">
        <f ca="1">IF($R120="","",IF(INDIRECT(ADDRESS($R120+1,S$1-1,1,,"Score"))="SP",$R120+1,""))</f>
        <v/>
      </c>
      <c r="S121" s="202" t="str">
        <f t="shared" ca="1" si="37"/>
        <v/>
      </c>
      <c r="T121" s="201" t="str">
        <f t="shared" ca="1" si="37"/>
        <v/>
      </c>
      <c r="U121" s="203"/>
      <c r="V121" s="203"/>
      <c r="W121" s="231"/>
      <c r="X121" s="231"/>
      <c r="Y121" s="221"/>
      <c r="Z121" s="231" t="str">
        <f t="shared" ca="1" si="38"/>
        <v/>
      </c>
      <c r="AA121" s="231" t="str">
        <f t="shared" ca="1" si="38"/>
        <v/>
      </c>
      <c r="AB121" s="231" t="str">
        <f t="shared" ca="1" si="38"/>
        <v/>
      </c>
      <c r="AC121" s="201" t="str">
        <f t="shared" ca="1" si="39"/>
        <v/>
      </c>
      <c r="AD121" s="146"/>
      <c r="AE121" s="146"/>
    </row>
    <row r="122" spans="1:31" x14ac:dyDescent="0.25">
      <c r="A122" s="222">
        <f>A120+1</f>
        <v>18</v>
      </c>
      <c r="B122" s="223">
        <f>IF(ISNA(MATCH($A122,Score!A$46:A$83,0)),"",MATCH($A122,Score!A$46:A$83,0)+ROW(Score!A$45))</f>
        <v>70</v>
      </c>
      <c r="C122" s="224" t="str">
        <f t="shared" ca="1" si="34"/>
        <v>19</v>
      </c>
      <c r="D122" s="223">
        <f t="shared" ca="1" si="34"/>
        <v>10</v>
      </c>
      <c r="E122" s="222">
        <f ca="1">IF(B122="","",SUM(D122,D123))</f>
        <v>10</v>
      </c>
      <c r="F122" s="222">
        <f ca="1">IF(B122="","",E122-U122)</f>
        <v>10</v>
      </c>
      <c r="G122" s="225" t="str">
        <f ca="1">IF($B122="","",IF(ISBLANK(INDIRECT(ADDRESS($B122,G$1,1,,"Score"))),"",1))</f>
        <v/>
      </c>
      <c r="H122" s="225">
        <f ca="1">IF($B122="","",IF(ISBLANK(INDIRECT(ADDRESS($B122,H$1,1,,"Score"))),"",1))</f>
        <v>1</v>
      </c>
      <c r="I122" s="227">
        <f ca="1">IF(H122=1,F122,"")</f>
        <v>10</v>
      </c>
      <c r="J122" s="225">
        <f t="shared" ca="1" si="35"/>
        <v>1</v>
      </c>
      <c r="K122" s="225" t="str">
        <f t="shared" ca="1" si="35"/>
        <v/>
      </c>
      <c r="L122" s="225" t="str">
        <f t="shared" ca="1" si="35"/>
        <v/>
      </c>
      <c r="M122" s="223">
        <f t="shared" ca="1" si="36"/>
        <v>3</v>
      </c>
      <c r="N122" s="146">
        <f ca="1">IF(ISNA(MATCH($A122,'Game Clock'!A$62:A$99,0)),"",INDIRECT(ADDRESS(MATCH($A122,'Game Clock'!A$62:A$99,0)+ROW('Game Clock'!A$61),N$1,1,,"Game Clock")))</f>
        <v>0</v>
      </c>
      <c r="O122" s="222" t="str">
        <f ca="1">IF(OR(N122="",N122=0),"",60*E122/N122)</f>
        <v/>
      </c>
      <c r="P122" s="201"/>
      <c r="Q122" s="222">
        <f>Q120+1</f>
        <v>18</v>
      </c>
      <c r="R122" s="223">
        <f>IF(ISNA(MATCH($Q122,Score!T$46:T$83,0)),"",MATCH($Q122,Score!T$46:T$83,0)+ROW(Score!T$45) )</f>
        <v>70</v>
      </c>
      <c r="S122" s="224" t="str">
        <f t="shared" ca="1" si="37"/>
        <v>K9</v>
      </c>
      <c r="T122" s="223">
        <f t="shared" ca="1" si="37"/>
        <v>0</v>
      </c>
      <c r="U122" s="222">
        <f ca="1">IF(R122="","",SUM(T122,T123))</f>
        <v>0</v>
      </c>
      <c r="V122" s="222">
        <f ca="1">IF(R122="","",U122-E122)</f>
        <v>-10</v>
      </c>
      <c r="W122" s="225" t="str">
        <f ca="1">IF($R122="","",IF(ISBLANK(INDIRECT(ADDRESS($R122,W$1,1,,"Score"))),"",1))</f>
        <v/>
      </c>
      <c r="X122" s="225" t="str">
        <f ca="1">IF($R122="","",IF(ISBLANK(INDIRECT(ADDRESS($R122,X$1,1,,"Score"))),"",1))</f>
        <v/>
      </c>
      <c r="Y122" s="227" t="str">
        <f ca="1">IF(X122=1,V122,"")</f>
        <v/>
      </c>
      <c r="Z122" s="225" t="str">
        <f t="shared" ca="1" si="38"/>
        <v/>
      </c>
      <c r="AA122" s="225" t="str">
        <f t="shared" ca="1" si="38"/>
        <v/>
      </c>
      <c r="AB122" s="225">
        <f t="shared" ca="1" si="38"/>
        <v>1</v>
      </c>
      <c r="AC122" s="223">
        <f t="shared" ca="1" si="39"/>
        <v>0</v>
      </c>
      <c r="AD122" s="222">
        <f ca="1">N122</f>
        <v>0</v>
      </c>
      <c r="AE122" s="222" t="str">
        <f ca="1">IF(OR(AD122="",AD122=0),"",60*U122/AD122)</f>
        <v/>
      </c>
    </row>
    <row r="123" spans="1:31" x14ac:dyDescent="0.3">
      <c r="A123" s="222"/>
      <c r="B123" s="223" t="str">
        <f ca="1">IF($B122="","",IF(INDIRECT(ADDRESS($B122+1,C$1-1,1,,"Score"))="SP",$B122+1,""))</f>
        <v/>
      </c>
      <c r="C123" s="224" t="str">
        <f t="shared" ca="1" si="34"/>
        <v/>
      </c>
      <c r="D123" s="223" t="str">
        <f t="shared" ca="1" si="34"/>
        <v/>
      </c>
      <c r="E123" s="222"/>
      <c r="F123" s="222"/>
      <c r="G123" s="225"/>
      <c r="H123" s="226"/>
      <c r="I123" s="227"/>
      <c r="J123" s="225" t="str">
        <f t="shared" ca="1" si="35"/>
        <v/>
      </c>
      <c r="K123" s="225" t="str">
        <f t="shared" ca="1" si="35"/>
        <v/>
      </c>
      <c r="L123" s="225" t="str">
        <f t="shared" ca="1" si="35"/>
        <v/>
      </c>
      <c r="M123" s="223" t="str">
        <f t="shared" ca="1" si="36"/>
        <v/>
      </c>
      <c r="N123" s="222"/>
      <c r="O123" s="222"/>
      <c r="P123" s="201"/>
      <c r="Q123" s="222"/>
      <c r="R123" s="223" t="str">
        <f ca="1">IF($R122="","",IF(INDIRECT(ADDRESS($R122+1,S$1-1,1,,"Score"))="SP",$R122+1,""))</f>
        <v/>
      </c>
      <c r="S123" s="224" t="str">
        <f t="shared" ca="1" si="37"/>
        <v/>
      </c>
      <c r="T123" s="223" t="str">
        <f t="shared" ca="1" si="37"/>
        <v/>
      </c>
      <c r="U123" s="222"/>
      <c r="V123" s="222"/>
      <c r="W123" s="225"/>
      <c r="X123" s="226"/>
      <c r="Y123" s="227"/>
      <c r="Z123" s="225" t="str">
        <f t="shared" ca="1" si="38"/>
        <v/>
      </c>
      <c r="AA123" s="225" t="str">
        <f t="shared" ca="1" si="38"/>
        <v/>
      </c>
      <c r="AB123" s="225" t="str">
        <f t="shared" ca="1" si="38"/>
        <v/>
      </c>
      <c r="AC123" s="223" t="str">
        <f t="shared" ca="1" si="39"/>
        <v/>
      </c>
      <c r="AD123" s="222"/>
      <c r="AE123" s="222"/>
    </row>
    <row r="124" spans="1:31" x14ac:dyDescent="0.25">
      <c r="A124" s="203">
        <f>A122+1</f>
        <v>19</v>
      </c>
      <c r="B124" s="201" t="str">
        <f>IF(ISNA(MATCH($A124,Score!A$46:A$83,0)),"",MATCH($A124,Score!A$46:A$83,0)+ROW(Score!A$45))</f>
        <v/>
      </c>
      <c r="C124" s="202" t="str">
        <f t="shared" ca="1" si="34"/>
        <v/>
      </c>
      <c r="D124" s="201" t="str">
        <f t="shared" ca="1" si="34"/>
        <v/>
      </c>
      <c r="E124" s="203" t="str">
        <f>IF(B124="","",SUM(D124,D125))</f>
        <v/>
      </c>
      <c r="F124" s="203" t="str">
        <f>IF(B124="","",E124-U124)</f>
        <v/>
      </c>
      <c r="G124" s="231" t="str">
        <f ca="1">IF($B124="","",IF(ISBLANK(INDIRECT(ADDRESS($B124,G$1,1,,"Score"))),"",1))</f>
        <v/>
      </c>
      <c r="H124" s="231" t="str">
        <f ca="1">IF($B124="","",IF(ISBLANK(INDIRECT(ADDRESS($B124,H$1,1,,"Score"))),"",1))</f>
        <v/>
      </c>
      <c r="I124" s="221" t="str">
        <f ca="1">IF(H124=1,F124,"")</f>
        <v/>
      </c>
      <c r="J124" s="231" t="str">
        <f t="shared" ca="1" si="35"/>
        <v/>
      </c>
      <c r="K124" s="231" t="str">
        <f t="shared" ca="1" si="35"/>
        <v/>
      </c>
      <c r="L124" s="231" t="str">
        <f t="shared" ca="1" si="35"/>
        <v/>
      </c>
      <c r="M124" s="201" t="str">
        <f t="shared" ca="1" si="36"/>
        <v/>
      </c>
      <c r="N124" s="146" t="str">
        <f ca="1">IF(ISNA(MATCH($A124,'Game Clock'!A$62:A$99,0)),"",INDIRECT(ADDRESS(MATCH($A124,'Game Clock'!A$62:A$99,0)+ROW('Game Clock'!A$61),N$1,1,,"Game Clock")))</f>
        <v/>
      </c>
      <c r="O124" s="146" t="str">
        <f ca="1">IF(OR(N124="",N124=0),"",60*E124/N124)</f>
        <v/>
      </c>
      <c r="P124" s="201"/>
      <c r="Q124" s="203">
        <f>Q122+1</f>
        <v>19</v>
      </c>
      <c r="R124" s="201" t="str">
        <f>IF(ISNA(MATCH($Q124,Score!T$46:T$83,0)),"",MATCH($Q124,Score!T$46:T$83,0)+ROW(Score!T$45) )</f>
        <v/>
      </c>
      <c r="S124" s="202" t="str">
        <f t="shared" ca="1" si="37"/>
        <v/>
      </c>
      <c r="T124" s="201" t="str">
        <f t="shared" ca="1" si="37"/>
        <v/>
      </c>
      <c r="U124" s="203" t="str">
        <f>IF(R124="","",SUM(T124,T125))</f>
        <v/>
      </c>
      <c r="V124" s="203" t="str">
        <f>IF(R124="","",U124-E124)</f>
        <v/>
      </c>
      <c r="W124" s="231" t="str">
        <f ca="1">IF($R124="","",IF(ISBLANK(INDIRECT(ADDRESS($R124,W$1,1,,"Score"))),"",1))</f>
        <v/>
      </c>
      <c r="X124" s="231" t="str">
        <f ca="1">IF($R124="","",IF(ISBLANK(INDIRECT(ADDRESS($R124,X$1,1,,"Score"))),"",1))</f>
        <v/>
      </c>
      <c r="Y124" s="221" t="str">
        <f ca="1">IF(X124=1,V124,"")</f>
        <v/>
      </c>
      <c r="Z124" s="231" t="str">
        <f t="shared" ca="1" si="38"/>
        <v/>
      </c>
      <c r="AA124" s="231" t="str">
        <f t="shared" ca="1" si="38"/>
        <v/>
      </c>
      <c r="AB124" s="231" t="str">
        <f t="shared" ca="1" si="38"/>
        <v/>
      </c>
      <c r="AC124" s="201" t="str">
        <f t="shared" ca="1" si="39"/>
        <v/>
      </c>
      <c r="AD124" s="146" t="str">
        <f ca="1">N124</f>
        <v/>
      </c>
      <c r="AE124" s="146" t="str">
        <f ca="1">IF(OR(AD124="",AD124=0),"",60*U124/AD124)</f>
        <v/>
      </c>
    </row>
    <row r="125" spans="1:31" x14ac:dyDescent="0.25">
      <c r="A125" s="203"/>
      <c r="B125" s="201" t="str">
        <f ca="1">IF($B124="","",IF(INDIRECT(ADDRESS($B124+1,C$1-1,1,,"Score"))="SP",$B124+1,""))</f>
        <v/>
      </c>
      <c r="C125" s="202" t="str">
        <f t="shared" ca="1" si="34"/>
        <v/>
      </c>
      <c r="D125" s="201" t="str">
        <f t="shared" ca="1" si="34"/>
        <v/>
      </c>
      <c r="E125" s="203"/>
      <c r="F125" s="203"/>
      <c r="G125" s="231"/>
      <c r="H125" s="231"/>
      <c r="I125" s="221"/>
      <c r="J125" s="231" t="str">
        <f t="shared" ca="1" si="35"/>
        <v/>
      </c>
      <c r="K125" s="231" t="str">
        <f t="shared" ca="1" si="35"/>
        <v/>
      </c>
      <c r="L125" s="231" t="str">
        <f t="shared" ca="1" si="35"/>
        <v/>
      </c>
      <c r="M125" s="201" t="str">
        <f t="shared" ca="1" si="36"/>
        <v/>
      </c>
      <c r="N125" s="146"/>
      <c r="O125" s="146"/>
      <c r="P125" s="201"/>
      <c r="Q125" s="203"/>
      <c r="R125" s="201" t="str">
        <f ca="1">IF($R124="","",IF(INDIRECT(ADDRESS($R124+1,S$1-1,1,,"Score"))="SP",$R124+1,""))</f>
        <v/>
      </c>
      <c r="S125" s="202" t="str">
        <f t="shared" ca="1" si="37"/>
        <v/>
      </c>
      <c r="T125" s="201" t="str">
        <f t="shared" ca="1" si="37"/>
        <v/>
      </c>
      <c r="U125" s="203"/>
      <c r="V125" s="203"/>
      <c r="W125" s="231"/>
      <c r="X125" s="231"/>
      <c r="Y125" s="221"/>
      <c r="Z125" s="231" t="str">
        <f t="shared" ca="1" si="38"/>
        <v/>
      </c>
      <c r="AA125" s="231" t="str">
        <f t="shared" ca="1" si="38"/>
        <v/>
      </c>
      <c r="AB125" s="231" t="str">
        <f t="shared" ca="1" si="38"/>
        <v/>
      </c>
      <c r="AC125" s="201" t="str">
        <f t="shared" ca="1" si="39"/>
        <v/>
      </c>
      <c r="AD125" s="146"/>
      <c r="AE125" s="146"/>
    </row>
    <row r="126" spans="1:31" x14ac:dyDescent="0.25">
      <c r="A126" s="222">
        <f>A124+1</f>
        <v>20</v>
      </c>
      <c r="B126" s="223" t="str">
        <f>IF(ISNA(MATCH($A126,Score!A$46:A$83,0)),"",MATCH($A126,Score!A$46:A$83,0)+ROW(Score!A$45))</f>
        <v/>
      </c>
      <c r="C126" s="224" t="str">
        <f t="shared" ca="1" si="34"/>
        <v/>
      </c>
      <c r="D126" s="223" t="str">
        <f t="shared" ca="1" si="34"/>
        <v/>
      </c>
      <c r="E126" s="222" t="str">
        <f>IF(B126="","",SUM(D126,D127))</f>
        <v/>
      </c>
      <c r="F126" s="222" t="str">
        <f>IF(B126="","",E126-U126)</f>
        <v/>
      </c>
      <c r="G126" s="225" t="str">
        <f ca="1">IF($B126="","",IF(ISBLANK(INDIRECT(ADDRESS($B126,G$1,1,,"Score"))),"",1))</f>
        <v/>
      </c>
      <c r="H126" s="225" t="str">
        <f ca="1">IF($B126="","",IF(ISBLANK(INDIRECT(ADDRESS($B126,H$1,1,,"Score"))),"",1))</f>
        <v/>
      </c>
      <c r="I126" s="227" t="str">
        <f ca="1">IF(H126=1,F126,"")</f>
        <v/>
      </c>
      <c r="J126" s="225" t="str">
        <f t="shared" ca="1" si="35"/>
        <v/>
      </c>
      <c r="K126" s="225" t="str">
        <f t="shared" ca="1" si="35"/>
        <v/>
      </c>
      <c r="L126" s="225" t="str">
        <f t="shared" ca="1" si="35"/>
        <v/>
      </c>
      <c r="M126" s="223" t="str">
        <f t="shared" ca="1" si="36"/>
        <v/>
      </c>
      <c r="N126" s="146" t="str">
        <f ca="1">IF(ISNA(MATCH($A126,'Game Clock'!A$62:A$99,0)),"",INDIRECT(ADDRESS(MATCH($A126,'Game Clock'!A$62:A$99,0)+ROW('Game Clock'!A$61),N$1,1,,"Game Clock")))</f>
        <v/>
      </c>
      <c r="O126" s="222" t="str">
        <f ca="1">IF(OR(N126="",N126=0),"",60*E126/N126)</f>
        <v/>
      </c>
      <c r="P126" s="201"/>
      <c r="Q126" s="222">
        <f>Q124+1</f>
        <v>20</v>
      </c>
      <c r="R126" s="223" t="str">
        <f>IF(ISNA(MATCH($Q126,Score!T$46:T$83,0)),"",MATCH($Q126,Score!T$46:T$83,0)+ROW(Score!T$45) )</f>
        <v/>
      </c>
      <c r="S126" s="224" t="str">
        <f t="shared" ca="1" si="37"/>
        <v/>
      </c>
      <c r="T126" s="223" t="str">
        <f t="shared" ca="1" si="37"/>
        <v/>
      </c>
      <c r="U126" s="222" t="str">
        <f>IF(R126="","",SUM(T126,T127))</f>
        <v/>
      </c>
      <c r="V126" s="222" t="str">
        <f>IF(R126="","",U126-E126)</f>
        <v/>
      </c>
      <c r="W126" s="225" t="str">
        <f ca="1">IF($R126="","",IF(ISBLANK(INDIRECT(ADDRESS($R126,W$1,1,,"Score"))),"",1))</f>
        <v/>
      </c>
      <c r="X126" s="225" t="str">
        <f ca="1">IF($R126="","",IF(ISBLANK(INDIRECT(ADDRESS($R126,X$1,1,,"Score"))),"",1))</f>
        <v/>
      </c>
      <c r="Y126" s="227" t="str">
        <f ca="1">IF(X126=1,V126,"")</f>
        <v/>
      </c>
      <c r="Z126" s="225" t="str">
        <f t="shared" ca="1" si="38"/>
        <v/>
      </c>
      <c r="AA126" s="225" t="str">
        <f t="shared" ca="1" si="38"/>
        <v/>
      </c>
      <c r="AB126" s="225" t="str">
        <f t="shared" ca="1" si="38"/>
        <v/>
      </c>
      <c r="AC126" s="223" t="str">
        <f t="shared" ca="1" si="39"/>
        <v/>
      </c>
      <c r="AD126" s="222" t="str">
        <f ca="1">N126</f>
        <v/>
      </c>
      <c r="AE126" s="222" t="str">
        <f ca="1">IF(OR(AD126="",AD126=0),"",60*U126/AD126)</f>
        <v/>
      </c>
    </row>
    <row r="127" spans="1:31" x14ac:dyDescent="0.3">
      <c r="A127" s="222"/>
      <c r="B127" s="223" t="str">
        <f ca="1">IF($B126="","",IF(INDIRECT(ADDRESS($B126+1,C$1-1,1,,"Score"))="SP",$B126+1,""))</f>
        <v/>
      </c>
      <c r="C127" s="224" t="str">
        <f t="shared" ca="1" si="34"/>
        <v/>
      </c>
      <c r="D127" s="223" t="str">
        <f t="shared" ca="1" si="34"/>
        <v/>
      </c>
      <c r="E127" s="222"/>
      <c r="F127" s="222"/>
      <c r="G127" s="225"/>
      <c r="H127" s="226"/>
      <c r="I127" s="227"/>
      <c r="J127" s="225" t="str">
        <f t="shared" ca="1" si="35"/>
        <v/>
      </c>
      <c r="K127" s="225" t="str">
        <f t="shared" ca="1" si="35"/>
        <v/>
      </c>
      <c r="L127" s="225" t="str">
        <f t="shared" ca="1" si="35"/>
        <v/>
      </c>
      <c r="M127" s="223" t="str">
        <f t="shared" ca="1" si="36"/>
        <v/>
      </c>
      <c r="N127" s="222"/>
      <c r="O127" s="222"/>
      <c r="P127" s="201"/>
      <c r="Q127" s="222"/>
      <c r="R127" s="223" t="str">
        <f ca="1">IF($R126="","",IF(INDIRECT(ADDRESS($R126+1,S$1-1,1,,"Score"))="SP",$R126+1,""))</f>
        <v/>
      </c>
      <c r="S127" s="224" t="str">
        <f t="shared" ca="1" si="37"/>
        <v/>
      </c>
      <c r="T127" s="223" t="str">
        <f t="shared" ca="1" si="37"/>
        <v/>
      </c>
      <c r="U127" s="222"/>
      <c r="V127" s="222"/>
      <c r="W127" s="225"/>
      <c r="X127" s="226"/>
      <c r="Y127" s="227"/>
      <c r="Z127" s="225" t="str">
        <f t="shared" ca="1" si="38"/>
        <v/>
      </c>
      <c r="AA127" s="225" t="str">
        <f t="shared" ca="1" si="38"/>
        <v/>
      </c>
      <c r="AB127" s="225" t="str">
        <f t="shared" ca="1" si="38"/>
        <v/>
      </c>
      <c r="AC127" s="223" t="str">
        <f t="shared" ca="1" si="39"/>
        <v/>
      </c>
      <c r="AD127" s="222"/>
      <c r="AE127" s="222"/>
    </row>
    <row r="128" spans="1:31" x14ac:dyDescent="0.25">
      <c r="A128" s="203">
        <f>A126+1</f>
        <v>21</v>
      </c>
      <c r="B128" s="201" t="str">
        <f>IF(ISNA(MATCH($A128,Score!A$46:A$83,0)),"",MATCH($A128,Score!A$46:A$83,0)+ROW(Score!A$45))</f>
        <v/>
      </c>
      <c r="C128" s="202" t="str">
        <f t="shared" ref="C128:D143" ca="1" si="40">IF($B128="","",INDIRECT(ADDRESS($B128,C$1,1,,"Score")))</f>
        <v/>
      </c>
      <c r="D128" s="201" t="str">
        <f t="shared" ca="1" si="40"/>
        <v/>
      </c>
      <c r="E128" s="203" t="str">
        <f>IF(B128="","",SUM(D128,D129))</f>
        <v/>
      </c>
      <c r="F128" s="203" t="str">
        <f>IF(B128="","",E128-U128)</f>
        <v/>
      </c>
      <c r="G128" s="231" t="str">
        <f ca="1">IF($B128="","",IF(ISBLANK(INDIRECT(ADDRESS($B128,G$1,1,,"Score"))),"",1))</f>
        <v/>
      </c>
      <c r="H128" s="231" t="str">
        <f ca="1">IF($B128="","",IF(ISBLANK(INDIRECT(ADDRESS($B128,H$1,1,,"Score"))),"",1))</f>
        <v/>
      </c>
      <c r="I128" s="221" t="str">
        <f ca="1">IF(H128=1,F128,"")</f>
        <v/>
      </c>
      <c r="J128" s="231" t="str">
        <f t="shared" ref="J128:L143" ca="1" si="41">IF($B128="","",IF(ISBLANK(INDIRECT(ADDRESS($B128,J$1,1,,"Score"))),"",1))</f>
        <v/>
      </c>
      <c r="K128" s="231" t="str">
        <f t="shared" ca="1" si="41"/>
        <v/>
      </c>
      <c r="L128" s="231" t="str">
        <f t="shared" ca="1" si="41"/>
        <v/>
      </c>
      <c r="M128" s="201" t="str">
        <f t="shared" ref="M128:M143" ca="1" si="42">IF($B128="","",INDIRECT(ADDRESS($B128,M$1,1,,"Score")))</f>
        <v/>
      </c>
      <c r="N128" s="146" t="str">
        <f ca="1">IF(ISNA(MATCH($A128,'Game Clock'!A$62:A$99,0)),"",INDIRECT(ADDRESS(MATCH($A128,'Game Clock'!A$62:A$99,0)+ROW('Game Clock'!A$61),N$1,1,,"Game Clock")))</f>
        <v/>
      </c>
      <c r="O128" s="146" t="str">
        <f ca="1">IF(OR(N128="",N128=0),"",60*E128/N128)</f>
        <v/>
      </c>
      <c r="P128" s="201"/>
      <c r="Q128" s="203">
        <f>Q126+1</f>
        <v>21</v>
      </c>
      <c r="R128" s="201" t="str">
        <f>IF(ISNA(MATCH($Q128,Score!T$46:T$83,0)),"",MATCH($Q128,Score!T$46:T$83,0)+ROW(Score!T$45) )</f>
        <v/>
      </c>
      <c r="S128" s="202" t="str">
        <f t="shared" ref="S128:T143" ca="1" si="43">IF($R128="","",INDIRECT(ADDRESS($R128,S$1,1,,"Score")))</f>
        <v/>
      </c>
      <c r="T128" s="201" t="str">
        <f t="shared" ca="1" si="43"/>
        <v/>
      </c>
      <c r="U128" s="203" t="str">
        <f>IF(R128="","",SUM(T128,T129))</f>
        <v/>
      </c>
      <c r="V128" s="203" t="str">
        <f>IF(R128="","",U128-E128)</f>
        <v/>
      </c>
      <c r="W128" s="231" t="str">
        <f ca="1">IF($R128="","",IF(ISBLANK(INDIRECT(ADDRESS($R128,W$1,1,,"Score"))),"",1))</f>
        <v/>
      </c>
      <c r="X128" s="231" t="str">
        <f ca="1">IF($R128="","",IF(ISBLANK(INDIRECT(ADDRESS($R128,X$1,1,,"Score"))),"",1))</f>
        <v/>
      </c>
      <c r="Y128" s="221" t="str">
        <f ca="1">IF(X128=1,V128,"")</f>
        <v/>
      </c>
      <c r="Z128" s="231" t="str">
        <f t="shared" ref="Z128:AB143" ca="1" si="44">IF($R128="","",IF(ISBLANK(INDIRECT(ADDRESS($R128,Z$1,1,,"Score"))),"",1))</f>
        <v/>
      </c>
      <c r="AA128" s="231" t="str">
        <f t="shared" ca="1" si="44"/>
        <v/>
      </c>
      <c r="AB128" s="231" t="str">
        <f t="shared" ca="1" si="44"/>
        <v/>
      </c>
      <c r="AC128" s="201" t="str">
        <f t="shared" ref="AC128:AC143" ca="1" si="45">IF($R128="","",INDIRECT(ADDRESS($R128,AC$1,1,,"Score")))</f>
        <v/>
      </c>
      <c r="AD128" s="146" t="str">
        <f ca="1">N128</f>
        <v/>
      </c>
      <c r="AE128" s="146" t="str">
        <f ca="1">IF(OR(AD128="",AD128=0),"",60*U128/AD128)</f>
        <v/>
      </c>
    </row>
    <row r="129" spans="1:31" x14ac:dyDescent="0.25">
      <c r="A129" s="203"/>
      <c r="B129" s="201" t="str">
        <f ca="1">IF($B128="","",IF(INDIRECT(ADDRESS($B128+1,C$1-1,1,,"Score"))="SP",$B128+1,""))</f>
        <v/>
      </c>
      <c r="C129" s="202" t="str">
        <f t="shared" ca="1" si="40"/>
        <v/>
      </c>
      <c r="D129" s="201" t="str">
        <f t="shared" ca="1" si="40"/>
        <v/>
      </c>
      <c r="E129" s="203"/>
      <c r="F129" s="203"/>
      <c r="G129" s="231"/>
      <c r="H129" s="231"/>
      <c r="I129" s="221"/>
      <c r="J129" s="231" t="str">
        <f t="shared" ca="1" si="41"/>
        <v/>
      </c>
      <c r="K129" s="231" t="str">
        <f t="shared" ca="1" si="41"/>
        <v/>
      </c>
      <c r="L129" s="231" t="str">
        <f t="shared" ca="1" si="41"/>
        <v/>
      </c>
      <c r="M129" s="201" t="str">
        <f t="shared" ca="1" si="42"/>
        <v/>
      </c>
      <c r="N129" s="146"/>
      <c r="O129" s="146"/>
      <c r="P129" s="201"/>
      <c r="Q129" s="203"/>
      <c r="R129" s="201" t="str">
        <f ca="1">IF($R128="","",IF(INDIRECT(ADDRESS($R128+1,S$1-1,1,,"Score"))="SP",$R128+1,""))</f>
        <v/>
      </c>
      <c r="S129" s="202" t="str">
        <f t="shared" ca="1" si="43"/>
        <v/>
      </c>
      <c r="T129" s="201" t="str">
        <f t="shared" ca="1" si="43"/>
        <v/>
      </c>
      <c r="U129" s="203"/>
      <c r="V129" s="203"/>
      <c r="W129" s="231"/>
      <c r="X129" s="231"/>
      <c r="Y129" s="221"/>
      <c r="Z129" s="231" t="str">
        <f t="shared" ca="1" si="44"/>
        <v/>
      </c>
      <c r="AA129" s="231" t="str">
        <f t="shared" ca="1" si="44"/>
        <v/>
      </c>
      <c r="AB129" s="231" t="str">
        <f t="shared" ca="1" si="44"/>
        <v/>
      </c>
      <c r="AC129" s="201" t="str">
        <f t="shared" ca="1" si="45"/>
        <v/>
      </c>
      <c r="AD129" s="146"/>
      <c r="AE129" s="146"/>
    </row>
    <row r="130" spans="1:31" x14ac:dyDescent="0.25">
      <c r="A130" s="222">
        <f>A128+1</f>
        <v>22</v>
      </c>
      <c r="B130" s="223" t="str">
        <f>IF(ISNA(MATCH($A130,Score!A$46:A$83,0)),"",MATCH($A130,Score!A$46:A$83,0)+ROW(Score!A$45))</f>
        <v/>
      </c>
      <c r="C130" s="224" t="str">
        <f t="shared" ca="1" si="40"/>
        <v/>
      </c>
      <c r="D130" s="223" t="str">
        <f t="shared" ca="1" si="40"/>
        <v/>
      </c>
      <c r="E130" s="222" t="str">
        <f>IF(B130="","",SUM(D130,D131))</f>
        <v/>
      </c>
      <c r="F130" s="222" t="str">
        <f>IF(B130="","",E130-U130)</f>
        <v/>
      </c>
      <c r="G130" s="225" t="str">
        <f ca="1">IF($B130="","",IF(ISBLANK(INDIRECT(ADDRESS($B130,G$1,1,,"Score"))),"",1))</f>
        <v/>
      </c>
      <c r="H130" s="225" t="str">
        <f ca="1">IF($B130="","",IF(ISBLANK(INDIRECT(ADDRESS($B130,H$1,1,,"Score"))),"",1))</f>
        <v/>
      </c>
      <c r="I130" s="227" t="str">
        <f ca="1">IF(H130=1,F130,"")</f>
        <v/>
      </c>
      <c r="J130" s="225" t="str">
        <f t="shared" ca="1" si="41"/>
        <v/>
      </c>
      <c r="K130" s="225" t="str">
        <f t="shared" ca="1" si="41"/>
        <v/>
      </c>
      <c r="L130" s="225" t="str">
        <f t="shared" ca="1" si="41"/>
        <v/>
      </c>
      <c r="M130" s="223" t="str">
        <f t="shared" ca="1" si="42"/>
        <v/>
      </c>
      <c r="N130" s="146" t="str">
        <f ca="1">IF(ISNA(MATCH($A130,'Game Clock'!A$62:A$99,0)),"",INDIRECT(ADDRESS(MATCH($A130,'Game Clock'!A$62:A$99,0)+ROW('Game Clock'!A$61),N$1,1,,"Game Clock")))</f>
        <v/>
      </c>
      <c r="O130" s="222" t="str">
        <f ca="1">IF(OR(N130="",N130=0),"",60*E130/N130)</f>
        <v/>
      </c>
      <c r="P130" s="201"/>
      <c r="Q130" s="222">
        <f>Q128+1</f>
        <v>22</v>
      </c>
      <c r="R130" s="223" t="str">
        <f>IF(ISNA(MATCH($Q130,Score!T$46:T$83,0)),"",MATCH($Q130,Score!T$46:T$83,0)+ROW(Score!T$45) )</f>
        <v/>
      </c>
      <c r="S130" s="224" t="str">
        <f t="shared" ca="1" si="43"/>
        <v/>
      </c>
      <c r="T130" s="223" t="str">
        <f t="shared" ca="1" si="43"/>
        <v/>
      </c>
      <c r="U130" s="222" t="str">
        <f>IF(R130="","",SUM(T130,T131))</f>
        <v/>
      </c>
      <c r="V130" s="222" t="str">
        <f>IF(R130="","",U130-E130)</f>
        <v/>
      </c>
      <c r="W130" s="225" t="str">
        <f ca="1">IF($R130="","",IF(ISBLANK(INDIRECT(ADDRESS($R130,W$1,1,,"Score"))),"",1))</f>
        <v/>
      </c>
      <c r="X130" s="225" t="str">
        <f ca="1">IF($R130="","",IF(ISBLANK(INDIRECT(ADDRESS($R130,X$1,1,,"Score"))),"",1))</f>
        <v/>
      </c>
      <c r="Y130" s="227" t="str">
        <f ca="1">IF(X130=1,V130,"")</f>
        <v/>
      </c>
      <c r="Z130" s="225" t="str">
        <f t="shared" ca="1" si="44"/>
        <v/>
      </c>
      <c r="AA130" s="225" t="str">
        <f t="shared" ca="1" si="44"/>
        <v/>
      </c>
      <c r="AB130" s="225" t="str">
        <f t="shared" ca="1" si="44"/>
        <v/>
      </c>
      <c r="AC130" s="223" t="str">
        <f t="shared" ca="1" si="45"/>
        <v/>
      </c>
      <c r="AD130" s="222" t="str">
        <f ca="1">N130</f>
        <v/>
      </c>
      <c r="AE130" s="222" t="str">
        <f ca="1">IF(OR(AD130="",AD130=0),"",60*U130/AD130)</f>
        <v/>
      </c>
    </row>
    <row r="131" spans="1:31" x14ac:dyDescent="0.3">
      <c r="A131" s="222"/>
      <c r="B131" s="223" t="str">
        <f ca="1">IF($B130="","",IF(INDIRECT(ADDRESS($B130+1,C$1-1,1,,"Score"))="SP",$B130+1,""))</f>
        <v/>
      </c>
      <c r="C131" s="224" t="str">
        <f t="shared" ca="1" si="40"/>
        <v/>
      </c>
      <c r="D131" s="223" t="str">
        <f t="shared" ca="1" si="40"/>
        <v/>
      </c>
      <c r="E131" s="222"/>
      <c r="F131" s="222"/>
      <c r="G131" s="225"/>
      <c r="H131" s="226"/>
      <c r="I131" s="227"/>
      <c r="J131" s="225" t="str">
        <f t="shared" ca="1" si="41"/>
        <v/>
      </c>
      <c r="K131" s="225" t="str">
        <f t="shared" ca="1" si="41"/>
        <v/>
      </c>
      <c r="L131" s="225" t="str">
        <f t="shared" ca="1" si="41"/>
        <v/>
      </c>
      <c r="M131" s="223" t="str">
        <f t="shared" ca="1" si="42"/>
        <v/>
      </c>
      <c r="N131" s="222"/>
      <c r="O131" s="222"/>
      <c r="P131" s="201"/>
      <c r="Q131" s="222"/>
      <c r="R131" s="223" t="str">
        <f ca="1">IF($R130="","",IF(INDIRECT(ADDRESS($R130+1,S$1-1,1,,"Score"))="SP",$R130+1,""))</f>
        <v/>
      </c>
      <c r="S131" s="224" t="str">
        <f t="shared" ca="1" si="43"/>
        <v/>
      </c>
      <c r="T131" s="223" t="str">
        <f t="shared" ca="1" si="43"/>
        <v/>
      </c>
      <c r="U131" s="222"/>
      <c r="V131" s="222"/>
      <c r="W131" s="225"/>
      <c r="X131" s="226"/>
      <c r="Y131" s="227"/>
      <c r="Z131" s="225" t="str">
        <f t="shared" ca="1" si="44"/>
        <v/>
      </c>
      <c r="AA131" s="225" t="str">
        <f t="shared" ca="1" si="44"/>
        <v/>
      </c>
      <c r="AB131" s="225" t="str">
        <f t="shared" ca="1" si="44"/>
        <v/>
      </c>
      <c r="AC131" s="223" t="str">
        <f t="shared" ca="1" si="45"/>
        <v/>
      </c>
      <c r="AD131" s="222"/>
      <c r="AE131" s="222"/>
    </row>
    <row r="132" spans="1:31" x14ac:dyDescent="0.25">
      <c r="A132" s="203">
        <f>A130+1</f>
        <v>23</v>
      </c>
      <c r="B132" s="201" t="str">
        <f>IF(ISNA(MATCH($A132,Score!A$46:A$83,0)),"",MATCH($A132,Score!A$46:A$83,0)+ROW(Score!A$45))</f>
        <v/>
      </c>
      <c r="C132" s="202" t="str">
        <f t="shared" ca="1" si="40"/>
        <v/>
      </c>
      <c r="D132" s="201" t="str">
        <f t="shared" ca="1" si="40"/>
        <v/>
      </c>
      <c r="E132" s="203" t="str">
        <f>IF(B132="","",SUM(D132,D133))</f>
        <v/>
      </c>
      <c r="F132" s="203" t="str">
        <f>IF(B132="","",E132-U132)</f>
        <v/>
      </c>
      <c r="G132" s="231" t="str">
        <f ca="1">IF($B132="","",IF(ISBLANK(INDIRECT(ADDRESS($B132,G$1,1,,"Score"))),"",1))</f>
        <v/>
      </c>
      <c r="H132" s="231" t="str">
        <f ca="1">IF($B132="","",IF(ISBLANK(INDIRECT(ADDRESS($B132,H$1,1,,"Score"))),"",1))</f>
        <v/>
      </c>
      <c r="I132" s="221" t="str">
        <f ca="1">IF(H132=1,F132,"")</f>
        <v/>
      </c>
      <c r="J132" s="231" t="str">
        <f t="shared" ca="1" si="41"/>
        <v/>
      </c>
      <c r="K132" s="231" t="str">
        <f t="shared" ca="1" si="41"/>
        <v/>
      </c>
      <c r="L132" s="231" t="str">
        <f t="shared" ca="1" si="41"/>
        <v/>
      </c>
      <c r="M132" s="201" t="str">
        <f t="shared" ca="1" si="42"/>
        <v/>
      </c>
      <c r="N132" s="146" t="str">
        <f ca="1">IF(ISNA(MATCH($A132,'Game Clock'!A$62:A$99,0)),"",INDIRECT(ADDRESS(MATCH($A132,'Game Clock'!A$62:A$99,0)+ROW('Game Clock'!A$61),N$1,1,,"Game Clock")))</f>
        <v/>
      </c>
      <c r="O132" s="146" t="str">
        <f ca="1">IF(OR(N132="",N132=0),"",60*E132/N132)</f>
        <v/>
      </c>
      <c r="P132" s="201"/>
      <c r="Q132" s="203">
        <f>Q130+1</f>
        <v>23</v>
      </c>
      <c r="R132" s="201" t="str">
        <f>IF(ISNA(MATCH($Q132,Score!T$46:T$83,0)),"",MATCH($Q132,Score!T$46:T$83,0)+ROW(Score!T$45) )</f>
        <v/>
      </c>
      <c r="S132" s="202" t="str">
        <f t="shared" ca="1" si="43"/>
        <v/>
      </c>
      <c r="T132" s="201" t="str">
        <f t="shared" ca="1" si="43"/>
        <v/>
      </c>
      <c r="U132" s="203" t="str">
        <f>IF(R132="","",SUM(T132,T133))</f>
        <v/>
      </c>
      <c r="V132" s="203" t="str">
        <f>IF(R132="","",U132-E132)</f>
        <v/>
      </c>
      <c r="W132" s="231" t="str">
        <f ca="1">IF($R132="","",IF(ISBLANK(INDIRECT(ADDRESS($R132,W$1,1,,"Score"))),"",1))</f>
        <v/>
      </c>
      <c r="X132" s="231" t="str">
        <f ca="1">IF($R132="","",IF(ISBLANK(INDIRECT(ADDRESS($R132,X$1,1,,"Score"))),"",1))</f>
        <v/>
      </c>
      <c r="Y132" s="221" t="str">
        <f ca="1">IF(X132=1,V132,"")</f>
        <v/>
      </c>
      <c r="Z132" s="231" t="str">
        <f t="shared" ca="1" si="44"/>
        <v/>
      </c>
      <c r="AA132" s="231" t="str">
        <f t="shared" ca="1" si="44"/>
        <v/>
      </c>
      <c r="AB132" s="231" t="str">
        <f t="shared" ca="1" si="44"/>
        <v/>
      </c>
      <c r="AC132" s="201" t="str">
        <f t="shared" ca="1" si="45"/>
        <v/>
      </c>
      <c r="AD132" s="146" t="str">
        <f ca="1">N132</f>
        <v/>
      </c>
      <c r="AE132" s="146" t="str">
        <f ca="1">IF(OR(AD132="",AD132=0),"",60*U132/AD132)</f>
        <v/>
      </c>
    </row>
    <row r="133" spans="1:31" x14ac:dyDescent="0.25">
      <c r="A133" s="203"/>
      <c r="B133" s="201" t="str">
        <f ca="1">IF($B132="","",IF(INDIRECT(ADDRESS($B132+1,C$1-1,1,,"Score"))="SP",$B132+1,""))</f>
        <v/>
      </c>
      <c r="C133" s="202" t="str">
        <f t="shared" ca="1" si="40"/>
        <v/>
      </c>
      <c r="D133" s="201" t="str">
        <f t="shared" ca="1" si="40"/>
        <v/>
      </c>
      <c r="E133" s="203"/>
      <c r="F133" s="203"/>
      <c r="G133" s="231"/>
      <c r="H133" s="231"/>
      <c r="I133" s="221"/>
      <c r="J133" s="231" t="str">
        <f t="shared" ca="1" si="41"/>
        <v/>
      </c>
      <c r="K133" s="231" t="str">
        <f t="shared" ca="1" si="41"/>
        <v/>
      </c>
      <c r="L133" s="231" t="str">
        <f t="shared" ca="1" si="41"/>
        <v/>
      </c>
      <c r="M133" s="201" t="str">
        <f t="shared" ca="1" si="42"/>
        <v/>
      </c>
      <c r="N133" s="146"/>
      <c r="O133" s="146"/>
      <c r="P133" s="201"/>
      <c r="Q133" s="203"/>
      <c r="R133" s="201" t="str">
        <f ca="1">IF($R132="","",IF(INDIRECT(ADDRESS($R132+1,S$1-1,1,,"Score"))="SP",$R132+1,""))</f>
        <v/>
      </c>
      <c r="S133" s="202" t="str">
        <f t="shared" ca="1" si="43"/>
        <v/>
      </c>
      <c r="T133" s="201" t="str">
        <f t="shared" ca="1" si="43"/>
        <v/>
      </c>
      <c r="U133" s="203"/>
      <c r="V133" s="203"/>
      <c r="W133" s="231"/>
      <c r="X133" s="231"/>
      <c r="Y133" s="221"/>
      <c r="Z133" s="231" t="str">
        <f t="shared" ca="1" si="44"/>
        <v/>
      </c>
      <c r="AA133" s="231" t="str">
        <f t="shared" ca="1" si="44"/>
        <v/>
      </c>
      <c r="AB133" s="231" t="str">
        <f t="shared" ca="1" si="44"/>
        <v/>
      </c>
      <c r="AC133" s="201" t="str">
        <f t="shared" ca="1" si="45"/>
        <v/>
      </c>
      <c r="AD133" s="146"/>
      <c r="AE133" s="146"/>
    </row>
    <row r="134" spans="1:31" x14ac:dyDescent="0.25">
      <c r="A134" s="222">
        <f>A132+1</f>
        <v>24</v>
      </c>
      <c r="B134" s="223" t="str">
        <f>IF(ISNA(MATCH($A134,Score!A$46:A$83,0)),"",MATCH($A134,Score!A$46:A$83,0)+ROW(Score!A$45))</f>
        <v/>
      </c>
      <c r="C134" s="224" t="str">
        <f t="shared" ca="1" si="40"/>
        <v/>
      </c>
      <c r="D134" s="223" t="str">
        <f t="shared" ca="1" si="40"/>
        <v/>
      </c>
      <c r="E134" s="222" t="str">
        <f>IF(B134="","",SUM(D134,D135))</f>
        <v/>
      </c>
      <c r="F134" s="222" t="str">
        <f>IF(B134="","",E134-U134)</f>
        <v/>
      </c>
      <c r="G134" s="225" t="str">
        <f ca="1">IF($B134="","",IF(ISBLANK(INDIRECT(ADDRESS($B134,G$1,1,,"Score"))),"",1))</f>
        <v/>
      </c>
      <c r="H134" s="225" t="str">
        <f ca="1">IF($B134="","",IF(ISBLANK(INDIRECT(ADDRESS($B134,H$1,1,,"Score"))),"",1))</f>
        <v/>
      </c>
      <c r="I134" s="227" t="str">
        <f ca="1">IF(H134=1,F134,"")</f>
        <v/>
      </c>
      <c r="J134" s="225" t="str">
        <f t="shared" ca="1" si="41"/>
        <v/>
      </c>
      <c r="K134" s="225" t="str">
        <f t="shared" ca="1" si="41"/>
        <v/>
      </c>
      <c r="L134" s="225" t="str">
        <f t="shared" ca="1" si="41"/>
        <v/>
      </c>
      <c r="M134" s="223" t="str">
        <f t="shared" ca="1" si="42"/>
        <v/>
      </c>
      <c r="N134" s="146" t="str">
        <f ca="1">IF(ISNA(MATCH($A134,'Game Clock'!A$62:A$99,0)),"",INDIRECT(ADDRESS(MATCH($A134,'Game Clock'!A$62:A$99,0)+ROW('Game Clock'!A$61),N$1,1,,"Game Clock")))</f>
        <v/>
      </c>
      <c r="O134" s="222" t="str">
        <f ca="1">IF(OR(N134="",N134=0),"",60*E134/N134)</f>
        <v/>
      </c>
      <c r="P134" s="201"/>
      <c r="Q134" s="222">
        <f>Q132+1</f>
        <v>24</v>
      </c>
      <c r="R134" s="223" t="str">
        <f>IF(ISNA(MATCH($Q134,Score!T$46:T$83,0)),"",MATCH($Q134,Score!T$46:T$83,0)+ROW(Score!T$45) )</f>
        <v/>
      </c>
      <c r="S134" s="224" t="str">
        <f t="shared" ca="1" si="43"/>
        <v/>
      </c>
      <c r="T134" s="223" t="str">
        <f t="shared" ca="1" si="43"/>
        <v/>
      </c>
      <c r="U134" s="222" t="str">
        <f>IF(R134="","",SUM(T134,T135))</f>
        <v/>
      </c>
      <c r="V134" s="222" t="str">
        <f>IF(R134="","",U134-E134)</f>
        <v/>
      </c>
      <c r="W134" s="225" t="str">
        <f ca="1">IF($R134="","",IF(ISBLANK(INDIRECT(ADDRESS($R134,W$1,1,,"Score"))),"",1))</f>
        <v/>
      </c>
      <c r="X134" s="225" t="str">
        <f ca="1">IF($R134="","",IF(ISBLANK(INDIRECT(ADDRESS($R134,X$1,1,,"Score"))),"",1))</f>
        <v/>
      </c>
      <c r="Y134" s="227" t="str">
        <f ca="1">IF(X134=1,V134,"")</f>
        <v/>
      </c>
      <c r="Z134" s="225" t="str">
        <f t="shared" ca="1" si="44"/>
        <v/>
      </c>
      <c r="AA134" s="225" t="str">
        <f t="shared" ca="1" si="44"/>
        <v/>
      </c>
      <c r="AB134" s="225" t="str">
        <f t="shared" ca="1" si="44"/>
        <v/>
      </c>
      <c r="AC134" s="223" t="str">
        <f t="shared" ca="1" si="45"/>
        <v/>
      </c>
      <c r="AD134" s="222" t="str">
        <f ca="1">N134</f>
        <v/>
      </c>
      <c r="AE134" s="222" t="str">
        <f ca="1">IF(OR(AD134="",AD134=0),"",60*U134/AD134)</f>
        <v/>
      </c>
    </row>
    <row r="135" spans="1:31" x14ac:dyDescent="0.3">
      <c r="A135" s="222"/>
      <c r="B135" s="223" t="str">
        <f ca="1">IF($B134="","",IF(INDIRECT(ADDRESS($B134+1,C$1-1,1,,"Score"))="SP",$B134+1,""))</f>
        <v/>
      </c>
      <c r="C135" s="224" t="str">
        <f t="shared" ca="1" si="40"/>
        <v/>
      </c>
      <c r="D135" s="223" t="str">
        <f t="shared" ca="1" si="40"/>
        <v/>
      </c>
      <c r="E135" s="222"/>
      <c r="F135" s="222"/>
      <c r="G135" s="225"/>
      <c r="H135" s="226"/>
      <c r="I135" s="227"/>
      <c r="J135" s="225" t="str">
        <f t="shared" ca="1" si="41"/>
        <v/>
      </c>
      <c r="K135" s="225" t="str">
        <f t="shared" ca="1" si="41"/>
        <v/>
      </c>
      <c r="L135" s="225" t="str">
        <f t="shared" ca="1" si="41"/>
        <v/>
      </c>
      <c r="M135" s="223" t="str">
        <f t="shared" ca="1" si="42"/>
        <v/>
      </c>
      <c r="N135" s="222"/>
      <c r="O135" s="222"/>
      <c r="P135" s="201"/>
      <c r="Q135" s="222"/>
      <c r="R135" s="223" t="str">
        <f ca="1">IF($R134="","",IF(INDIRECT(ADDRESS($R134+1,S$1-1,1,,"Score"))="SP",$R134+1,""))</f>
        <v/>
      </c>
      <c r="S135" s="224" t="str">
        <f t="shared" ca="1" si="43"/>
        <v/>
      </c>
      <c r="T135" s="223" t="str">
        <f t="shared" ca="1" si="43"/>
        <v/>
      </c>
      <c r="U135" s="222"/>
      <c r="V135" s="222"/>
      <c r="W135" s="225"/>
      <c r="X135" s="226"/>
      <c r="Y135" s="227"/>
      <c r="Z135" s="225" t="str">
        <f t="shared" ca="1" si="44"/>
        <v/>
      </c>
      <c r="AA135" s="225" t="str">
        <f t="shared" ca="1" si="44"/>
        <v/>
      </c>
      <c r="AB135" s="225" t="str">
        <f t="shared" ca="1" si="44"/>
        <v/>
      </c>
      <c r="AC135" s="223" t="str">
        <f t="shared" ca="1" si="45"/>
        <v/>
      </c>
      <c r="AD135" s="222"/>
      <c r="AE135" s="222"/>
    </row>
    <row r="136" spans="1:31" x14ac:dyDescent="0.25">
      <c r="A136" s="203">
        <f>A134+1</f>
        <v>25</v>
      </c>
      <c r="B136" s="201" t="str">
        <f>IF(ISNA(MATCH($A136,Score!A$46:A$83,0)),"",MATCH($A136,Score!A$46:A$83,0)+ROW(Score!A$45))</f>
        <v/>
      </c>
      <c r="C136" s="202" t="str">
        <f t="shared" ca="1" si="40"/>
        <v/>
      </c>
      <c r="D136" s="201" t="str">
        <f t="shared" ca="1" si="40"/>
        <v/>
      </c>
      <c r="E136" s="203" t="str">
        <f>IF(B136="","",SUM(D136,D137))</f>
        <v/>
      </c>
      <c r="F136" s="203" t="str">
        <f>IF(B136="","",E136-U136)</f>
        <v/>
      </c>
      <c r="G136" s="231" t="str">
        <f ca="1">IF($B136="","",IF(ISBLANK(INDIRECT(ADDRESS($B136,G$1,1,,"Score"))),"",1))</f>
        <v/>
      </c>
      <c r="H136" s="231" t="str">
        <f ca="1">IF($B136="","",IF(ISBLANK(INDIRECT(ADDRESS($B136,H$1,1,,"Score"))),"",1))</f>
        <v/>
      </c>
      <c r="I136" s="221" t="str">
        <f ca="1">IF(H136=1,F136,"")</f>
        <v/>
      </c>
      <c r="J136" s="231" t="str">
        <f t="shared" ca="1" si="41"/>
        <v/>
      </c>
      <c r="K136" s="231" t="str">
        <f t="shared" ca="1" si="41"/>
        <v/>
      </c>
      <c r="L136" s="231" t="str">
        <f t="shared" ca="1" si="41"/>
        <v/>
      </c>
      <c r="M136" s="201" t="str">
        <f t="shared" ca="1" si="42"/>
        <v/>
      </c>
      <c r="N136" s="146" t="str">
        <f ca="1">IF(ISNA(MATCH($A136,'Game Clock'!A$62:A$99,0)),"",INDIRECT(ADDRESS(MATCH($A136,'Game Clock'!A$62:A$99,0)+ROW('Game Clock'!A$61),N$1,1,,"Game Clock")))</f>
        <v/>
      </c>
      <c r="O136" s="146" t="str">
        <f ca="1">IF(OR(N136="",N136=0),"",60*E136/N136)</f>
        <v/>
      </c>
      <c r="P136" s="201"/>
      <c r="Q136" s="203">
        <f>Q134+1</f>
        <v>25</v>
      </c>
      <c r="R136" s="201" t="str">
        <f>IF(ISNA(MATCH($Q136,Score!T$46:T$83,0)),"",MATCH($Q136,Score!T$46:T$83,0)+ROW(Score!T$45) )</f>
        <v/>
      </c>
      <c r="S136" s="202" t="str">
        <f t="shared" ca="1" si="43"/>
        <v/>
      </c>
      <c r="T136" s="201" t="str">
        <f t="shared" ca="1" si="43"/>
        <v/>
      </c>
      <c r="U136" s="203" t="str">
        <f>IF(R136="","",SUM(T136,T137))</f>
        <v/>
      </c>
      <c r="V136" s="203" t="str">
        <f>IF(R136="","",U136-E136)</f>
        <v/>
      </c>
      <c r="W136" s="231" t="str">
        <f ca="1">IF($R136="","",IF(ISBLANK(INDIRECT(ADDRESS($R136,W$1,1,,"Score"))),"",1))</f>
        <v/>
      </c>
      <c r="X136" s="231" t="str">
        <f ca="1">IF($R136="","",IF(ISBLANK(INDIRECT(ADDRESS($R136,X$1,1,,"Score"))),"",1))</f>
        <v/>
      </c>
      <c r="Y136" s="221" t="str">
        <f ca="1">IF(X136=1,V136,"")</f>
        <v/>
      </c>
      <c r="Z136" s="231" t="str">
        <f t="shared" ca="1" si="44"/>
        <v/>
      </c>
      <c r="AA136" s="231" t="str">
        <f t="shared" ca="1" si="44"/>
        <v/>
      </c>
      <c r="AB136" s="231" t="str">
        <f t="shared" ca="1" si="44"/>
        <v/>
      </c>
      <c r="AC136" s="201" t="str">
        <f t="shared" ca="1" si="45"/>
        <v/>
      </c>
      <c r="AD136" s="146" t="str">
        <f ca="1">N136</f>
        <v/>
      </c>
      <c r="AE136" s="146" t="str">
        <f ca="1">IF(OR(AD136="",AD136=0),"",60*U136/AD136)</f>
        <v/>
      </c>
    </row>
    <row r="137" spans="1:31" x14ac:dyDescent="0.25">
      <c r="A137" s="203"/>
      <c r="B137" s="201" t="str">
        <f ca="1">IF($B136="","",IF(INDIRECT(ADDRESS($B136+1,C$1-1,1,,"Score"))="SP",$B136+1,""))</f>
        <v/>
      </c>
      <c r="C137" s="202" t="str">
        <f t="shared" ca="1" si="40"/>
        <v/>
      </c>
      <c r="D137" s="201" t="str">
        <f t="shared" ca="1" si="40"/>
        <v/>
      </c>
      <c r="E137" s="203"/>
      <c r="F137" s="203"/>
      <c r="G137" s="231"/>
      <c r="H137" s="231"/>
      <c r="I137" s="221"/>
      <c r="J137" s="231" t="str">
        <f t="shared" ca="1" si="41"/>
        <v/>
      </c>
      <c r="K137" s="231" t="str">
        <f t="shared" ca="1" si="41"/>
        <v/>
      </c>
      <c r="L137" s="231" t="str">
        <f t="shared" ca="1" si="41"/>
        <v/>
      </c>
      <c r="M137" s="201" t="str">
        <f t="shared" ca="1" si="42"/>
        <v/>
      </c>
      <c r="N137" s="146"/>
      <c r="O137" s="146"/>
      <c r="P137" s="201"/>
      <c r="Q137" s="203"/>
      <c r="R137" s="201" t="str">
        <f ca="1">IF($R136="","",IF(INDIRECT(ADDRESS($R136+1,S$1-1,1,,"Score"))="SP",$R136+1,""))</f>
        <v/>
      </c>
      <c r="S137" s="202" t="str">
        <f t="shared" ca="1" si="43"/>
        <v/>
      </c>
      <c r="T137" s="201" t="str">
        <f t="shared" ca="1" si="43"/>
        <v/>
      </c>
      <c r="U137" s="203"/>
      <c r="V137" s="203"/>
      <c r="W137" s="231"/>
      <c r="X137" s="231"/>
      <c r="Y137" s="221"/>
      <c r="Z137" s="231" t="str">
        <f t="shared" ca="1" si="44"/>
        <v/>
      </c>
      <c r="AA137" s="231" t="str">
        <f t="shared" ca="1" si="44"/>
        <v/>
      </c>
      <c r="AB137" s="231" t="str">
        <f t="shared" ca="1" si="44"/>
        <v/>
      </c>
      <c r="AC137" s="201" t="str">
        <f t="shared" ca="1" si="45"/>
        <v/>
      </c>
      <c r="AD137" s="146"/>
      <c r="AE137" s="146"/>
    </row>
    <row r="138" spans="1:31" x14ac:dyDescent="0.25">
      <c r="A138" s="222">
        <f>A136+1</f>
        <v>26</v>
      </c>
      <c r="B138" s="223" t="str">
        <f>IF(ISNA(MATCH($A138,Score!A$46:A$83,0)),"",MATCH($A138,Score!A$46:A$83,0)+ROW(Score!A$45))</f>
        <v/>
      </c>
      <c r="C138" s="224" t="str">
        <f t="shared" ca="1" si="40"/>
        <v/>
      </c>
      <c r="D138" s="223" t="str">
        <f t="shared" ca="1" si="40"/>
        <v/>
      </c>
      <c r="E138" s="222" t="str">
        <f>IF(B138="","",SUM(D138,D139))</f>
        <v/>
      </c>
      <c r="F138" s="222" t="str">
        <f>IF(B138="","",E138-U138)</f>
        <v/>
      </c>
      <c r="G138" s="225" t="str">
        <f ca="1">IF($B138="","",IF(ISBLANK(INDIRECT(ADDRESS($B138,G$1,1,,"Score"))),"",1))</f>
        <v/>
      </c>
      <c r="H138" s="225" t="str">
        <f ca="1">IF($B138="","",IF(ISBLANK(INDIRECT(ADDRESS($B138,H$1,1,,"Score"))),"",1))</f>
        <v/>
      </c>
      <c r="I138" s="227" t="str">
        <f ca="1">IF(H138=1,F138,"")</f>
        <v/>
      </c>
      <c r="J138" s="225" t="str">
        <f t="shared" ca="1" si="41"/>
        <v/>
      </c>
      <c r="K138" s="225" t="str">
        <f t="shared" ca="1" si="41"/>
        <v/>
      </c>
      <c r="L138" s="225" t="str">
        <f t="shared" ca="1" si="41"/>
        <v/>
      </c>
      <c r="M138" s="223" t="str">
        <f t="shared" ca="1" si="42"/>
        <v/>
      </c>
      <c r="N138" s="146" t="str">
        <f ca="1">IF(ISNA(MATCH($A138,'Game Clock'!A$62:A$99,0)),"",INDIRECT(ADDRESS(MATCH($A138,'Game Clock'!A$62:A$99,0)+ROW('Game Clock'!A$61),N$1,1,,"Game Clock")))</f>
        <v/>
      </c>
      <c r="O138" s="222" t="str">
        <f ca="1">IF(OR(N138="",N138=0),"",60*E138/N138)</f>
        <v/>
      </c>
      <c r="P138" s="201"/>
      <c r="Q138" s="222">
        <f>Q136+1</f>
        <v>26</v>
      </c>
      <c r="R138" s="223" t="str">
        <f>IF(ISNA(MATCH($Q138,Score!T$46:T$83,0)),"",MATCH($Q138,Score!T$46:T$83,0)+ROW(Score!T$45) )</f>
        <v/>
      </c>
      <c r="S138" s="224" t="str">
        <f t="shared" ca="1" si="43"/>
        <v/>
      </c>
      <c r="T138" s="223" t="str">
        <f t="shared" ca="1" si="43"/>
        <v/>
      </c>
      <c r="U138" s="222" t="str">
        <f>IF(R138="","",SUM(T138,T139))</f>
        <v/>
      </c>
      <c r="V138" s="222" t="str">
        <f>IF(R138="","",U138-E138)</f>
        <v/>
      </c>
      <c r="W138" s="225" t="str">
        <f ca="1">IF($R138="","",IF(ISBLANK(INDIRECT(ADDRESS($R138,W$1,1,,"Score"))),"",1))</f>
        <v/>
      </c>
      <c r="X138" s="225" t="str">
        <f ca="1">IF($R138="","",IF(ISBLANK(INDIRECT(ADDRESS($R138,X$1,1,,"Score"))),"",1))</f>
        <v/>
      </c>
      <c r="Y138" s="227" t="str">
        <f ca="1">IF(X138=1,V138,"")</f>
        <v/>
      </c>
      <c r="Z138" s="225" t="str">
        <f t="shared" ca="1" si="44"/>
        <v/>
      </c>
      <c r="AA138" s="225" t="str">
        <f t="shared" ca="1" si="44"/>
        <v/>
      </c>
      <c r="AB138" s="225" t="str">
        <f t="shared" ca="1" si="44"/>
        <v/>
      </c>
      <c r="AC138" s="223" t="str">
        <f t="shared" ca="1" si="45"/>
        <v/>
      </c>
      <c r="AD138" s="222" t="str">
        <f ca="1">N138</f>
        <v/>
      </c>
      <c r="AE138" s="222" t="str">
        <f ca="1">IF(OR(AD138="",AD138=0),"",60*U138/AD138)</f>
        <v/>
      </c>
    </row>
    <row r="139" spans="1:31" x14ac:dyDescent="0.3">
      <c r="A139" s="222"/>
      <c r="B139" s="223" t="str">
        <f ca="1">IF($B138="","",IF(INDIRECT(ADDRESS($B138+1,C$1-1,1,,"Score"))="SP",$B138+1,""))</f>
        <v/>
      </c>
      <c r="C139" s="224" t="str">
        <f t="shared" ca="1" si="40"/>
        <v/>
      </c>
      <c r="D139" s="223" t="str">
        <f t="shared" ca="1" si="40"/>
        <v/>
      </c>
      <c r="E139" s="222"/>
      <c r="F139" s="222"/>
      <c r="G139" s="225"/>
      <c r="H139" s="226"/>
      <c r="I139" s="227"/>
      <c r="J139" s="225" t="str">
        <f t="shared" ca="1" si="41"/>
        <v/>
      </c>
      <c r="K139" s="225" t="str">
        <f t="shared" ca="1" si="41"/>
        <v/>
      </c>
      <c r="L139" s="225" t="str">
        <f t="shared" ca="1" si="41"/>
        <v/>
      </c>
      <c r="M139" s="223" t="str">
        <f t="shared" ca="1" si="42"/>
        <v/>
      </c>
      <c r="N139" s="222"/>
      <c r="O139" s="222"/>
      <c r="P139" s="201"/>
      <c r="Q139" s="222"/>
      <c r="R139" s="223" t="str">
        <f ca="1">IF($R138="","",IF(INDIRECT(ADDRESS($R138+1,S$1-1,1,,"Score"))="SP",$R138+1,""))</f>
        <v/>
      </c>
      <c r="S139" s="224" t="str">
        <f t="shared" ca="1" si="43"/>
        <v/>
      </c>
      <c r="T139" s="223" t="str">
        <f t="shared" ca="1" si="43"/>
        <v/>
      </c>
      <c r="U139" s="222"/>
      <c r="V139" s="222"/>
      <c r="W139" s="225"/>
      <c r="X139" s="226"/>
      <c r="Y139" s="227"/>
      <c r="Z139" s="225" t="str">
        <f t="shared" ca="1" si="44"/>
        <v/>
      </c>
      <c r="AA139" s="225" t="str">
        <f t="shared" ca="1" si="44"/>
        <v/>
      </c>
      <c r="AB139" s="225" t="str">
        <f t="shared" ca="1" si="44"/>
        <v/>
      </c>
      <c r="AC139" s="223" t="str">
        <f t="shared" ca="1" si="45"/>
        <v/>
      </c>
      <c r="AD139" s="222"/>
      <c r="AE139" s="222"/>
    </row>
    <row r="140" spans="1:31" x14ac:dyDescent="0.25">
      <c r="A140" s="203">
        <f>A138+1</f>
        <v>27</v>
      </c>
      <c r="B140" s="201" t="str">
        <f>IF(ISNA(MATCH($A140,Score!A$46:A$83,0)),"",MATCH($A140,Score!A$46:A$83,0)+ROW(Score!A$45))</f>
        <v/>
      </c>
      <c r="C140" s="202" t="str">
        <f t="shared" ca="1" si="40"/>
        <v/>
      </c>
      <c r="D140" s="201" t="str">
        <f t="shared" ca="1" si="40"/>
        <v/>
      </c>
      <c r="E140" s="203" t="str">
        <f>IF(B140="","",SUM(D140,D141))</f>
        <v/>
      </c>
      <c r="F140" s="203" t="str">
        <f>IF(B140="","",E140-U140)</f>
        <v/>
      </c>
      <c r="G140" s="231" t="str">
        <f ca="1">IF($B140="","",IF(ISBLANK(INDIRECT(ADDRESS($B140,G$1,1,,"Score"))),"",1))</f>
        <v/>
      </c>
      <c r="H140" s="231" t="str">
        <f ca="1">IF($B140="","",IF(ISBLANK(INDIRECT(ADDRESS($B140,H$1,1,,"Score"))),"",1))</f>
        <v/>
      </c>
      <c r="I140" s="221" t="str">
        <f ca="1">IF(H140=1,F140,"")</f>
        <v/>
      </c>
      <c r="J140" s="231" t="str">
        <f t="shared" ca="1" si="41"/>
        <v/>
      </c>
      <c r="K140" s="231" t="str">
        <f t="shared" ca="1" si="41"/>
        <v/>
      </c>
      <c r="L140" s="231" t="str">
        <f t="shared" ca="1" si="41"/>
        <v/>
      </c>
      <c r="M140" s="201" t="str">
        <f t="shared" ca="1" si="42"/>
        <v/>
      </c>
      <c r="N140" s="146" t="str">
        <f ca="1">IF(ISNA(MATCH($A140,'Game Clock'!A$62:A$99,0)),"",INDIRECT(ADDRESS(MATCH($A140,'Game Clock'!A$62:A$99,0)+ROW('Game Clock'!A$61),N$1,1,,"Game Clock")))</f>
        <v/>
      </c>
      <c r="O140" s="146" t="str">
        <f ca="1">IF(OR(N140="",N140=0),"",60*E140/N140)</f>
        <v/>
      </c>
      <c r="P140" s="201"/>
      <c r="Q140" s="203">
        <f>Q138+1</f>
        <v>27</v>
      </c>
      <c r="R140" s="201" t="str">
        <f>IF(ISNA(MATCH($Q140,Score!T$46:T$83,0)),"",MATCH($Q140,Score!T$46:T$83,0)+ROW(Score!T$45) )</f>
        <v/>
      </c>
      <c r="S140" s="202" t="str">
        <f t="shared" ca="1" si="43"/>
        <v/>
      </c>
      <c r="T140" s="201" t="str">
        <f t="shared" ca="1" si="43"/>
        <v/>
      </c>
      <c r="U140" s="203" t="str">
        <f>IF(R140="","",SUM(T140,T141))</f>
        <v/>
      </c>
      <c r="V140" s="203" t="str">
        <f>IF(R140="","",U140-E140)</f>
        <v/>
      </c>
      <c r="W140" s="231" t="str">
        <f ca="1">IF($R140="","",IF(ISBLANK(INDIRECT(ADDRESS($R140,W$1,1,,"Score"))),"",1))</f>
        <v/>
      </c>
      <c r="X140" s="231" t="str">
        <f ca="1">IF($R140="","",IF(ISBLANK(INDIRECT(ADDRESS($R140,X$1,1,,"Score"))),"",1))</f>
        <v/>
      </c>
      <c r="Y140" s="221" t="str">
        <f ca="1">IF(X140=1,V140,"")</f>
        <v/>
      </c>
      <c r="Z140" s="231" t="str">
        <f t="shared" ca="1" si="44"/>
        <v/>
      </c>
      <c r="AA140" s="231" t="str">
        <f t="shared" ca="1" si="44"/>
        <v/>
      </c>
      <c r="AB140" s="231" t="str">
        <f t="shared" ca="1" si="44"/>
        <v/>
      </c>
      <c r="AC140" s="201" t="str">
        <f t="shared" ca="1" si="45"/>
        <v/>
      </c>
      <c r="AD140" s="146" t="str">
        <f ca="1">N140</f>
        <v/>
      </c>
      <c r="AE140" s="146" t="str">
        <f ca="1">IF(OR(AD140="",AD140=0),"",60*U140/AD140)</f>
        <v/>
      </c>
    </row>
    <row r="141" spans="1:31" x14ac:dyDescent="0.25">
      <c r="A141" s="203"/>
      <c r="B141" s="201" t="str">
        <f ca="1">IF($B140="","",IF(INDIRECT(ADDRESS($B140+1,C$1-1,1,,"Score"))="SP",$B140+1,""))</f>
        <v/>
      </c>
      <c r="C141" s="202" t="str">
        <f t="shared" ca="1" si="40"/>
        <v/>
      </c>
      <c r="D141" s="201" t="str">
        <f t="shared" ca="1" si="40"/>
        <v/>
      </c>
      <c r="E141" s="203"/>
      <c r="F141" s="203"/>
      <c r="G141" s="231"/>
      <c r="H141" s="231"/>
      <c r="I141" s="221"/>
      <c r="J141" s="231" t="str">
        <f t="shared" ca="1" si="41"/>
        <v/>
      </c>
      <c r="K141" s="231" t="str">
        <f t="shared" ca="1" si="41"/>
        <v/>
      </c>
      <c r="L141" s="231" t="str">
        <f t="shared" ca="1" si="41"/>
        <v/>
      </c>
      <c r="M141" s="201" t="str">
        <f t="shared" ca="1" si="42"/>
        <v/>
      </c>
      <c r="N141" s="146"/>
      <c r="O141" s="146"/>
      <c r="P141" s="201"/>
      <c r="Q141" s="203"/>
      <c r="R141" s="201" t="str">
        <f ca="1">IF($R140="","",IF(INDIRECT(ADDRESS($R140+1,S$1-1,1,,"Score"))="SP",$R140+1,""))</f>
        <v/>
      </c>
      <c r="S141" s="202" t="str">
        <f t="shared" ca="1" si="43"/>
        <v/>
      </c>
      <c r="T141" s="201" t="str">
        <f t="shared" ca="1" si="43"/>
        <v/>
      </c>
      <c r="U141" s="203"/>
      <c r="V141" s="203"/>
      <c r="W141" s="231"/>
      <c r="X141" s="231"/>
      <c r="Y141" s="221"/>
      <c r="Z141" s="231" t="str">
        <f t="shared" ca="1" si="44"/>
        <v/>
      </c>
      <c r="AA141" s="231" t="str">
        <f t="shared" ca="1" si="44"/>
        <v/>
      </c>
      <c r="AB141" s="231" t="str">
        <f t="shared" ca="1" si="44"/>
        <v/>
      </c>
      <c r="AC141" s="201" t="str">
        <f t="shared" ca="1" si="45"/>
        <v/>
      </c>
      <c r="AD141" s="146"/>
      <c r="AE141" s="146"/>
    </row>
    <row r="142" spans="1:31" x14ac:dyDescent="0.25">
      <c r="A142" s="222">
        <f>A140+1</f>
        <v>28</v>
      </c>
      <c r="B142" s="223" t="str">
        <f>IF(ISNA(MATCH($A142,Score!A$46:A$83,0)),"",MATCH($A142,Score!A$46:A$83,0)+ROW(Score!A$45))</f>
        <v/>
      </c>
      <c r="C142" s="224" t="str">
        <f t="shared" ca="1" si="40"/>
        <v/>
      </c>
      <c r="D142" s="223" t="str">
        <f t="shared" ca="1" si="40"/>
        <v/>
      </c>
      <c r="E142" s="222" t="str">
        <f>IF(B142="","",SUM(D142,D143))</f>
        <v/>
      </c>
      <c r="F142" s="222" t="str">
        <f>IF(B142="","",E142-U142)</f>
        <v/>
      </c>
      <c r="G142" s="225" t="str">
        <f ca="1">IF($B142="","",IF(ISBLANK(INDIRECT(ADDRESS($B142,G$1,1,,"Score"))),"",1))</f>
        <v/>
      </c>
      <c r="H142" s="225" t="str">
        <f ca="1">IF($B142="","",IF(ISBLANK(INDIRECT(ADDRESS($B142,H$1,1,,"Score"))),"",1))</f>
        <v/>
      </c>
      <c r="I142" s="227" t="str">
        <f ca="1">IF(H142=1,F142,"")</f>
        <v/>
      </c>
      <c r="J142" s="225" t="str">
        <f t="shared" ca="1" si="41"/>
        <v/>
      </c>
      <c r="K142" s="225" t="str">
        <f t="shared" ca="1" si="41"/>
        <v/>
      </c>
      <c r="L142" s="225" t="str">
        <f t="shared" ca="1" si="41"/>
        <v/>
      </c>
      <c r="M142" s="223" t="str">
        <f t="shared" ca="1" si="42"/>
        <v/>
      </c>
      <c r="N142" s="146" t="str">
        <f ca="1">IF(ISNA(MATCH($A142,'Game Clock'!A$62:A$99,0)),"",INDIRECT(ADDRESS(MATCH($A142,'Game Clock'!A$62:A$99,0)+ROW('Game Clock'!A$61),N$1,1,,"Game Clock")))</f>
        <v/>
      </c>
      <c r="O142" s="222" t="str">
        <f ca="1">IF(OR(N142="",N142=0),"",60*E142/N142)</f>
        <v/>
      </c>
      <c r="P142" s="201"/>
      <c r="Q142" s="222">
        <f>Q140+1</f>
        <v>28</v>
      </c>
      <c r="R142" s="223" t="str">
        <f>IF(ISNA(MATCH($Q142,Score!T$46:T$83,0)),"",MATCH($Q142,Score!T$46:T$83,0)+ROW(Score!T$45) )</f>
        <v/>
      </c>
      <c r="S142" s="224" t="str">
        <f t="shared" ca="1" si="43"/>
        <v/>
      </c>
      <c r="T142" s="223" t="str">
        <f t="shared" ca="1" si="43"/>
        <v/>
      </c>
      <c r="U142" s="222" t="str">
        <f>IF(R142="","",SUM(T142,T143))</f>
        <v/>
      </c>
      <c r="V142" s="222" t="str">
        <f>IF(R142="","",U142-E142)</f>
        <v/>
      </c>
      <c r="W142" s="225" t="str">
        <f ca="1">IF($R142="","",IF(ISBLANK(INDIRECT(ADDRESS($R142,W$1,1,,"Score"))),"",1))</f>
        <v/>
      </c>
      <c r="X142" s="225" t="str">
        <f ca="1">IF($R142="","",IF(ISBLANK(INDIRECT(ADDRESS($R142,X$1,1,,"Score"))),"",1))</f>
        <v/>
      </c>
      <c r="Y142" s="227" t="str">
        <f ca="1">IF(X142=1,V142,"")</f>
        <v/>
      </c>
      <c r="Z142" s="225" t="str">
        <f t="shared" ca="1" si="44"/>
        <v/>
      </c>
      <c r="AA142" s="225" t="str">
        <f t="shared" ca="1" si="44"/>
        <v/>
      </c>
      <c r="AB142" s="225" t="str">
        <f t="shared" ca="1" si="44"/>
        <v/>
      </c>
      <c r="AC142" s="223" t="str">
        <f t="shared" ca="1" si="45"/>
        <v/>
      </c>
      <c r="AD142" s="222" t="str">
        <f ca="1">N142</f>
        <v/>
      </c>
      <c r="AE142" s="222" t="str">
        <f ca="1">IF(OR(AD142="",AD142=0),"",60*U142/AD142)</f>
        <v/>
      </c>
    </row>
    <row r="143" spans="1:31" x14ac:dyDescent="0.3">
      <c r="A143" s="222"/>
      <c r="B143" s="223" t="str">
        <f ca="1">IF($B142="","",IF(INDIRECT(ADDRESS($B142+1,C$1-1,1,,"Score"))="SP",$B142+1,""))</f>
        <v/>
      </c>
      <c r="C143" s="224" t="str">
        <f t="shared" ca="1" si="40"/>
        <v/>
      </c>
      <c r="D143" s="223" t="str">
        <f t="shared" ca="1" si="40"/>
        <v/>
      </c>
      <c r="E143" s="222"/>
      <c r="F143" s="222"/>
      <c r="G143" s="225"/>
      <c r="H143" s="226"/>
      <c r="I143" s="227"/>
      <c r="J143" s="225" t="str">
        <f t="shared" ca="1" si="41"/>
        <v/>
      </c>
      <c r="K143" s="225" t="str">
        <f t="shared" ca="1" si="41"/>
        <v/>
      </c>
      <c r="L143" s="225" t="str">
        <f t="shared" ca="1" si="41"/>
        <v/>
      </c>
      <c r="M143" s="223" t="str">
        <f t="shared" ca="1" si="42"/>
        <v/>
      </c>
      <c r="N143" s="222"/>
      <c r="O143" s="222"/>
      <c r="P143" s="201"/>
      <c r="Q143" s="222"/>
      <c r="R143" s="223" t="str">
        <f ca="1">IF($R142="","",IF(INDIRECT(ADDRESS($R142+1,S$1-1,1,,"Score"))="SP",$R142+1,""))</f>
        <v/>
      </c>
      <c r="S143" s="224" t="str">
        <f t="shared" ca="1" si="43"/>
        <v/>
      </c>
      <c r="T143" s="223" t="str">
        <f t="shared" ca="1" si="43"/>
        <v/>
      </c>
      <c r="U143" s="222"/>
      <c r="V143" s="222"/>
      <c r="W143" s="225"/>
      <c r="X143" s="226"/>
      <c r="Y143" s="227"/>
      <c r="Z143" s="225" t="str">
        <f t="shared" ca="1" si="44"/>
        <v/>
      </c>
      <c r="AA143" s="225" t="str">
        <f t="shared" ca="1" si="44"/>
        <v/>
      </c>
      <c r="AB143" s="225" t="str">
        <f t="shared" ca="1" si="44"/>
        <v/>
      </c>
      <c r="AC143" s="223" t="str">
        <f t="shared" ca="1" si="45"/>
        <v/>
      </c>
      <c r="AD143" s="222"/>
      <c r="AE143" s="222"/>
    </row>
    <row r="144" spans="1:31" x14ac:dyDescent="0.25">
      <c r="A144" s="203">
        <f>A142+1</f>
        <v>29</v>
      </c>
      <c r="B144" s="201" t="str">
        <f>IF(ISNA(MATCH($A144,Score!A$46:A$83,0)),"",MATCH($A144,Score!A$46:A$83,0)+ROW(Score!A$45))</f>
        <v/>
      </c>
      <c r="C144" s="202" t="str">
        <f t="shared" ref="C144:D159" ca="1" si="46">IF($B144="","",INDIRECT(ADDRESS($B144,C$1,1,,"Score")))</f>
        <v/>
      </c>
      <c r="D144" s="201" t="str">
        <f t="shared" ca="1" si="46"/>
        <v/>
      </c>
      <c r="E144" s="203" t="str">
        <f>IF(B144="","",SUM(D144,D145))</f>
        <v/>
      </c>
      <c r="F144" s="203" t="str">
        <f>IF(B144="","",E144-U144)</f>
        <v/>
      </c>
      <c r="G144" s="231" t="str">
        <f ca="1">IF($B144="","",IF(ISBLANK(INDIRECT(ADDRESS($B144,G$1,1,,"Score"))),"",1))</f>
        <v/>
      </c>
      <c r="H144" s="231" t="str">
        <f ca="1">IF($B144="","",IF(ISBLANK(INDIRECT(ADDRESS($B144,H$1,1,,"Score"))),"",1))</f>
        <v/>
      </c>
      <c r="I144" s="221" t="str">
        <f ca="1">IF(H144=1,F144,"")</f>
        <v/>
      </c>
      <c r="J144" s="231" t="str">
        <f t="shared" ref="J144:L159" ca="1" si="47">IF($B144="","",IF(ISBLANK(INDIRECT(ADDRESS($B144,J$1,1,,"Score"))),"",1))</f>
        <v/>
      </c>
      <c r="K144" s="231" t="str">
        <f t="shared" ca="1" si="47"/>
        <v/>
      </c>
      <c r="L144" s="231" t="str">
        <f t="shared" ca="1" si="47"/>
        <v/>
      </c>
      <c r="M144" s="201" t="str">
        <f t="shared" ref="M144:M163" ca="1" si="48">IF($B144="","",INDIRECT(ADDRESS($B144,M$1,1,,"Score")))</f>
        <v/>
      </c>
      <c r="N144" s="146" t="str">
        <f ca="1">IF(ISNA(MATCH($A144,'Game Clock'!A$62:A$99,0)),"",INDIRECT(ADDRESS(MATCH($A144,'Game Clock'!A$62:A$99,0)+ROW('Game Clock'!A$61),N$1,1,,"Game Clock")))</f>
        <v/>
      </c>
      <c r="O144" s="146" t="str">
        <f ca="1">IF(OR(N144="",N144=0),"",60*E144/N144)</f>
        <v/>
      </c>
      <c r="P144" s="201"/>
      <c r="Q144" s="203">
        <f>Q142+1</f>
        <v>29</v>
      </c>
      <c r="R144" s="201" t="str">
        <f>IF(ISNA(MATCH($Q144,Score!T$46:T$83,0)),"",MATCH($Q144,Score!T$46:T$83,0)+ROW(Score!T$45) )</f>
        <v/>
      </c>
      <c r="S144" s="202" t="str">
        <f t="shared" ref="S144:T159" ca="1" si="49">IF($R144="","",INDIRECT(ADDRESS($R144,S$1,1,,"Score")))</f>
        <v/>
      </c>
      <c r="T144" s="201" t="str">
        <f t="shared" ca="1" si="49"/>
        <v/>
      </c>
      <c r="U144" s="203" t="str">
        <f>IF(R144="","",SUM(T144,T145))</f>
        <v/>
      </c>
      <c r="V144" s="203" t="str">
        <f>IF(R144="","",U144-E144)</f>
        <v/>
      </c>
      <c r="W144" s="231" t="str">
        <f ca="1">IF($R144="","",IF(ISBLANK(INDIRECT(ADDRESS($R144,W$1,1,,"Score"))),"",1))</f>
        <v/>
      </c>
      <c r="X144" s="231" t="str">
        <f ca="1">IF($R144="","",IF(ISBLANK(INDIRECT(ADDRESS($R144,X$1,1,,"Score"))),"",1))</f>
        <v/>
      </c>
      <c r="Y144" s="221" t="str">
        <f ca="1">IF(X144=1,V144,"")</f>
        <v/>
      </c>
      <c r="Z144" s="231" t="str">
        <f t="shared" ref="Z144:AB159" ca="1" si="50">IF($R144="","",IF(ISBLANK(INDIRECT(ADDRESS($R144,Z$1,1,,"Score"))),"",1))</f>
        <v/>
      </c>
      <c r="AA144" s="231" t="str">
        <f t="shared" ca="1" si="50"/>
        <v/>
      </c>
      <c r="AB144" s="231" t="str">
        <f t="shared" ca="1" si="50"/>
        <v/>
      </c>
      <c r="AC144" s="201" t="str">
        <f t="shared" ref="AC144:AC163" ca="1" si="51">IF($R144="","",INDIRECT(ADDRESS($R144,AC$1,1,,"Score")))</f>
        <v/>
      </c>
      <c r="AD144" s="146" t="str">
        <f ca="1">N144</f>
        <v/>
      </c>
      <c r="AE144" s="146" t="str">
        <f ca="1">IF(OR(AD144="",AD144=0),"",60*U144/AD144)</f>
        <v/>
      </c>
    </row>
    <row r="145" spans="1:31" x14ac:dyDescent="0.25">
      <c r="A145" s="203"/>
      <c r="B145" s="201" t="str">
        <f ca="1">IF($B144="","",IF(INDIRECT(ADDRESS($B144+1,C$1-1,1,,"Score"))="SP",$B144+1,""))</f>
        <v/>
      </c>
      <c r="C145" s="202" t="str">
        <f t="shared" ca="1" si="46"/>
        <v/>
      </c>
      <c r="D145" s="201" t="str">
        <f t="shared" ca="1" si="46"/>
        <v/>
      </c>
      <c r="E145" s="203"/>
      <c r="F145" s="203"/>
      <c r="G145" s="231"/>
      <c r="H145" s="231"/>
      <c r="I145" s="221"/>
      <c r="J145" s="231" t="str">
        <f t="shared" ca="1" si="47"/>
        <v/>
      </c>
      <c r="K145" s="231" t="str">
        <f t="shared" ca="1" si="47"/>
        <v/>
      </c>
      <c r="L145" s="231" t="str">
        <f t="shared" ca="1" si="47"/>
        <v/>
      </c>
      <c r="M145" s="201" t="str">
        <f t="shared" ca="1" si="48"/>
        <v/>
      </c>
      <c r="N145" s="146"/>
      <c r="O145" s="146"/>
      <c r="P145" s="201"/>
      <c r="Q145" s="203"/>
      <c r="R145" s="201" t="str">
        <f ca="1">IF($R144="","",IF(INDIRECT(ADDRESS($R144+1,S$1-1,1,,"Score"))="SP",$R144+1,""))</f>
        <v/>
      </c>
      <c r="S145" s="202" t="str">
        <f t="shared" ca="1" si="49"/>
        <v/>
      </c>
      <c r="T145" s="201" t="str">
        <f t="shared" ca="1" si="49"/>
        <v/>
      </c>
      <c r="U145" s="203"/>
      <c r="V145" s="203"/>
      <c r="W145" s="231"/>
      <c r="X145" s="231"/>
      <c r="Y145" s="221"/>
      <c r="Z145" s="231" t="str">
        <f t="shared" ca="1" si="50"/>
        <v/>
      </c>
      <c r="AA145" s="231" t="str">
        <f t="shared" ca="1" si="50"/>
        <v/>
      </c>
      <c r="AB145" s="231" t="str">
        <f t="shared" ca="1" si="50"/>
        <v/>
      </c>
      <c r="AC145" s="201" t="str">
        <f t="shared" ca="1" si="51"/>
        <v/>
      </c>
      <c r="AD145" s="146"/>
      <c r="AE145" s="146"/>
    </row>
    <row r="146" spans="1:31" x14ac:dyDescent="0.25">
      <c r="A146" s="222">
        <f>A144+1</f>
        <v>30</v>
      </c>
      <c r="B146" s="223" t="str">
        <f>IF(ISNA(MATCH($A146,Score!A$46:A$83,0)),"",MATCH($A146,Score!A$46:A$83,0)+ROW(Score!A$45))</f>
        <v/>
      </c>
      <c r="C146" s="224" t="str">
        <f t="shared" ca="1" si="46"/>
        <v/>
      </c>
      <c r="D146" s="223" t="str">
        <f t="shared" ca="1" si="46"/>
        <v/>
      </c>
      <c r="E146" s="222" t="str">
        <f>IF(B146="","",SUM(D146,D147))</f>
        <v/>
      </c>
      <c r="F146" s="222" t="str">
        <f>IF(B146="","",E146-U146)</f>
        <v/>
      </c>
      <c r="G146" s="225" t="str">
        <f ca="1">IF($B146="","",IF(ISBLANK(INDIRECT(ADDRESS($B146,G$1,1,,"Score"))),"",1))</f>
        <v/>
      </c>
      <c r="H146" s="225" t="str">
        <f ca="1">IF($B146="","",IF(ISBLANK(INDIRECT(ADDRESS($B146,H$1,1,,"Score"))),"",1))</f>
        <v/>
      </c>
      <c r="I146" s="227" t="str">
        <f ca="1">IF(H146=1,F146,"")</f>
        <v/>
      </c>
      <c r="J146" s="225" t="str">
        <f t="shared" ca="1" si="47"/>
        <v/>
      </c>
      <c r="K146" s="225" t="str">
        <f t="shared" ca="1" si="47"/>
        <v/>
      </c>
      <c r="L146" s="225" t="str">
        <f t="shared" ca="1" si="47"/>
        <v/>
      </c>
      <c r="M146" s="223" t="str">
        <f t="shared" ca="1" si="48"/>
        <v/>
      </c>
      <c r="N146" s="146" t="str">
        <f ca="1">IF(ISNA(MATCH($A146,'Game Clock'!A$62:A$99,0)),"",INDIRECT(ADDRESS(MATCH($A146,'Game Clock'!A$62:A$99,0)+ROW('Game Clock'!A$61),N$1,1,,"Game Clock")))</f>
        <v/>
      </c>
      <c r="O146" s="222" t="str">
        <f ca="1">IF(OR(N146="",N146=0),"",60*E146/N146)</f>
        <v/>
      </c>
      <c r="P146" s="201"/>
      <c r="Q146" s="222">
        <f>Q144+1</f>
        <v>30</v>
      </c>
      <c r="R146" s="223" t="str">
        <f>IF(ISNA(MATCH($Q146,Score!T$46:T$83,0)),"",MATCH($Q146,Score!T$46:T$83,0)+ROW(Score!T$45) )</f>
        <v/>
      </c>
      <c r="S146" s="224" t="str">
        <f t="shared" ca="1" si="49"/>
        <v/>
      </c>
      <c r="T146" s="223" t="str">
        <f t="shared" ca="1" si="49"/>
        <v/>
      </c>
      <c r="U146" s="222" t="str">
        <f>IF(R146="","",SUM(T146,T147))</f>
        <v/>
      </c>
      <c r="V146" s="222" t="str">
        <f>IF(R146="","",U146-E146)</f>
        <v/>
      </c>
      <c r="W146" s="225" t="str">
        <f ca="1">IF($R146="","",IF(ISBLANK(INDIRECT(ADDRESS($R146,W$1,1,,"Score"))),"",1))</f>
        <v/>
      </c>
      <c r="X146" s="225" t="str">
        <f ca="1">IF($R146="","",IF(ISBLANK(INDIRECT(ADDRESS($R146,X$1,1,,"Score"))),"",1))</f>
        <v/>
      </c>
      <c r="Y146" s="227" t="str">
        <f ca="1">IF(X146=1,V146,"")</f>
        <v/>
      </c>
      <c r="Z146" s="225" t="str">
        <f t="shared" ca="1" si="50"/>
        <v/>
      </c>
      <c r="AA146" s="225" t="str">
        <f t="shared" ca="1" si="50"/>
        <v/>
      </c>
      <c r="AB146" s="225" t="str">
        <f t="shared" ca="1" si="50"/>
        <v/>
      </c>
      <c r="AC146" s="223" t="str">
        <f t="shared" ca="1" si="51"/>
        <v/>
      </c>
      <c r="AD146" s="222" t="str">
        <f ca="1">N146</f>
        <v/>
      </c>
      <c r="AE146" s="222" t="str">
        <f ca="1">IF(OR(AD146="",AD146=0),"",60*U146/AD146)</f>
        <v/>
      </c>
    </row>
    <row r="147" spans="1:31" x14ac:dyDescent="0.3">
      <c r="A147" s="222"/>
      <c r="B147" s="223" t="str">
        <f ca="1">IF($B146="","",IF(INDIRECT(ADDRESS($B146+1,C$1-1,1,,"Score"))="SP",$B146+1,""))</f>
        <v/>
      </c>
      <c r="C147" s="224" t="str">
        <f t="shared" ca="1" si="46"/>
        <v/>
      </c>
      <c r="D147" s="223" t="str">
        <f t="shared" ca="1" si="46"/>
        <v/>
      </c>
      <c r="E147" s="222"/>
      <c r="F147" s="222"/>
      <c r="G147" s="225"/>
      <c r="H147" s="226"/>
      <c r="I147" s="227"/>
      <c r="J147" s="225" t="str">
        <f t="shared" ca="1" si="47"/>
        <v/>
      </c>
      <c r="K147" s="225" t="str">
        <f t="shared" ca="1" si="47"/>
        <v/>
      </c>
      <c r="L147" s="225" t="str">
        <f t="shared" ca="1" si="47"/>
        <v/>
      </c>
      <c r="M147" s="223" t="str">
        <f t="shared" ca="1" si="48"/>
        <v/>
      </c>
      <c r="N147" s="222"/>
      <c r="O147" s="222"/>
      <c r="P147" s="201"/>
      <c r="Q147" s="222"/>
      <c r="R147" s="223" t="str">
        <f ca="1">IF($R146="","",IF(INDIRECT(ADDRESS($R146+1,S$1-1,1,,"Score"))="SP",$R146+1,""))</f>
        <v/>
      </c>
      <c r="S147" s="224" t="str">
        <f t="shared" ca="1" si="49"/>
        <v/>
      </c>
      <c r="T147" s="223" t="str">
        <f t="shared" ca="1" si="49"/>
        <v/>
      </c>
      <c r="U147" s="222"/>
      <c r="V147" s="222"/>
      <c r="W147" s="225"/>
      <c r="X147" s="226"/>
      <c r="Y147" s="227"/>
      <c r="Z147" s="225" t="str">
        <f t="shared" ca="1" si="50"/>
        <v/>
      </c>
      <c r="AA147" s="225" t="str">
        <f t="shared" ca="1" si="50"/>
        <v/>
      </c>
      <c r="AB147" s="225" t="str">
        <f t="shared" ca="1" si="50"/>
        <v/>
      </c>
      <c r="AC147" s="223" t="str">
        <f t="shared" ca="1" si="51"/>
        <v/>
      </c>
      <c r="AD147" s="222"/>
      <c r="AE147" s="222"/>
    </row>
    <row r="148" spans="1:31" x14ac:dyDescent="0.25">
      <c r="A148" s="203">
        <f>A146+1</f>
        <v>31</v>
      </c>
      <c r="B148" s="201" t="str">
        <f>IF(ISNA(MATCH($A148,Score!A$46:A$83,0)),"",MATCH($A148,Score!A$46:A$83,0)+ROW(Score!A$45))</f>
        <v/>
      </c>
      <c r="C148" s="202" t="str">
        <f t="shared" ca="1" si="46"/>
        <v/>
      </c>
      <c r="D148" s="201" t="str">
        <f t="shared" ca="1" si="46"/>
        <v/>
      </c>
      <c r="E148" s="203" t="str">
        <f>IF(B148="","",SUM(D148,D149))</f>
        <v/>
      </c>
      <c r="F148" s="203" t="str">
        <f>IF(B148="","",E148-U148)</f>
        <v/>
      </c>
      <c r="G148" s="231" t="str">
        <f ca="1">IF($B148="","",IF(ISBLANK(INDIRECT(ADDRESS($B148,G$1,1,,"Score"))),"",1))</f>
        <v/>
      </c>
      <c r="H148" s="231" t="str">
        <f ca="1">IF($B148="","",IF(ISBLANK(INDIRECT(ADDRESS($B148,H$1,1,,"Score"))),"",1))</f>
        <v/>
      </c>
      <c r="I148" s="221" t="str">
        <f ca="1">IF(H148=1,F148,"")</f>
        <v/>
      </c>
      <c r="J148" s="231" t="str">
        <f t="shared" ca="1" si="47"/>
        <v/>
      </c>
      <c r="K148" s="231" t="str">
        <f t="shared" ca="1" si="47"/>
        <v/>
      </c>
      <c r="L148" s="231" t="str">
        <f t="shared" ca="1" si="47"/>
        <v/>
      </c>
      <c r="M148" s="201" t="str">
        <f t="shared" ca="1" si="48"/>
        <v/>
      </c>
      <c r="N148" s="146" t="str">
        <f ca="1">IF(ISNA(MATCH($A148,'Game Clock'!A$62:A$99,0)),"",INDIRECT(ADDRESS(MATCH($A148,'Game Clock'!A$62:A$99,0)+ROW('Game Clock'!A$61),N$1,1,,"Game Clock")))</f>
        <v/>
      </c>
      <c r="O148" s="146" t="str">
        <f ca="1">IF(OR(N148="",N148=0),"",60*E148/N148)</f>
        <v/>
      </c>
      <c r="P148" s="201"/>
      <c r="Q148" s="203">
        <f>Q146+1</f>
        <v>31</v>
      </c>
      <c r="R148" s="201" t="str">
        <f>IF(ISNA(MATCH($Q148,Score!T$46:T$83,0)),"",MATCH($Q148,Score!T$46:T$83,0)+ROW(Score!T$45) )</f>
        <v/>
      </c>
      <c r="S148" s="202" t="str">
        <f t="shared" ca="1" si="49"/>
        <v/>
      </c>
      <c r="T148" s="201" t="str">
        <f t="shared" ca="1" si="49"/>
        <v/>
      </c>
      <c r="U148" s="203" t="str">
        <f>IF(R148="","",SUM(T148,T149))</f>
        <v/>
      </c>
      <c r="V148" s="203" t="str">
        <f>IF(R148="","",U148-E148)</f>
        <v/>
      </c>
      <c r="W148" s="231" t="str">
        <f ca="1">IF($R148="","",IF(ISBLANK(INDIRECT(ADDRESS($R148,W$1,1,,"Score"))),"",1))</f>
        <v/>
      </c>
      <c r="X148" s="231" t="str">
        <f ca="1">IF($R148="","",IF(ISBLANK(INDIRECT(ADDRESS($R148,X$1,1,,"Score"))),"",1))</f>
        <v/>
      </c>
      <c r="Y148" s="221" t="str">
        <f ca="1">IF(X148=1,V148,"")</f>
        <v/>
      </c>
      <c r="Z148" s="231" t="str">
        <f t="shared" ca="1" si="50"/>
        <v/>
      </c>
      <c r="AA148" s="231" t="str">
        <f t="shared" ca="1" si="50"/>
        <v/>
      </c>
      <c r="AB148" s="231" t="str">
        <f t="shared" ca="1" si="50"/>
        <v/>
      </c>
      <c r="AC148" s="201" t="str">
        <f t="shared" ca="1" si="51"/>
        <v/>
      </c>
      <c r="AD148" s="146" t="str">
        <f ca="1">N148</f>
        <v/>
      </c>
      <c r="AE148" s="146" t="str">
        <f ca="1">IF(OR(AD148="",AD148=0),"",60*U148/AD148)</f>
        <v/>
      </c>
    </row>
    <row r="149" spans="1:31" x14ac:dyDescent="0.25">
      <c r="A149" s="203"/>
      <c r="B149" s="201" t="str">
        <f ca="1">IF($B148="","",IF(INDIRECT(ADDRESS($B148+1,C$1-1,1,,"Score"))="SP",$B148+1,""))</f>
        <v/>
      </c>
      <c r="C149" s="202" t="str">
        <f t="shared" ca="1" si="46"/>
        <v/>
      </c>
      <c r="D149" s="201" t="str">
        <f t="shared" ca="1" si="46"/>
        <v/>
      </c>
      <c r="E149" s="203"/>
      <c r="F149" s="203"/>
      <c r="G149" s="231"/>
      <c r="H149" s="231"/>
      <c r="I149" s="221"/>
      <c r="J149" s="231" t="str">
        <f t="shared" ca="1" si="47"/>
        <v/>
      </c>
      <c r="K149" s="231" t="str">
        <f t="shared" ca="1" si="47"/>
        <v/>
      </c>
      <c r="L149" s="231" t="str">
        <f t="shared" ca="1" si="47"/>
        <v/>
      </c>
      <c r="M149" s="201" t="str">
        <f t="shared" ca="1" si="48"/>
        <v/>
      </c>
      <c r="N149" s="146"/>
      <c r="O149" s="146"/>
      <c r="P149" s="201"/>
      <c r="Q149" s="203"/>
      <c r="R149" s="201" t="str">
        <f ca="1">IF($R148="","",IF(INDIRECT(ADDRESS($R148+1,S$1-1,1,,"Score"))="SP",$R148+1,""))</f>
        <v/>
      </c>
      <c r="S149" s="202" t="str">
        <f t="shared" ca="1" si="49"/>
        <v/>
      </c>
      <c r="T149" s="201" t="str">
        <f t="shared" ca="1" si="49"/>
        <v/>
      </c>
      <c r="U149" s="203"/>
      <c r="V149" s="203"/>
      <c r="W149" s="231"/>
      <c r="X149" s="231"/>
      <c r="Y149" s="221"/>
      <c r="Z149" s="231" t="str">
        <f t="shared" ca="1" si="50"/>
        <v/>
      </c>
      <c r="AA149" s="231" t="str">
        <f t="shared" ca="1" si="50"/>
        <v/>
      </c>
      <c r="AB149" s="231" t="str">
        <f t="shared" ca="1" si="50"/>
        <v/>
      </c>
      <c r="AC149" s="201" t="str">
        <f t="shared" ca="1" si="51"/>
        <v/>
      </c>
      <c r="AD149" s="146"/>
      <c r="AE149" s="146"/>
    </row>
    <row r="150" spans="1:31" x14ac:dyDescent="0.25">
      <c r="A150" s="222">
        <f>A148+1</f>
        <v>32</v>
      </c>
      <c r="B150" s="223" t="str">
        <f>IF(ISNA(MATCH($A150,Score!A$46:A$83,0)),"",MATCH($A150,Score!A$46:A$83,0)+ROW(Score!A$45))</f>
        <v/>
      </c>
      <c r="C150" s="224" t="str">
        <f t="shared" ca="1" si="46"/>
        <v/>
      </c>
      <c r="D150" s="223" t="str">
        <f t="shared" ca="1" si="46"/>
        <v/>
      </c>
      <c r="E150" s="222" t="str">
        <f>IF(B150="","",SUM(D150,D151))</f>
        <v/>
      </c>
      <c r="F150" s="222" t="str">
        <f>IF(B150="","",E150-U150)</f>
        <v/>
      </c>
      <c r="G150" s="225" t="str">
        <f ca="1">IF($B150="","",IF(ISBLANK(INDIRECT(ADDRESS($B150,G$1,1,,"Score"))),"",1))</f>
        <v/>
      </c>
      <c r="H150" s="225" t="str">
        <f ca="1">IF($B150="","",IF(ISBLANK(INDIRECT(ADDRESS($B150,H$1,1,,"Score"))),"",1))</f>
        <v/>
      </c>
      <c r="I150" s="227" t="str">
        <f ca="1">IF(H150=1,F150,"")</f>
        <v/>
      </c>
      <c r="J150" s="225" t="str">
        <f t="shared" ca="1" si="47"/>
        <v/>
      </c>
      <c r="K150" s="225" t="str">
        <f t="shared" ca="1" si="47"/>
        <v/>
      </c>
      <c r="L150" s="225" t="str">
        <f t="shared" ca="1" si="47"/>
        <v/>
      </c>
      <c r="M150" s="223" t="str">
        <f t="shared" ca="1" si="48"/>
        <v/>
      </c>
      <c r="N150" s="146" t="str">
        <f ca="1">IF(ISNA(MATCH($A150,'Game Clock'!A$62:A$99,0)),"",INDIRECT(ADDRESS(MATCH($A150,'Game Clock'!A$62:A$99,0)+ROW('Game Clock'!A$61),N$1,1,,"Game Clock")))</f>
        <v/>
      </c>
      <c r="O150" s="222" t="str">
        <f ca="1">IF(OR(N150="",N150=0),"",60*E150/N150)</f>
        <v/>
      </c>
      <c r="P150" s="201"/>
      <c r="Q150" s="222">
        <f>Q148+1</f>
        <v>32</v>
      </c>
      <c r="R150" s="223" t="str">
        <f>IF(ISNA(MATCH($Q150,Score!T$46:T$83,0)),"",MATCH($Q150,Score!T$46:T$83,0)+ROW(Score!T$45) )</f>
        <v/>
      </c>
      <c r="S150" s="224" t="str">
        <f t="shared" ca="1" si="49"/>
        <v/>
      </c>
      <c r="T150" s="223" t="str">
        <f t="shared" ca="1" si="49"/>
        <v/>
      </c>
      <c r="U150" s="222" t="str">
        <f>IF(R150="","",SUM(T150,T151))</f>
        <v/>
      </c>
      <c r="V150" s="222" t="str">
        <f>IF(R150="","",U150-E150)</f>
        <v/>
      </c>
      <c r="W150" s="225" t="str">
        <f ca="1">IF($R150="","",IF(ISBLANK(INDIRECT(ADDRESS($R150,W$1,1,,"Score"))),"",1))</f>
        <v/>
      </c>
      <c r="X150" s="225" t="str">
        <f ca="1">IF($R150="","",IF(ISBLANK(INDIRECT(ADDRESS($R150,X$1,1,,"Score"))),"",1))</f>
        <v/>
      </c>
      <c r="Y150" s="227" t="str">
        <f ca="1">IF(X150=1,V150,"")</f>
        <v/>
      </c>
      <c r="Z150" s="225" t="str">
        <f t="shared" ca="1" si="50"/>
        <v/>
      </c>
      <c r="AA150" s="225" t="str">
        <f t="shared" ca="1" si="50"/>
        <v/>
      </c>
      <c r="AB150" s="225" t="str">
        <f t="shared" ca="1" si="50"/>
        <v/>
      </c>
      <c r="AC150" s="223" t="str">
        <f t="shared" ca="1" si="51"/>
        <v/>
      </c>
      <c r="AD150" s="222" t="str">
        <f ca="1">N150</f>
        <v/>
      </c>
      <c r="AE150" s="222" t="str">
        <f ca="1">IF(OR(AD150="",AD150=0),"",60*U150/AD150)</f>
        <v/>
      </c>
    </row>
    <row r="151" spans="1:31" x14ac:dyDescent="0.3">
      <c r="A151" s="222"/>
      <c r="B151" s="223" t="str">
        <f ca="1">IF($B150="","",IF(INDIRECT(ADDRESS($B150+1,C$1-1,1,,"Score"))="SP",$B150+1,""))</f>
        <v/>
      </c>
      <c r="C151" s="224" t="str">
        <f t="shared" ca="1" si="46"/>
        <v/>
      </c>
      <c r="D151" s="223" t="str">
        <f t="shared" ca="1" si="46"/>
        <v/>
      </c>
      <c r="E151" s="222"/>
      <c r="F151" s="222"/>
      <c r="G151" s="225"/>
      <c r="H151" s="226"/>
      <c r="I151" s="227"/>
      <c r="J151" s="225" t="str">
        <f t="shared" ca="1" si="47"/>
        <v/>
      </c>
      <c r="K151" s="225" t="str">
        <f t="shared" ca="1" si="47"/>
        <v/>
      </c>
      <c r="L151" s="225" t="str">
        <f t="shared" ca="1" si="47"/>
        <v/>
      </c>
      <c r="M151" s="223" t="str">
        <f t="shared" ca="1" si="48"/>
        <v/>
      </c>
      <c r="N151" s="222"/>
      <c r="O151" s="222"/>
      <c r="P151" s="201"/>
      <c r="Q151" s="222"/>
      <c r="R151" s="223" t="str">
        <f ca="1">IF($R150="","",IF(INDIRECT(ADDRESS($R150+1,S$1-1,1,,"Score"))="SP",$R150+1,""))</f>
        <v/>
      </c>
      <c r="S151" s="224" t="str">
        <f t="shared" ca="1" si="49"/>
        <v/>
      </c>
      <c r="T151" s="223" t="str">
        <f t="shared" ca="1" si="49"/>
        <v/>
      </c>
      <c r="U151" s="222"/>
      <c r="V151" s="222"/>
      <c r="W151" s="225"/>
      <c r="X151" s="226"/>
      <c r="Y151" s="227"/>
      <c r="Z151" s="225" t="str">
        <f t="shared" ca="1" si="50"/>
        <v/>
      </c>
      <c r="AA151" s="225" t="str">
        <f t="shared" ca="1" si="50"/>
        <v/>
      </c>
      <c r="AB151" s="225" t="str">
        <f t="shared" ca="1" si="50"/>
        <v/>
      </c>
      <c r="AC151" s="223" t="str">
        <f t="shared" ca="1" si="51"/>
        <v/>
      </c>
      <c r="AD151" s="222"/>
      <c r="AE151" s="222"/>
    </row>
    <row r="152" spans="1:31" x14ac:dyDescent="0.25">
      <c r="A152" s="203">
        <f>A150+1</f>
        <v>33</v>
      </c>
      <c r="B152" s="201" t="str">
        <f>IF(ISNA(MATCH($A152,Score!A$46:A$83,0)),"",MATCH($A152,Score!A$46:A$83,0)+ROW(Score!A$45))</f>
        <v/>
      </c>
      <c r="C152" s="202" t="str">
        <f t="shared" ca="1" si="46"/>
        <v/>
      </c>
      <c r="D152" s="201" t="str">
        <f t="shared" ca="1" si="46"/>
        <v/>
      </c>
      <c r="E152" s="203" t="str">
        <f>IF(B152="","",SUM(D152,D153))</f>
        <v/>
      </c>
      <c r="F152" s="203" t="str">
        <f>IF(B152="","",E152-U152)</f>
        <v/>
      </c>
      <c r="G152" s="231" t="str">
        <f ca="1">IF($B152="","",IF(ISBLANK(INDIRECT(ADDRESS($B152,G$1,1,,"Score"))),"",1))</f>
        <v/>
      </c>
      <c r="H152" s="231" t="str">
        <f ca="1">IF($B152="","",IF(ISBLANK(INDIRECT(ADDRESS($B152,H$1,1,,"Score"))),"",1))</f>
        <v/>
      </c>
      <c r="I152" s="221" t="str">
        <f ca="1">IF(H152=1,F152,"")</f>
        <v/>
      </c>
      <c r="J152" s="231" t="str">
        <f t="shared" ca="1" si="47"/>
        <v/>
      </c>
      <c r="K152" s="231" t="str">
        <f t="shared" ca="1" si="47"/>
        <v/>
      </c>
      <c r="L152" s="231" t="str">
        <f t="shared" ca="1" si="47"/>
        <v/>
      </c>
      <c r="M152" s="201" t="str">
        <f t="shared" ca="1" si="48"/>
        <v/>
      </c>
      <c r="N152" s="146" t="str">
        <f ca="1">IF(ISNA(MATCH($A152,'Game Clock'!A$62:A$99,0)),"",INDIRECT(ADDRESS(MATCH($A152,'Game Clock'!A$62:A$99,0)+ROW('Game Clock'!A$61),N$1,1,,"Game Clock")))</f>
        <v/>
      </c>
      <c r="O152" s="146" t="str">
        <f ca="1">IF(OR(N152="",N152=0),"",60*E152/N152)</f>
        <v/>
      </c>
      <c r="P152" s="201"/>
      <c r="Q152" s="203">
        <f>Q150+1</f>
        <v>33</v>
      </c>
      <c r="R152" s="201" t="str">
        <f>IF(ISNA(MATCH($Q152,Score!T$46:T$83,0)),"",MATCH($Q152,Score!T$46:T$83,0)+ROW(Score!T$45) )</f>
        <v/>
      </c>
      <c r="S152" s="202" t="str">
        <f t="shared" ca="1" si="49"/>
        <v/>
      </c>
      <c r="T152" s="201" t="str">
        <f t="shared" ca="1" si="49"/>
        <v/>
      </c>
      <c r="U152" s="203" t="str">
        <f>IF(R152="","",SUM(T152,T153))</f>
        <v/>
      </c>
      <c r="V152" s="203" t="str">
        <f>IF(R152="","",U152-E152)</f>
        <v/>
      </c>
      <c r="W152" s="231" t="str">
        <f ca="1">IF($R152="","",IF(ISBLANK(INDIRECT(ADDRESS($R152,W$1,1,,"Score"))),"",1))</f>
        <v/>
      </c>
      <c r="X152" s="231" t="str">
        <f ca="1">IF($R152="","",IF(ISBLANK(INDIRECT(ADDRESS($R152,X$1,1,,"Score"))),"",1))</f>
        <v/>
      </c>
      <c r="Y152" s="221" t="str">
        <f ca="1">IF(X152=1,V152,"")</f>
        <v/>
      </c>
      <c r="Z152" s="231" t="str">
        <f t="shared" ca="1" si="50"/>
        <v/>
      </c>
      <c r="AA152" s="231" t="str">
        <f t="shared" ca="1" si="50"/>
        <v/>
      </c>
      <c r="AB152" s="231" t="str">
        <f t="shared" ca="1" si="50"/>
        <v/>
      </c>
      <c r="AC152" s="201" t="str">
        <f t="shared" ca="1" si="51"/>
        <v/>
      </c>
      <c r="AD152" s="146" t="str">
        <f ca="1">N152</f>
        <v/>
      </c>
      <c r="AE152" s="146" t="str">
        <f ca="1">IF(OR(AD152="",AD152=0),"",60*U152/AD152)</f>
        <v/>
      </c>
    </row>
    <row r="153" spans="1:31" x14ac:dyDescent="0.25">
      <c r="A153" s="203"/>
      <c r="B153" s="201" t="str">
        <f ca="1">IF($B152="","",IF(INDIRECT(ADDRESS($B152+1,C$1-1,1,,"Score"))="SP",$B152+1,""))</f>
        <v/>
      </c>
      <c r="C153" s="202" t="str">
        <f t="shared" ca="1" si="46"/>
        <v/>
      </c>
      <c r="D153" s="201" t="str">
        <f t="shared" ca="1" si="46"/>
        <v/>
      </c>
      <c r="E153" s="203"/>
      <c r="F153" s="203"/>
      <c r="G153" s="231"/>
      <c r="H153" s="231"/>
      <c r="I153" s="221"/>
      <c r="J153" s="231" t="str">
        <f t="shared" ca="1" si="47"/>
        <v/>
      </c>
      <c r="K153" s="231" t="str">
        <f t="shared" ca="1" si="47"/>
        <v/>
      </c>
      <c r="L153" s="231" t="str">
        <f t="shared" ca="1" si="47"/>
        <v/>
      </c>
      <c r="M153" s="201" t="str">
        <f t="shared" ca="1" si="48"/>
        <v/>
      </c>
      <c r="N153" s="146"/>
      <c r="O153" s="146"/>
      <c r="P153" s="201"/>
      <c r="Q153" s="203"/>
      <c r="R153" s="201" t="str">
        <f ca="1">IF($R152="","",IF(INDIRECT(ADDRESS($R152+1,S$1-1,1,,"Score"))="SP",$R152+1,""))</f>
        <v/>
      </c>
      <c r="S153" s="202" t="str">
        <f t="shared" ca="1" si="49"/>
        <v/>
      </c>
      <c r="T153" s="201" t="str">
        <f t="shared" ca="1" si="49"/>
        <v/>
      </c>
      <c r="U153" s="203"/>
      <c r="V153" s="203"/>
      <c r="W153" s="231"/>
      <c r="X153" s="231"/>
      <c r="Y153" s="221"/>
      <c r="Z153" s="231" t="str">
        <f t="shared" ca="1" si="50"/>
        <v/>
      </c>
      <c r="AA153" s="231" t="str">
        <f t="shared" ca="1" si="50"/>
        <v/>
      </c>
      <c r="AB153" s="231" t="str">
        <f t="shared" ca="1" si="50"/>
        <v/>
      </c>
      <c r="AC153" s="201" t="str">
        <f t="shared" ca="1" si="51"/>
        <v/>
      </c>
      <c r="AD153" s="146"/>
      <c r="AE153" s="146"/>
    </row>
    <row r="154" spans="1:31" x14ac:dyDescent="0.25">
      <c r="A154" s="222">
        <f>A152+1</f>
        <v>34</v>
      </c>
      <c r="B154" s="223" t="str">
        <f>IF(ISNA(MATCH($A154,Score!A$46:A$83,0)),"",MATCH($A154,Score!A$46:A$83,0)+ROW(Score!A$45))</f>
        <v/>
      </c>
      <c r="C154" s="224" t="str">
        <f t="shared" ca="1" si="46"/>
        <v/>
      </c>
      <c r="D154" s="223" t="str">
        <f t="shared" ca="1" si="46"/>
        <v/>
      </c>
      <c r="E154" s="222" t="str">
        <f>IF(B154="","",SUM(D154,D155))</f>
        <v/>
      </c>
      <c r="F154" s="222" t="str">
        <f>IF(B154="","",E154-U154)</f>
        <v/>
      </c>
      <c r="G154" s="225" t="str">
        <f ca="1">IF($B154="","",IF(ISBLANK(INDIRECT(ADDRESS($B154,G$1,1,,"Score"))),"",1))</f>
        <v/>
      </c>
      <c r="H154" s="225" t="str">
        <f ca="1">IF($B154="","",IF(ISBLANK(INDIRECT(ADDRESS($B154,H$1,1,,"Score"))),"",1))</f>
        <v/>
      </c>
      <c r="I154" s="227" t="str">
        <f ca="1">IF(H154=1,F154,"")</f>
        <v/>
      </c>
      <c r="J154" s="225" t="str">
        <f t="shared" ca="1" si="47"/>
        <v/>
      </c>
      <c r="K154" s="225" t="str">
        <f t="shared" ca="1" si="47"/>
        <v/>
      </c>
      <c r="L154" s="225" t="str">
        <f t="shared" ca="1" si="47"/>
        <v/>
      </c>
      <c r="M154" s="223" t="str">
        <f t="shared" ca="1" si="48"/>
        <v/>
      </c>
      <c r="N154" s="146" t="str">
        <f ca="1">IF(ISNA(MATCH($A154,'Game Clock'!A$62:A$99,0)),"",INDIRECT(ADDRESS(MATCH($A154,'Game Clock'!A$62:A$99,0)+ROW('Game Clock'!A$61),N$1,1,,"Game Clock")))</f>
        <v/>
      </c>
      <c r="O154" s="222" t="str">
        <f ca="1">IF(OR(N154="",N154=0),"",60*E154/N154)</f>
        <v/>
      </c>
      <c r="P154" s="201"/>
      <c r="Q154" s="222">
        <f>Q152+1</f>
        <v>34</v>
      </c>
      <c r="R154" s="223" t="str">
        <f>IF(ISNA(MATCH($Q154,Score!T$46:T$83,0)),"",MATCH($Q154,Score!T$46:T$83,0)+ROW(Score!T$45) )</f>
        <v/>
      </c>
      <c r="S154" s="224" t="str">
        <f t="shared" ca="1" si="49"/>
        <v/>
      </c>
      <c r="T154" s="223" t="str">
        <f t="shared" ca="1" si="49"/>
        <v/>
      </c>
      <c r="U154" s="222" t="str">
        <f>IF(R154="","",SUM(T154,T155))</f>
        <v/>
      </c>
      <c r="V154" s="222" t="str">
        <f>IF(R154="","",U154-E154)</f>
        <v/>
      </c>
      <c r="W154" s="225" t="str">
        <f ca="1">IF($R154="","",IF(ISBLANK(INDIRECT(ADDRESS($R154,W$1,1,,"Score"))),"",1))</f>
        <v/>
      </c>
      <c r="X154" s="225" t="str">
        <f ca="1">IF($R154="","",IF(ISBLANK(INDIRECT(ADDRESS($R154,X$1,1,,"Score"))),"",1))</f>
        <v/>
      </c>
      <c r="Y154" s="227" t="str">
        <f ca="1">IF(X154=1,V154,"")</f>
        <v/>
      </c>
      <c r="Z154" s="225" t="str">
        <f t="shared" ca="1" si="50"/>
        <v/>
      </c>
      <c r="AA154" s="225" t="str">
        <f t="shared" ca="1" si="50"/>
        <v/>
      </c>
      <c r="AB154" s="225" t="str">
        <f t="shared" ca="1" si="50"/>
        <v/>
      </c>
      <c r="AC154" s="223" t="str">
        <f t="shared" ca="1" si="51"/>
        <v/>
      </c>
      <c r="AD154" s="222" t="str">
        <f ca="1">N154</f>
        <v/>
      </c>
      <c r="AE154" s="222" t="str">
        <f ca="1">IF(OR(AD154="",AD154=0),"",60*U154/AD154)</f>
        <v/>
      </c>
    </row>
    <row r="155" spans="1:31" x14ac:dyDescent="0.3">
      <c r="A155" s="222"/>
      <c r="B155" s="223" t="str">
        <f ca="1">IF($B154="","",IF(INDIRECT(ADDRESS($B154+1,C$1-1,1,,"Score"))="SP",$B154+1,""))</f>
        <v/>
      </c>
      <c r="C155" s="224" t="str">
        <f t="shared" ca="1" si="46"/>
        <v/>
      </c>
      <c r="D155" s="223" t="str">
        <f t="shared" ca="1" si="46"/>
        <v/>
      </c>
      <c r="E155" s="222"/>
      <c r="F155" s="222"/>
      <c r="G155" s="225"/>
      <c r="H155" s="226"/>
      <c r="I155" s="227"/>
      <c r="J155" s="225" t="str">
        <f t="shared" ca="1" si="47"/>
        <v/>
      </c>
      <c r="K155" s="225" t="str">
        <f t="shared" ca="1" si="47"/>
        <v/>
      </c>
      <c r="L155" s="225" t="str">
        <f t="shared" ca="1" si="47"/>
        <v/>
      </c>
      <c r="M155" s="223" t="str">
        <f t="shared" ca="1" si="48"/>
        <v/>
      </c>
      <c r="N155" s="222"/>
      <c r="O155" s="222"/>
      <c r="P155" s="201"/>
      <c r="Q155" s="222"/>
      <c r="R155" s="223" t="str">
        <f ca="1">IF($R154="","",IF(INDIRECT(ADDRESS($R154+1,S$1-1,1,,"Score"))="SP",$R154+1,""))</f>
        <v/>
      </c>
      <c r="S155" s="224" t="str">
        <f t="shared" ca="1" si="49"/>
        <v/>
      </c>
      <c r="T155" s="223" t="str">
        <f t="shared" ca="1" si="49"/>
        <v/>
      </c>
      <c r="U155" s="222"/>
      <c r="V155" s="222"/>
      <c r="W155" s="225"/>
      <c r="X155" s="226"/>
      <c r="Y155" s="227"/>
      <c r="Z155" s="225" t="str">
        <f t="shared" ca="1" si="50"/>
        <v/>
      </c>
      <c r="AA155" s="225" t="str">
        <f t="shared" ca="1" si="50"/>
        <v/>
      </c>
      <c r="AB155" s="225" t="str">
        <f t="shared" ca="1" si="50"/>
        <v/>
      </c>
      <c r="AC155" s="223" t="str">
        <f t="shared" ca="1" si="51"/>
        <v/>
      </c>
      <c r="AD155" s="222"/>
      <c r="AE155" s="222"/>
    </row>
    <row r="156" spans="1:31" x14ac:dyDescent="0.25">
      <c r="A156" s="203">
        <f>A154+1</f>
        <v>35</v>
      </c>
      <c r="B156" s="201" t="str">
        <f>IF(ISNA(MATCH($A156,Score!A$46:A$83,0)),"",MATCH($A156,Score!A$46:A$83,0)+ROW(Score!A$45))</f>
        <v/>
      </c>
      <c r="C156" s="202" t="str">
        <f t="shared" ca="1" si="46"/>
        <v/>
      </c>
      <c r="D156" s="201" t="str">
        <f t="shared" ca="1" si="46"/>
        <v/>
      </c>
      <c r="E156" s="203" t="str">
        <f>IF(B156="","",SUM(D156,D157))</f>
        <v/>
      </c>
      <c r="F156" s="203" t="str">
        <f>IF(B156="","",E156-U156)</f>
        <v/>
      </c>
      <c r="G156" s="231" t="str">
        <f ca="1">IF($B156="","",IF(ISBLANK(INDIRECT(ADDRESS($B156,G$1,1,,"Score"))),"",1))</f>
        <v/>
      </c>
      <c r="H156" s="231" t="str">
        <f ca="1">IF($B156="","",IF(ISBLANK(INDIRECT(ADDRESS($B156,H$1,1,,"Score"))),"",1))</f>
        <v/>
      </c>
      <c r="I156" s="221" t="str">
        <f ca="1">IF(H156=1,F156,"")</f>
        <v/>
      </c>
      <c r="J156" s="231" t="str">
        <f t="shared" ca="1" si="47"/>
        <v/>
      </c>
      <c r="K156" s="231" t="str">
        <f t="shared" ca="1" si="47"/>
        <v/>
      </c>
      <c r="L156" s="231" t="str">
        <f t="shared" ca="1" si="47"/>
        <v/>
      </c>
      <c r="M156" s="201" t="str">
        <f t="shared" ca="1" si="48"/>
        <v/>
      </c>
      <c r="N156" s="146" t="str">
        <f ca="1">IF(ISNA(MATCH($A156,'Game Clock'!A$62:A$99,0)),"",INDIRECT(ADDRESS(MATCH($A156,'Game Clock'!A$62:A$99,0)+ROW('Game Clock'!A$61),N$1,1,,"Game Clock")))</f>
        <v/>
      </c>
      <c r="O156" s="146" t="str">
        <f ca="1">IF(OR(N156="",N156=0),"",60*E156/N156)</f>
        <v/>
      </c>
      <c r="P156" s="201"/>
      <c r="Q156" s="203">
        <f>Q154+1</f>
        <v>35</v>
      </c>
      <c r="R156" s="201" t="str">
        <f>IF(ISNA(MATCH($Q156,Score!T$46:T$83,0)),"",MATCH($Q156,Score!T$46:T$83,0)+ROW(Score!T$45) )</f>
        <v/>
      </c>
      <c r="S156" s="202" t="str">
        <f t="shared" ca="1" si="49"/>
        <v/>
      </c>
      <c r="T156" s="201" t="str">
        <f t="shared" ca="1" si="49"/>
        <v/>
      </c>
      <c r="U156" s="203" t="str">
        <f>IF(R156="","",SUM(T156,T157))</f>
        <v/>
      </c>
      <c r="V156" s="203" t="str">
        <f>IF(R156="","",U156-E156)</f>
        <v/>
      </c>
      <c r="W156" s="231" t="str">
        <f ca="1">IF($R156="","",IF(ISBLANK(INDIRECT(ADDRESS($R156,W$1,1,,"Score"))),"",1))</f>
        <v/>
      </c>
      <c r="X156" s="231" t="str">
        <f ca="1">IF($R156="","",IF(ISBLANK(INDIRECT(ADDRESS($R156,X$1,1,,"Score"))),"",1))</f>
        <v/>
      </c>
      <c r="Y156" s="221" t="str">
        <f ca="1">IF(X156=1,V156,"")</f>
        <v/>
      </c>
      <c r="Z156" s="231" t="str">
        <f t="shared" ca="1" si="50"/>
        <v/>
      </c>
      <c r="AA156" s="231" t="str">
        <f t="shared" ca="1" si="50"/>
        <v/>
      </c>
      <c r="AB156" s="231" t="str">
        <f t="shared" ca="1" si="50"/>
        <v/>
      </c>
      <c r="AC156" s="201" t="str">
        <f t="shared" ca="1" si="51"/>
        <v/>
      </c>
      <c r="AD156" s="146" t="str">
        <f ca="1">N156</f>
        <v/>
      </c>
      <c r="AE156" s="146" t="str">
        <f ca="1">IF(OR(AD156="",AD156=0),"",60*U156/AD156)</f>
        <v/>
      </c>
    </row>
    <row r="157" spans="1:31" x14ac:dyDescent="0.25">
      <c r="A157" s="203"/>
      <c r="B157" s="201" t="str">
        <f ca="1">IF($B156="","",IF(INDIRECT(ADDRESS($B156+1,C$1-1,1,,"Score"))="SP",$B156+1,""))</f>
        <v/>
      </c>
      <c r="C157" s="202" t="str">
        <f t="shared" ca="1" si="46"/>
        <v/>
      </c>
      <c r="D157" s="201" t="str">
        <f t="shared" ca="1" si="46"/>
        <v/>
      </c>
      <c r="E157" s="203"/>
      <c r="F157" s="203"/>
      <c r="G157" s="231"/>
      <c r="H157" s="231"/>
      <c r="I157" s="221"/>
      <c r="J157" s="231" t="str">
        <f t="shared" ca="1" si="47"/>
        <v/>
      </c>
      <c r="K157" s="231" t="str">
        <f t="shared" ca="1" si="47"/>
        <v/>
      </c>
      <c r="L157" s="231" t="str">
        <f t="shared" ca="1" si="47"/>
        <v/>
      </c>
      <c r="M157" s="201" t="str">
        <f t="shared" ca="1" si="48"/>
        <v/>
      </c>
      <c r="N157" s="146"/>
      <c r="O157" s="146"/>
      <c r="P157" s="201"/>
      <c r="Q157" s="203"/>
      <c r="R157" s="201" t="str">
        <f ca="1">IF($R156="","",IF(INDIRECT(ADDRESS($R156+1,S$1-1,1,,"Score"))="SP",$R156+1,""))</f>
        <v/>
      </c>
      <c r="S157" s="202" t="str">
        <f t="shared" ca="1" si="49"/>
        <v/>
      </c>
      <c r="T157" s="201" t="str">
        <f t="shared" ca="1" si="49"/>
        <v/>
      </c>
      <c r="U157" s="203"/>
      <c r="V157" s="203"/>
      <c r="W157" s="231"/>
      <c r="X157" s="231"/>
      <c r="Y157" s="221"/>
      <c r="Z157" s="231" t="str">
        <f t="shared" ca="1" si="50"/>
        <v/>
      </c>
      <c r="AA157" s="231" t="str">
        <f t="shared" ca="1" si="50"/>
        <v/>
      </c>
      <c r="AB157" s="231" t="str">
        <f t="shared" ca="1" si="50"/>
        <v/>
      </c>
      <c r="AC157" s="201" t="str">
        <f t="shared" ca="1" si="51"/>
        <v/>
      </c>
      <c r="AD157" s="146"/>
      <c r="AE157" s="146"/>
    </row>
    <row r="158" spans="1:31" x14ac:dyDescent="0.25">
      <c r="A158" s="222">
        <f>A156+1</f>
        <v>36</v>
      </c>
      <c r="B158" s="223" t="str">
        <f>IF(ISNA(MATCH($A158,Score!A$46:A$83,0)),"",MATCH($A158,Score!A$46:A$83,0)+ROW(Score!A$45))</f>
        <v/>
      </c>
      <c r="C158" s="224" t="str">
        <f t="shared" ca="1" si="46"/>
        <v/>
      </c>
      <c r="D158" s="223" t="str">
        <f t="shared" ca="1" si="46"/>
        <v/>
      </c>
      <c r="E158" s="222" t="str">
        <f>IF(B158="","",SUM(D158,D159))</f>
        <v/>
      </c>
      <c r="F158" s="222" t="str">
        <f>IF(B158="","",E158-U158)</f>
        <v/>
      </c>
      <c r="G158" s="225" t="str">
        <f ca="1">IF($B158="","",IF(ISBLANK(INDIRECT(ADDRESS($B158,G$1,1,,"Score"))),"",1))</f>
        <v/>
      </c>
      <c r="H158" s="225" t="str">
        <f ca="1">IF($B158="","",IF(ISBLANK(INDIRECT(ADDRESS($B158,H$1,1,,"Score"))),"",1))</f>
        <v/>
      </c>
      <c r="I158" s="227" t="str">
        <f ca="1">IF(H158=1,F158,"")</f>
        <v/>
      </c>
      <c r="J158" s="225" t="str">
        <f t="shared" ca="1" si="47"/>
        <v/>
      </c>
      <c r="K158" s="225" t="str">
        <f t="shared" ca="1" si="47"/>
        <v/>
      </c>
      <c r="L158" s="225" t="str">
        <f t="shared" ca="1" si="47"/>
        <v/>
      </c>
      <c r="M158" s="223" t="str">
        <f t="shared" ca="1" si="48"/>
        <v/>
      </c>
      <c r="N158" s="146" t="str">
        <f ca="1">IF(ISNA(MATCH($A158,'Game Clock'!A$62:A$99,0)),"",INDIRECT(ADDRESS(MATCH($A158,'Game Clock'!A$62:A$99,0)+ROW('Game Clock'!A$61),N$1,1,,"Game Clock")))</f>
        <v/>
      </c>
      <c r="O158" s="222" t="str">
        <f ca="1">IF(OR(N158="",N158=0),"",60*E158/N158)</f>
        <v/>
      </c>
      <c r="P158" s="201"/>
      <c r="Q158" s="222">
        <f>Q156+1</f>
        <v>36</v>
      </c>
      <c r="R158" s="223" t="str">
        <f>IF(ISNA(MATCH($Q158,Score!T$46:T$83,0)),"",MATCH($Q158,Score!T$46:T$83,0)+ROW(Score!T$45) )</f>
        <v/>
      </c>
      <c r="S158" s="224" t="str">
        <f t="shared" ca="1" si="49"/>
        <v/>
      </c>
      <c r="T158" s="223" t="str">
        <f t="shared" ca="1" si="49"/>
        <v/>
      </c>
      <c r="U158" s="222" t="str">
        <f>IF(R158="","",SUM(T158,T159))</f>
        <v/>
      </c>
      <c r="V158" s="222" t="str">
        <f>IF(R158="","",U158-E158)</f>
        <v/>
      </c>
      <c r="W158" s="225" t="str">
        <f ca="1">IF($R158="","",IF(ISBLANK(INDIRECT(ADDRESS($R158,W$1,1,,"Score"))),"",1))</f>
        <v/>
      </c>
      <c r="X158" s="225" t="str">
        <f ca="1">IF($R158="","",IF(ISBLANK(INDIRECT(ADDRESS($R158,X$1,1,,"Score"))),"",1))</f>
        <v/>
      </c>
      <c r="Y158" s="227" t="str">
        <f ca="1">IF(X158=1,V158,"")</f>
        <v/>
      </c>
      <c r="Z158" s="225" t="str">
        <f t="shared" ca="1" si="50"/>
        <v/>
      </c>
      <c r="AA158" s="225" t="str">
        <f t="shared" ca="1" si="50"/>
        <v/>
      </c>
      <c r="AB158" s="225" t="str">
        <f t="shared" ca="1" si="50"/>
        <v/>
      </c>
      <c r="AC158" s="223" t="str">
        <f t="shared" ca="1" si="51"/>
        <v/>
      </c>
      <c r="AD158" s="222" t="str">
        <f ca="1">N158</f>
        <v/>
      </c>
      <c r="AE158" s="222" t="str">
        <f ca="1">IF(OR(AD158="",AD158=0),"",60*U158/AD158)</f>
        <v/>
      </c>
    </row>
    <row r="159" spans="1:31" x14ac:dyDescent="0.3">
      <c r="A159" s="222"/>
      <c r="B159" s="223" t="str">
        <f ca="1">IF($B158="","",IF(INDIRECT(ADDRESS($B158+1,C$1-1,1,,"Score"))="SP",$B158+1,""))</f>
        <v/>
      </c>
      <c r="C159" s="224" t="str">
        <f t="shared" ca="1" si="46"/>
        <v/>
      </c>
      <c r="D159" s="223" t="str">
        <f t="shared" ca="1" si="46"/>
        <v/>
      </c>
      <c r="E159" s="222"/>
      <c r="F159" s="222"/>
      <c r="G159" s="225"/>
      <c r="H159" s="226"/>
      <c r="I159" s="227"/>
      <c r="J159" s="225" t="str">
        <f t="shared" ca="1" si="47"/>
        <v/>
      </c>
      <c r="K159" s="225" t="str">
        <f t="shared" ca="1" si="47"/>
        <v/>
      </c>
      <c r="L159" s="225" t="str">
        <f t="shared" ca="1" si="47"/>
        <v/>
      </c>
      <c r="M159" s="223" t="str">
        <f t="shared" ca="1" si="48"/>
        <v/>
      </c>
      <c r="N159" s="222"/>
      <c r="O159" s="222"/>
      <c r="P159" s="201"/>
      <c r="Q159" s="222"/>
      <c r="R159" s="223" t="str">
        <f ca="1">IF($R158="","",IF(INDIRECT(ADDRESS($R158+1,S$1-1,1,,"Score"))="SP",$R158+1,""))</f>
        <v/>
      </c>
      <c r="S159" s="224" t="str">
        <f t="shared" ca="1" si="49"/>
        <v/>
      </c>
      <c r="T159" s="223" t="str">
        <f t="shared" ca="1" si="49"/>
        <v/>
      </c>
      <c r="U159" s="222"/>
      <c r="V159" s="222"/>
      <c r="W159" s="225"/>
      <c r="X159" s="226"/>
      <c r="Y159" s="227"/>
      <c r="Z159" s="225" t="str">
        <f t="shared" ca="1" si="50"/>
        <v/>
      </c>
      <c r="AA159" s="225" t="str">
        <f t="shared" ca="1" si="50"/>
        <v/>
      </c>
      <c r="AB159" s="225" t="str">
        <f t="shared" ca="1" si="50"/>
        <v/>
      </c>
      <c r="AC159" s="223" t="str">
        <f t="shared" ca="1" si="51"/>
        <v/>
      </c>
      <c r="AD159" s="222"/>
      <c r="AE159" s="222"/>
    </row>
    <row r="160" spans="1:31" x14ac:dyDescent="0.25">
      <c r="A160" s="203">
        <f>A158+1</f>
        <v>37</v>
      </c>
      <c r="B160" s="201" t="str">
        <f>IF(ISNA(MATCH($A160,Score!A$46:A$83,0)),"",MATCH($A160,Score!A$46:A$83,0)+ROW(Score!A$45))</f>
        <v/>
      </c>
      <c r="C160" s="202" t="str">
        <f t="shared" ref="C160:D163" ca="1" si="52">IF($B160="","",INDIRECT(ADDRESS($B160,C$1,1,,"Score")))</f>
        <v/>
      </c>
      <c r="D160" s="201" t="str">
        <f t="shared" ca="1" si="52"/>
        <v/>
      </c>
      <c r="E160" s="203" t="str">
        <f>IF(B160="","",SUM(D160,D161))</f>
        <v/>
      </c>
      <c r="F160" s="203" t="str">
        <f>IF(B160="","",E160-U160)</f>
        <v/>
      </c>
      <c r="G160" s="231" t="str">
        <f ca="1">IF($B160="","",IF(ISBLANK(INDIRECT(ADDRESS($B160,G$1,1,,"Score"))),"",1))</f>
        <v/>
      </c>
      <c r="H160" s="231" t="str">
        <f ca="1">IF($B160="","",IF(ISBLANK(INDIRECT(ADDRESS($B160,H$1,1,,"Score"))),"",1))</f>
        <v/>
      </c>
      <c r="I160" s="221" t="str">
        <f ca="1">IF(H160=1,F160,"")</f>
        <v/>
      </c>
      <c r="J160" s="231" t="str">
        <f t="shared" ref="J160:L163" ca="1" si="53">IF($B160="","",IF(ISBLANK(INDIRECT(ADDRESS($B160,J$1,1,,"Score"))),"",1))</f>
        <v/>
      </c>
      <c r="K160" s="231" t="str">
        <f t="shared" ca="1" si="53"/>
        <v/>
      </c>
      <c r="L160" s="231" t="str">
        <f t="shared" ca="1" si="53"/>
        <v/>
      </c>
      <c r="M160" s="201" t="str">
        <f t="shared" ca="1" si="48"/>
        <v/>
      </c>
      <c r="N160" s="146" t="str">
        <f ca="1">IF(ISNA(MATCH($A160,'Game Clock'!A$62:A$99,0)),"",INDIRECT(ADDRESS(MATCH($A160,'Game Clock'!A$62:A$99,0)+ROW('Game Clock'!A$61),N$1,1,,"Game Clock")))</f>
        <v/>
      </c>
      <c r="O160" s="146" t="str">
        <f ca="1">IF(OR(N160="",N160=0),"",60*E160/N160)</f>
        <v/>
      </c>
      <c r="P160" s="201"/>
      <c r="Q160" s="203">
        <f>Q158+1</f>
        <v>37</v>
      </c>
      <c r="R160" s="201" t="str">
        <f>IF(ISNA(MATCH($Q160,Score!T$46:T$83,0)),"",MATCH($Q160,Score!T$46:T$83,0)+ROW(Score!T$45) )</f>
        <v/>
      </c>
      <c r="S160" s="202" t="str">
        <f t="shared" ref="S160:T163" ca="1" si="54">IF($R160="","",INDIRECT(ADDRESS($R160,S$1,1,,"Score")))</f>
        <v/>
      </c>
      <c r="T160" s="201" t="str">
        <f t="shared" ca="1" si="54"/>
        <v/>
      </c>
      <c r="U160" s="203" t="str">
        <f>IF(R160="","",SUM(T160,T161))</f>
        <v/>
      </c>
      <c r="V160" s="203" t="str">
        <f>IF(R160="","",U160-E160)</f>
        <v/>
      </c>
      <c r="W160" s="231" t="str">
        <f ca="1">IF($R160="","",IF(ISBLANK(INDIRECT(ADDRESS($R160,W$1,1,,"Score"))),"",1))</f>
        <v/>
      </c>
      <c r="X160" s="231" t="str">
        <f ca="1">IF($R160="","",IF(ISBLANK(INDIRECT(ADDRESS($R160,X$1,1,,"Score"))),"",1))</f>
        <v/>
      </c>
      <c r="Y160" s="221" t="str">
        <f ca="1">IF(X160=1,V160,"")</f>
        <v/>
      </c>
      <c r="Z160" s="231" t="str">
        <f t="shared" ref="Z160:AB163" ca="1" si="55">IF($R160="","",IF(ISBLANK(INDIRECT(ADDRESS($R160,Z$1,1,,"Score"))),"",1))</f>
        <v/>
      </c>
      <c r="AA160" s="231" t="str">
        <f t="shared" ca="1" si="55"/>
        <v/>
      </c>
      <c r="AB160" s="231" t="str">
        <f t="shared" ca="1" si="55"/>
        <v/>
      </c>
      <c r="AC160" s="201" t="str">
        <f t="shared" ca="1" si="51"/>
        <v/>
      </c>
      <c r="AD160" s="146" t="str">
        <f ca="1">N160</f>
        <v/>
      </c>
      <c r="AE160" s="146" t="str">
        <f ca="1">IF(OR(AD160="",AD160=0),"",60*U160/AD160)</f>
        <v/>
      </c>
    </row>
    <row r="161" spans="1:31" x14ac:dyDescent="0.25">
      <c r="A161" s="203"/>
      <c r="B161" s="201" t="str">
        <f ca="1">IF($B160="","",IF(INDIRECT(ADDRESS($B160+1,C$1-1,1,,"Score"))="SP",$B160+1,""))</f>
        <v/>
      </c>
      <c r="C161" s="202" t="str">
        <f t="shared" ca="1" si="52"/>
        <v/>
      </c>
      <c r="D161" s="201" t="str">
        <f t="shared" ca="1" si="52"/>
        <v/>
      </c>
      <c r="E161" s="203"/>
      <c r="F161" s="203"/>
      <c r="G161" s="231"/>
      <c r="H161" s="231"/>
      <c r="I161" s="221"/>
      <c r="J161" s="231" t="str">
        <f t="shared" ca="1" si="53"/>
        <v/>
      </c>
      <c r="K161" s="231" t="str">
        <f t="shared" ca="1" si="53"/>
        <v/>
      </c>
      <c r="L161" s="231" t="str">
        <f t="shared" ca="1" si="53"/>
        <v/>
      </c>
      <c r="M161" s="201" t="str">
        <f t="shared" ca="1" si="48"/>
        <v/>
      </c>
      <c r="N161" s="146"/>
      <c r="O161" s="146"/>
      <c r="P161" s="201"/>
      <c r="Q161" s="203"/>
      <c r="R161" s="201" t="str">
        <f ca="1">IF($R160="","",IF(INDIRECT(ADDRESS($R160+1,S$1-1,1,,"Score"))="SP",$R160+1,""))</f>
        <v/>
      </c>
      <c r="S161" s="202" t="str">
        <f t="shared" ca="1" si="54"/>
        <v/>
      </c>
      <c r="T161" s="201" t="str">
        <f t="shared" ca="1" si="54"/>
        <v/>
      </c>
      <c r="U161" s="203"/>
      <c r="V161" s="203"/>
      <c r="W161" s="231"/>
      <c r="X161" s="231"/>
      <c r="Y161" s="221"/>
      <c r="Z161" s="231" t="str">
        <f t="shared" ca="1" si="55"/>
        <v/>
      </c>
      <c r="AA161" s="231" t="str">
        <f t="shared" ca="1" si="55"/>
        <v/>
      </c>
      <c r="AB161" s="231" t="str">
        <f t="shared" ca="1" si="55"/>
        <v/>
      </c>
      <c r="AC161" s="201" t="str">
        <f t="shared" ca="1" si="51"/>
        <v/>
      </c>
      <c r="AD161" s="146"/>
      <c r="AE161" s="146"/>
    </row>
    <row r="162" spans="1:31" x14ac:dyDescent="0.25">
      <c r="A162" s="222">
        <f>A160+1</f>
        <v>38</v>
      </c>
      <c r="B162" s="223" t="str">
        <f>IF(ISNA(MATCH($A162,Score!A$46:A$83,0)),"",MATCH($A162,Score!A$46:A$83,0)+ROW(Score!A$45))</f>
        <v/>
      </c>
      <c r="C162" s="224" t="str">
        <f t="shared" ca="1" si="52"/>
        <v/>
      </c>
      <c r="D162" s="223" t="str">
        <f t="shared" ca="1" si="52"/>
        <v/>
      </c>
      <c r="E162" s="222" t="str">
        <f>IF(B162="","",SUM(D162,D163))</f>
        <v/>
      </c>
      <c r="F162" s="222" t="str">
        <f>IF(B162="","",E162-U162)</f>
        <v/>
      </c>
      <c r="G162" s="225" t="str">
        <f ca="1">IF($B162="","",IF(ISBLANK(INDIRECT(ADDRESS($B162,G$1,1,,"Score"))),"",1))</f>
        <v/>
      </c>
      <c r="H162" s="225" t="str">
        <f ca="1">IF($B162="","",IF(ISBLANK(INDIRECT(ADDRESS($B162,H$1,1,,"Score"))),"",1))</f>
        <v/>
      </c>
      <c r="I162" s="227" t="str">
        <f ca="1">IF(H162=1,F162,"")</f>
        <v/>
      </c>
      <c r="J162" s="225" t="str">
        <f t="shared" ca="1" si="53"/>
        <v/>
      </c>
      <c r="K162" s="225" t="str">
        <f t="shared" ca="1" si="53"/>
        <v/>
      </c>
      <c r="L162" s="225" t="str">
        <f t="shared" ca="1" si="53"/>
        <v/>
      </c>
      <c r="M162" s="223" t="str">
        <f t="shared" ca="1" si="48"/>
        <v/>
      </c>
      <c r="N162" s="146" t="str">
        <f ca="1">IF(ISNA(MATCH($A162,'Game Clock'!A$62:A$99,0)),"",INDIRECT(ADDRESS(MATCH($A162,'Game Clock'!A$62:A$99,0)+ROW('Game Clock'!A$61),N$1,1,,"Game Clock")))</f>
        <v/>
      </c>
      <c r="O162" s="222" t="str">
        <f ca="1">IF(OR(N162="",N162=0),"",60*E162/N162)</f>
        <v/>
      </c>
      <c r="P162" s="201"/>
      <c r="Q162" s="222">
        <f>Q160+1</f>
        <v>38</v>
      </c>
      <c r="R162" s="223" t="str">
        <f>IF(ISNA(MATCH($Q162,Score!T$46:T$83,0)),"",MATCH($Q162,Score!T$46:T$83,0)+ROW(Score!T$45) )</f>
        <v/>
      </c>
      <c r="S162" s="224" t="str">
        <f t="shared" ca="1" si="54"/>
        <v/>
      </c>
      <c r="T162" s="223" t="str">
        <f t="shared" ca="1" si="54"/>
        <v/>
      </c>
      <c r="U162" s="222" t="str">
        <f>IF(R162="","",SUM(T162,T163))</f>
        <v/>
      </c>
      <c r="V162" s="222" t="str">
        <f>IF(R162="","",U162-E162)</f>
        <v/>
      </c>
      <c r="W162" s="225" t="str">
        <f ca="1">IF($R162="","",IF(ISBLANK(INDIRECT(ADDRESS($R162,W$1,1,,"Score"))),"",1))</f>
        <v/>
      </c>
      <c r="X162" s="225" t="str">
        <f ca="1">IF($R162="","",IF(ISBLANK(INDIRECT(ADDRESS($R162,X$1,1,,"Score"))),"",1))</f>
        <v/>
      </c>
      <c r="Y162" s="227" t="str">
        <f ca="1">IF(X162=1,V162,"")</f>
        <v/>
      </c>
      <c r="Z162" s="225" t="str">
        <f t="shared" ca="1" si="55"/>
        <v/>
      </c>
      <c r="AA162" s="225" t="str">
        <f t="shared" ca="1" si="55"/>
        <v/>
      </c>
      <c r="AB162" s="225" t="str">
        <f t="shared" ca="1" si="55"/>
        <v/>
      </c>
      <c r="AC162" s="223" t="str">
        <f t="shared" ca="1" si="51"/>
        <v/>
      </c>
      <c r="AD162" s="222" t="str">
        <f ca="1">N162</f>
        <v/>
      </c>
      <c r="AE162" s="222" t="str">
        <f ca="1">IF(OR(AD162="",AD162=0),"",60*U162/AD162)</f>
        <v/>
      </c>
    </row>
    <row r="163" spans="1:31" x14ac:dyDescent="0.3">
      <c r="A163" s="222"/>
      <c r="B163" s="223" t="str">
        <f ca="1">IF($B162="","",IF(INDIRECT(ADDRESS($B162+1,C$1-1,1,,"Score"))="SP",$B162+1,""))</f>
        <v/>
      </c>
      <c r="C163" s="224" t="str">
        <f t="shared" ca="1" si="52"/>
        <v/>
      </c>
      <c r="D163" s="223" t="str">
        <f t="shared" ca="1" si="52"/>
        <v/>
      </c>
      <c r="E163" s="222"/>
      <c r="F163" s="222"/>
      <c r="G163" s="225"/>
      <c r="H163" s="226"/>
      <c r="I163" s="227"/>
      <c r="J163" s="225" t="str">
        <f t="shared" ca="1" si="53"/>
        <v/>
      </c>
      <c r="K163" s="225" t="str">
        <f t="shared" ca="1" si="53"/>
        <v/>
      </c>
      <c r="L163" s="225" t="str">
        <f t="shared" ca="1" si="53"/>
        <v/>
      </c>
      <c r="M163" s="223" t="str">
        <f t="shared" ca="1" si="48"/>
        <v/>
      </c>
      <c r="N163" s="222"/>
      <c r="O163" s="222"/>
      <c r="P163" s="201"/>
      <c r="Q163" s="222"/>
      <c r="R163" s="223" t="str">
        <f ca="1">IF($R162="","",IF(INDIRECT(ADDRESS($R162+1,S$1-1,1,,"Score"))="SP",$R162+1,""))</f>
        <v/>
      </c>
      <c r="S163" s="224" t="str">
        <f t="shared" ca="1" si="54"/>
        <v/>
      </c>
      <c r="T163" s="223" t="str">
        <f t="shared" ca="1" si="54"/>
        <v/>
      </c>
      <c r="U163" s="222"/>
      <c r="V163" s="222"/>
      <c r="W163" s="225"/>
      <c r="X163" s="226"/>
      <c r="Y163" s="227"/>
      <c r="Z163" s="225" t="str">
        <f t="shared" ca="1" si="55"/>
        <v/>
      </c>
      <c r="AA163" s="225" t="str">
        <f t="shared" ca="1" si="55"/>
        <v/>
      </c>
      <c r="AB163" s="225" t="str">
        <f t="shared" ca="1" si="55"/>
        <v/>
      </c>
      <c r="AC163" s="223" t="str">
        <f t="shared" ca="1" si="51"/>
        <v/>
      </c>
      <c r="AD163" s="222"/>
      <c r="AE163" s="222"/>
    </row>
    <row r="164" spans="1:31" ht="12.75" customHeight="1" x14ac:dyDescent="0.25">
      <c r="A164" s="1174" t="s">
        <v>34</v>
      </c>
      <c r="B164" s="232"/>
      <c r="C164" s="232"/>
      <c r="D164" s="232"/>
      <c r="E164" s="233">
        <f ca="1">SUM(E88:E163)</f>
        <v>137</v>
      </c>
      <c r="F164" s="234"/>
      <c r="G164" s="230">
        <f ca="1">SUM(G88:G163)</f>
        <v>4</v>
      </c>
      <c r="H164" s="230">
        <f ca="1">SUM(H88:H163)</f>
        <v>11</v>
      </c>
      <c r="I164" s="220"/>
      <c r="J164" s="1175">
        <f ca="1">SUM(J88:J163)</f>
        <v>9</v>
      </c>
      <c r="K164" s="1175">
        <f ca="1">SUM(K88:K163)</f>
        <v>0</v>
      </c>
      <c r="L164" s="230">
        <f ca="1">SUM(L88,L90,L92,L94,L96,L98,L100,L102,L104,L106,L108,L110,L112,L114,L116,L118,L120,L122,L124,L126,L128,L130,L132,L134,L136,L138,L140,L142,L144,L146, L148, L150, L152, L154, L156,L158,L160,L162)</f>
        <v>0</v>
      </c>
      <c r="M164" s="232"/>
      <c r="N164" s="234" t="s">
        <v>32</v>
      </c>
      <c r="O164" s="233" t="str">
        <f ca="1">IF(COUNT(O88:O163),AVERAGE(O88:O163),"")</f>
        <v/>
      </c>
      <c r="P164" s="201"/>
      <c r="Q164" s="1174" t="s">
        <v>34</v>
      </c>
      <c r="R164" s="232"/>
      <c r="S164" s="232"/>
      <c r="T164" s="232"/>
      <c r="U164" s="233">
        <f ca="1">SUM(U88:U163)</f>
        <v>50</v>
      </c>
      <c r="V164" s="234"/>
      <c r="W164" s="230">
        <f ca="1">SUM(W88:W163)</f>
        <v>0</v>
      </c>
      <c r="X164" s="230">
        <f ca="1">SUM(X88:X163)</f>
        <v>6</v>
      </c>
      <c r="Y164" s="220"/>
      <c r="Z164" s="1175">
        <f ca="1">SUM(Z88:Z163)</f>
        <v>6</v>
      </c>
      <c r="AA164" s="1175">
        <f ca="1">SUM(AA88:AA163)</f>
        <v>0</v>
      </c>
      <c r="AB164" s="230">
        <f ca="1">SUM(AB88,AB90,AB92,AB94,AB96,AB98,AB100,AB102,AB104,AB106,AB108,AB110,AB112,AB114,AB116,AB118,AB120,AB122,AB124,AB126,AB128,AB130,AB132,AB134,AB136,AB138,AB140,AB142,AB144,AB146, AB148, AB150, AB152, AB154, AB156, AB158, AB160, AB162)</f>
        <v>5</v>
      </c>
      <c r="AC164" s="232"/>
      <c r="AD164" s="234" t="s">
        <v>32</v>
      </c>
      <c r="AE164" s="233" t="str">
        <f ca="1">IF(COUNT(AE88:AE163),AVERAGE(AE88:AE163),"")</f>
        <v/>
      </c>
    </row>
    <row r="165" spans="1:31" x14ac:dyDescent="0.3">
      <c r="A165" s="1174"/>
      <c r="B165" s="232"/>
      <c r="C165" s="232"/>
      <c r="D165" s="232"/>
      <c r="E165" s="233"/>
      <c r="F165" s="234"/>
      <c r="G165" s="230"/>
      <c r="H165" s="235"/>
      <c r="I165" s="220"/>
      <c r="J165" s="1175"/>
      <c r="K165" s="1175"/>
      <c r="L165" s="230">
        <f ca="1">SUM(L89,L91,L93,L95,L97,L99,L101,L103,L105,L107,L109,L111,L113,L115,L117,L119,L121,L123,L125,L127,L129,L131,L133,L135,L137,L139,L141,L143,L145,L147, L149, L151, L153, L155, L157,L159,L161,L163)</f>
        <v>0</v>
      </c>
      <c r="M165" s="232"/>
      <c r="N165" s="234"/>
      <c r="O165" s="233"/>
      <c r="P165" s="201"/>
      <c r="Q165" s="1174"/>
      <c r="R165" s="232"/>
      <c r="S165" s="232"/>
      <c r="T165" s="232"/>
      <c r="U165" s="233"/>
      <c r="V165" s="234"/>
      <c r="W165" s="230"/>
      <c r="X165" s="235"/>
      <c r="Y165" s="220"/>
      <c r="Z165" s="1175"/>
      <c r="AA165" s="1175"/>
      <c r="AB165" s="230">
        <f ca="1">SUM(AB89,AB91,AB93,AB95,AB97,AB99,AB101,AB103,AB105,AB107,AB109,AB111,AB113,AB115,AB117,AB119,AB121,AB123,AB125,AB127,AB129,AB131,AB133,AB135,AB137,AB139,AB141,AB143,AB145,AB147, AB149, AB151, AB153, AB155, AB157, AB159, AB161, AB163)</f>
        <v>2</v>
      </c>
      <c r="AC165" s="232"/>
      <c r="AD165" s="234"/>
      <c r="AE165" s="233"/>
    </row>
    <row r="171" spans="1:31" x14ac:dyDescent="0.25">
      <c r="A171" s="147" t="s">
        <v>18</v>
      </c>
      <c r="B171" s="147" t="s">
        <v>124</v>
      </c>
      <c r="D171" s="147" t="s">
        <v>180</v>
      </c>
      <c r="E171" s="147" t="s">
        <v>35</v>
      </c>
      <c r="F171" s="147" t="s">
        <v>23</v>
      </c>
      <c r="G171" s="147" t="s">
        <v>24</v>
      </c>
      <c r="H171" s="147" t="s">
        <v>25</v>
      </c>
      <c r="I171" s="147" t="s">
        <v>26</v>
      </c>
      <c r="J171" s="147" t="s">
        <v>27</v>
      </c>
      <c r="K171" s="147" t="s">
        <v>28</v>
      </c>
      <c r="L171" s="147" t="s">
        <v>197</v>
      </c>
      <c r="M171" s="147" t="s">
        <v>132</v>
      </c>
      <c r="N171" s="147"/>
      <c r="O171" s="147"/>
      <c r="Q171" s="147" t="s">
        <v>20</v>
      </c>
      <c r="R171" s="147" t="s">
        <v>124</v>
      </c>
      <c r="T171" s="147" t="s">
        <v>180</v>
      </c>
      <c r="U171" s="147" t="s">
        <v>35</v>
      </c>
      <c r="V171" s="147" t="s">
        <v>23</v>
      </c>
      <c r="W171" s="147" t="s">
        <v>24</v>
      </c>
      <c r="X171" s="147" t="s">
        <v>25</v>
      </c>
      <c r="Y171" s="147" t="s">
        <v>26</v>
      </c>
      <c r="Z171" s="147" t="s">
        <v>27</v>
      </c>
      <c r="AA171" s="147" t="s">
        <v>28</v>
      </c>
      <c r="AB171" s="147" t="s">
        <v>197</v>
      </c>
      <c r="AC171" s="147" t="s">
        <v>132</v>
      </c>
    </row>
    <row r="172" spans="1:31" x14ac:dyDescent="0.25">
      <c r="A172" s="144">
        <v>1</v>
      </c>
      <c r="B172" s="148" t="str">
        <f>IF(IGRF!B14="","",IGRF!B14)</f>
        <v>0</v>
      </c>
      <c r="C172" s="59" t="s">
        <v>17</v>
      </c>
      <c r="D172" s="59" t="str">
        <f ca="1">IF(OR($E172="",$E172=0),"",SUMPRODUCT(--($C$3:$C$78=$B172),D$3:D$78))</f>
        <v/>
      </c>
      <c r="E172" s="59">
        <f ca="1">IF($B172="","",SUMPRODUCT(--(C$3:C$78=$B172)))</f>
        <v>0</v>
      </c>
      <c r="F172" s="59" t="str">
        <f ca="1">IF(OR($E172="",$E172=0),"",SUMIF($C$3:$C$62,$B172,F$3:F$62))</f>
        <v/>
      </c>
      <c r="G172" s="237" t="str">
        <f t="shared" ref="G172:M172" ca="1" si="56">IF(OR($E172="",$E172=0),"",SUMPRODUCT(--($C$3:$C$78=$B172),G$3:G$78))</f>
        <v/>
      </c>
      <c r="H172" s="237" t="str">
        <f t="shared" ca="1" si="56"/>
        <v/>
      </c>
      <c r="I172" s="221" t="str">
        <f t="shared" ca="1" si="56"/>
        <v/>
      </c>
      <c r="J172" s="237" t="str">
        <f t="shared" ca="1" si="56"/>
        <v/>
      </c>
      <c r="K172" s="237" t="str">
        <f t="shared" ca="1" si="56"/>
        <v/>
      </c>
      <c r="L172" s="237" t="str">
        <f t="shared" ca="1" si="56"/>
        <v/>
      </c>
      <c r="M172" s="59" t="str">
        <f t="shared" ca="1" si="56"/>
        <v/>
      </c>
      <c r="Q172" s="144">
        <v>1</v>
      </c>
      <c r="R172" s="144" t="str">
        <f>IF(IGRF!H14="","",IGRF!H14)</f>
        <v>11</v>
      </c>
      <c r="S172" s="201" t="s">
        <v>17</v>
      </c>
      <c r="T172" s="201" t="str">
        <f ca="1">IF(OR($U172="",$U172=0),"",SUMPRODUCT(--($S$3:$S$78=$R172),T$3:T$78))</f>
        <v/>
      </c>
      <c r="U172" s="201">
        <f ca="1">IF($R172="","",SUMPRODUCT(--(S$3:S$78=$R172)))</f>
        <v>0</v>
      </c>
      <c r="V172" s="201" t="str">
        <f t="shared" ref="V172:AC172" ca="1" si="57">IF(OR($U172="",$U172=0),"",SUMPRODUCT(--($S$3:$S$78=$R172),V$3:V$78))</f>
        <v/>
      </c>
      <c r="W172" s="237" t="str">
        <f t="shared" ca="1" si="57"/>
        <v/>
      </c>
      <c r="X172" s="237" t="str">
        <f t="shared" ca="1" si="57"/>
        <v/>
      </c>
      <c r="Y172" s="221" t="str">
        <f t="shared" ca="1" si="57"/>
        <v/>
      </c>
      <c r="Z172" s="237" t="str">
        <f t="shared" ca="1" si="57"/>
        <v/>
      </c>
      <c r="AA172" s="237" t="str">
        <f t="shared" ca="1" si="57"/>
        <v/>
      </c>
      <c r="AB172" s="237" t="str">
        <f t="shared" ca="1" si="57"/>
        <v/>
      </c>
      <c r="AC172" s="201" t="str">
        <f t="shared" ca="1" si="57"/>
        <v/>
      </c>
    </row>
    <row r="173" spans="1:31" x14ac:dyDescent="0.25">
      <c r="A173" s="144"/>
      <c r="B173" s="148"/>
      <c r="C173" s="59" t="s">
        <v>33</v>
      </c>
      <c r="D173" s="59" t="str">
        <f ca="1">IF(OR($E173="",$E173=0),"",SUMPRODUCT(--($C$88:$C$163=$B172),D$88:D$163))</f>
        <v/>
      </c>
      <c r="E173" s="59">
        <f ca="1">IF($B172="","",SUMPRODUCT(--(C$88:C$163=$B172)))</f>
        <v>0</v>
      </c>
      <c r="F173" s="59" t="str">
        <f ca="1">IF(OR($E173="",$E173=0),"",SUMIF($C$88:$C$147,$B172,F$88:F$147))</f>
        <v/>
      </c>
      <c r="G173" s="237" t="str">
        <f t="shared" ref="G173:M173" ca="1" si="58">IF(OR($E173="",$E173=0),"",SUMPRODUCT(--($C$88:$C$163=$B172),G$88:G$163))</f>
        <v/>
      </c>
      <c r="H173" s="237" t="str">
        <f t="shared" ca="1" si="58"/>
        <v/>
      </c>
      <c r="I173" s="221" t="str">
        <f t="shared" ca="1" si="58"/>
        <v/>
      </c>
      <c r="J173" s="237" t="str">
        <f t="shared" ca="1" si="58"/>
        <v/>
      </c>
      <c r="K173" s="237" t="str">
        <f t="shared" ca="1" si="58"/>
        <v/>
      </c>
      <c r="L173" s="237" t="str">
        <f t="shared" ca="1" si="58"/>
        <v/>
      </c>
      <c r="M173" s="59" t="str">
        <f t="shared" ca="1" si="58"/>
        <v/>
      </c>
      <c r="Q173" s="144"/>
      <c r="R173" s="144"/>
      <c r="S173" s="201" t="s">
        <v>33</v>
      </c>
      <c r="T173" s="201" t="str">
        <f ca="1">IF(OR($U173="",$U173=0),"",SUMPRODUCT(--($S$88:$S$163=$R172),T$88:T$163))</f>
        <v/>
      </c>
      <c r="U173" s="201">
        <f ca="1">IF($R172="","",SUMPRODUCT(--(S$88:S$163=$R172)))</f>
        <v>0</v>
      </c>
      <c r="V173" s="201" t="str">
        <f t="shared" ref="V173:AC173" ca="1" si="59">IF(OR($U173="",$U173=0),"",SUMPRODUCT(--($S$88:$S$163=$R172),V$88:V$163))</f>
        <v/>
      </c>
      <c r="W173" s="237" t="str">
        <f t="shared" ca="1" si="59"/>
        <v/>
      </c>
      <c r="X173" s="237" t="str">
        <f t="shared" ca="1" si="59"/>
        <v/>
      </c>
      <c r="Y173" s="221" t="str">
        <f t="shared" ca="1" si="59"/>
        <v/>
      </c>
      <c r="Z173" s="237" t="str">
        <f t="shared" ca="1" si="59"/>
        <v/>
      </c>
      <c r="AA173" s="237" t="str">
        <f t="shared" ca="1" si="59"/>
        <v/>
      </c>
      <c r="AB173" s="237" t="str">
        <f t="shared" ca="1" si="59"/>
        <v/>
      </c>
      <c r="AC173" s="201" t="str">
        <f t="shared" ca="1" si="59"/>
        <v/>
      </c>
    </row>
    <row r="174" spans="1:31" x14ac:dyDescent="0.25">
      <c r="A174" s="144"/>
      <c r="B174" s="148"/>
      <c r="C174" s="236" t="s">
        <v>19</v>
      </c>
      <c r="D174" s="236">
        <f ca="1">IF($B172="","",SUM(D172:D173))</f>
        <v>0</v>
      </c>
      <c r="E174" s="236">
        <f ca="1">IF($B172="","",SUM(E172:E173))</f>
        <v>0</v>
      </c>
      <c r="F174" s="236">
        <f ca="1">IF($B172="","",SUM(F172:F173))</f>
        <v>0</v>
      </c>
      <c r="G174" s="225">
        <f t="shared" ref="G174:L174" ca="1" si="60">IF($B172="","",SUM(G172,G173))</f>
        <v>0</v>
      </c>
      <c r="H174" s="225">
        <f t="shared" ca="1" si="60"/>
        <v>0</v>
      </c>
      <c r="I174" s="228">
        <f t="shared" ca="1" si="60"/>
        <v>0</v>
      </c>
      <c r="J174" s="225">
        <f t="shared" ca="1" si="60"/>
        <v>0</v>
      </c>
      <c r="K174" s="225">
        <f t="shared" ca="1" si="60"/>
        <v>0</v>
      </c>
      <c r="L174" s="225">
        <f t="shared" ca="1" si="60"/>
        <v>0</v>
      </c>
      <c r="M174" s="236">
        <f ca="1">IF($B172="","",SUM(M172:M173))</f>
        <v>0</v>
      </c>
      <c r="N174" s="63"/>
      <c r="O174" s="63"/>
      <c r="Q174" s="144"/>
      <c r="R174" s="144"/>
      <c r="S174" s="236" t="s">
        <v>19</v>
      </c>
      <c r="T174" s="236">
        <f ca="1">IF($R172="","",SUM(T172:T173))</f>
        <v>0</v>
      </c>
      <c r="U174" s="236">
        <f t="shared" ref="U174:AC174" ca="1" si="61">IF($R172="","",SUM(U172,U173))</f>
        <v>0</v>
      </c>
      <c r="V174" s="236">
        <f t="shared" ca="1" si="61"/>
        <v>0</v>
      </c>
      <c r="W174" s="225">
        <f t="shared" ca="1" si="61"/>
        <v>0</v>
      </c>
      <c r="X174" s="225">
        <f t="shared" ca="1" si="61"/>
        <v>0</v>
      </c>
      <c r="Y174" s="228">
        <f t="shared" ca="1" si="61"/>
        <v>0</v>
      </c>
      <c r="Z174" s="225">
        <f t="shared" ca="1" si="61"/>
        <v>0</v>
      </c>
      <c r="AA174" s="225">
        <f t="shared" ca="1" si="61"/>
        <v>0</v>
      </c>
      <c r="AB174" s="225">
        <f t="shared" ca="1" si="61"/>
        <v>0</v>
      </c>
      <c r="AC174" s="236">
        <f t="shared" ca="1" si="61"/>
        <v>0</v>
      </c>
    </row>
    <row r="175" spans="1:31" x14ac:dyDescent="0.25">
      <c r="A175" s="144">
        <f>A172+1</f>
        <v>2</v>
      </c>
      <c r="B175" s="148" t="str">
        <f>IF(IGRF!B15="","",IGRF!B15)</f>
        <v>1321</v>
      </c>
      <c r="C175" s="201" t="s">
        <v>17</v>
      </c>
      <c r="D175" s="201">
        <f ca="1">IF(OR($E175="",$E175=0),"",SUMPRODUCT(--($C$3:$C$78=$B175),D$3:D$78))</f>
        <v>8</v>
      </c>
      <c r="E175" s="201">
        <f ca="1">IF($B175="","",SUMPRODUCT(--(C$3:C$78=$B175)))</f>
        <v>3</v>
      </c>
      <c r="F175" s="201">
        <f ca="1">IF(OR($E175="",$E175=0),"",SUMIF($C$3:$C$62,$B175,F$3:F$62))</f>
        <v>8</v>
      </c>
      <c r="G175" s="237">
        <f t="shared" ref="G175:M175" ca="1" si="62">IF(OR($E175="",$E175=0),"",SUMPRODUCT(--($C$3:$C$78=$B175),G$3:G$78))</f>
        <v>0</v>
      </c>
      <c r="H175" s="237">
        <f t="shared" ca="1" si="62"/>
        <v>2</v>
      </c>
      <c r="I175" s="221">
        <f t="shared" ca="1" si="62"/>
        <v>5</v>
      </c>
      <c r="J175" s="237">
        <f t="shared" ca="1" si="62"/>
        <v>2</v>
      </c>
      <c r="K175" s="237">
        <f t="shared" ca="1" si="62"/>
        <v>0</v>
      </c>
      <c r="L175" s="237">
        <f t="shared" ca="1" si="62"/>
        <v>0</v>
      </c>
      <c r="M175" s="201">
        <f t="shared" ca="1" si="62"/>
        <v>3</v>
      </c>
      <c r="Q175" s="144">
        <f>Q172+1</f>
        <v>2</v>
      </c>
      <c r="R175" s="144" t="str">
        <f>IF(IGRF!H15="","",IGRF!H15)</f>
        <v>11G6</v>
      </c>
      <c r="S175" s="201" t="s">
        <v>17</v>
      </c>
      <c r="T175" s="201">
        <f ca="1">IF(OR($U175="",$U175=0),"",SUMPRODUCT(--($S$3:$S$78=$R175),T$3:T$78))</f>
        <v>7</v>
      </c>
      <c r="U175" s="201">
        <f ca="1">IF($R175="","",SUMPRODUCT(--(S$3:S$78=$R175)))</f>
        <v>4</v>
      </c>
      <c r="V175" s="201">
        <f t="shared" ref="V175:AC175" ca="1" si="63">IF(OR($U175="",$U175=0),"",SUMPRODUCT(--($S$3:$S$78=$R175),V$3:V$78))</f>
        <v>-25</v>
      </c>
      <c r="W175" s="237">
        <f t="shared" ca="1" si="63"/>
        <v>0</v>
      </c>
      <c r="X175" s="237">
        <f t="shared" ca="1" si="63"/>
        <v>1</v>
      </c>
      <c r="Y175" s="221">
        <f t="shared" ca="1" si="63"/>
        <v>3</v>
      </c>
      <c r="Z175" s="237">
        <f t="shared" ca="1" si="63"/>
        <v>1</v>
      </c>
      <c r="AA175" s="237">
        <f t="shared" ca="1" si="63"/>
        <v>0</v>
      </c>
      <c r="AB175" s="237">
        <f t="shared" ca="1" si="63"/>
        <v>0</v>
      </c>
      <c r="AC175" s="201">
        <f t="shared" ca="1" si="63"/>
        <v>5</v>
      </c>
    </row>
    <row r="176" spans="1:31" x14ac:dyDescent="0.25">
      <c r="A176" s="144"/>
      <c r="B176" s="148"/>
      <c r="C176" s="201" t="s">
        <v>33</v>
      </c>
      <c r="D176" s="201" t="str">
        <f ca="1">IF(OR($E176="",$E176=0),"",SUMPRODUCT(--($C$88:$C$163=$B175),D$88:D$163))</f>
        <v/>
      </c>
      <c r="E176" s="201">
        <f ca="1">IF($B175="","",SUMPRODUCT(--(C$88:C$163=$B175)))</f>
        <v>0</v>
      </c>
      <c r="F176" s="201" t="str">
        <f ca="1">IF(OR($E176="",$E176=0),"",SUMIF($C$88:$C$147,$B175,F$88:F$147))</f>
        <v/>
      </c>
      <c r="G176" s="237" t="str">
        <f t="shared" ref="G176:M176" ca="1" si="64">IF(OR($E176="",$E176=0),"",SUMPRODUCT(--($C$88:$C$163=$B175),G$88:G$163))</f>
        <v/>
      </c>
      <c r="H176" s="237" t="str">
        <f t="shared" ca="1" si="64"/>
        <v/>
      </c>
      <c r="I176" s="221" t="str">
        <f t="shared" ca="1" si="64"/>
        <v/>
      </c>
      <c r="J176" s="237" t="str">
        <f t="shared" ca="1" si="64"/>
        <v/>
      </c>
      <c r="K176" s="237" t="str">
        <f t="shared" ca="1" si="64"/>
        <v/>
      </c>
      <c r="L176" s="237" t="str">
        <f t="shared" ca="1" si="64"/>
        <v/>
      </c>
      <c r="M176" s="201" t="str">
        <f t="shared" ca="1" si="64"/>
        <v/>
      </c>
      <c r="Q176" s="144"/>
      <c r="R176" s="144"/>
      <c r="S176" s="201" t="s">
        <v>33</v>
      </c>
      <c r="T176" s="201">
        <f ca="1">IF(OR($U176="",$U176=0),"",SUMPRODUCT(--($S$88:$S$163=$R175),T$88:T$163))</f>
        <v>4</v>
      </c>
      <c r="U176" s="201">
        <f ca="1">IF($R175="","",SUMPRODUCT(--(S$88:S$163=$R175)))</f>
        <v>4</v>
      </c>
      <c r="V176" s="201">
        <f t="shared" ref="V176:AC176" ca="1" si="65">IF(OR($U176="",$U176=0),"",SUMPRODUCT(--($S$88:$S$163=$R175),V$88:V$163))</f>
        <v>-4</v>
      </c>
      <c r="W176" s="237">
        <f t="shared" ca="1" si="65"/>
        <v>0</v>
      </c>
      <c r="X176" s="237">
        <f t="shared" ca="1" si="65"/>
        <v>2</v>
      </c>
      <c r="Y176" s="221">
        <f t="shared" ca="1" si="65"/>
        <v>4</v>
      </c>
      <c r="Z176" s="237">
        <f t="shared" ca="1" si="65"/>
        <v>2</v>
      </c>
      <c r="AA176" s="237">
        <f t="shared" ca="1" si="65"/>
        <v>0</v>
      </c>
      <c r="AB176" s="237">
        <f t="shared" ca="1" si="65"/>
        <v>0</v>
      </c>
      <c r="AC176" s="201">
        <f t="shared" ca="1" si="65"/>
        <v>3</v>
      </c>
    </row>
    <row r="177" spans="1:29" x14ac:dyDescent="0.25">
      <c r="A177" s="144"/>
      <c r="B177" s="148"/>
      <c r="C177" s="236" t="s">
        <v>19</v>
      </c>
      <c r="D177" s="236">
        <f ca="1">IF($B175="","",SUM(D175:D176))</f>
        <v>8</v>
      </c>
      <c r="E177" s="236">
        <f ca="1">IF($B175="","",SUM(E175:E176))</f>
        <v>3</v>
      </c>
      <c r="F177" s="236">
        <f ca="1">IF($B175="","",SUM(F175:F176))</f>
        <v>8</v>
      </c>
      <c r="G177" s="225">
        <f t="shared" ref="G177:L177" ca="1" si="66">IF($B175="","",SUM(G175,G176))</f>
        <v>0</v>
      </c>
      <c r="H177" s="225">
        <f t="shared" ca="1" si="66"/>
        <v>2</v>
      </c>
      <c r="I177" s="228">
        <f t="shared" ca="1" si="66"/>
        <v>5</v>
      </c>
      <c r="J177" s="225">
        <f t="shared" ca="1" si="66"/>
        <v>2</v>
      </c>
      <c r="K177" s="225">
        <f t="shared" ca="1" si="66"/>
        <v>0</v>
      </c>
      <c r="L177" s="225">
        <f t="shared" ca="1" si="66"/>
        <v>0</v>
      </c>
      <c r="M177" s="236">
        <f ca="1">IF($B175="","",SUM(M175:M176))</f>
        <v>3</v>
      </c>
      <c r="Q177" s="144"/>
      <c r="R177" s="144"/>
      <c r="S177" s="236" t="s">
        <v>19</v>
      </c>
      <c r="T177" s="236">
        <f ca="1">IF($R175="","",SUM(T175:T176))</f>
        <v>11</v>
      </c>
      <c r="U177" s="236">
        <f t="shared" ref="U177:AC177" ca="1" si="67">IF($R175="","",SUM(U175,U176))</f>
        <v>8</v>
      </c>
      <c r="V177" s="236">
        <f t="shared" ca="1" si="67"/>
        <v>-29</v>
      </c>
      <c r="W177" s="225">
        <f t="shared" ca="1" si="67"/>
        <v>0</v>
      </c>
      <c r="X177" s="225">
        <f t="shared" ca="1" si="67"/>
        <v>3</v>
      </c>
      <c r="Y177" s="228">
        <f t="shared" ca="1" si="67"/>
        <v>7</v>
      </c>
      <c r="Z177" s="225">
        <f t="shared" ca="1" si="67"/>
        <v>3</v>
      </c>
      <c r="AA177" s="225">
        <f t="shared" ca="1" si="67"/>
        <v>0</v>
      </c>
      <c r="AB177" s="225">
        <f t="shared" ca="1" si="67"/>
        <v>0</v>
      </c>
      <c r="AC177" s="236">
        <f t="shared" ca="1" si="67"/>
        <v>8</v>
      </c>
    </row>
    <row r="178" spans="1:29" x14ac:dyDescent="0.25">
      <c r="A178" s="144">
        <f>A175+1</f>
        <v>3</v>
      </c>
      <c r="B178" s="148" t="str">
        <f>IF(IGRF!B16="","",IGRF!B16)</f>
        <v>17</v>
      </c>
      <c r="C178" s="201" t="s">
        <v>17</v>
      </c>
      <c r="D178" s="201" t="str">
        <f ca="1">IF(OR($E178="",$E178=0),"",SUMPRODUCT(--($C$3:$C$78=$B178),D$3:D$78))</f>
        <v/>
      </c>
      <c r="E178" s="201">
        <f ca="1">IF($B178="","",SUMPRODUCT(--(C$3:C$78=$B178)))</f>
        <v>0</v>
      </c>
      <c r="F178" s="201" t="str">
        <f ca="1">IF(OR($E178="",$E178=0),"",SUMIF($C$3:$C$62,$B178,F$3:F$62))</f>
        <v/>
      </c>
      <c r="G178" s="237" t="str">
        <f t="shared" ref="G178:M178" ca="1" si="68">IF(OR($E178="",$E178=0),"",SUMPRODUCT(--($C$3:$C$78=$B178),G$3:G$78))</f>
        <v/>
      </c>
      <c r="H178" s="237" t="str">
        <f t="shared" ca="1" si="68"/>
        <v/>
      </c>
      <c r="I178" s="221" t="str">
        <f t="shared" ca="1" si="68"/>
        <v/>
      </c>
      <c r="J178" s="237" t="str">
        <f t="shared" ca="1" si="68"/>
        <v/>
      </c>
      <c r="K178" s="237" t="str">
        <f t="shared" ca="1" si="68"/>
        <v/>
      </c>
      <c r="L178" s="237" t="str">
        <f t="shared" ca="1" si="68"/>
        <v/>
      </c>
      <c r="M178" s="201" t="str">
        <f t="shared" ca="1" si="68"/>
        <v/>
      </c>
      <c r="Q178" s="144">
        <f>Q175+1</f>
        <v>3</v>
      </c>
      <c r="R178" s="144" t="str">
        <f>IF(IGRF!H16="","",IGRF!H16)</f>
        <v>152</v>
      </c>
      <c r="S178" s="201" t="s">
        <v>17</v>
      </c>
      <c r="T178" s="201" t="str">
        <f ca="1">IF(OR($U178="",$U178=0),"",SUMPRODUCT(--($S$3:$S$78=$R178),T$3:T$78))</f>
        <v/>
      </c>
      <c r="U178" s="201">
        <f ca="1">IF($R178="","",SUMPRODUCT(--(S$3:S$78=$R178)))</f>
        <v>0</v>
      </c>
      <c r="V178" s="201" t="str">
        <f t="shared" ref="V178:AC178" ca="1" si="69">IF(OR($U178="",$U178=0),"",SUMPRODUCT(--($S$3:$S$78=$R178),V$3:V$78))</f>
        <v/>
      </c>
      <c r="W178" s="237" t="str">
        <f t="shared" ca="1" si="69"/>
        <v/>
      </c>
      <c r="X178" s="237" t="str">
        <f t="shared" ca="1" si="69"/>
        <v/>
      </c>
      <c r="Y178" s="221" t="str">
        <f t="shared" ca="1" si="69"/>
        <v/>
      </c>
      <c r="Z178" s="237" t="str">
        <f t="shared" ca="1" si="69"/>
        <v/>
      </c>
      <c r="AA178" s="237" t="str">
        <f t="shared" ca="1" si="69"/>
        <v/>
      </c>
      <c r="AB178" s="237" t="str">
        <f t="shared" ca="1" si="69"/>
        <v/>
      </c>
      <c r="AC178" s="201" t="str">
        <f t="shared" ca="1" si="69"/>
        <v/>
      </c>
    </row>
    <row r="179" spans="1:29" x14ac:dyDescent="0.25">
      <c r="A179" s="144"/>
      <c r="B179" s="148"/>
      <c r="C179" s="201" t="s">
        <v>33</v>
      </c>
      <c r="D179" s="201" t="str">
        <f ca="1">IF(OR($E179="",$E179=0),"",SUMPRODUCT(--($C$88:$C$163=$B178),D$88:D$163))</f>
        <v/>
      </c>
      <c r="E179" s="201">
        <f ca="1">IF($B178="","",SUMPRODUCT(--(C$88:C$163=$B178)))</f>
        <v>0</v>
      </c>
      <c r="F179" s="201" t="str">
        <f ca="1">IF(OR($E179="",$E179=0),"",SUMIF($C$88:$C$147,$B178,F$88:F$147))</f>
        <v/>
      </c>
      <c r="G179" s="237" t="str">
        <f t="shared" ref="G179:M179" ca="1" si="70">IF(OR($E179="",$E179=0),"",SUMPRODUCT(--($C$88:$C$163=$B178),G$88:G$163))</f>
        <v/>
      </c>
      <c r="H179" s="237" t="str">
        <f t="shared" ca="1" si="70"/>
        <v/>
      </c>
      <c r="I179" s="221" t="str">
        <f t="shared" ca="1" si="70"/>
        <v/>
      </c>
      <c r="J179" s="237" t="str">
        <f t="shared" ca="1" si="70"/>
        <v/>
      </c>
      <c r="K179" s="237" t="str">
        <f t="shared" ca="1" si="70"/>
        <v/>
      </c>
      <c r="L179" s="237" t="str">
        <f t="shared" ca="1" si="70"/>
        <v/>
      </c>
      <c r="M179" s="201" t="str">
        <f t="shared" ca="1" si="70"/>
        <v/>
      </c>
      <c r="Q179" s="144"/>
      <c r="R179" s="144"/>
      <c r="S179" s="201" t="s">
        <v>33</v>
      </c>
      <c r="T179" s="201" t="str">
        <f ca="1">IF(OR($U179="",$U179=0),"",SUMPRODUCT(--($S$88:$S$163=$R178),T$88:T$163))</f>
        <v/>
      </c>
      <c r="U179" s="201">
        <f ca="1">IF($R178="","",SUMPRODUCT(--(S$88:S$163=$R178)))</f>
        <v>0</v>
      </c>
      <c r="V179" s="201" t="str">
        <f t="shared" ref="V179:AC179" ca="1" si="71">IF(OR($U179="",$U179=0),"",SUMPRODUCT(--($S$88:$S$163=$R178),V$88:V$163))</f>
        <v/>
      </c>
      <c r="W179" s="237" t="str">
        <f t="shared" ca="1" si="71"/>
        <v/>
      </c>
      <c r="X179" s="237" t="str">
        <f t="shared" ca="1" si="71"/>
        <v/>
      </c>
      <c r="Y179" s="221" t="str">
        <f t="shared" ca="1" si="71"/>
        <v/>
      </c>
      <c r="Z179" s="237" t="str">
        <f t="shared" ca="1" si="71"/>
        <v/>
      </c>
      <c r="AA179" s="237" t="str">
        <f t="shared" ca="1" si="71"/>
        <v/>
      </c>
      <c r="AB179" s="237" t="str">
        <f t="shared" ca="1" si="71"/>
        <v/>
      </c>
      <c r="AC179" s="201" t="str">
        <f t="shared" ca="1" si="71"/>
        <v/>
      </c>
    </row>
    <row r="180" spans="1:29" x14ac:dyDescent="0.25">
      <c r="A180" s="144"/>
      <c r="B180" s="148"/>
      <c r="C180" s="236" t="s">
        <v>19</v>
      </c>
      <c r="D180" s="236">
        <f ca="1">IF($B178="","",SUM(D178:D179))</f>
        <v>0</v>
      </c>
      <c r="E180" s="236">
        <f ca="1">IF($B178="","",SUM(E178:E179))</f>
        <v>0</v>
      </c>
      <c r="F180" s="236">
        <f ca="1">IF($B178="","",SUM(F178:F179))</f>
        <v>0</v>
      </c>
      <c r="G180" s="225">
        <f t="shared" ref="G180:L180" ca="1" si="72">IF($B178="","",SUM(G178,G179))</f>
        <v>0</v>
      </c>
      <c r="H180" s="225">
        <f t="shared" ca="1" si="72"/>
        <v>0</v>
      </c>
      <c r="I180" s="228">
        <f t="shared" ca="1" si="72"/>
        <v>0</v>
      </c>
      <c r="J180" s="225">
        <f t="shared" ca="1" si="72"/>
        <v>0</v>
      </c>
      <c r="K180" s="225">
        <f t="shared" ca="1" si="72"/>
        <v>0</v>
      </c>
      <c r="L180" s="225">
        <f t="shared" ca="1" si="72"/>
        <v>0</v>
      </c>
      <c r="M180" s="236">
        <f ca="1">IF($B178="","",SUM(M178:M179))</f>
        <v>0</v>
      </c>
      <c r="Q180" s="144"/>
      <c r="R180" s="144"/>
      <c r="S180" s="236" t="s">
        <v>19</v>
      </c>
      <c r="T180" s="236">
        <f ca="1">IF($R178="","",SUM(T178:T179))</f>
        <v>0</v>
      </c>
      <c r="U180" s="236">
        <f t="shared" ref="U180:AC180" ca="1" si="73">IF($R178="","",SUM(U178,U179))</f>
        <v>0</v>
      </c>
      <c r="V180" s="236">
        <f t="shared" ca="1" si="73"/>
        <v>0</v>
      </c>
      <c r="W180" s="225">
        <f t="shared" ca="1" si="73"/>
        <v>0</v>
      </c>
      <c r="X180" s="225">
        <f t="shared" ca="1" si="73"/>
        <v>0</v>
      </c>
      <c r="Y180" s="228">
        <f t="shared" ca="1" si="73"/>
        <v>0</v>
      </c>
      <c r="Z180" s="225">
        <f t="shared" ca="1" si="73"/>
        <v>0</v>
      </c>
      <c r="AA180" s="225">
        <f t="shared" ca="1" si="73"/>
        <v>0</v>
      </c>
      <c r="AB180" s="225">
        <f t="shared" ca="1" si="73"/>
        <v>0</v>
      </c>
      <c r="AC180" s="236">
        <f t="shared" ca="1" si="73"/>
        <v>0</v>
      </c>
    </row>
    <row r="181" spans="1:29" x14ac:dyDescent="0.25">
      <c r="A181" s="144">
        <f>A178+1</f>
        <v>4</v>
      </c>
      <c r="B181" s="148" t="str">
        <f>IF(IGRF!B17="","",IGRF!B17)</f>
        <v>19</v>
      </c>
      <c r="C181" s="201" t="s">
        <v>17</v>
      </c>
      <c r="D181" s="201">
        <f ca="1">IF(OR($E181="",$E181=0),"",SUMPRODUCT(--($C$3:$C$78=$B181),D$3:D$78))</f>
        <v>34</v>
      </c>
      <c r="E181" s="201">
        <f ca="1">IF($B181="","",SUMPRODUCT(--(C$3:C$78=$B181)))</f>
        <v>4</v>
      </c>
      <c r="F181" s="201">
        <f ca="1">IF(OR($E181="",$E181=0),"",SUMIF($C$3:$C$62,$B181,F$3:F$62))</f>
        <v>34</v>
      </c>
      <c r="G181" s="237">
        <f t="shared" ref="G181:M181" ca="1" si="74">IF(OR($E181="",$E181=0),"",SUMPRODUCT(--($C$3:$C$78=$B181),G$3:G$78))</f>
        <v>0</v>
      </c>
      <c r="H181" s="237">
        <f t="shared" ca="1" si="74"/>
        <v>3</v>
      </c>
      <c r="I181" s="221">
        <f t="shared" ca="1" si="74"/>
        <v>34</v>
      </c>
      <c r="J181" s="237">
        <f t="shared" ca="1" si="74"/>
        <v>2</v>
      </c>
      <c r="K181" s="237">
        <f t="shared" ca="1" si="74"/>
        <v>0</v>
      </c>
      <c r="L181" s="237">
        <f t="shared" ca="1" si="74"/>
        <v>0</v>
      </c>
      <c r="M181" s="201">
        <f t="shared" ca="1" si="74"/>
        <v>10</v>
      </c>
      <c r="Q181" s="144">
        <f>Q178+1</f>
        <v>4</v>
      </c>
      <c r="R181" s="144" t="str">
        <f>IF(IGRF!H17="","",IGRF!H17)</f>
        <v xml:space="preserve">237 </v>
      </c>
      <c r="S181" s="201" t="s">
        <v>17</v>
      </c>
      <c r="T181" s="201" t="str">
        <f ca="1">IF(OR($U181="",$U181=0),"",SUMPRODUCT(--($S$3:$S$78=$R181),T$3:T$78))</f>
        <v/>
      </c>
      <c r="U181" s="201">
        <f ca="1">IF($R181="","",SUMPRODUCT(--(S$3:S$78=$R181)))</f>
        <v>0</v>
      </c>
      <c r="V181" s="201" t="str">
        <f t="shared" ref="V181:AC181" ca="1" si="75">IF(OR($U181="",$U181=0),"",SUMPRODUCT(--($S$3:$S$78=$R181),V$3:V$78))</f>
        <v/>
      </c>
      <c r="W181" s="237" t="str">
        <f t="shared" ca="1" si="75"/>
        <v/>
      </c>
      <c r="X181" s="237" t="str">
        <f t="shared" ca="1" si="75"/>
        <v/>
      </c>
      <c r="Y181" s="221" t="str">
        <f t="shared" ca="1" si="75"/>
        <v/>
      </c>
      <c r="Z181" s="237" t="str">
        <f t="shared" ca="1" si="75"/>
        <v/>
      </c>
      <c r="AA181" s="237" t="str">
        <f t="shared" ca="1" si="75"/>
        <v/>
      </c>
      <c r="AB181" s="237" t="str">
        <f t="shared" ca="1" si="75"/>
        <v/>
      </c>
      <c r="AC181" s="201" t="str">
        <f t="shared" ca="1" si="75"/>
        <v/>
      </c>
    </row>
    <row r="182" spans="1:29" x14ac:dyDescent="0.25">
      <c r="A182" s="144"/>
      <c r="B182" s="148"/>
      <c r="C182" s="201" t="s">
        <v>33</v>
      </c>
      <c r="D182" s="201">
        <f ca="1">IF(OR($E182="",$E182=0),"",SUMPRODUCT(--($C$88:$C$163=$B181),D$88:D$163))</f>
        <v>42</v>
      </c>
      <c r="E182" s="201">
        <f ca="1">IF($B181="","",SUMPRODUCT(--(C$88:C$163=$B181)))</f>
        <v>5</v>
      </c>
      <c r="F182" s="201">
        <f ca="1">IF(OR($E182="",$E182=0),"",SUMIF($C$88:$C$147,$B181,F$88:F$147))</f>
        <v>32</v>
      </c>
      <c r="G182" s="237">
        <f t="shared" ref="G182:M182" ca="1" si="76">IF(OR($E182="",$E182=0),"",SUMPRODUCT(--($C$88:$C$163=$B181),G$88:G$163))</f>
        <v>2</v>
      </c>
      <c r="H182" s="237">
        <f t="shared" ca="1" si="76"/>
        <v>4</v>
      </c>
      <c r="I182" s="221">
        <f t="shared" ca="1" si="76"/>
        <v>30</v>
      </c>
      <c r="J182" s="237">
        <f t="shared" ca="1" si="76"/>
        <v>3</v>
      </c>
      <c r="K182" s="237">
        <f t="shared" ca="1" si="76"/>
        <v>0</v>
      </c>
      <c r="L182" s="237">
        <f t="shared" ca="1" si="76"/>
        <v>0</v>
      </c>
      <c r="M182" s="201">
        <f t="shared" ca="1" si="76"/>
        <v>13</v>
      </c>
      <c r="Q182" s="144"/>
      <c r="R182" s="144"/>
      <c r="S182" s="201" t="s">
        <v>33</v>
      </c>
      <c r="T182" s="201" t="str">
        <f ca="1">IF(OR($U182="",$U182=0),"",SUMPRODUCT(--($S$88:$S$163=$R181),T$88:T$163))</f>
        <v/>
      </c>
      <c r="U182" s="201">
        <f ca="1">IF($R181="","",SUMPRODUCT(--(S$88:S$163=$R181)))</f>
        <v>0</v>
      </c>
      <c r="V182" s="201" t="str">
        <f t="shared" ref="V182:AC182" ca="1" si="77">IF(OR($U182="",$U182=0),"",SUMPRODUCT(--($S$88:$S$163=$R181),V$88:V$163))</f>
        <v/>
      </c>
      <c r="W182" s="237" t="str">
        <f t="shared" ca="1" si="77"/>
        <v/>
      </c>
      <c r="X182" s="237" t="str">
        <f t="shared" ca="1" si="77"/>
        <v/>
      </c>
      <c r="Y182" s="221" t="str">
        <f t="shared" ca="1" si="77"/>
        <v/>
      </c>
      <c r="Z182" s="237" t="str">
        <f t="shared" ca="1" si="77"/>
        <v/>
      </c>
      <c r="AA182" s="237" t="str">
        <f t="shared" ca="1" si="77"/>
        <v/>
      </c>
      <c r="AB182" s="237" t="str">
        <f t="shared" ca="1" si="77"/>
        <v/>
      </c>
      <c r="AC182" s="201" t="str">
        <f t="shared" ca="1" si="77"/>
        <v/>
      </c>
    </row>
    <row r="183" spans="1:29" x14ac:dyDescent="0.25">
      <c r="A183" s="144"/>
      <c r="B183" s="148"/>
      <c r="C183" s="236" t="s">
        <v>19</v>
      </c>
      <c r="D183" s="236">
        <f ca="1">IF($B181="","",SUM(D181:D182))</f>
        <v>76</v>
      </c>
      <c r="E183" s="236">
        <f ca="1">IF($B181="","",SUM(E181:E182))</f>
        <v>9</v>
      </c>
      <c r="F183" s="236">
        <f ca="1">IF($B181="","",SUM(F181:F182))</f>
        <v>66</v>
      </c>
      <c r="G183" s="225">
        <f t="shared" ref="G183:L183" ca="1" si="78">IF($B181="","",SUM(G181,G182))</f>
        <v>2</v>
      </c>
      <c r="H183" s="225">
        <f t="shared" ca="1" si="78"/>
        <v>7</v>
      </c>
      <c r="I183" s="228">
        <f t="shared" ca="1" si="78"/>
        <v>64</v>
      </c>
      <c r="J183" s="225">
        <f t="shared" ca="1" si="78"/>
        <v>5</v>
      </c>
      <c r="K183" s="225">
        <f t="shared" ca="1" si="78"/>
        <v>0</v>
      </c>
      <c r="L183" s="225">
        <f t="shared" ca="1" si="78"/>
        <v>0</v>
      </c>
      <c r="M183" s="236">
        <f ca="1">IF($B181="","",SUM(M181:M182))</f>
        <v>23</v>
      </c>
      <c r="Q183" s="144"/>
      <c r="R183" s="144"/>
      <c r="S183" s="236" t="s">
        <v>19</v>
      </c>
      <c r="T183" s="236">
        <f ca="1">IF($R181="","",SUM(T181:T182))</f>
        <v>0</v>
      </c>
      <c r="U183" s="236">
        <f t="shared" ref="U183:AC183" ca="1" si="79">IF($R181="","",SUM(U181,U182))</f>
        <v>0</v>
      </c>
      <c r="V183" s="236">
        <f t="shared" ca="1" si="79"/>
        <v>0</v>
      </c>
      <c r="W183" s="225">
        <f t="shared" ca="1" si="79"/>
        <v>0</v>
      </c>
      <c r="X183" s="225">
        <f t="shared" ca="1" si="79"/>
        <v>0</v>
      </c>
      <c r="Y183" s="228">
        <f t="shared" ca="1" si="79"/>
        <v>0</v>
      </c>
      <c r="Z183" s="225">
        <f t="shared" ca="1" si="79"/>
        <v>0</v>
      </c>
      <c r="AA183" s="225">
        <f t="shared" ca="1" si="79"/>
        <v>0</v>
      </c>
      <c r="AB183" s="225">
        <f t="shared" ca="1" si="79"/>
        <v>0</v>
      </c>
      <c r="AC183" s="236">
        <f t="shared" ca="1" si="79"/>
        <v>0</v>
      </c>
    </row>
    <row r="184" spans="1:29" x14ac:dyDescent="0.25">
      <c r="A184" s="144">
        <f>A181+1</f>
        <v>5</v>
      </c>
      <c r="B184" s="148" t="str">
        <f>IF(IGRF!B18="","",IGRF!B18)</f>
        <v>20</v>
      </c>
      <c r="C184" s="201" t="s">
        <v>17</v>
      </c>
      <c r="D184" s="201">
        <f ca="1">IF(OR($E184="",$E184=0),"",SUMPRODUCT(--($C$3:$C$78=$B184),D$3:D$78))</f>
        <v>0</v>
      </c>
      <c r="E184" s="201">
        <f ca="1">IF($B184="","",SUMPRODUCT(--(C$3:C$78=$B184)))</f>
        <v>1</v>
      </c>
      <c r="F184" s="201">
        <f ca="1">IF(OR($E184="",$E184=0),"",SUMIF($C$3:$C$62,$B184,F$3:F$62))</f>
        <v>0</v>
      </c>
      <c r="G184" s="237">
        <f t="shared" ref="G184:M184" ca="1" si="80">IF(OR($E184="",$E184=0),"",SUMPRODUCT(--($C$3:$C$78=$B184),G$3:G$78))</f>
        <v>0</v>
      </c>
      <c r="H184" s="237">
        <f t="shared" ca="1" si="80"/>
        <v>0</v>
      </c>
      <c r="I184" s="221">
        <f t="shared" ca="1" si="80"/>
        <v>0</v>
      </c>
      <c r="J184" s="237">
        <f t="shared" ca="1" si="80"/>
        <v>0</v>
      </c>
      <c r="K184" s="237">
        <f t="shared" ca="1" si="80"/>
        <v>0</v>
      </c>
      <c r="L184" s="237">
        <f t="shared" ca="1" si="80"/>
        <v>0</v>
      </c>
      <c r="M184" s="201">
        <f t="shared" ca="1" si="80"/>
        <v>1</v>
      </c>
      <c r="Q184" s="144">
        <f>Q181+1</f>
        <v>5</v>
      </c>
      <c r="R184" s="144" t="str">
        <f>IF(IGRF!H18="","",IGRF!H18)</f>
        <v>26</v>
      </c>
      <c r="S184" s="201" t="s">
        <v>17</v>
      </c>
      <c r="T184" s="201">
        <f ca="1">IF(OR($U184="",$U184=0),"",SUMPRODUCT(--($S$3:$S$78=$R184),T$3:T$78))</f>
        <v>0</v>
      </c>
      <c r="U184" s="201">
        <f ca="1">IF($R184="","",SUMPRODUCT(--(S$3:S$78=$R184)))</f>
        <v>2</v>
      </c>
      <c r="V184" s="201">
        <f t="shared" ref="V184:AC184" ca="1" si="81">IF(OR($U184="",$U184=0),"",SUMPRODUCT(--($S$3:$S$78=$R184),V$3:V$78))</f>
        <v>0</v>
      </c>
      <c r="W184" s="237">
        <f t="shared" ca="1" si="81"/>
        <v>0</v>
      </c>
      <c r="X184" s="237">
        <f t="shared" ca="1" si="81"/>
        <v>0</v>
      </c>
      <c r="Y184" s="221">
        <f t="shared" ca="1" si="81"/>
        <v>0</v>
      </c>
      <c r="Z184" s="237">
        <f t="shared" ca="1" si="81"/>
        <v>0</v>
      </c>
      <c r="AA184" s="237">
        <f t="shared" ca="1" si="81"/>
        <v>0</v>
      </c>
      <c r="AB184" s="237">
        <f t="shared" ca="1" si="81"/>
        <v>0</v>
      </c>
      <c r="AC184" s="201">
        <f t="shared" ca="1" si="81"/>
        <v>2</v>
      </c>
    </row>
    <row r="185" spans="1:29" x14ac:dyDescent="0.25">
      <c r="A185" s="144"/>
      <c r="B185" s="148"/>
      <c r="C185" s="201" t="s">
        <v>33</v>
      </c>
      <c r="D185" s="201">
        <f ca="1">IF(OR($E185="",$E185=0),"",SUMPRODUCT(--($C$88:$C$163=$B184),D$88:D$163))</f>
        <v>34</v>
      </c>
      <c r="E185" s="201">
        <f ca="1">IF($B184="","",SUMPRODUCT(--(C$88:C$163=$B184)))</f>
        <v>3</v>
      </c>
      <c r="F185" s="201">
        <f ca="1">IF(OR($E185="",$E185=0),"",SUMIF($C$88:$C$147,$B184,F$88:F$147))</f>
        <v>34</v>
      </c>
      <c r="G185" s="237">
        <f t="shared" ref="G185:M185" ca="1" si="82">IF(OR($E185="",$E185=0),"",SUMPRODUCT(--($C$88:$C$163=$B184),G$88:G$163))</f>
        <v>0</v>
      </c>
      <c r="H185" s="237">
        <f t="shared" ca="1" si="82"/>
        <v>2</v>
      </c>
      <c r="I185" s="221">
        <f t="shared" ca="1" si="82"/>
        <v>34</v>
      </c>
      <c r="J185" s="237">
        <f t="shared" ca="1" si="82"/>
        <v>2</v>
      </c>
      <c r="K185" s="237">
        <f t="shared" ca="1" si="82"/>
        <v>0</v>
      </c>
      <c r="L185" s="237">
        <f t="shared" ca="1" si="82"/>
        <v>0</v>
      </c>
      <c r="M185" s="201">
        <f t="shared" ca="1" si="82"/>
        <v>10</v>
      </c>
      <c r="Q185" s="144"/>
      <c r="R185" s="144"/>
      <c r="S185" s="201" t="s">
        <v>33</v>
      </c>
      <c r="T185" s="201">
        <f ca="1">IF(OR($U185="",$U185=0),"",SUMPRODUCT(--($S$88:$S$163=$R184),T$88:T$163))</f>
        <v>0</v>
      </c>
      <c r="U185" s="201">
        <f ca="1">IF($R184="","",SUMPRODUCT(--(S$88:S$163=$R184)))</f>
        <v>2</v>
      </c>
      <c r="V185" s="201">
        <f t="shared" ref="V185:AC185" ca="1" si="83">IF(OR($U185="",$U185=0),"",SUMPRODUCT(--($S$88:$S$163=$R184),V$88:V$163))</f>
        <v>-3</v>
      </c>
      <c r="W185" s="237">
        <f t="shared" ca="1" si="83"/>
        <v>0</v>
      </c>
      <c r="X185" s="237">
        <f t="shared" ca="1" si="83"/>
        <v>0</v>
      </c>
      <c r="Y185" s="221">
        <f t="shared" ca="1" si="83"/>
        <v>0</v>
      </c>
      <c r="Z185" s="237">
        <f t="shared" ca="1" si="83"/>
        <v>0</v>
      </c>
      <c r="AA185" s="237">
        <f t="shared" ca="1" si="83"/>
        <v>0</v>
      </c>
      <c r="AB185" s="237">
        <f t="shared" ca="1" si="83"/>
        <v>1</v>
      </c>
      <c r="AC185" s="201">
        <f t="shared" ca="1" si="83"/>
        <v>0</v>
      </c>
    </row>
    <row r="186" spans="1:29" x14ac:dyDescent="0.25">
      <c r="A186" s="144"/>
      <c r="B186" s="148"/>
      <c r="C186" s="236" t="s">
        <v>19</v>
      </c>
      <c r="D186" s="236">
        <f ca="1">IF($B184="","",SUM(D184:D185))</f>
        <v>34</v>
      </c>
      <c r="E186" s="236">
        <f ca="1">IF($B184="","",SUM(E184:E185))</f>
        <v>4</v>
      </c>
      <c r="F186" s="236">
        <f ca="1">IF($B184="","",SUM(F184:F185))</f>
        <v>34</v>
      </c>
      <c r="G186" s="225">
        <f t="shared" ref="G186:L186" ca="1" si="84">IF($B184="","",SUM(G184,G185))</f>
        <v>0</v>
      </c>
      <c r="H186" s="225">
        <f t="shared" ca="1" si="84"/>
        <v>2</v>
      </c>
      <c r="I186" s="228">
        <f t="shared" ca="1" si="84"/>
        <v>34</v>
      </c>
      <c r="J186" s="225">
        <f t="shared" ca="1" si="84"/>
        <v>2</v>
      </c>
      <c r="K186" s="225">
        <f t="shared" ca="1" si="84"/>
        <v>0</v>
      </c>
      <c r="L186" s="225">
        <f t="shared" ca="1" si="84"/>
        <v>0</v>
      </c>
      <c r="M186" s="236">
        <f ca="1">IF($B184="","",SUM(M184:M185))</f>
        <v>11</v>
      </c>
      <c r="Q186" s="144"/>
      <c r="R186" s="144"/>
      <c r="S186" s="236" t="s">
        <v>19</v>
      </c>
      <c r="T186" s="236">
        <f ca="1">IF($R184="","",SUM(T184:T185))</f>
        <v>0</v>
      </c>
      <c r="U186" s="236">
        <f t="shared" ref="U186:AC186" ca="1" si="85">IF($R184="","",SUM(U184,U185))</f>
        <v>4</v>
      </c>
      <c r="V186" s="236">
        <f t="shared" ca="1" si="85"/>
        <v>-3</v>
      </c>
      <c r="W186" s="225">
        <f t="shared" ca="1" si="85"/>
        <v>0</v>
      </c>
      <c r="X186" s="225">
        <f t="shared" ca="1" si="85"/>
        <v>0</v>
      </c>
      <c r="Y186" s="228">
        <f t="shared" ca="1" si="85"/>
        <v>0</v>
      </c>
      <c r="Z186" s="225">
        <f t="shared" ca="1" si="85"/>
        <v>0</v>
      </c>
      <c r="AA186" s="225">
        <f t="shared" ca="1" si="85"/>
        <v>0</v>
      </c>
      <c r="AB186" s="225">
        <f t="shared" ca="1" si="85"/>
        <v>1</v>
      </c>
      <c r="AC186" s="236">
        <f t="shared" ca="1" si="85"/>
        <v>2</v>
      </c>
    </row>
    <row r="187" spans="1:29" x14ac:dyDescent="0.25">
      <c r="A187" s="144">
        <f>A184+1</f>
        <v>6</v>
      </c>
      <c r="B187" s="148" t="str">
        <f>IF(IGRF!B19="","",IGRF!B19)</f>
        <v>303</v>
      </c>
      <c r="C187" s="201" t="s">
        <v>17</v>
      </c>
      <c r="D187" s="201" t="str">
        <f ca="1">IF(OR($E187="",$E187=0),"",SUMPRODUCT(--($C$3:$C$78=$B187),D$3:D$78))</f>
        <v/>
      </c>
      <c r="E187" s="201">
        <f ca="1">IF($B187="","",SUMPRODUCT(--(C$3:C$78=$B187)))</f>
        <v>0</v>
      </c>
      <c r="F187" s="201" t="str">
        <f ca="1">IF(OR($E187="",$E187=0),"",SUMIF($C$3:$C$62,$B187,F$3:F$62))</f>
        <v/>
      </c>
      <c r="G187" s="237" t="str">
        <f t="shared" ref="G187:M187" ca="1" si="86">IF(OR($E187="",$E187=0),"",SUMPRODUCT(--($C$3:$C$78=$B187),G$3:G$78))</f>
        <v/>
      </c>
      <c r="H187" s="237" t="str">
        <f t="shared" ca="1" si="86"/>
        <v/>
      </c>
      <c r="I187" s="221" t="str">
        <f t="shared" ca="1" si="86"/>
        <v/>
      </c>
      <c r="J187" s="237" t="str">
        <f t="shared" ca="1" si="86"/>
        <v/>
      </c>
      <c r="K187" s="237" t="str">
        <f t="shared" ca="1" si="86"/>
        <v/>
      </c>
      <c r="L187" s="237" t="str">
        <f t="shared" ca="1" si="86"/>
        <v/>
      </c>
      <c r="M187" s="201" t="str">
        <f t="shared" ca="1" si="86"/>
        <v/>
      </c>
      <c r="Q187" s="144">
        <f>Q184+1</f>
        <v>6</v>
      </c>
      <c r="R187" s="144" t="str">
        <f>IF(IGRF!H19="","",IGRF!H19)</f>
        <v>2611</v>
      </c>
      <c r="S187" s="201" t="s">
        <v>17</v>
      </c>
      <c r="T187" s="201" t="str">
        <f ca="1">IF(OR($U187="",$U187=0),"",SUMPRODUCT(--($S$3:$S$78=$R187),T$3:T$78))</f>
        <v/>
      </c>
      <c r="U187" s="201">
        <f ca="1">IF($R187="","",SUMPRODUCT(--(S$3:S$78=$R187)))</f>
        <v>0</v>
      </c>
      <c r="V187" s="201" t="str">
        <f t="shared" ref="V187:AC187" ca="1" si="87">IF(OR($U187="",$U187=0),"",SUMPRODUCT(--($S$3:$S$78=$R187),V$3:V$78))</f>
        <v/>
      </c>
      <c r="W187" s="237" t="str">
        <f t="shared" ca="1" si="87"/>
        <v/>
      </c>
      <c r="X187" s="237" t="str">
        <f t="shared" ca="1" si="87"/>
        <v/>
      </c>
      <c r="Y187" s="221" t="str">
        <f t="shared" ca="1" si="87"/>
        <v/>
      </c>
      <c r="Z187" s="237" t="str">
        <f t="shared" ca="1" si="87"/>
        <v/>
      </c>
      <c r="AA187" s="237" t="str">
        <f t="shared" ca="1" si="87"/>
        <v/>
      </c>
      <c r="AB187" s="237" t="str">
        <f t="shared" ca="1" si="87"/>
        <v/>
      </c>
      <c r="AC187" s="201" t="str">
        <f t="shared" ca="1" si="87"/>
        <v/>
      </c>
    </row>
    <row r="188" spans="1:29" x14ac:dyDescent="0.25">
      <c r="A188" s="144"/>
      <c r="B188" s="148"/>
      <c r="C188" s="201" t="s">
        <v>33</v>
      </c>
      <c r="D188" s="201" t="str">
        <f ca="1">IF(OR($E188="",$E188=0),"",SUMPRODUCT(--($C$88:$C$163=$B187),D$88:D$163))</f>
        <v/>
      </c>
      <c r="E188" s="201">
        <f ca="1">IF($B187="","",SUMPRODUCT(--(C$88:C$163=$B187)))</f>
        <v>0</v>
      </c>
      <c r="F188" s="201" t="str">
        <f ca="1">IF(OR($E188="",$E188=0),"",SUMIF($C$88:$C$147,$B187,F$88:F$147))</f>
        <v/>
      </c>
      <c r="G188" s="237" t="str">
        <f t="shared" ref="G188:M188" ca="1" si="88">IF(OR($E188="",$E188=0),"",SUMPRODUCT(--($C$88:$C$163=$B187),G$88:G$163))</f>
        <v/>
      </c>
      <c r="H188" s="237" t="str">
        <f t="shared" ca="1" si="88"/>
        <v/>
      </c>
      <c r="I188" s="221" t="str">
        <f t="shared" ca="1" si="88"/>
        <v/>
      </c>
      <c r="J188" s="237" t="str">
        <f t="shared" ca="1" si="88"/>
        <v/>
      </c>
      <c r="K188" s="237" t="str">
        <f t="shared" ca="1" si="88"/>
        <v/>
      </c>
      <c r="L188" s="237" t="str">
        <f t="shared" ca="1" si="88"/>
        <v/>
      </c>
      <c r="M188" s="201" t="str">
        <f t="shared" ca="1" si="88"/>
        <v/>
      </c>
      <c r="Q188" s="144"/>
      <c r="R188" s="144"/>
      <c r="S188" s="201" t="s">
        <v>33</v>
      </c>
      <c r="T188" s="201" t="str">
        <f ca="1">IF(OR($U188="",$U188=0),"",SUMPRODUCT(--($S$88:$S$163=$R187),T$88:T$163))</f>
        <v/>
      </c>
      <c r="U188" s="201">
        <f ca="1">IF($R187="","",SUMPRODUCT(--(S$88:S$163=$R187)))</f>
        <v>0</v>
      </c>
      <c r="V188" s="201" t="str">
        <f t="shared" ref="V188:AC188" ca="1" si="89">IF(OR($U188="",$U188=0),"",SUMPRODUCT(--($S$88:$S$163=$R187),V$88:V$163))</f>
        <v/>
      </c>
      <c r="W188" s="237" t="str">
        <f t="shared" ca="1" si="89"/>
        <v/>
      </c>
      <c r="X188" s="237" t="str">
        <f t="shared" ca="1" si="89"/>
        <v/>
      </c>
      <c r="Y188" s="221" t="str">
        <f t="shared" ca="1" si="89"/>
        <v/>
      </c>
      <c r="Z188" s="237" t="str">
        <f t="shared" ca="1" si="89"/>
        <v/>
      </c>
      <c r="AA188" s="237" t="str">
        <f t="shared" ca="1" si="89"/>
        <v/>
      </c>
      <c r="AB188" s="237" t="str">
        <f t="shared" ca="1" si="89"/>
        <v/>
      </c>
      <c r="AC188" s="201" t="str">
        <f t="shared" ca="1" si="89"/>
        <v/>
      </c>
    </row>
    <row r="189" spans="1:29" x14ac:dyDescent="0.25">
      <c r="A189" s="144"/>
      <c r="B189" s="148"/>
      <c r="C189" s="236" t="s">
        <v>19</v>
      </c>
      <c r="D189" s="236">
        <f ca="1">IF($B187="","",SUM(D187:D188))</f>
        <v>0</v>
      </c>
      <c r="E189" s="236">
        <f ca="1">IF($B187="","",SUM(E187:E188))</f>
        <v>0</v>
      </c>
      <c r="F189" s="236">
        <f ca="1">IF($B187="","",SUM(F187:F188))</f>
        <v>0</v>
      </c>
      <c r="G189" s="225">
        <f t="shared" ref="G189:L189" ca="1" si="90">IF($B187="","",SUM(G187,G188))</f>
        <v>0</v>
      </c>
      <c r="H189" s="225">
        <f t="shared" ca="1" si="90"/>
        <v>0</v>
      </c>
      <c r="I189" s="228">
        <f t="shared" ca="1" si="90"/>
        <v>0</v>
      </c>
      <c r="J189" s="225">
        <f t="shared" ca="1" si="90"/>
        <v>0</v>
      </c>
      <c r="K189" s="225">
        <f t="shared" ca="1" si="90"/>
        <v>0</v>
      </c>
      <c r="L189" s="225">
        <f t="shared" ca="1" si="90"/>
        <v>0</v>
      </c>
      <c r="M189" s="236">
        <f ca="1">IF($B187="","",SUM(M187:M188))</f>
        <v>0</v>
      </c>
      <c r="Q189" s="144"/>
      <c r="R189" s="144"/>
      <c r="S189" s="236" t="s">
        <v>19</v>
      </c>
      <c r="T189" s="236">
        <f ca="1">IF($R187="","",SUM(T187:T188))</f>
        <v>0</v>
      </c>
      <c r="U189" s="236">
        <f t="shared" ref="U189:AC189" ca="1" si="91">IF($R187="","",SUM(U187,U188))</f>
        <v>0</v>
      </c>
      <c r="V189" s="236">
        <f t="shared" ca="1" si="91"/>
        <v>0</v>
      </c>
      <c r="W189" s="225">
        <f t="shared" ca="1" si="91"/>
        <v>0</v>
      </c>
      <c r="X189" s="225">
        <f t="shared" ca="1" si="91"/>
        <v>0</v>
      </c>
      <c r="Y189" s="228">
        <f t="shared" ca="1" si="91"/>
        <v>0</v>
      </c>
      <c r="Z189" s="225">
        <f t="shared" ca="1" si="91"/>
        <v>0</v>
      </c>
      <c r="AA189" s="225">
        <f t="shared" ca="1" si="91"/>
        <v>0</v>
      </c>
      <c r="AB189" s="225">
        <f t="shared" ca="1" si="91"/>
        <v>0</v>
      </c>
      <c r="AC189" s="236">
        <f t="shared" ca="1" si="91"/>
        <v>0</v>
      </c>
    </row>
    <row r="190" spans="1:29" x14ac:dyDescent="0.25">
      <c r="A190" s="144">
        <f>A187+1</f>
        <v>7</v>
      </c>
      <c r="B190" s="148" t="str">
        <f>IF(IGRF!B20="","",IGRF!B20)</f>
        <v>33</v>
      </c>
      <c r="C190" s="201" t="s">
        <v>17</v>
      </c>
      <c r="D190" s="201" t="str">
        <f ca="1">IF(OR($E190="",$E190=0),"",SUMPRODUCT(--($C$3:$C$78=$B190),D$3:D$78))</f>
        <v/>
      </c>
      <c r="E190" s="201">
        <f ca="1">IF($B190="","",SUMPRODUCT(--(C$3:C$78=$B190)))</f>
        <v>0</v>
      </c>
      <c r="F190" s="201" t="str">
        <f ca="1">IF(OR($E190="",$E190=0),"",SUMIF($C$3:$C$62,$B190,F$3:F$62))</f>
        <v/>
      </c>
      <c r="G190" s="237" t="str">
        <f t="shared" ref="G190:M190" ca="1" si="92">IF(OR($E190="",$E190=0),"",SUMPRODUCT(--($C$3:$C$78=$B190),G$3:G$78))</f>
        <v/>
      </c>
      <c r="H190" s="237" t="str">
        <f t="shared" ca="1" si="92"/>
        <v/>
      </c>
      <c r="I190" s="221" t="str">
        <f t="shared" ca="1" si="92"/>
        <v/>
      </c>
      <c r="J190" s="237" t="str">
        <f t="shared" ca="1" si="92"/>
        <v/>
      </c>
      <c r="K190" s="237" t="str">
        <f t="shared" ca="1" si="92"/>
        <v/>
      </c>
      <c r="L190" s="237" t="str">
        <f t="shared" ca="1" si="92"/>
        <v/>
      </c>
      <c r="M190" s="201" t="str">
        <f t="shared" ca="1" si="92"/>
        <v/>
      </c>
      <c r="Q190" s="144">
        <f>Q187+1</f>
        <v>7</v>
      </c>
      <c r="R190" s="144" t="str">
        <f>IF(IGRF!H20="","",IGRF!H20)</f>
        <v>45</v>
      </c>
      <c r="S190" s="201" t="s">
        <v>17</v>
      </c>
      <c r="T190" s="201" t="str">
        <f ca="1">IF(OR($U190="",$U190=0),"",SUMPRODUCT(--($S$3:$S$78=$R190),T$3:T$78))</f>
        <v/>
      </c>
      <c r="U190" s="201">
        <f ca="1">IF($R190="","",SUMPRODUCT(--(S$3:S$78=$R190)))</f>
        <v>0</v>
      </c>
      <c r="V190" s="201" t="str">
        <f t="shared" ref="V190:AC190" ca="1" si="93">IF(OR($U190="",$U190=0),"",SUMPRODUCT(--($S$3:$S$78=$R190),V$3:V$78))</f>
        <v/>
      </c>
      <c r="W190" s="237" t="str">
        <f t="shared" ca="1" si="93"/>
        <v/>
      </c>
      <c r="X190" s="237" t="str">
        <f t="shared" ca="1" si="93"/>
        <v/>
      </c>
      <c r="Y190" s="221" t="str">
        <f t="shared" ca="1" si="93"/>
        <v/>
      </c>
      <c r="Z190" s="237" t="str">
        <f t="shared" ca="1" si="93"/>
        <v/>
      </c>
      <c r="AA190" s="237" t="str">
        <f t="shared" ca="1" si="93"/>
        <v/>
      </c>
      <c r="AB190" s="237" t="str">
        <f t="shared" ca="1" si="93"/>
        <v/>
      </c>
      <c r="AC190" s="201" t="str">
        <f t="shared" ca="1" si="93"/>
        <v/>
      </c>
    </row>
    <row r="191" spans="1:29" x14ac:dyDescent="0.25">
      <c r="A191" s="144"/>
      <c r="B191" s="148"/>
      <c r="C191" s="201" t="s">
        <v>33</v>
      </c>
      <c r="D191" s="201">
        <f ca="1">IF(OR($E191="",$E191=0),"",SUMPRODUCT(--($C$88:$C$163=$B190),D$88:D$163))</f>
        <v>20</v>
      </c>
      <c r="E191" s="201">
        <f ca="1">IF($B190="","",SUMPRODUCT(--(C$88:C$163=$B190)))</f>
        <v>1</v>
      </c>
      <c r="F191" s="201">
        <f ca="1">IF(OR($E191="",$E191=0),"",SUMIF($C$88:$C$147,$B190,F$88:F$147))</f>
        <v>20</v>
      </c>
      <c r="G191" s="237">
        <f t="shared" ref="G191:M191" ca="1" si="94">IF(OR($E191="",$E191=0),"",SUMPRODUCT(--($C$88:$C$163=$B190),G$88:G$163))</f>
        <v>0</v>
      </c>
      <c r="H191" s="237">
        <f t="shared" ca="1" si="94"/>
        <v>1</v>
      </c>
      <c r="I191" s="221">
        <f t="shared" ca="1" si="94"/>
        <v>20</v>
      </c>
      <c r="J191" s="237">
        <f t="shared" ca="1" si="94"/>
        <v>0</v>
      </c>
      <c r="K191" s="237">
        <f t="shared" ca="1" si="94"/>
        <v>0</v>
      </c>
      <c r="L191" s="237">
        <f t="shared" ca="1" si="94"/>
        <v>0</v>
      </c>
      <c r="M191" s="201">
        <f t="shared" ca="1" si="94"/>
        <v>4</v>
      </c>
      <c r="Q191" s="144"/>
      <c r="R191" s="144"/>
      <c r="S191" s="201" t="s">
        <v>33</v>
      </c>
      <c r="T191" s="201">
        <f ca="1">IF(OR($U191="",$U191=0),"",SUMPRODUCT(--($S$88:$S$163=$R190),T$88:T$163))</f>
        <v>0</v>
      </c>
      <c r="U191" s="201">
        <f ca="1">IF($R190="","",SUMPRODUCT(--(S$88:S$163=$R190)))</f>
        <v>2</v>
      </c>
      <c r="V191" s="201">
        <f t="shared" ref="V191:AC191" ca="1" si="95">IF(OR($U191="",$U191=0),"",SUMPRODUCT(--($S$88:$S$163=$R190),V$88:V$163))</f>
        <v>-4</v>
      </c>
      <c r="W191" s="237">
        <f t="shared" ca="1" si="95"/>
        <v>0</v>
      </c>
      <c r="X191" s="237">
        <f t="shared" ca="1" si="95"/>
        <v>0</v>
      </c>
      <c r="Y191" s="221">
        <f t="shared" ca="1" si="95"/>
        <v>0</v>
      </c>
      <c r="Z191" s="237">
        <f t="shared" ca="1" si="95"/>
        <v>0</v>
      </c>
      <c r="AA191" s="237">
        <f t="shared" ca="1" si="95"/>
        <v>0</v>
      </c>
      <c r="AB191" s="237">
        <f t="shared" ca="1" si="95"/>
        <v>1</v>
      </c>
      <c r="AC191" s="201">
        <f t="shared" ca="1" si="95"/>
        <v>0</v>
      </c>
    </row>
    <row r="192" spans="1:29" x14ac:dyDescent="0.25">
      <c r="A192" s="144"/>
      <c r="B192" s="148"/>
      <c r="C192" s="236" t="s">
        <v>19</v>
      </c>
      <c r="D192" s="236">
        <f ca="1">IF($B190="","",SUM(D190:D191))</f>
        <v>20</v>
      </c>
      <c r="E192" s="236">
        <f ca="1">IF($B190="","",SUM(E190:E191))</f>
        <v>1</v>
      </c>
      <c r="F192" s="236">
        <f ca="1">IF($B190="","",SUM(F190:F191))</f>
        <v>20</v>
      </c>
      <c r="G192" s="225">
        <f t="shared" ref="G192:L192" ca="1" si="96">IF($B190="","",SUM(G190,G191))</f>
        <v>0</v>
      </c>
      <c r="H192" s="225">
        <f t="shared" ca="1" si="96"/>
        <v>1</v>
      </c>
      <c r="I192" s="228">
        <f t="shared" ca="1" si="96"/>
        <v>20</v>
      </c>
      <c r="J192" s="225">
        <f t="shared" ca="1" si="96"/>
        <v>0</v>
      </c>
      <c r="K192" s="225">
        <f t="shared" ca="1" si="96"/>
        <v>0</v>
      </c>
      <c r="L192" s="225">
        <f t="shared" ca="1" si="96"/>
        <v>0</v>
      </c>
      <c r="M192" s="236">
        <f ca="1">IF($B190="","",SUM(M190:M191))</f>
        <v>4</v>
      </c>
      <c r="Q192" s="144"/>
      <c r="R192" s="144"/>
      <c r="S192" s="236" t="s">
        <v>19</v>
      </c>
      <c r="T192" s="236">
        <f ca="1">IF($R190="","",SUM(T190:T191))</f>
        <v>0</v>
      </c>
      <c r="U192" s="236">
        <f t="shared" ref="U192:AC192" ca="1" si="97">IF($R190="","",SUM(U190,U191))</f>
        <v>2</v>
      </c>
      <c r="V192" s="236">
        <f t="shared" ca="1" si="97"/>
        <v>-4</v>
      </c>
      <c r="W192" s="225">
        <f t="shared" ca="1" si="97"/>
        <v>0</v>
      </c>
      <c r="X192" s="225">
        <f t="shared" ca="1" si="97"/>
        <v>0</v>
      </c>
      <c r="Y192" s="228">
        <f t="shared" ca="1" si="97"/>
        <v>0</v>
      </c>
      <c r="Z192" s="225">
        <f t="shared" ca="1" si="97"/>
        <v>0</v>
      </c>
      <c r="AA192" s="225">
        <f t="shared" ca="1" si="97"/>
        <v>0</v>
      </c>
      <c r="AB192" s="225">
        <f t="shared" ca="1" si="97"/>
        <v>1</v>
      </c>
      <c r="AC192" s="236">
        <f t="shared" ca="1" si="97"/>
        <v>0</v>
      </c>
    </row>
    <row r="193" spans="1:29" x14ac:dyDescent="0.25">
      <c r="A193" s="144">
        <f>A190+1</f>
        <v>8</v>
      </c>
      <c r="B193" s="148" t="str">
        <f>IF(IGRF!B21="","",IGRF!B21)</f>
        <v>4</v>
      </c>
      <c r="C193" s="201" t="s">
        <v>17</v>
      </c>
      <c r="D193" s="201">
        <f ca="1">IF(OR($E193="",$E193=0),"",SUMPRODUCT(--($C$3:$C$78=$B193),D$3:D$78))</f>
        <v>48</v>
      </c>
      <c r="E193" s="201">
        <f ca="1">IF($B193="","",SUMPRODUCT(--(C$3:C$78=$B193)))</f>
        <v>5</v>
      </c>
      <c r="F193" s="201">
        <f ca="1">IF(OR($E193="",$E193=0),"",SUMIF($C$3:$C$62,$B193,F$3:F$62))</f>
        <v>44</v>
      </c>
      <c r="G193" s="237">
        <f t="shared" ref="G193:M193" ca="1" si="98">IF(OR($E193="",$E193=0),"",SUMPRODUCT(--($C$3:$C$78=$B193),G$3:G$78))</f>
        <v>1</v>
      </c>
      <c r="H193" s="237">
        <f t="shared" ca="1" si="98"/>
        <v>5</v>
      </c>
      <c r="I193" s="221">
        <f t="shared" ca="1" si="98"/>
        <v>44</v>
      </c>
      <c r="J193" s="237">
        <f t="shared" ca="1" si="98"/>
        <v>4</v>
      </c>
      <c r="K193" s="237">
        <f t="shared" ca="1" si="98"/>
        <v>0</v>
      </c>
      <c r="L193" s="237">
        <f t="shared" ca="1" si="98"/>
        <v>0</v>
      </c>
      <c r="M193" s="201">
        <f t="shared" ca="1" si="98"/>
        <v>13</v>
      </c>
      <c r="Q193" s="144">
        <f>Q190+1</f>
        <v>8</v>
      </c>
      <c r="R193" s="144" t="str">
        <f>IF(IGRF!H21="","",IGRF!H21)</f>
        <v>451</v>
      </c>
      <c r="S193" s="201" t="s">
        <v>17</v>
      </c>
      <c r="T193" s="201">
        <f ca="1">IF(OR($U193="",$U193=0),"",SUMPRODUCT(--($S$3:$S$78=$R193),T$3:T$78))</f>
        <v>14</v>
      </c>
      <c r="U193" s="201">
        <f ca="1">IF($R193="","",SUMPRODUCT(--(S$3:S$78=$R193)))</f>
        <v>4</v>
      </c>
      <c r="V193" s="201">
        <f t="shared" ref="V193:AC193" ca="1" si="99">IF(OR($U193="",$U193=0),"",SUMPRODUCT(--($S$3:$S$78=$R193),V$3:V$78))</f>
        <v>-14</v>
      </c>
      <c r="W193" s="237">
        <f t="shared" ca="1" si="99"/>
        <v>0</v>
      </c>
      <c r="X193" s="237">
        <f t="shared" ca="1" si="99"/>
        <v>1</v>
      </c>
      <c r="Y193" s="221">
        <f t="shared" ca="1" si="99"/>
        <v>4</v>
      </c>
      <c r="Z193" s="237">
        <f t="shared" ca="1" si="99"/>
        <v>1</v>
      </c>
      <c r="AA193" s="237">
        <f t="shared" ca="1" si="99"/>
        <v>0</v>
      </c>
      <c r="AB193" s="237">
        <f t="shared" ca="1" si="99"/>
        <v>0</v>
      </c>
      <c r="AC193" s="201">
        <f t="shared" ca="1" si="99"/>
        <v>6</v>
      </c>
    </row>
    <row r="194" spans="1:29" x14ac:dyDescent="0.25">
      <c r="A194" s="144"/>
      <c r="B194" s="148"/>
      <c r="C194" s="201" t="s">
        <v>33</v>
      </c>
      <c r="D194" s="201">
        <f ca="1">IF(OR($E194="",$E194=0),"",SUMPRODUCT(--($C$88:$C$163=$B193),D$88:D$163))</f>
        <v>37</v>
      </c>
      <c r="E194" s="201">
        <f ca="1">IF($B193="","",SUMPRODUCT(--(C$88:C$163=$B193)))</f>
        <v>6</v>
      </c>
      <c r="F194" s="201">
        <f ca="1">IF(OR($E194="",$E194=0),"",SUMIF($C$88:$C$147,$B193,F$88:F$147))</f>
        <v>14</v>
      </c>
      <c r="G194" s="237">
        <f t="shared" ref="G194:M194" ca="1" si="100">IF(OR($E194="",$E194=0),"",SUMPRODUCT(--($C$88:$C$163=$B193),G$88:G$163))</f>
        <v>1</v>
      </c>
      <c r="H194" s="237">
        <f t="shared" ca="1" si="100"/>
        <v>3</v>
      </c>
      <c r="I194" s="221">
        <f t="shared" ca="1" si="100"/>
        <v>25</v>
      </c>
      <c r="J194" s="237">
        <f t="shared" ca="1" si="100"/>
        <v>3</v>
      </c>
      <c r="K194" s="237">
        <f t="shared" ca="1" si="100"/>
        <v>0</v>
      </c>
      <c r="L194" s="237">
        <f t="shared" ca="1" si="100"/>
        <v>0</v>
      </c>
      <c r="M194" s="201">
        <f t="shared" ca="1" si="100"/>
        <v>12</v>
      </c>
      <c r="Q194" s="144"/>
      <c r="R194" s="144"/>
      <c r="S194" s="201" t="s">
        <v>33</v>
      </c>
      <c r="T194" s="201">
        <f ca="1">IF(OR($U194="",$U194=0),"",SUMPRODUCT(--($S$88:$S$163=$R193),T$88:T$163))</f>
        <v>6</v>
      </c>
      <c r="U194" s="201">
        <f ca="1">IF($R193="","",SUMPRODUCT(--(S$88:S$163=$R193)))</f>
        <v>3</v>
      </c>
      <c r="V194" s="201">
        <f t="shared" ref="V194:AC194" ca="1" si="101">IF(OR($U194="",$U194=0),"",SUMPRODUCT(--($S$88:$S$163=$R193),V$88:V$163))</f>
        <v>-14</v>
      </c>
      <c r="W194" s="237">
        <f t="shared" ca="1" si="101"/>
        <v>0</v>
      </c>
      <c r="X194" s="237">
        <f t="shared" ca="1" si="101"/>
        <v>1</v>
      </c>
      <c r="Y194" s="221">
        <f t="shared" ca="1" si="101"/>
        <v>-2</v>
      </c>
      <c r="Z194" s="237">
        <f t="shared" ca="1" si="101"/>
        <v>1</v>
      </c>
      <c r="AA194" s="237">
        <f t="shared" ca="1" si="101"/>
        <v>0</v>
      </c>
      <c r="AB194" s="237">
        <f t="shared" ca="1" si="101"/>
        <v>0</v>
      </c>
      <c r="AC194" s="201">
        <f t="shared" ca="1" si="101"/>
        <v>3</v>
      </c>
    </row>
    <row r="195" spans="1:29" x14ac:dyDescent="0.25">
      <c r="A195" s="144"/>
      <c r="B195" s="148"/>
      <c r="C195" s="236" t="s">
        <v>19</v>
      </c>
      <c r="D195" s="236">
        <f ca="1">IF($B193="","",SUM(D193:D194))</f>
        <v>85</v>
      </c>
      <c r="E195" s="236">
        <f ca="1">IF($B193="","",SUM(E193:E194))</f>
        <v>11</v>
      </c>
      <c r="F195" s="236">
        <f ca="1">IF($B193="","",SUM(F193:F194))</f>
        <v>58</v>
      </c>
      <c r="G195" s="225">
        <f t="shared" ref="G195:L195" ca="1" si="102">IF($B193="","",SUM(G193,G194))</f>
        <v>2</v>
      </c>
      <c r="H195" s="225">
        <f t="shared" ca="1" si="102"/>
        <v>8</v>
      </c>
      <c r="I195" s="228">
        <f t="shared" ca="1" si="102"/>
        <v>69</v>
      </c>
      <c r="J195" s="225">
        <f t="shared" ca="1" si="102"/>
        <v>7</v>
      </c>
      <c r="K195" s="225">
        <f t="shared" ca="1" si="102"/>
        <v>0</v>
      </c>
      <c r="L195" s="225">
        <f t="shared" ca="1" si="102"/>
        <v>0</v>
      </c>
      <c r="M195" s="236">
        <f ca="1">IF($B193="","",SUM(M193:M194))</f>
        <v>25</v>
      </c>
      <c r="Q195" s="144"/>
      <c r="R195" s="144"/>
      <c r="S195" s="236" t="s">
        <v>19</v>
      </c>
      <c r="T195" s="236">
        <f ca="1">IF($R193="","",SUM(T193:T194))</f>
        <v>20</v>
      </c>
      <c r="U195" s="236">
        <f t="shared" ref="U195:AC195" ca="1" si="103">IF($R193="","",SUM(U193,U194))</f>
        <v>7</v>
      </c>
      <c r="V195" s="236">
        <f t="shared" ca="1" si="103"/>
        <v>-28</v>
      </c>
      <c r="W195" s="225">
        <f t="shared" ca="1" si="103"/>
        <v>0</v>
      </c>
      <c r="X195" s="225">
        <f t="shared" ca="1" si="103"/>
        <v>2</v>
      </c>
      <c r="Y195" s="228">
        <f t="shared" ca="1" si="103"/>
        <v>2</v>
      </c>
      <c r="Z195" s="225">
        <f t="shared" ca="1" si="103"/>
        <v>2</v>
      </c>
      <c r="AA195" s="225">
        <f t="shared" ca="1" si="103"/>
        <v>0</v>
      </c>
      <c r="AB195" s="225">
        <f t="shared" ca="1" si="103"/>
        <v>0</v>
      </c>
      <c r="AC195" s="236">
        <f t="shared" ca="1" si="103"/>
        <v>9</v>
      </c>
    </row>
    <row r="196" spans="1:29" x14ac:dyDescent="0.25">
      <c r="A196" s="144">
        <f>A193+1</f>
        <v>9</v>
      </c>
      <c r="B196" s="148" t="str">
        <f>IF(IGRF!B22="","",IGRF!B22)</f>
        <v>42</v>
      </c>
      <c r="C196" s="201" t="s">
        <v>17</v>
      </c>
      <c r="D196" s="201" t="str">
        <f ca="1">IF(OR($E196="",$E196=0),"",SUMPRODUCT(--($C$3:$C$78=$B196),D$3:D$78))</f>
        <v/>
      </c>
      <c r="E196" s="201">
        <f ca="1">IF($B196="","",SUMPRODUCT(--(C$3:C$78=$B196)))</f>
        <v>0</v>
      </c>
      <c r="F196" s="201" t="str">
        <f ca="1">IF(OR($E196="",$E196=0),"",SUMIF($C$3:$C$62,$B196,F$3:F$62))</f>
        <v/>
      </c>
      <c r="G196" s="237" t="str">
        <f t="shared" ref="G196:M196" ca="1" si="104">IF(OR($E196="",$E196=0),"",SUMPRODUCT(--($C$3:$C$78=$B196),G$3:G$78))</f>
        <v/>
      </c>
      <c r="H196" s="237" t="str">
        <f t="shared" ca="1" si="104"/>
        <v/>
      </c>
      <c r="I196" s="221" t="str">
        <f t="shared" ca="1" si="104"/>
        <v/>
      </c>
      <c r="J196" s="237" t="str">
        <f t="shared" ca="1" si="104"/>
        <v/>
      </c>
      <c r="K196" s="237" t="str">
        <f t="shared" ca="1" si="104"/>
        <v/>
      </c>
      <c r="L196" s="237" t="str">
        <f t="shared" ca="1" si="104"/>
        <v/>
      </c>
      <c r="M196" s="201" t="str">
        <f t="shared" ca="1" si="104"/>
        <v/>
      </c>
      <c r="Q196" s="144">
        <f>Q193+1</f>
        <v>9</v>
      </c>
      <c r="R196" s="144" t="str">
        <f>IF(IGRF!H22="","",IGRF!H22)</f>
        <v>511</v>
      </c>
      <c r="S196" s="201" t="s">
        <v>17</v>
      </c>
      <c r="T196" s="201">
        <f ca="1">IF(OR($U196="",$U196=0),"",SUMPRODUCT(--($S$3:$S$78=$R196),T$3:T$78))</f>
        <v>0</v>
      </c>
      <c r="U196" s="201">
        <f ca="1">IF($R196="","",SUMPRODUCT(--(S$3:S$78=$R196)))</f>
        <v>1</v>
      </c>
      <c r="V196" s="201">
        <f t="shared" ref="V196:AC196" ca="1" si="105">IF(OR($U196="",$U196=0),"",SUMPRODUCT(--($S$3:$S$78=$R196),V$3:V$78))</f>
        <v>-12</v>
      </c>
      <c r="W196" s="237">
        <f t="shared" ca="1" si="105"/>
        <v>1</v>
      </c>
      <c r="X196" s="237">
        <f t="shared" ca="1" si="105"/>
        <v>0</v>
      </c>
      <c r="Y196" s="221">
        <f t="shared" ca="1" si="105"/>
        <v>0</v>
      </c>
      <c r="Z196" s="237">
        <f t="shared" ca="1" si="105"/>
        <v>0</v>
      </c>
      <c r="AA196" s="237">
        <f t="shared" ca="1" si="105"/>
        <v>0</v>
      </c>
      <c r="AB196" s="237">
        <f t="shared" ca="1" si="105"/>
        <v>1</v>
      </c>
      <c r="AC196" s="201">
        <f t="shared" ca="1" si="105"/>
        <v>0</v>
      </c>
    </row>
    <row r="197" spans="1:29" x14ac:dyDescent="0.25">
      <c r="A197" s="144"/>
      <c r="B197" s="148"/>
      <c r="C197" s="201" t="s">
        <v>33</v>
      </c>
      <c r="D197" s="201" t="str">
        <f ca="1">IF(OR($E197="",$E197=0),"",SUMPRODUCT(--($C$88:$C$163=$B196),D$88:D$163))</f>
        <v/>
      </c>
      <c r="E197" s="201">
        <f ca="1">IF($B196="","",SUMPRODUCT(--(C$88:C$163=$B196)))</f>
        <v>0</v>
      </c>
      <c r="F197" s="201" t="str">
        <f ca="1">IF(OR($E197="",$E197=0),"",SUMIF($C$88:$C$147,$B196,F$88:F$147))</f>
        <v/>
      </c>
      <c r="G197" s="237" t="str">
        <f t="shared" ref="G197:M197" ca="1" si="106">IF(OR($E197="",$E197=0),"",SUMPRODUCT(--($C$88:$C$163=$B196),G$88:G$163))</f>
        <v/>
      </c>
      <c r="H197" s="237" t="str">
        <f t="shared" ca="1" si="106"/>
        <v/>
      </c>
      <c r="I197" s="221" t="str">
        <f t="shared" ca="1" si="106"/>
        <v/>
      </c>
      <c r="J197" s="237" t="str">
        <f t="shared" ca="1" si="106"/>
        <v/>
      </c>
      <c r="K197" s="237" t="str">
        <f t="shared" ca="1" si="106"/>
        <v/>
      </c>
      <c r="L197" s="237" t="str">
        <f t="shared" ca="1" si="106"/>
        <v/>
      </c>
      <c r="M197" s="201" t="str">
        <f t="shared" ca="1" si="106"/>
        <v/>
      </c>
      <c r="Q197" s="144"/>
      <c r="R197" s="144"/>
      <c r="S197" s="201" t="s">
        <v>33</v>
      </c>
      <c r="T197" s="201">
        <f ca="1">IF(OR($U197="",$U197=0),"",SUMPRODUCT(--($S$88:$S$163=$R196),T$88:T$163))</f>
        <v>0</v>
      </c>
      <c r="U197" s="201">
        <f ca="1">IF($R196="","",SUMPRODUCT(--(S$88:S$163=$R196)))</f>
        <v>1</v>
      </c>
      <c r="V197" s="201">
        <f t="shared" ref="V197:AC197" ca="1" si="107">IF(OR($U197="",$U197=0),"",SUMPRODUCT(--($S$88:$S$163=$R196),V$88:V$163))</f>
        <v>0</v>
      </c>
      <c r="W197" s="237">
        <f t="shared" ca="1" si="107"/>
        <v>0</v>
      </c>
      <c r="X197" s="237">
        <f t="shared" ca="1" si="107"/>
        <v>0</v>
      </c>
      <c r="Y197" s="221">
        <f t="shared" ca="1" si="107"/>
        <v>0</v>
      </c>
      <c r="Z197" s="237">
        <f t="shared" ca="1" si="107"/>
        <v>0</v>
      </c>
      <c r="AA197" s="237">
        <f t="shared" ca="1" si="107"/>
        <v>0</v>
      </c>
      <c r="AB197" s="237">
        <f t="shared" ca="1" si="107"/>
        <v>0</v>
      </c>
      <c r="AC197" s="201">
        <f t="shared" ca="1" si="107"/>
        <v>1</v>
      </c>
    </row>
    <row r="198" spans="1:29" x14ac:dyDescent="0.25">
      <c r="A198" s="144"/>
      <c r="B198" s="148"/>
      <c r="C198" s="236" t="s">
        <v>19</v>
      </c>
      <c r="D198" s="236">
        <f ca="1">IF($B196="","",SUM(D196:D197))</f>
        <v>0</v>
      </c>
      <c r="E198" s="236">
        <f ca="1">IF($B196="","",SUM(E196:E197))</f>
        <v>0</v>
      </c>
      <c r="F198" s="236">
        <f ca="1">IF($B196="","",SUM(F196:F197))</f>
        <v>0</v>
      </c>
      <c r="G198" s="225">
        <f t="shared" ref="G198:L198" ca="1" si="108">IF($B196="","",SUM(G196,G197))</f>
        <v>0</v>
      </c>
      <c r="H198" s="225">
        <f t="shared" ca="1" si="108"/>
        <v>0</v>
      </c>
      <c r="I198" s="228">
        <f t="shared" ca="1" si="108"/>
        <v>0</v>
      </c>
      <c r="J198" s="225">
        <f t="shared" ca="1" si="108"/>
        <v>0</v>
      </c>
      <c r="K198" s="225">
        <f t="shared" ca="1" si="108"/>
        <v>0</v>
      </c>
      <c r="L198" s="225">
        <f t="shared" ca="1" si="108"/>
        <v>0</v>
      </c>
      <c r="M198" s="236">
        <f ca="1">IF($B196="","",SUM(M196:M197))</f>
        <v>0</v>
      </c>
      <c r="Q198" s="144"/>
      <c r="R198" s="144"/>
      <c r="S198" s="236" t="s">
        <v>19</v>
      </c>
      <c r="T198" s="236">
        <f ca="1">IF($R196="","",SUM(T196:T197))</f>
        <v>0</v>
      </c>
      <c r="U198" s="236">
        <f t="shared" ref="U198:AC198" ca="1" si="109">IF($R196="","",SUM(U196,U197))</f>
        <v>2</v>
      </c>
      <c r="V198" s="236">
        <f t="shared" ca="1" si="109"/>
        <v>-12</v>
      </c>
      <c r="W198" s="225">
        <f t="shared" ca="1" si="109"/>
        <v>1</v>
      </c>
      <c r="X198" s="225">
        <f t="shared" ca="1" si="109"/>
        <v>0</v>
      </c>
      <c r="Y198" s="228">
        <f t="shared" ca="1" si="109"/>
        <v>0</v>
      </c>
      <c r="Z198" s="225">
        <f t="shared" ca="1" si="109"/>
        <v>0</v>
      </c>
      <c r="AA198" s="225">
        <f t="shared" ca="1" si="109"/>
        <v>0</v>
      </c>
      <c r="AB198" s="225">
        <f t="shared" ca="1" si="109"/>
        <v>1</v>
      </c>
      <c r="AC198" s="236">
        <f t="shared" ca="1" si="109"/>
        <v>1</v>
      </c>
    </row>
    <row r="199" spans="1:29" x14ac:dyDescent="0.25">
      <c r="A199" s="144">
        <f>A196+1</f>
        <v>10</v>
      </c>
      <c r="B199" s="148" t="str">
        <f>IF(IGRF!B23="","",IGRF!B23)</f>
        <v>44</v>
      </c>
      <c r="C199" s="201" t="s">
        <v>17</v>
      </c>
      <c r="D199" s="201" t="str">
        <f ca="1">IF(OR($E199="",$E199=0),"",SUMPRODUCT(--($C$3:$C$78=$B199),D$3:D$78))</f>
        <v/>
      </c>
      <c r="E199" s="201">
        <f ca="1">IF($B199="","",SUMPRODUCT(--(C$3:C$78=$B199)))</f>
        <v>0</v>
      </c>
      <c r="F199" s="201" t="str">
        <f ca="1">IF(OR($E199="",$E199=0),"",SUMIF($C$3:$C$62,$B199,F$3:F$62))</f>
        <v/>
      </c>
      <c r="G199" s="237" t="str">
        <f t="shared" ref="G199:M199" ca="1" si="110">IF(OR($E199="",$E199=0),"",SUMPRODUCT(--($C$3:$C$78=$B199),G$3:G$78))</f>
        <v/>
      </c>
      <c r="H199" s="237" t="str">
        <f t="shared" ca="1" si="110"/>
        <v/>
      </c>
      <c r="I199" s="221" t="str">
        <f t="shared" ca="1" si="110"/>
        <v/>
      </c>
      <c r="J199" s="237" t="str">
        <f t="shared" ca="1" si="110"/>
        <v/>
      </c>
      <c r="K199" s="237" t="str">
        <f t="shared" ca="1" si="110"/>
        <v/>
      </c>
      <c r="L199" s="237" t="str">
        <f t="shared" ca="1" si="110"/>
        <v/>
      </c>
      <c r="M199" s="201" t="str">
        <f t="shared" ca="1" si="110"/>
        <v/>
      </c>
      <c r="Q199" s="144">
        <f>Q196+1</f>
        <v>10</v>
      </c>
      <c r="R199" s="144" t="str">
        <f>IF(IGRF!H23="","",IGRF!H23)</f>
        <v>519</v>
      </c>
      <c r="S199" s="201" t="s">
        <v>17</v>
      </c>
      <c r="T199" s="201" t="str">
        <f ca="1">IF(OR($U199="",$U199=0),"",SUMPRODUCT(--($S$3:$S$78=$R199),T$3:T$78))</f>
        <v/>
      </c>
      <c r="U199" s="201">
        <f ca="1">IF($R199="","",SUMPRODUCT(--(S$3:S$78=$R199)))</f>
        <v>0</v>
      </c>
      <c r="V199" s="201" t="str">
        <f t="shared" ref="V199:AC199" ca="1" si="111">IF(OR($U199="",$U199=0),"",SUMPRODUCT(--($S$3:$S$78=$R199),V$3:V$78))</f>
        <v/>
      </c>
      <c r="W199" s="237" t="str">
        <f t="shared" ca="1" si="111"/>
        <v/>
      </c>
      <c r="X199" s="237" t="str">
        <f t="shared" ca="1" si="111"/>
        <v/>
      </c>
      <c r="Y199" s="221" t="str">
        <f t="shared" ca="1" si="111"/>
        <v/>
      </c>
      <c r="Z199" s="237" t="str">
        <f t="shared" ca="1" si="111"/>
        <v/>
      </c>
      <c r="AA199" s="237" t="str">
        <f t="shared" ca="1" si="111"/>
        <v/>
      </c>
      <c r="AB199" s="237" t="str">
        <f t="shared" ca="1" si="111"/>
        <v/>
      </c>
      <c r="AC199" s="201" t="str">
        <f t="shared" ca="1" si="111"/>
        <v/>
      </c>
    </row>
    <row r="200" spans="1:29" x14ac:dyDescent="0.25">
      <c r="A200" s="144"/>
      <c r="B200" s="148"/>
      <c r="C200" s="201" t="s">
        <v>33</v>
      </c>
      <c r="D200" s="201" t="str">
        <f ca="1">IF(OR($E200="",$E200=0),"",SUMPRODUCT(--($C$88:$C$163=$B199),D$88:D$163))</f>
        <v/>
      </c>
      <c r="E200" s="201">
        <f ca="1">IF($B199="","",SUMPRODUCT(--(C$88:C$163=$B199)))</f>
        <v>0</v>
      </c>
      <c r="F200" s="201" t="str">
        <f ca="1">IF(OR($E200="",$E200=0),"",SUMIF($C$88:$C$147,$B199,F$88:F$147))</f>
        <v/>
      </c>
      <c r="G200" s="237" t="str">
        <f t="shared" ref="G200:M200" ca="1" si="112">IF(OR($E200="",$E200=0),"",SUMPRODUCT(--($C$88:$C$163=$B199),G$88:G$163))</f>
        <v/>
      </c>
      <c r="H200" s="237" t="str">
        <f t="shared" ca="1" si="112"/>
        <v/>
      </c>
      <c r="I200" s="221" t="str">
        <f t="shared" ca="1" si="112"/>
        <v/>
      </c>
      <c r="J200" s="237" t="str">
        <f t="shared" ca="1" si="112"/>
        <v/>
      </c>
      <c r="K200" s="237" t="str">
        <f t="shared" ca="1" si="112"/>
        <v/>
      </c>
      <c r="L200" s="237" t="str">
        <f t="shared" ca="1" si="112"/>
        <v/>
      </c>
      <c r="M200" s="201" t="str">
        <f t="shared" ca="1" si="112"/>
        <v/>
      </c>
      <c r="Q200" s="144"/>
      <c r="R200" s="144"/>
      <c r="S200" s="201" t="s">
        <v>33</v>
      </c>
      <c r="T200" s="201">
        <f ca="1">IF(OR($U200="",$U200=0),"",SUMPRODUCT(--($S$88:$S$163=$R199),T$88:T$163))</f>
        <v>24</v>
      </c>
      <c r="U200" s="201">
        <f ca="1">IF($R199="","",SUMPRODUCT(--(S$88:S$163=$R199)))</f>
        <v>4</v>
      </c>
      <c r="V200" s="201">
        <f t="shared" ref="V200:AC200" ca="1" si="113">IF(OR($U200="",$U200=0),"",SUMPRODUCT(--($S$88:$S$163=$R199),V$88:V$163))</f>
        <v>0</v>
      </c>
      <c r="W200" s="237">
        <f t="shared" ca="1" si="113"/>
        <v>0</v>
      </c>
      <c r="X200" s="237">
        <f t="shared" ca="1" si="113"/>
        <v>0</v>
      </c>
      <c r="Y200" s="221">
        <f t="shared" ca="1" si="113"/>
        <v>0</v>
      </c>
      <c r="Z200" s="237">
        <f t="shared" ca="1" si="113"/>
        <v>0</v>
      </c>
      <c r="AA200" s="237">
        <f t="shared" ca="1" si="113"/>
        <v>0</v>
      </c>
      <c r="AB200" s="237">
        <f t="shared" ca="1" si="113"/>
        <v>0</v>
      </c>
      <c r="AC200" s="201">
        <f t="shared" ca="1" si="113"/>
        <v>9</v>
      </c>
    </row>
    <row r="201" spans="1:29" x14ac:dyDescent="0.25">
      <c r="A201" s="144"/>
      <c r="B201" s="148"/>
      <c r="C201" s="236" t="s">
        <v>19</v>
      </c>
      <c r="D201" s="236">
        <f ca="1">IF($B199="","",SUM(D199:D200))</f>
        <v>0</v>
      </c>
      <c r="E201" s="236">
        <f ca="1">IF($B199="","",SUM(E199:E200))</f>
        <v>0</v>
      </c>
      <c r="F201" s="236">
        <f ca="1">IF($B199="","",SUM(F199:F200))</f>
        <v>0</v>
      </c>
      <c r="G201" s="225">
        <f t="shared" ref="G201:L201" ca="1" si="114">IF($B199="","",SUM(G199,G200))</f>
        <v>0</v>
      </c>
      <c r="H201" s="225">
        <f t="shared" ca="1" si="114"/>
        <v>0</v>
      </c>
      <c r="I201" s="228">
        <f t="shared" ca="1" si="114"/>
        <v>0</v>
      </c>
      <c r="J201" s="225">
        <f t="shared" ca="1" si="114"/>
        <v>0</v>
      </c>
      <c r="K201" s="225">
        <f t="shared" ca="1" si="114"/>
        <v>0</v>
      </c>
      <c r="L201" s="225">
        <f t="shared" ca="1" si="114"/>
        <v>0</v>
      </c>
      <c r="M201" s="236">
        <f ca="1">IF($B199="","",SUM(M199:M200))</f>
        <v>0</v>
      </c>
      <c r="Q201" s="144"/>
      <c r="R201" s="144"/>
      <c r="S201" s="236" t="s">
        <v>19</v>
      </c>
      <c r="T201" s="236">
        <f ca="1">IF($R199="","",SUM(T199:T200))</f>
        <v>24</v>
      </c>
      <c r="U201" s="236">
        <f t="shared" ref="U201:AC201" ca="1" si="115">IF($R199="","",SUM(U199,U200))</f>
        <v>4</v>
      </c>
      <c r="V201" s="236">
        <f t="shared" ca="1" si="115"/>
        <v>0</v>
      </c>
      <c r="W201" s="225">
        <f t="shared" ca="1" si="115"/>
        <v>0</v>
      </c>
      <c r="X201" s="225">
        <f t="shared" ca="1" si="115"/>
        <v>0</v>
      </c>
      <c r="Y201" s="228">
        <f t="shared" ca="1" si="115"/>
        <v>0</v>
      </c>
      <c r="Z201" s="225">
        <f t="shared" ca="1" si="115"/>
        <v>0</v>
      </c>
      <c r="AA201" s="225">
        <f t="shared" ca="1" si="115"/>
        <v>0</v>
      </c>
      <c r="AB201" s="225">
        <f t="shared" ca="1" si="115"/>
        <v>0</v>
      </c>
      <c r="AC201" s="236">
        <f t="shared" ca="1" si="115"/>
        <v>9</v>
      </c>
    </row>
    <row r="202" spans="1:29" x14ac:dyDescent="0.25">
      <c r="A202" s="144">
        <f>A199+1</f>
        <v>11</v>
      </c>
      <c r="B202" s="148" t="str">
        <f>IF(IGRF!B24="","",IGRF!B24)</f>
        <v>480</v>
      </c>
      <c r="C202" s="201" t="s">
        <v>17</v>
      </c>
      <c r="D202" s="201">
        <f ca="1">IF(OR($E202="",$E202=0),"",SUMPRODUCT(--($C$3:$C$78=$B202),D$3:D$78))</f>
        <v>0</v>
      </c>
      <c r="E202" s="201">
        <f ca="1">IF($B202="","",SUMPRODUCT(--(C$3:C$78=$B202)))</f>
        <v>1</v>
      </c>
      <c r="F202" s="201">
        <f ca="1">IF(OR($E202="",$E202=0),"",SUMIF($C$3:$C$62,$B202,F$3:F$62))</f>
        <v>-4</v>
      </c>
      <c r="G202" s="237">
        <f t="shared" ref="G202:M202" ca="1" si="116">IF(OR($E202="",$E202=0),"",SUMPRODUCT(--($C$3:$C$78=$B202),G$3:G$78))</f>
        <v>0</v>
      </c>
      <c r="H202" s="237">
        <f t="shared" ca="1" si="116"/>
        <v>0</v>
      </c>
      <c r="I202" s="221">
        <f t="shared" ca="1" si="116"/>
        <v>0</v>
      </c>
      <c r="J202" s="237">
        <f t="shared" ca="1" si="116"/>
        <v>0</v>
      </c>
      <c r="K202" s="237">
        <f t="shared" ca="1" si="116"/>
        <v>0</v>
      </c>
      <c r="L202" s="237">
        <f t="shared" ca="1" si="116"/>
        <v>0</v>
      </c>
      <c r="M202" s="201">
        <f t="shared" ca="1" si="116"/>
        <v>1</v>
      </c>
      <c r="Q202" s="144">
        <f>Q199+1</f>
        <v>11</v>
      </c>
      <c r="R202" s="144" t="str">
        <f>IF(IGRF!H24="","",IGRF!H24)</f>
        <v>58</v>
      </c>
      <c r="S202" s="201" t="s">
        <v>17</v>
      </c>
      <c r="T202" s="201">
        <f ca="1">IF(OR($U202="",$U202=0),"",SUMPRODUCT(--($S$3:$S$78=$R202),T$3:T$78))</f>
        <v>0</v>
      </c>
      <c r="U202" s="201">
        <f ca="1">IF($R202="","",SUMPRODUCT(--(S$3:S$78=$R202)))</f>
        <v>5</v>
      </c>
      <c r="V202" s="201">
        <f t="shared" ref="V202:AC202" ca="1" si="117">IF(OR($U202="",$U202=0),"",SUMPRODUCT(--($S$3:$S$78=$R202),V$3:V$78))</f>
        <v>-38</v>
      </c>
      <c r="W202" s="237">
        <f t="shared" ca="1" si="117"/>
        <v>0</v>
      </c>
      <c r="X202" s="237">
        <f t="shared" ca="1" si="117"/>
        <v>1</v>
      </c>
      <c r="Y202" s="221">
        <f t="shared" ca="1" si="117"/>
        <v>0</v>
      </c>
      <c r="Z202" s="237">
        <f t="shared" ca="1" si="117"/>
        <v>1</v>
      </c>
      <c r="AA202" s="237">
        <f t="shared" ca="1" si="117"/>
        <v>0</v>
      </c>
      <c r="AB202" s="237">
        <f t="shared" ca="1" si="117"/>
        <v>3</v>
      </c>
      <c r="AC202" s="201">
        <f t="shared" ca="1" si="117"/>
        <v>2</v>
      </c>
    </row>
    <row r="203" spans="1:29" x14ac:dyDescent="0.25">
      <c r="A203" s="144"/>
      <c r="B203" s="148"/>
      <c r="C203" s="201" t="s">
        <v>33</v>
      </c>
      <c r="D203" s="201" t="str">
        <f ca="1">IF(OR($E203="",$E203=0),"",SUMPRODUCT(--($C$88:$C$163=$B202),D$88:D$163))</f>
        <v/>
      </c>
      <c r="E203" s="201">
        <f ca="1">IF($B202="","",SUMPRODUCT(--(C$88:C$163=$B202)))</f>
        <v>0</v>
      </c>
      <c r="F203" s="201" t="str">
        <f ca="1">IF(OR($E203="",$E203=0),"",SUMIF($C$88:$C$147,$B202,F$88:F$147))</f>
        <v/>
      </c>
      <c r="G203" s="237" t="str">
        <f t="shared" ref="G203:M203" ca="1" si="118">IF(OR($E203="",$E203=0),"",SUMPRODUCT(--($C$88:$C$163=$B202),G$88:G$163))</f>
        <v/>
      </c>
      <c r="H203" s="237" t="str">
        <f t="shared" ca="1" si="118"/>
        <v/>
      </c>
      <c r="I203" s="221" t="str">
        <f t="shared" ca="1" si="118"/>
        <v/>
      </c>
      <c r="J203" s="237" t="str">
        <f t="shared" ca="1" si="118"/>
        <v/>
      </c>
      <c r="K203" s="237" t="str">
        <f t="shared" ca="1" si="118"/>
        <v/>
      </c>
      <c r="L203" s="237" t="str">
        <f t="shared" ca="1" si="118"/>
        <v/>
      </c>
      <c r="M203" s="201" t="str">
        <f t="shared" ca="1" si="118"/>
        <v/>
      </c>
      <c r="Q203" s="144"/>
      <c r="R203" s="144"/>
      <c r="S203" s="201" t="s">
        <v>33</v>
      </c>
      <c r="T203" s="201">
        <f ca="1">IF(OR($U203="",$U203=0),"",SUMPRODUCT(--($S$88:$S$163=$R202),T$88:T$163))</f>
        <v>0</v>
      </c>
      <c r="U203" s="201">
        <f ca="1">IF($R202="","",SUMPRODUCT(--(S$88:S$163=$R202)))</f>
        <v>4</v>
      </c>
      <c r="V203" s="201">
        <f t="shared" ref="V203:AC203" ca="1" si="119">IF(OR($U203="",$U203=0),"",SUMPRODUCT(--($S$88:$S$163=$R202),V$88:V$163))</f>
        <v>-54</v>
      </c>
      <c r="W203" s="237">
        <f t="shared" ca="1" si="119"/>
        <v>0</v>
      </c>
      <c r="X203" s="237">
        <f t="shared" ca="1" si="119"/>
        <v>0</v>
      </c>
      <c r="Y203" s="221">
        <f t="shared" ca="1" si="119"/>
        <v>0</v>
      </c>
      <c r="Z203" s="237">
        <f t="shared" ca="1" si="119"/>
        <v>0</v>
      </c>
      <c r="AA203" s="237">
        <f t="shared" ca="1" si="119"/>
        <v>0</v>
      </c>
      <c r="AB203" s="237">
        <f t="shared" ca="1" si="119"/>
        <v>3</v>
      </c>
      <c r="AC203" s="201">
        <f t="shared" ca="1" si="119"/>
        <v>0</v>
      </c>
    </row>
    <row r="204" spans="1:29" x14ac:dyDescent="0.25">
      <c r="A204" s="144"/>
      <c r="B204" s="148"/>
      <c r="C204" s="236" t="s">
        <v>19</v>
      </c>
      <c r="D204" s="236">
        <f ca="1">IF($B202="","",SUM(D202:D203))</f>
        <v>0</v>
      </c>
      <c r="E204" s="236">
        <f ca="1">IF($B202="","",SUM(E202:E203))</f>
        <v>1</v>
      </c>
      <c r="F204" s="236">
        <f ca="1">IF($B202="","",SUM(F202:F203))</f>
        <v>-4</v>
      </c>
      <c r="G204" s="225">
        <f t="shared" ref="G204:L204" ca="1" si="120">IF($B202="","",SUM(G202,G203))</f>
        <v>0</v>
      </c>
      <c r="H204" s="225">
        <f t="shared" ca="1" si="120"/>
        <v>0</v>
      </c>
      <c r="I204" s="228">
        <f t="shared" ca="1" si="120"/>
        <v>0</v>
      </c>
      <c r="J204" s="225">
        <f t="shared" ca="1" si="120"/>
        <v>0</v>
      </c>
      <c r="K204" s="225">
        <f t="shared" ca="1" si="120"/>
        <v>0</v>
      </c>
      <c r="L204" s="225">
        <f t="shared" ca="1" si="120"/>
        <v>0</v>
      </c>
      <c r="M204" s="236">
        <f ca="1">IF($B202="","",SUM(M202:M203))</f>
        <v>1</v>
      </c>
      <c r="Q204" s="144"/>
      <c r="R204" s="144"/>
      <c r="S204" s="236" t="s">
        <v>19</v>
      </c>
      <c r="T204" s="236">
        <f ca="1">IF($R202="","",SUM(T202:T203))</f>
        <v>0</v>
      </c>
      <c r="U204" s="236">
        <f t="shared" ref="U204:AC204" ca="1" si="121">IF($R202="","",SUM(U202,U203))</f>
        <v>9</v>
      </c>
      <c r="V204" s="236">
        <f t="shared" ca="1" si="121"/>
        <v>-92</v>
      </c>
      <c r="W204" s="225">
        <f t="shared" ca="1" si="121"/>
        <v>0</v>
      </c>
      <c r="X204" s="225">
        <f t="shared" ca="1" si="121"/>
        <v>1</v>
      </c>
      <c r="Y204" s="228">
        <f t="shared" ca="1" si="121"/>
        <v>0</v>
      </c>
      <c r="Z204" s="225">
        <f t="shared" ca="1" si="121"/>
        <v>1</v>
      </c>
      <c r="AA204" s="225">
        <f t="shared" ca="1" si="121"/>
        <v>0</v>
      </c>
      <c r="AB204" s="225">
        <f t="shared" ca="1" si="121"/>
        <v>6</v>
      </c>
      <c r="AC204" s="236">
        <f t="shared" ca="1" si="121"/>
        <v>2</v>
      </c>
    </row>
    <row r="205" spans="1:29" x14ac:dyDescent="0.25">
      <c r="A205" s="144">
        <f>A202+1</f>
        <v>12</v>
      </c>
      <c r="B205" s="148" t="str">
        <f>IF(IGRF!B25="","",IGRF!B25)</f>
        <v>64</v>
      </c>
      <c r="C205" s="201" t="s">
        <v>17</v>
      </c>
      <c r="D205" s="201" t="str">
        <f ca="1">IF(OR($E205="",$E205=0),"",SUMPRODUCT(--($C$3:$C$78=$B205),D$3:D$78))</f>
        <v/>
      </c>
      <c r="E205" s="201">
        <f ca="1">IF($B205="","",SUMPRODUCT(--(C$3:C$78=$B205)))</f>
        <v>0</v>
      </c>
      <c r="F205" s="201" t="str">
        <f ca="1">IF(OR($E205="",$E205=0),"",SUMIF($C$3:$C$62,$B205,F$3:F$62))</f>
        <v/>
      </c>
      <c r="G205" s="237" t="str">
        <f t="shared" ref="G205:M205" ca="1" si="122">IF(OR($E205="",$E205=0),"",SUMPRODUCT(--($C$3:$C$78=$B205),G$3:G$78))</f>
        <v/>
      </c>
      <c r="H205" s="237" t="str">
        <f t="shared" ca="1" si="122"/>
        <v/>
      </c>
      <c r="I205" s="221" t="str">
        <f t="shared" ca="1" si="122"/>
        <v/>
      </c>
      <c r="J205" s="237" t="str">
        <f t="shared" ca="1" si="122"/>
        <v/>
      </c>
      <c r="K205" s="237" t="str">
        <f t="shared" ca="1" si="122"/>
        <v/>
      </c>
      <c r="L205" s="237" t="str">
        <f t="shared" ca="1" si="122"/>
        <v/>
      </c>
      <c r="M205" s="201" t="str">
        <f t="shared" ca="1" si="122"/>
        <v/>
      </c>
      <c r="Q205" s="144">
        <f>Q202+1</f>
        <v>12</v>
      </c>
      <c r="R205" s="144" t="str">
        <f>IF(IGRF!H25="","",IGRF!H25)</f>
        <v>932</v>
      </c>
      <c r="S205" s="201" t="s">
        <v>17</v>
      </c>
      <c r="T205" s="201" t="str">
        <f ca="1">IF(OR($U205="",$U205=0),"",SUMPRODUCT(--($S$3:$S$78=$R205),T$3:T$78))</f>
        <v/>
      </c>
      <c r="U205" s="201">
        <f ca="1">IF($R205="","",SUMPRODUCT(--(S$3:S$78=$R205)))</f>
        <v>0</v>
      </c>
      <c r="V205" s="201" t="str">
        <f t="shared" ref="V205:AC205" ca="1" si="123">IF(OR($U205="",$U205=0),"",SUMPRODUCT(--($S$3:$S$78=$R205),V$3:V$78))</f>
        <v/>
      </c>
      <c r="W205" s="237" t="str">
        <f t="shared" ca="1" si="123"/>
        <v/>
      </c>
      <c r="X205" s="237" t="str">
        <f t="shared" ca="1" si="123"/>
        <v/>
      </c>
      <c r="Y205" s="221" t="str">
        <f t="shared" ca="1" si="123"/>
        <v/>
      </c>
      <c r="Z205" s="237" t="str">
        <f t="shared" ca="1" si="123"/>
        <v/>
      </c>
      <c r="AA205" s="237" t="str">
        <f t="shared" ca="1" si="123"/>
        <v/>
      </c>
      <c r="AB205" s="237" t="str">
        <f t="shared" ca="1" si="123"/>
        <v/>
      </c>
      <c r="AC205" s="201" t="str">
        <f t="shared" ca="1" si="123"/>
        <v/>
      </c>
    </row>
    <row r="206" spans="1:29" x14ac:dyDescent="0.25">
      <c r="A206" s="144"/>
      <c r="B206" s="148"/>
      <c r="C206" s="201" t="s">
        <v>33</v>
      </c>
      <c r="D206" s="201" t="str">
        <f ca="1">IF(OR($E206="",$E206=0),"",SUMPRODUCT(--($C$88:$C$163=$B205),D$88:D$163))</f>
        <v/>
      </c>
      <c r="E206" s="201">
        <f ca="1">IF($B205="","",SUMPRODUCT(--(C$88:C$163=$B205)))</f>
        <v>0</v>
      </c>
      <c r="F206" s="201" t="str">
        <f ca="1">IF(OR($E206="",$E206=0),"",SUMIF($C$88:$C$147,$B205,F$88:F$147))</f>
        <v/>
      </c>
      <c r="G206" s="237" t="str">
        <f t="shared" ref="G206:M206" ca="1" si="124">IF(OR($E206="",$E206=0),"",SUMPRODUCT(--($C$88:$C$163=$B205),G$88:G$163))</f>
        <v/>
      </c>
      <c r="H206" s="237" t="str">
        <f t="shared" ca="1" si="124"/>
        <v/>
      </c>
      <c r="I206" s="221" t="str">
        <f t="shared" ca="1" si="124"/>
        <v/>
      </c>
      <c r="J206" s="237" t="str">
        <f t="shared" ca="1" si="124"/>
        <v/>
      </c>
      <c r="K206" s="237" t="str">
        <f t="shared" ca="1" si="124"/>
        <v/>
      </c>
      <c r="L206" s="237" t="str">
        <f t="shared" ca="1" si="124"/>
        <v/>
      </c>
      <c r="M206" s="201" t="str">
        <f t="shared" ca="1" si="124"/>
        <v/>
      </c>
      <c r="Q206" s="144"/>
      <c r="R206" s="144"/>
      <c r="S206" s="201" t="s">
        <v>33</v>
      </c>
      <c r="T206" s="201" t="str">
        <f ca="1">IF(OR($U206="",$U206=0),"",SUMPRODUCT(--($S$88:$S$163=$R205),T$88:T$163))</f>
        <v/>
      </c>
      <c r="U206" s="201">
        <f ca="1">IF($R205="","",SUMPRODUCT(--(S$88:S$163=$R205)))</f>
        <v>0</v>
      </c>
      <c r="V206" s="201" t="str">
        <f t="shared" ref="V206:AC206" ca="1" si="125">IF(OR($U206="",$U206=0),"",SUMPRODUCT(--($S$88:$S$163=$R205),V$88:V$163))</f>
        <v/>
      </c>
      <c r="W206" s="237" t="str">
        <f t="shared" ca="1" si="125"/>
        <v/>
      </c>
      <c r="X206" s="237" t="str">
        <f t="shared" ca="1" si="125"/>
        <v/>
      </c>
      <c r="Y206" s="221" t="str">
        <f t="shared" ca="1" si="125"/>
        <v/>
      </c>
      <c r="Z206" s="237" t="str">
        <f t="shared" ca="1" si="125"/>
        <v/>
      </c>
      <c r="AA206" s="237" t="str">
        <f t="shared" ca="1" si="125"/>
        <v/>
      </c>
      <c r="AB206" s="237" t="str">
        <f t="shared" ca="1" si="125"/>
        <v/>
      </c>
      <c r="AC206" s="201" t="str">
        <f t="shared" ca="1" si="125"/>
        <v/>
      </c>
    </row>
    <row r="207" spans="1:29" x14ac:dyDescent="0.25">
      <c r="A207" s="144"/>
      <c r="B207" s="148"/>
      <c r="C207" s="236" t="s">
        <v>19</v>
      </c>
      <c r="D207" s="236">
        <f ca="1">IF($B205="","",SUM(D205:D206))</f>
        <v>0</v>
      </c>
      <c r="E207" s="236">
        <f ca="1">IF($B205="","",SUM(E205:E206))</f>
        <v>0</v>
      </c>
      <c r="F207" s="236">
        <f ca="1">IF($B205="","",SUM(F205:F206))</f>
        <v>0</v>
      </c>
      <c r="G207" s="225">
        <f t="shared" ref="G207:L207" ca="1" si="126">IF($B205="","",SUM(G205,G206))</f>
        <v>0</v>
      </c>
      <c r="H207" s="225">
        <f t="shared" ca="1" si="126"/>
        <v>0</v>
      </c>
      <c r="I207" s="228">
        <f t="shared" ca="1" si="126"/>
        <v>0</v>
      </c>
      <c r="J207" s="225">
        <f t="shared" ca="1" si="126"/>
        <v>0</v>
      </c>
      <c r="K207" s="225">
        <f t="shared" ca="1" si="126"/>
        <v>0</v>
      </c>
      <c r="L207" s="225">
        <f t="shared" ca="1" si="126"/>
        <v>0</v>
      </c>
      <c r="M207" s="236">
        <f ca="1">IF($B205="","",SUM(M205:M206))</f>
        <v>0</v>
      </c>
      <c r="Q207" s="144"/>
      <c r="R207" s="144"/>
      <c r="S207" s="236" t="s">
        <v>19</v>
      </c>
      <c r="T207" s="236">
        <f ca="1">IF($R205="","",SUM(T205:T206))</f>
        <v>0</v>
      </c>
      <c r="U207" s="236">
        <f t="shared" ref="U207:AC207" ca="1" si="127">IF($R205="","",SUM(U205,U206))</f>
        <v>0</v>
      </c>
      <c r="V207" s="236">
        <f t="shared" ca="1" si="127"/>
        <v>0</v>
      </c>
      <c r="W207" s="225">
        <f t="shared" ca="1" si="127"/>
        <v>0</v>
      </c>
      <c r="X207" s="225">
        <f t="shared" ca="1" si="127"/>
        <v>0</v>
      </c>
      <c r="Y207" s="228">
        <f t="shared" ca="1" si="127"/>
        <v>0</v>
      </c>
      <c r="Z207" s="225">
        <f t="shared" ca="1" si="127"/>
        <v>0</v>
      </c>
      <c r="AA207" s="225">
        <f t="shared" ca="1" si="127"/>
        <v>0</v>
      </c>
      <c r="AB207" s="225">
        <f t="shared" ca="1" si="127"/>
        <v>0</v>
      </c>
      <c r="AC207" s="236">
        <f t="shared" ca="1" si="127"/>
        <v>0</v>
      </c>
    </row>
    <row r="208" spans="1:29" x14ac:dyDescent="0.25">
      <c r="A208" s="144">
        <f>A205+1</f>
        <v>13</v>
      </c>
      <c r="B208" s="148" t="str">
        <f>IF(IGRF!B26="","",IGRF!B26)</f>
        <v>84</v>
      </c>
      <c r="C208" s="201" t="s">
        <v>17</v>
      </c>
      <c r="D208" s="201">
        <f ca="1">IF(OR($E208="",$E208=0),"",SUMPRODUCT(--($C$3:$C$78=$B208),D$3:D$78))</f>
        <v>36</v>
      </c>
      <c r="E208" s="201">
        <f ca="1">IF($B208="","",SUMPRODUCT(--(C$3:C$78=$B208)))</f>
        <v>5</v>
      </c>
      <c r="F208" s="201">
        <f ca="1">IF(OR($E208="",$E208=0),"",SUMIF($C$3:$C$62,$B208,F$3:F$62))</f>
        <v>19</v>
      </c>
      <c r="G208" s="237">
        <f t="shared" ref="G208:M208" ca="1" si="128">IF(OR($E208="",$E208=0),"",SUMPRODUCT(--($C$3:$C$78=$B208),G$3:G$78))</f>
        <v>1</v>
      </c>
      <c r="H208" s="237">
        <f t="shared" ca="1" si="128"/>
        <v>4</v>
      </c>
      <c r="I208" s="221">
        <f t="shared" ca="1" si="128"/>
        <v>22</v>
      </c>
      <c r="J208" s="237">
        <f t="shared" ca="1" si="128"/>
        <v>1</v>
      </c>
      <c r="K208" s="237">
        <f t="shared" ca="1" si="128"/>
        <v>0</v>
      </c>
      <c r="L208" s="237">
        <f t="shared" ca="1" si="128"/>
        <v>0</v>
      </c>
      <c r="M208" s="201">
        <f t="shared" ca="1" si="128"/>
        <v>9</v>
      </c>
      <c r="Q208" s="144">
        <f>Q205+1</f>
        <v>13</v>
      </c>
      <c r="R208" s="144" t="str">
        <f>IF(IGRF!H26="","",IGRF!H26)</f>
        <v>H20</v>
      </c>
      <c r="S208" s="201" t="s">
        <v>17</v>
      </c>
      <c r="T208" s="201" t="str">
        <f ca="1">IF(OR($U208="",$U208=0),"",SUMPRODUCT(--($S$3:$S$78=$R208),T$3:T$78))</f>
        <v/>
      </c>
      <c r="U208" s="201">
        <f ca="1">IF($R208="","",SUMPRODUCT(--(S$3:S$78=$R208)))</f>
        <v>0</v>
      </c>
      <c r="V208" s="201" t="str">
        <f t="shared" ref="V208:AC208" ca="1" si="129">IF(OR($U208="",$U208=0),"",SUMPRODUCT(--($S$3:$S$78=$R208),V$3:V$78))</f>
        <v/>
      </c>
      <c r="W208" s="237" t="str">
        <f t="shared" ca="1" si="129"/>
        <v/>
      </c>
      <c r="X208" s="237" t="str">
        <f t="shared" ca="1" si="129"/>
        <v/>
      </c>
      <c r="Y208" s="221" t="str">
        <f t="shared" ca="1" si="129"/>
        <v/>
      </c>
      <c r="Z208" s="237" t="str">
        <f t="shared" ca="1" si="129"/>
        <v/>
      </c>
      <c r="AA208" s="237" t="str">
        <f t="shared" ca="1" si="129"/>
        <v/>
      </c>
      <c r="AB208" s="237" t="str">
        <f t="shared" ca="1" si="129"/>
        <v/>
      </c>
      <c r="AC208" s="201" t="str">
        <f t="shared" ca="1" si="129"/>
        <v/>
      </c>
    </row>
    <row r="209" spans="1:29" x14ac:dyDescent="0.25">
      <c r="A209" s="144"/>
      <c r="B209" s="148"/>
      <c r="C209" s="201" t="s">
        <v>33</v>
      </c>
      <c r="D209" s="201">
        <f ca="1">IF(OR($E209="",$E209=0),"",SUMPRODUCT(--($C$88:$C$163=$B208),D$88:D$163))</f>
        <v>4</v>
      </c>
      <c r="E209" s="201">
        <f ca="1">IF($B208="","",SUMPRODUCT(--(C$88:C$163=$B208)))</f>
        <v>3</v>
      </c>
      <c r="F209" s="201">
        <f ca="1">IF(OR($E209="",$E209=0),"",SUMIF($C$88:$C$147,$B208,F$88:F$147))</f>
        <v>-13</v>
      </c>
      <c r="G209" s="237">
        <f t="shared" ref="G209:M209" ca="1" si="130">IF(OR($E209="",$E209=0),"",SUMPRODUCT(--($C$88:$C$163=$B208),G$88:G$163))</f>
        <v>1</v>
      </c>
      <c r="H209" s="237">
        <f t="shared" ca="1" si="130"/>
        <v>1</v>
      </c>
      <c r="I209" s="221">
        <f t="shared" ca="1" si="130"/>
        <v>3</v>
      </c>
      <c r="J209" s="237">
        <f t="shared" ca="1" si="130"/>
        <v>1</v>
      </c>
      <c r="K209" s="237">
        <f t="shared" ca="1" si="130"/>
        <v>0</v>
      </c>
      <c r="L209" s="237">
        <f t="shared" ca="1" si="130"/>
        <v>0</v>
      </c>
      <c r="M209" s="201">
        <f t="shared" ca="1" si="130"/>
        <v>4</v>
      </c>
      <c r="Q209" s="144"/>
      <c r="R209" s="144"/>
      <c r="S209" s="201" t="s">
        <v>33</v>
      </c>
      <c r="T209" s="201" t="str">
        <f ca="1">IF(OR($U209="",$U209=0),"",SUMPRODUCT(--($S$88:$S$163=$R208),T$88:T$163))</f>
        <v/>
      </c>
      <c r="U209" s="201">
        <f ca="1">IF($R208="","",SUMPRODUCT(--(S$88:S$163=$R208)))</f>
        <v>0</v>
      </c>
      <c r="V209" s="201" t="str">
        <f t="shared" ref="V209:AC209" ca="1" si="131">IF(OR($U209="",$U209=0),"",SUMPRODUCT(--($S$88:$S$163=$R208),V$88:V$163))</f>
        <v/>
      </c>
      <c r="W209" s="237" t="str">
        <f t="shared" ca="1" si="131"/>
        <v/>
      </c>
      <c r="X209" s="237" t="str">
        <f t="shared" ca="1" si="131"/>
        <v/>
      </c>
      <c r="Y209" s="221" t="str">
        <f t="shared" ca="1" si="131"/>
        <v/>
      </c>
      <c r="Z209" s="237" t="str">
        <f t="shared" ca="1" si="131"/>
        <v/>
      </c>
      <c r="AA209" s="237" t="str">
        <f t="shared" ca="1" si="131"/>
        <v/>
      </c>
      <c r="AB209" s="237" t="str">
        <f t="shared" ca="1" si="131"/>
        <v/>
      </c>
      <c r="AC209" s="201" t="str">
        <f t="shared" ca="1" si="131"/>
        <v/>
      </c>
    </row>
    <row r="210" spans="1:29" x14ac:dyDescent="0.25">
      <c r="A210" s="144"/>
      <c r="B210" s="148"/>
      <c r="C210" s="236" t="s">
        <v>19</v>
      </c>
      <c r="D210" s="236">
        <f ca="1">IF($B208="","",SUM(D208:D209))</f>
        <v>40</v>
      </c>
      <c r="E210" s="236">
        <f ca="1">IF($B208="","",SUM(E208:E209))</f>
        <v>8</v>
      </c>
      <c r="F210" s="236">
        <f ca="1">IF($B208="","",SUM(F208:F209))</f>
        <v>6</v>
      </c>
      <c r="G210" s="225">
        <f t="shared" ref="G210:L210" ca="1" si="132">IF($B208="","",SUM(G208,G209))</f>
        <v>2</v>
      </c>
      <c r="H210" s="225">
        <f t="shared" ca="1" si="132"/>
        <v>5</v>
      </c>
      <c r="I210" s="228">
        <f t="shared" ca="1" si="132"/>
        <v>25</v>
      </c>
      <c r="J210" s="225">
        <f t="shared" ca="1" si="132"/>
        <v>2</v>
      </c>
      <c r="K210" s="225">
        <f t="shared" ca="1" si="132"/>
        <v>0</v>
      </c>
      <c r="L210" s="225">
        <f t="shared" ca="1" si="132"/>
        <v>0</v>
      </c>
      <c r="M210" s="236">
        <f ca="1">IF($B208="","",SUM(M208:M209))</f>
        <v>13</v>
      </c>
      <c r="Q210" s="144"/>
      <c r="R210" s="144"/>
      <c r="S210" s="236" t="s">
        <v>19</v>
      </c>
      <c r="T210" s="236">
        <f ca="1">IF($R208="","",SUM(T208:T209))</f>
        <v>0</v>
      </c>
      <c r="U210" s="236">
        <f t="shared" ref="U210:AC210" ca="1" si="133">IF($R208="","",SUM(U208,U209))</f>
        <v>0</v>
      </c>
      <c r="V210" s="236">
        <f t="shared" ca="1" si="133"/>
        <v>0</v>
      </c>
      <c r="W210" s="225">
        <f t="shared" ca="1" si="133"/>
        <v>0</v>
      </c>
      <c r="X210" s="225">
        <f t="shared" ca="1" si="133"/>
        <v>0</v>
      </c>
      <c r="Y210" s="228">
        <f t="shared" ca="1" si="133"/>
        <v>0</v>
      </c>
      <c r="Z210" s="225">
        <f t="shared" ca="1" si="133"/>
        <v>0</v>
      </c>
      <c r="AA210" s="225">
        <f t="shared" ca="1" si="133"/>
        <v>0</v>
      </c>
      <c r="AB210" s="225">
        <f t="shared" ca="1" si="133"/>
        <v>0</v>
      </c>
      <c r="AC210" s="236">
        <f t="shared" ca="1" si="133"/>
        <v>0</v>
      </c>
    </row>
    <row r="211" spans="1:29" x14ac:dyDescent="0.25">
      <c r="A211" s="144">
        <f>A208+1</f>
        <v>14</v>
      </c>
      <c r="B211" s="148" t="str">
        <f>IF(IGRF!B27="","",IGRF!B27)</f>
        <v>N01</v>
      </c>
      <c r="C211" s="201" t="s">
        <v>17</v>
      </c>
      <c r="D211" s="201" t="str">
        <f ca="1">IF(OR($E211="",$E211=0),"",SUMPRODUCT(--($C$3:$C$78=$B211),D$3:D$78))</f>
        <v/>
      </c>
      <c r="E211" s="201">
        <f ca="1">IF($B211="","",SUMPRODUCT(--(C$3:C$78=$B211)))</f>
        <v>0</v>
      </c>
      <c r="F211" s="201" t="str">
        <f ca="1">IF(OR($E211="",$E211=0),"",SUMIF($C$3:$C$62,$B211,F$3:F$62))</f>
        <v/>
      </c>
      <c r="G211" s="237" t="str">
        <f t="shared" ref="G211:M211" ca="1" si="134">IF(OR($E211="",$E211=0),"",SUMPRODUCT(--($C$3:$C$78=$B211),G$3:G$78))</f>
        <v/>
      </c>
      <c r="H211" s="237" t="str">
        <f t="shared" ca="1" si="134"/>
        <v/>
      </c>
      <c r="I211" s="221" t="str">
        <f t="shared" ca="1" si="134"/>
        <v/>
      </c>
      <c r="J211" s="237" t="str">
        <f t="shared" ca="1" si="134"/>
        <v/>
      </c>
      <c r="K211" s="237" t="str">
        <f t="shared" ca="1" si="134"/>
        <v/>
      </c>
      <c r="L211" s="237" t="str">
        <f t="shared" ca="1" si="134"/>
        <v/>
      </c>
      <c r="M211" s="201" t="str">
        <f t="shared" ca="1" si="134"/>
        <v/>
      </c>
      <c r="Q211" s="144">
        <f>Q208+1</f>
        <v>14</v>
      </c>
      <c r="R211" s="144" t="str">
        <f>IF(IGRF!H27="","",IGRF!H27)</f>
        <v>K9</v>
      </c>
      <c r="S211" s="201" t="s">
        <v>17</v>
      </c>
      <c r="T211" s="201">
        <f ca="1">IF(OR($U211="",$U211=0),"",SUMPRODUCT(--($S$3:$S$78=$R211),T$3:T$78))</f>
        <v>4</v>
      </c>
      <c r="U211" s="201">
        <f ca="1">IF($R211="","",SUMPRODUCT(--(S$3:S$78=$R211)))</f>
        <v>5</v>
      </c>
      <c r="V211" s="201">
        <f t="shared" ref="V211:AC211" ca="1" si="135">IF(OR($U211="",$U211=0),"",SUMPRODUCT(--($S$3:$S$78=$R211),V$3:V$78))</f>
        <v>-12</v>
      </c>
      <c r="W211" s="237">
        <f t="shared" ca="1" si="135"/>
        <v>0</v>
      </c>
      <c r="X211" s="237">
        <f t="shared" ca="1" si="135"/>
        <v>2</v>
      </c>
      <c r="Y211" s="221">
        <f t="shared" ca="1" si="135"/>
        <v>-3</v>
      </c>
      <c r="Z211" s="237">
        <f t="shared" ca="1" si="135"/>
        <v>2</v>
      </c>
      <c r="AA211" s="237">
        <f t="shared" ca="1" si="135"/>
        <v>0</v>
      </c>
      <c r="AB211" s="237">
        <f t="shared" ca="1" si="135"/>
        <v>0</v>
      </c>
      <c r="AC211" s="201">
        <f t="shared" ca="1" si="135"/>
        <v>6</v>
      </c>
    </row>
    <row r="212" spans="1:29" x14ac:dyDescent="0.25">
      <c r="A212" s="144"/>
      <c r="B212" s="148"/>
      <c r="C212" s="201" t="s">
        <v>33</v>
      </c>
      <c r="D212" s="201" t="str">
        <f ca="1">IF(OR($E212="",$E212=0),"",SUMPRODUCT(--($C$88:$C$163=$B211),D$88:D$163))</f>
        <v/>
      </c>
      <c r="E212" s="201">
        <f ca="1">IF($B211="","",SUMPRODUCT(--(C$88:C$163=$B211)))</f>
        <v>0</v>
      </c>
      <c r="F212" s="201" t="str">
        <f ca="1">IF(OR($E212="",$E212=0),"",SUMIF($C$88:$C$147,$B211,F$88:F$147))</f>
        <v/>
      </c>
      <c r="G212" s="237" t="str">
        <f t="shared" ref="G212:M212" ca="1" si="136">IF(OR($E212="",$E212=0),"",SUMPRODUCT(--($C$88:$C$163=$B211),G$88:G$163))</f>
        <v/>
      </c>
      <c r="H212" s="237" t="str">
        <f t="shared" ca="1" si="136"/>
        <v/>
      </c>
      <c r="I212" s="221" t="str">
        <f t="shared" ca="1" si="136"/>
        <v/>
      </c>
      <c r="J212" s="237" t="str">
        <f t="shared" ca="1" si="136"/>
        <v/>
      </c>
      <c r="K212" s="237" t="str">
        <f t="shared" ca="1" si="136"/>
        <v/>
      </c>
      <c r="L212" s="237" t="str">
        <f t="shared" ca="1" si="136"/>
        <v/>
      </c>
      <c r="M212" s="201" t="str">
        <f t="shared" ca="1" si="136"/>
        <v/>
      </c>
      <c r="Q212" s="144"/>
      <c r="R212" s="144"/>
      <c r="S212" s="201" t="s">
        <v>33</v>
      </c>
      <c r="T212" s="201">
        <f ca="1">IF(OR($U212="",$U212=0),"",SUMPRODUCT(--($S$88:$S$163=$R211),T$88:T$163))</f>
        <v>16</v>
      </c>
      <c r="U212" s="201">
        <f ca="1">IF($R211="","",SUMPRODUCT(--(S$88:S$163=$R211)))</f>
        <v>5</v>
      </c>
      <c r="V212" s="201">
        <f t="shared" ref="V212:AC212" ca="1" si="137">IF(OR($U212="",$U212=0),"",SUMPRODUCT(--($S$88:$S$163=$R211),V$88:V$163))</f>
        <v>-8</v>
      </c>
      <c r="W212" s="237">
        <f t="shared" ca="1" si="137"/>
        <v>0</v>
      </c>
      <c r="X212" s="237">
        <f t="shared" ca="1" si="137"/>
        <v>3</v>
      </c>
      <c r="Y212" s="221">
        <f t="shared" ca="1" si="137"/>
        <v>12</v>
      </c>
      <c r="Z212" s="237">
        <f t="shared" ca="1" si="137"/>
        <v>3</v>
      </c>
      <c r="AA212" s="237">
        <f t="shared" ca="1" si="137"/>
        <v>0</v>
      </c>
      <c r="AB212" s="237">
        <f t="shared" ca="1" si="137"/>
        <v>2</v>
      </c>
      <c r="AC212" s="201">
        <f t="shared" ca="1" si="137"/>
        <v>5</v>
      </c>
    </row>
    <row r="213" spans="1:29" x14ac:dyDescent="0.25">
      <c r="A213" s="144"/>
      <c r="B213" s="148"/>
      <c r="C213" s="236" t="s">
        <v>19</v>
      </c>
      <c r="D213" s="236">
        <f ca="1">IF($B211="","",SUM(D211:D212))</f>
        <v>0</v>
      </c>
      <c r="E213" s="236">
        <f ca="1">IF($B211="","",SUM(E211:E212))</f>
        <v>0</v>
      </c>
      <c r="F213" s="236">
        <f ca="1">IF($B211="","",SUM(F211:F212))</f>
        <v>0</v>
      </c>
      <c r="G213" s="225">
        <f t="shared" ref="G213:L213" ca="1" si="138">IF($B211="","",SUM(G211,G212))</f>
        <v>0</v>
      </c>
      <c r="H213" s="225">
        <f t="shared" ca="1" si="138"/>
        <v>0</v>
      </c>
      <c r="I213" s="228">
        <f t="shared" ca="1" si="138"/>
        <v>0</v>
      </c>
      <c r="J213" s="225">
        <f t="shared" ca="1" si="138"/>
        <v>0</v>
      </c>
      <c r="K213" s="225">
        <f t="shared" ca="1" si="138"/>
        <v>0</v>
      </c>
      <c r="L213" s="225">
        <f t="shared" ca="1" si="138"/>
        <v>0</v>
      </c>
      <c r="M213" s="236">
        <f ca="1">IF($B211="","",SUM(M211:M212))</f>
        <v>0</v>
      </c>
      <c r="Q213" s="144"/>
      <c r="R213" s="144"/>
      <c r="S213" s="236" t="s">
        <v>19</v>
      </c>
      <c r="T213" s="236">
        <f ca="1">IF($R211="","",SUM(T211:T212))</f>
        <v>20</v>
      </c>
      <c r="U213" s="236">
        <f t="shared" ref="U213:AC213" ca="1" si="139">IF($R211="","",SUM(U211,U212))</f>
        <v>10</v>
      </c>
      <c r="V213" s="236">
        <f t="shared" ca="1" si="139"/>
        <v>-20</v>
      </c>
      <c r="W213" s="225">
        <f t="shared" ca="1" si="139"/>
        <v>0</v>
      </c>
      <c r="X213" s="225">
        <f t="shared" ca="1" si="139"/>
        <v>5</v>
      </c>
      <c r="Y213" s="228">
        <f t="shared" ca="1" si="139"/>
        <v>9</v>
      </c>
      <c r="Z213" s="225">
        <f t="shared" ca="1" si="139"/>
        <v>5</v>
      </c>
      <c r="AA213" s="225">
        <f t="shared" ca="1" si="139"/>
        <v>0</v>
      </c>
      <c r="AB213" s="225">
        <f t="shared" ca="1" si="139"/>
        <v>2</v>
      </c>
      <c r="AC213" s="236">
        <f t="shared" ca="1" si="139"/>
        <v>11</v>
      </c>
    </row>
    <row r="214" spans="1:29" x14ac:dyDescent="0.25">
      <c r="A214" s="144">
        <f>A211+1</f>
        <v>15</v>
      </c>
      <c r="B214" s="148" t="str">
        <f>IF(IGRF!B28="","",IGRF!B28)</f>
        <v/>
      </c>
      <c r="C214" s="201" t="s">
        <v>17</v>
      </c>
      <c r="D214" s="201" t="str">
        <f>IF(OR($E214="",$E214=0),"",SUMPRODUCT(--($C$3:$C$78=$B214),D$3:D$78))</f>
        <v/>
      </c>
      <c r="E214" s="201" t="str">
        <f>IF($B214="","",SUMPRODUCT(--(C$3:C$78=$B214)))</f>
        <v/>
      </c>
      <c r="F214" s="201" t="str">
        <f>IF(OR($E214="",$E214=0),"",SUMIF($C$3:$C$62,$B214,F$3:F$62))</f>
        <v/>
      </c>
      <c r="G214" s="237" t="str">
        <f t="shared" ref="G214:M214" si="140">IF(OR($E214="",$E214=0),"",SUMPRODUCT(--($C$3:$C$78=$B214),G$3:G$78))</f>
        <v/>
      </c>
      <c r="H214" s="237" t="str">
        <f t="shared" si="140"/>
        <v/>
      </c>
      <c r="I214" s="221" t="str">
        <f t="shared" si="140"/>
        <v/>
      </c>
      <c r="J214" s="237" t="str">
        <f t="shared" si="140"/>
        <v/>
      </c>
      <c r="K214" s="237" t="str">
        <f t="shared" si="140"/>
        <v/>
      </c>
      <c r="L214" s="237" t="str">
        <f t="shared" si="140"/>
        <v/>
      </c>
      <c r="M214" s="201" t="str">
        <f t="shared" si="140"/>
        <v/>
      </c>
      <c r="Q214" s="144">
        <f>Q211+1</f>
        <v>15</v>
      </c>
      <c r="R214" s="144" t="str">
        <f>IF(IGRF!H28="","",IGRF!H28)</f>
        <v/>
      </c>
      <c r="S214" s="201" t="s">
        <v>17</v>
      </c>
      <c r="T214" s="201" t="str">
        <f>IF(OR($U214="",$U214=0),"",SUMPRODUCT(--($S$3:$S$78=$R214),T$3:T$78))</f>
        <v/>
      </c>
      <c r="U214" s="201" t="str">
        <f>IF($R214="","",SUMPRODUCT(--(S$3:S$78=$R214)))</f>
        <v/>
      </c>
      <c r="V214" s="201" t="str">
        <f t="shared" ref="V214:AC214" si="141">IF(OR($U214="",$U214=0),"",SUMPRODUCT(--($S$3:$S$78=$R214),V$3:V$78))</f>
        <v/>
      </c>
      <c r="W214" s="237" t="str">
        <f t="shared" si="141"/>
        <v/>
      </c>
      <c r="X214" s="237" t="str">
        <f t="shared" si="141"/>
        <v/>
      </c>
      <c r="Y214" s="221" t="str">
        <f t="shared" si="141"/>
        <v/>
      </c>
      <c r="Z214" s="237" t="str">
        <f t="shared" si="141"/>
        <v/>
      </c>
      <c r="AA214" s="237" t="str">
        <f t="shared" si="141"/>
        <v/>
      </c>
      <c r="AB214" s="237" t="str">
        <f t="shared" si="141"/>
        <v/>
      </c>
      <c r="AC214" s="201" t="str">
        <f t="shared" si="141"/>
        <v/>
      </c>
    </row>
    <row r="215" spans="1:29" x14ac:dyDescent="0.25">
      <c r="A215" s="144"/>
      <c r="B215" s="148"/>
      <c r="C215" s="201" t="s">
        <v>33</v>
      </c>
      <c r="D215" s="201" t="str">
        <f>IF(OR($E215="",$E215=0),"",SUMPRODUCT(--($C$88:$C$163=$B214),D$88:D$163))</f>
        <v/>
      </c>
      <c r="E215" s="201" t="str">
        <f>IF($B214="","",SUMPRODUCT(--(C$88:C$163=$B214)))</f>
        <v/>
      </c>
      <c r="F215" s="201" t="str">
        <f>IF(OR($E215="",$E215=0),"",SUMIF($C$88:$C$147,$B214,F$88:F$147))</f>
        <v/>
      </c>
      <c r="G215" s="237" t="str">
        <f t="shared" ref="G215:M215" si="142">IF(OR($E215="",$E215=0),"",SUMPRODUCT(--($C$88:$C$163=$B214),G$88:G$163))</f>
        <v/>
      </c>
      <c r="H215" s="237" t="str">
        <f t="shared" si="142"/>
        <v/>
      </c>
      <c r="I215" s="221" t="str">
        <f t="shared" si="142"/>
        <v/>
      </c>
      <c r="J215" s="237" t="str">
        <f t="shared" si="142"/>
        <v/>
      </c>
      <c r="K215" s="237" t="str">
        <f t="shared" si="142"/>
        <v/>
      </c>
      <c r="L215" s="237" t="str">
        <f t="shared" si="142"/>
        <v/>
      </c>
      <c r="M215" s="201" t="str">
        <f t="shared" si="142"/>
        <v/>
      </c>
      <c r="Q215" s="144"/>
      <c r="R215" s="144"/>
      <c r="S215" s="201" t="s">
        <v>33</v>
      </c>
      <c r="T215" s="201" t="str">
        <f>IF(OR($U215="",$U215=0),"",SUMPRODUCT(--($S$88:$S$163=$R214),T$88:T$163))</f>
        <v/>
      </c>
      <c r="U215" s="201" t="str">
        <f>IF($R214="","",SUMPRODUCT(--(S$88:S$163=$R214)))</f>
        <v/>
      </c>
      <c r="V215" s="201" t="str">
        <f t="shared" ref="V215:AC215" si="143">IF(OR($U215="",$U215=0),"",SUMPRODUCT(--($S$88:$S$163=$R214),V$88:V$163))</f>
        <v/>
      </c>
      <c r="W215" s="237" t="str">
        <f t="shared" si="143"/>
        <v/>
      </c>
      <c r="X215" s="237" t="str">
        <f t="shared" si="143"/>
        <v/>
      </c>
      <c r="Y215" s="221" t="str">
        <f t="shared" si="143"/>
        <v/>
      </c>
      <c r="Z215" s="237" t="str">
        <f t="shared" si="143"/>
        <v/>
      </c>
      <c r="AA215" s="237" t="str">
        <f t="shared" si="143"/>
        <v/>
      </c>
      <c r="AB215" s="237" t="str">
        <f t="shared" si="143"/>
        <v/>
      </c>
      <c r="AC215" s="201" t="str">
        <f t="shared" si="143"/>
        <v/>
      </c>
    </row>
    <row r="216" spans="1:29" x14ac:dyDescent="0.25">
      <c r="A216" s="144"/>
      <c r="B216" s="148"/>
      <c r="C216" s="236" t="s">
        <v>19</v>
      </c>
      <c r="D216" s="236" t="str">
        <f>IF($B214="","",SUM(D214:D215))</f>
        <v/>
      </c>
      <c r="E216" s="236" t="str">
        <f>IF($B214="","",SUM(E214:E215))</f>
        <v/>
      </c>
      <c r="F216" s="236" t="str">
        <f>IF($B214="","",SUM(F214:F215))</f>
        <v/>
      </c>
      <c r="G216" s="225" t="str">
        <f t="shared" ref="G216:L216" si="144">IF($B214="","",SUM(G214,G215))</f>
        <v/>
      </c>
      <c r="H216" s="225" t="str">
        <f t="shared" si="144"/>
        <v/>
      </c>
      <c r="I216" s="228" t="str">
        <f t="shared" si="144"/>
        <v/>
      </c>
      <c r="J216" s="225" t="str">
        <f t="shared" si="144"/>
        <v/>
      </c>
      <c r="K216" s="225" t="str">
        <f t="shared" si="144"/>
        <v/>
      </c>
      <c r="L216" s="225" t="str">
        <f t="shared" si="144"/>
        <v/>
      </c>
      <c r="M216" s="236" t="str">
        <f>IF($B214="","",SUM(M214:M215))</f>
        <v/>
      </c>
      <c r="Q216" s="144"/>
      <c r="R216" s="144"/>
      <c r="S216" s="236" t="s">
        <v>19</v>
      </c>
      <c r="T216" s="236" t="str">
        <f>IF($R214="","",SUM(T214:T215))</f>
        <v/>
      </c>
      <c r="U216" s="236" t="str">
        <f t="shared" ref="U216:AC216" si="145">IF($R214="","",SUM(U214,U215))</f>
        <v/>
      </c>
      <c r="V216" s="236" t="str">
        <f t="shared" si="145"/>
        <v/>
      </c>
      <c r="W216" s="225" t="str">
        <f t="shared" si="145"/>
        <v/>
      </c>
      <c r="X216" s="225" t="str">
        <f t="shared" si="145"/>
        <v/>
      </c>
      <c r="Y216" s="228" t="str">
        <f t="shared" si="145"/>
        <v/>
      </c>
      <c r="Z216" s="225" t="str">
        <f t="shared" si="145"/>
        <v/>
      </c>
      <c r="AA216" s="225" t="str">
        <f t="shared" si="145"/>
        <v/>
      </c>
      <c r="AB216" s="225" t="str">
        <f t="shared" si="145"/>
        <v/>
      </c>
      <c r="AC216" s="236" t="str">
        <f t="shared" si="145"/>
        <v/>
      </c>
    </row>
    <row r="217" spans="1:29" x14ac:dyDescent="0.25">
      <c r="A217" s="144">
        <f>A214+1</f>
        <v>16</v>
      </c>
      <c r="B217" s="148" t="str">
        <f>IF(IGRF!B29="","",IGRF!B29)</f>
        <v/>
      </c>
      <c r="C217" s="201" t="s">
        <v>17</v>
      </c>
      <c r="D217" s="201" t="str">
        <f>IF(OR($E217="",$E217=0),"",SUMPRODUCT(--($C$3:$C$78=$B217),D$3:D$78))</f>
        <v/>
      </c>
      <c r="E217" s="201" t="str">
        <f>IF($B217="","",SUMPRODUCT(--(C$3:C$78=$B217)))</f>
        <v/>
      </c>
      <c r="F217" s="201" t="str">
        <f>IF(OR($E217="",$E217=0),"",SUMIF($C$3:$C$62,$B217,F$3:F$62))</f>
        <v/>
      </c>
      <c r="G217" s="237" t="str">
        <f t="shared" ref="G217:M217" si="146">IF(OR($E217="",$E217=0),"",SUMPRODUCT(--($C$3:$C$78=$B217),G$3:G$78))</f>
        <v/>
      </c>
      <c r="H217" s="237" t="str">
        <f t="shared" si="146"/>
        <v/>
      </c>
      <c r="I217" s="221" t="str">
        <f t="shared" si="146"/>
        <v/>
      </c>
      <c r="J217" s="237" t="str">
        <f t="shared" si="146"/>
        <v/>
      </c>
      <c r="K217" s="237" t="str">
        <f t="shared" si="146"/>
        <v/>
      </c>
      <c r="L217" s="237" t="str">
        <f t="shared" si="146"/>
        <v/>
      </c>
      <c r="M217" s="201" t="str">
        <f t="shared" si="146"/>
        <v/>
      </c>
      <c r="Q217" s="144">
        <f>Q214+1</f>
        <v>16</v>
      </c>
      <c r="R217" s="144" t="str">
        <f>IF(IGRF!H29="","",IGRF!H29)</f>
        <v/>
      </c>
      <c r="S217" s="201" t="s">
        <v>17</v>
      </c>
      <c r="T217" s="201" t="str">
        <f>IF(OR($U217="",$U217=0),"",SUMPRODUCT(--($S$3:$S$78=$R217),T$3:T$78))</f>
        <v/>
      </c>
      <c r="U217" s="201" t="str">
        <f>IF($R217="","",SUMPRODUCT(--(S$3:S$78=$R217)))</f>
        <v/>
      </c>
      <c r="V217" s="201" t="str">
        <f t="shared" ref="V217:AC217" si="147">IF(OR($U217="",$U217=0),"",SUMPRODUCT(--($S$3:$S$78=$R217),V$3:V$78))</f>
        <v/>
      </c>
      <c r="W217" s="237" t="str">
        <f t="shared" si="147"/>
        <v/>
      </c>
      <c r="X217" s="237" t="str">
        <f t="shared" si="147"/>
        <v/>
      </c>
      <c r="Y217" s="221" t="str">
        <f t="shared" si="147"/>
        <v/>
      </c>
      <c r="Z217" s="237" t="str">
        <f t="shared" si="147"/>
        <v/>
      </c>
      <c r="AA217" s="237" t="str">
        <f t="shared" si="147"/>
        <v/>
      </c>
      <c r="AB217" s="237" t="str">
        <f t="shared" si="147"/>
        <v/>
      </c>
      <c r="AC217" s="201" t="str">
        <f t="shared" si="147"/>
        <v/>
      </c>
    </row>
    <row r="218" spans="1:29" x14ac:dyDescent="0.25">
      <c r="A218" s="144"/>
      <c r="B218" s="148"/>
      <c r="C218" s="201" t="s">
        <v>33</v>
      </c>
      <c r="D218" s="201" t="str">
        <f>IF(OR($E218="",$E218=0),"",SUMPRODUCT(--($C$88:$C$163=$B217),D$88:D$163))</f>
        <v/>
      </c>
      <c r="E218" s="201" t="str">
        <f>IF($B217="","",SUMPRODUCT(--(C$88:C$163=$B217)))</f>
        <v/>
      </c>
      <c r="F218" s="201" t="str">
        <f>IF(OR($E218="",$E218=0),"",SUMIF($C$88:$C$147,$B217,F$88:F$147))</f>
        <v/>
      </c>
      <c r="G218" s="237" t="str">
        <f t="shared" ref="G218:M218" si="148">IF(OR($E218="",$E218=0),"",SUMPRODUCT(--($C$88:$C$163=$B217),G$88:G$163))</f>
        <v/>
      </c>
      <c r="H218" s="237" t="str">
        <f t="shared" si="148"/>
        <v/>
      </c>
      <c r="I218" s="221" t="str">
        <f t="shared" si="148"/>
        <v/>
      </c>
      <c r="J218" s="237" t="str">
        <f t="shared" si="148"/>
        <v/>
      </c>
      <c r="K218" s="237" t="str">
        <f t="shared" si="148"/>
        <v/>
      </c>
      <c r="L218" s="237" t="str">
        <f t="shared" si="148"/>
        <v/>
      </c>
      <c r="M218" s="201" t="str">
        <f t="shared" si="148"/>
        <v/>
      </c>
      <c r="Q218" s="144"/>
      <c r="R218" s="144"/>
      <c r="S218" s="201" t="s">
        <v>33</v>
      </c>
      <c r="T218" s="201" t="str">
        <f>IF(OR($U218="",$U218=0),"",SUMPRODUCT(--($S$88:$S$163=$R217),T$88:T$163))</f>
        <v/>
      </c>
      <c r="U218" s="201" t="str">
        <f>IF($R217="","",SUMPRODUCT(--(S$88:S$163=$R217)))</f>
        <v/>
      </c>
      <c r="V218" s="201" t="str">
        <f t="shared" ref="V218:AC218" si="149">IF(OR($U218="",$U218=0),"",SUMPRODUCT(--($S$88:$S$163=$R217),V$88:V$163))</f>
        <v/>
      </c>
      <c r="W218" s="237" t="str">
        <f t="shared" si="149"/>
        <v/>
      </c>
      <c r="X218" s="237" t="str">
        <f t="shared" si="149"/>
        <v/>
      </c>
      <c r="Y218" s="221" t="str">
        <f t="shared" si="149"/>
        <v/>
      </c>
      <c r="Z218" s="237" t="str">
        <f t="shared" si="149"/>
        <v/>
      </c>
      <c r="AA218" s="237" t="str">
        <f t="shared" si="149"/>
        <v/>
      </c>
      <c r="AB218" s="237" t="str">
        <f t="shared" si="149"/>
        <v/>
      </c>
      <c r="AC218" s="201" t="str">
        <f t="shared" si="149"/>
        <v/>
      </c>
    </row>
    <row r="219" spans="1:29" x14ac:dyDescent="0.25">
      <c r="A219" s="144"/>
      <c r="B219" s="148"/>
      <c r="C219" s="236" t="s">
        <v>19</v>
      </c>
      <c r="D219" s="236" t="str">
        <f>IF($B217="","",SUM(D217:D218))</f>
        <v/>
      </c>
      <c r="E219" s="236" t="str">
        <f>IF($B217="","",SUM(E217:E218))</f>
        <v/>
      </c>
      <c r="F219" s="236" t="str">
        <f>IF($B217="","",SUM(F217:F218))</f>
        <v/>
      </c>
      <c r="G219" s="225" t="str">
        <f t="shared" ref="G219:L219" si="150">IF($B217="","",SUM(G217,G218))</f>
        <v/>
      </c>
      <c r="H219" s="225" t="str">
        <f t="shared" si="150"/>
        <v/>
      </c>
      <c r="I219" s="228" t="str">
        <f t="shared" si="150"/>
        <v/>
      </c>
      <c r="J219" s="225" t="str">
        <f t="shared" si="150"/>
        <v/>
      </c>
      <c r="K219" s="225" t="str">
        <f t="shared" si="150"/>
        <v/>
      </c>
      <c r="L219" s="225" t="str">
        <f t="shared" si="150"/>
        <v/>
      </c>
      <c r="M219" s="236" t="str">
        <f>IF($B217="","",SUM(M217:M218))</f>
        <v/>
      </c>
      <c r="Q219" s="144"/>
      <c r="R219" s="144"/>
      <c r="S219" s="236" t="s">
        <v>19</v>
      </c>
      <c r="T219" s="236" t="str">
        <f>IF($R217="","",SUM(T217:T218))</f>
        <v/>
      </c>
      <c r="U219" s="236" t="str">
        <f t="shared" ref="U219:AC219" si="151">IF($R217="","",SUM(U217,U218))</f>
        <v/>
      </c>
      <c r="V219" s="236" t="str">
        <f t="shared" si="151"/>
        <v/>
      </c>
      <c r="W219" s="225" t="str">
        <f t="shared" si="151"/>
        <v/>
      </c>
      <c r="X219" s="225" t="str">
        <f t="shared" si="151"/>
        <v/>
      </c>
      <c r="Y219" s="228" t="str">
        <f t="shared" si="151"/>
        <v/>
      </c>
      <c r="Z219" s="225" t="str">
        <f t="shared" si="151"/>
        <v/>
      </c>
      <c r="AA219" s="225" t="str">
        <f t="shared" si="151"/>
        <v/>
      </c>
      <c r="AB219" s="225" t="str">
        <f t="shared" si="151"/>
        <v/>
      </c>
      <c r="AC219" s="236" t="str">
        <f t="shared" si="151"/>
        <v/>
      </c>
    </row>
    <row r="220" spans="1:29" x14ac:dyDescent="0.25">
      <c r="A220" s="144">
        <f>A217+1</f>
        <v>17</v>
      </c>
      <c r="B220" s="148" t="str">
        <f>IF(IGRF!B30="","",IGRF!B30)</f>
        <v/>
      </c>
      <c r="C220" s="201" t="s">
        <v>17</v>
      </c>
      <c r="D220" s="201" t="str">
        <f>IF(OR($E220="",$E220=0),"",SUMPRODUCT(--($C$3:$C$78=$B220),D$3:D$78))</f>
        <v/>
      </c>
      <c r="E220" s="201" t="str">
        <f>IF($B220="","",SUMPRODUCT(--(C$3:C$78=$B220)))</f>
        <v/>
      </c>
      <c r="F220" s="201" t="str">
        <f>IF(OR($E220="",$E220=0),"",SUMIF($C$3:$C$62,$B220,F$3:F$62))</f>
        <v/>
      </c>
      <c r="G220" s="237" t="str">
        <f t="shared" ref="G220:M220" si="152">IF(OR($E220="",$E220=0),"",SUMPRODUCT(--($C$3:$C$78=$B220),G$3:G$78))</f>
        <v/>
      </c>
      <c r="H220" s="237" t="str">
        <f t="shared" si="152"/>
        <v/>
      </c>
      <c r="I220" s="221" t="str">
        <f t="shared" si="152"/>
        <v/>
      </c>
      <c r="J220" s="237" t="str">
        <f t="shared" si="152"/>
        <v/>
      </c>
      <c r="K220" s="237" t="str">
        <f t="shared" si="152"/>
        <v/>
      </c>
      <c r="L220" s="237" t="str">
        <f t="shared" si="152"/>
        <v/>
      </c>
      <c r="M220" s="201" t="str">
        <f t="shared" si="152"/>
        <v/>
      </c>
      <c r="Q220" s="144">
        <f>Q217+1</f>
        <v>17</v>
      </c>
      <c r="R220" s="144" t="str">
        <f>IF(IGRF!H30="","",IGRF!H30)</f>
        <v/>
      </c>
      <c r="S220" s="201" t="s">
        <v>17</v>
      </c>
      <c r="T220" s="201" t="str">
        <f>IF(OR($U220="",$U220=0),"",SUMPRODUCT(--($S$3:$S$78=$R220),T$3:T$78))</f>
        <v/>
      </c>
      <c r="U220" s="201" t="str">
        <f>IF($R220="","",SUMPRODUCT(--(S$3:S$78=$R220)))</f>
        <v/>
      </c>
      <c r="V220" s="201" t="str">
        <f t="shared" ref="V220:AC220" si="153">IF(OR($U220="",$U220=0),"",SUMPRODUCT(--($S$3:$S$78=$R220),V$3:V$78))</f>
        <v/>
      </c>
      <c r="W220" s="237" t="str">
        <f t="shared" si="153"/>
        <v/>
      </c>
      <c r="X220" s="237" t="str">
        <f t="shared" si="153"/>
        <v/>
      </c>
      <c r="Y220" s="221" t="str">
        <f t="shared" si="153"/>
        <v/>
      </c>
      <c r="Z220" s="237" t="str">
        <f t="shared" si="153"/>
        <v/>
      </c>
      <c r="AA220" s="237" t="str">
        <f t="shared" si="153"/>
        <v/>
      </c>
      <c r="AB220" s="237" t="str">
        <f t="shared" si="153"/>
        <v/>
      </c>
      <c r="AC220" s="201" t="str">
        <f t="shared" si="153"/>
        <v/>
      </c>
    </row>
    <row r="221" spans="1:29" x14ac:dyDescent="0.25">
      <c r="A221" s="144"/>
      <c r="B221" s="148"/>
      <c r="C221" s="201" t="s">
        <v>33</v>
      </c>
      <c r="D221" s="201" t="str">
        <f>IF(OR($E221="",$E221=0),"",SUMPRODUCT(--($C$88:$C$163=$B220),D$88:D$163))</f>
        <v/>
      </c>
      <c r="E221" s="201" t="str">
        <f>IF($B220="","",SUMPRODUCT(--(C$88:C$163=$B220)))</f>
        <v/>
      </c>
      <c r="F221" s="201" t="str">
        <f>IF(OR($E221="",$E221=0),"",SUMIF($C$88:$C$147,$B220,F$88:F$147))</f>
        <v/>
      </c>
      <c r="G221" s="237" t="str">
        <f t="shared" ref="G221:M221" si="154">IF(OR($E221="",$E221=0),"",SUMPRODUCT(--($C$88:$C$163=$B220),G$88:G$163))</f>
        <v/>
      </c>
      <c r="H221" s="237" t="str">
        <f t="shared" si="154"/>
        <v/>
      </c>
      <c r="I221" s="221" t="str">
        <f t="shared" si="154"/>
        <v/>
      </c>
      <c r="J221" s="237" t="str">
        <f t="shared" si="154"/>
        <v/>
      </c>
      <c r="K221" s="237" t="str">
        <f t="shared" si="154"/>
        <v/>
      </c>
      <c r="L221" s="237" t="str">
        <f t="shared" si="154"/>
        <v/>
      </c>
      <c r="M221" s="201" t="str">
        <f t="shared" si="154"/>
        <v/>
      </c>
      <c r="Q221" s="144"/>
      <c r="R221" s="144"/>
      <c r="S221" s="201" t="s">
        <v>33</v>
      </c>
      <c r="T221" s="201" t="str">
        <f>IF(OR($U221="",$U221=0),"",SUMPRODUCT(--($S$88:$S$163=$R220),T$88:T$163))</f>
        <v/>
      </c>
      <c r="U221" s="201" t="str">
        <f>IF($R220="","",SUMPRODUCT(--(S$88:S$163=$R220)))</f>
        <v/>
      </c>
      <c r="V221" s="201" t="str">
        <f t="shared" ref="V221:AC221" si="155">IF(OR($U221="",$U221=0),"",SUMPRODUCT(--($S$88:$S$163=$R220),V$88:V$163))</f>
        <v/>
      </c>
      <c r="W221" s="237" t="str">
        <f t="shared" si="155"/>
        <v/>
      </c>
      <c r="X221" s="237" t="str">
        <f t="shared" si="155"/>
        <v/>
      </c>
      <c r="Y221" s="221" t="str">
        <f t="shared" si="155"/>
        <v/>
      </c>
      <c r="Z221" s="237" t="str">
        <f t="shared" si="155"/>
        <v/>
      </c>
      <c r="AA221" s="237" t="str">
        <f t="shared" si="155"/>
        <v/>
      </c>
      <c r="AB221" s="237" t="str">
        <f t="shared" si="155"/>
        <v/>
      </c>
      <c r="AC221" s="201" t="str">
        <f t="shared" si="155"/>
        <v/>
      </c>
    </row>
    <row r="222" spans="1:29" x14ac:dyDescent="0.25">
      <c r="A222" s="144"/>
      <c r="B222" s="148"/>
      <c r="C222" s="236" t="s">
        <v>19</v>
      </c>
      <c r="D222" s="236" t="str">
        <f>IF($B220="","",SUM(D220:D221))</f>
        <v/>
      </c>
      <c r="E222" s="236" t="str">
        <f>IF($B220="","",SUM(E220:E221))</f>
        <v/>
      </c>
      <c r="F222" s="236" t="str">
        <f>IF($B220="","",SUM(F220:F221))</f>
        <v/>
      </c>
      <c r="G222" s="225" t="str">
        <f t="shared" ref="G222:L222" si="156">IF($B220="","",SUM(G220,G221))</f>
        <v/>
      </c>
      <c r="H222" s="225" t="str">
        <f t="shared" si="156"/>
        <v/>
      </c>
      <c r="I222" s="228" t="str">
        <f t="shared" si="156"/>
        <v/>
      </c>
      <c r="J222" s="225" t="str">
        <f t="shared" si="156"/>
        <v/>
      </c>
      <c r="K222" s="225" t="str">
        <f t="shared" si="156"/>
        <v/>
      </c>
      <c r="L222" s="225" t="str">
        <f t="shared" si="156"/>
        <v/>
      </c>
      <c r="M222" s="236" t="str">
        <f>IF($B220="","",SUM(M220:M221))</f>
        <v/>
      </c>
      <c r="Q222" s="144"/>
      <c r="R222" s="144"/>
      <c r="S222" s="236" t="s">
        <v>19</v>
      </c>
      <c r="T222" s="236" t="str">
        <f>IF($R220="","",SUM(T220:T221))</f>
        <v/>
      </c>
      <c r="U222" s="236" t="str">
        <f t="shared" ref="U222:AC222" si="157">IF($R220="","",SUM(U220,U221))</f>
        <v/>
      </c>
      <c r="V222" s="236" t="str">
        <f t="shared" si="157"/>
        <v/>
      </c>
      <c r="W222" s="225" t="str">
        <f t="shared" si="157"/>
        <v/>
      </c>
      <c r="X222" s="225" t="str">
        <f t="shared" si="157"/>
        <v/>
      </c>
      <c r="Y222" s="228" t="str">
        <f t="shared" si="157"/>
        <v/>
      </c>
      <c r="Z222" s="225" t="str">
        <f t="shared" si="157"/>
        <v/>
      </c>
      <c r="AA222" s="225" t="str">
        <f t="shared" si="157"/>
        <v/>
      </c>
      <c r="AB222" s="225" t="str">
        <f t="shared" si="157"/>
        <v/>
      </c>
      <c r="AC222" s="236" t="str">
        <f t="shared" si="157"/>
        <v/>
      </c>
    </row>
    <row r="223" spans="1:29" x14ac:dyDescent="0.25">
      <c r="A223" s="144">
        <f>A220+1</f>
        <v>18</v>
      </c>
      <c r="B223" s="148" t="str">
        <f>IF(IGRF!B31="","",IGRF!B31)</f>
        <v/>
      </c>
      <c r="C223" s="201" t="s">
        <v>17</v>
      </c>
      <c r="D223" s="201" t="str">
        <f>IF(OR($E223="",$E223=0),"",SUMPRODUCT(--($C$3:$C$78=$B223),D$3:D$78))</f>
        <v/>
      </c>
      <c r="E223" s="201" t="str">
        <f>IF($B223="","",SUMPRODUCT(--(C$3:C$78=$B223)))</f>
        <v/>
      </c>
      <c r="F223" s="201" t="str">
        <f>IF(OR($E223="",$E223=0),"",SUMIF($C$3:$C$62,$B223,F$3:F$62))</f>
        <v/>
      </c>
      <c r="G223" s="237" t="str">
        <f t="shared" ref="G223:M223" si="158">IF(OR($E223="",$E223=0),"",SUMPRODUCT(--($C$3:$C$78=$B223),G$3:G$78))</f>
        <v/>
      </c>
      <c r="H223" s="237" t="str">
        <f t="shared" si="158"/>
        <v/>
      </c>
      <c r="I223" s="221" t="str">
        <f t="shared" si="158"/>
        <v/>
      </c>
      <c r="J223" s="237" t="str">
        <f t="shared" si="158"/>
        <v/>
      </c>
      <c r="K223" s="237" t="str">
        <f t="shared" si="158"/>
        <v/>
      </c>
      <c r="L223" s="237" t="str">
        <f t="shared" si="158"/>
        <v/>
      </c>
      <c r="M223" s="201" t="str">
        <f t="shared" si="158"/>
        <v/>
      </c>
      <c r="Q223" s="144">
        <f>Q220+1</f>
        <v>18</v>
      </c>
      <c r="R223" s="144" t="str">
        <f>IF(IGRF!H31="","",IGRF!H31)</f>
        <v/>
      </c>
      <c r="S223" s="201" t="s">
        <v>17</v>
      </c>
      <c r="T223" s="201" t="str">
        <f>IF(OR($U223="",$U223=0),"",SUMPRODUCT(--($S$3:$S$78=$R223),T$3:T$78))</f>
        <v/>
      </c>
      <c r="U223" s="201" t="str">
        <f>IF($R223="","",SUMPRODUCT(--(S$3:S$78=$R223)))</f>
        <v/>
      </c>
      <c r="V223" s="201" t="str">
        <f t="shared" ref="V223:AC223" si="159">IF(OR($U223="",$U223=0),"",SUMPRODUCT(--($S$3:$S$78=$R223),V$3:V$78))</f>
        <v/>
      </c>
      <c r="W223" s="237" t="str">
        <f t="shared" si="159"/>
        <v/>
      </c>
      <c r="X223" s="237" t="str">
        <f t="shared" si="159"/>
        <v/>
      </c>
      <c r="Y223" s="221" t="str">
        <f t="shared" si="159"/>
        <v/>
      </c>
      <c r="Z223" s="237" t="str">
        <f t="shared" si="159"/>
        <v/>
      </c>
      <c r="AA223" s="237" t="str">
        <f t="shared" si="159"/>
        <v/>
      </c>
      <c r="AB223" s="237" t="str">
        <f t="shared" si="159"/>
        <v/>
      </c>
      <c r="AC223" s="201" t="str">
        <f t="shared" si="159"/>
        <v/>
      </c>
    </row>
    <row r="224" spans="1:29" x14ac:dyDescent="0.25">
      <c r="A224" s="144"/>
      <c r="B224" s="148"/>
      <c r="C224" s="201" t="s">
        <v>33</v>
      </c>
      <c r="D224" s="201" t="str">
        <f>IF(OR($E224="",$E224=0),"",SUMPRODUCT(--($C$88:$C$163=$B223),D$88:D$163))</f>
        <v/>
      </c>
      <c r="E224" s="201" t="str">
        <f>IF($B223="","",SUMPRODUCT(--(C$88:C$163=$B223)))</f>
        <v/>
      </c>
      <c r="F224" s="201" t="str">
        <f>IF(OR($E224="",$E224=0),"",SUMIF($C$88:$C$147,$B223,F$88:F$147))</f>
        <v/>
      </c>
      <c r="G224" s="237" t="str">
        <f t="shared" ref="G224:M224" si="160">IF(OR($E224="",$E224=0),"",SUMPRODUCT(--($C$88:$C$163=$B223),G$88:G$163))</f>
        <v/>
      </c>
      <c r="H224" s="237" t="str">
        <f t="shared" si="160"/>
        <v/>
      </c>
      <c r="I224" s="221" t="str">
        <f t="shared" si="160"/>
        <v/>
      </c>
      <c r="J224" s="237" t="str">
        <f t="shared" si="160"/>
        <v/>
      </c>
      <c r="K224" s="237" t="str">
        <f t="shared" si="160"/>
        <v/>
      </c>
      <c r="L224" s="237" t="str">
        <f t="shared" si="160"/>
        <v/>
      </c>
      <c r="M224" s="201" t="str">
        <f t="shared" si="160"/>
        <v/>
      </c>
      <c r="Q224" s="144"/>
      <c r="R224" s="144"/>
      <c r="S224" s="201" t="s">
        <v>33</v>
      </c>
      <c r="T224" s="201" t="str">
        <f>IF(OR($U224="",$U224=0),"",SUMPRODUCT(--($S$88:$S$163=$R223),T$88:T$163))</f>
        <v/>
      </c>
      <c r="U224" s="201" t="str">
        <f>IF($R223="","",SUMPRODUCT(--(S$88:S$163=$R223)))</f>
        <v/>
      </c>
      <c r="V224" s="201" t="str">
        <f t="shared" ref="V224:AC224" si="161">IF(OR($U224="",$U224=0),"",SUMPRODUCT(--($S$88:$S$163=$R223),V$88:V$163))</f>
        <v/>
      </c>
      <c r="W224" s="237" t="str">
        <f t="shared" si="161"/>
        <v/>
      </c>
      <c r="X224" s="237" t="str">
        <f t="shared" si="161"/>
        <v/>
      </c>
      <c r="Y224" s="221" t="str">
        <f t="shared" si="161"/>
        <v/>
      </c>
      <c r="Z224" s="237" t="str">
        <f t="shared" si="161"/>
        <v/>
      </c>
      <c r="AA224" s="237" t="str">
        <f t="shared" si="161"/>
        <v/>
      </c>
      <c r="AB224" s="237" t="str">
        <f t="shared" si="161"/>
        <v/>
      </c>
      <c r="AC224" s="201" t="str">
        <f t="shared" si="161"/>
        <v/>
      </c>
    </row>
    <row r="225" spans="1:29" x14ac:dyDescent="0.25">
      <c r="A225" s="144"/>
      <c r="B225" s="148"/>
      <c r="C225" s="236" t="s">
        <v>19</v>
      </c>
      <c r="D225" s="236" t="str">
        <f>IF($B223="","",SUM(D223:D224))</f>
        <v/>
      </c>
      <c r="E225" s="236" t="str">
        <f>IF($B223="","",SUM(E223:E224))</f>
        <v/>
      </c>
      <c r="F225" s="236" t="str">
        <f>IF($B223="","",SUM(F223:F224))</f>
        <v/>
      </c>
      <c r="G225" s="225" t="str">
        <f t="shared" ref="G225:L225" si="162">IF($B223="","",SUM(G223,G224))</f>
        <v/>
      </c>
      <c r="H225" s="225" t="str">
        <f t="shared" si="162"/>
        <v/>
      </c>
      <c r="I225" s="228" t="str">
        <f t="shared" si="162"/>
        <v/>
      </c>
      <c r="J225" s="225" t="str">
        <f t="shared" si="162"/>
        <v/>
      </c>
      <c r="K225" s="225" t="str">
        <f t="shared" si="162"/>
        <v/>
      </c>
      <c r="L225" s="225" t="str">
        <f t="shared" si="162"/>
        <v/>
      </c>
      <c r="M225" s="236" t="str">
        <f>IF($B223="","",SUM(M223:M224))</f>
        <v/>
      </c>
      <c r="Q225" s="144"/>
      <c r="R225" s="144"/>
      <c r="S225" s="236" t="s">
        <v>19</v>
      </c>
      <c r="T225" s="236" t="str">
        <f>IF($R223="","",SUM(T223:T224))</f>
        <v/>
      </c>
      <c r="U225" s="236" t="str">
        <f t="shared" ref="U225:AC225" si="163">IF($R223="","",SUM(U223,U224))</f>
        <v/>
      </c>
      <c r="V225" s="236" t="str">
        <f t="shared" si="163"/>
        <v/>
      </c>
      <c r="W225" s="225" t="str">
        <f t="shared" si="163"/>
        <v/>
      </c>
      <c r="X225" s="225" t="str">
        <f t="shared" si="163"/>
        <v/>
      </c>
      <c r="Y225" s="228" t="str">
        <f t="shared" si="163"/>
        <v/>
      </c>
      <c r="Z225" s="225" t="str">
        <f t="shared" si="163"/>
        <v/>
      </c>
      <c r="AA225" s="225" t="str">
        <f t="shared" si="163"/>
        <v/>
      </c>
      <c r="AB225" s="225" t="str">
        <f t="shared" si="163"/>
        <v/>
      </c>
      <c r="AC225" s="236" t="str">
        <f t="shared" si="163"/>
        <v/>
      </c>
    </row>
    <row r="226" spans="1:29" x14ac:dyDescent="0.25">
      <c r="A226" s="144">
        <f>A223+1</f>
        <v>19</v>
      </c>
      <c r="B226" s="148" t="str">
        <f>IF(IGRF!B32="","",IGRF!B32)</f>
        <v/>
      </c>
      <c r="C226" s="201" t="s">
        <v>17</v>
      </c>
      <c r="D226" s="201" t="str">
        <f>IF(OR($E226="",$E226=0),"",SUMPRODUCT(--($C$3:$C$78=$B226),D$3:D$78))</f>
        <v/>
      </c>
      <c r="E226" s="201" t="str">
        <f>IF($B226="","",SUMPRODUCT(--(C$3:C$78=$B226)))</f>
        <v/>
      </c>
      <c r="F226" s="201" t="str">
        <f>IF(OR($E226="",$E226=0),"",SUMIF($C$3:$C$62,$B226,F$3:F$62))</f>
        <v/>
      </c>
      <c r="G226" s="237" t="str">
        <f t="shared" ref="G226:M226" si="164">IF(OR($E226="",$E226=0),"",SUMPRODUCT(--($C$3:$C$78=$B226),G$3:G$78))</f>
        <v/>
      </c>
      <c r="H226" s="237" t="str">
        <f t="shared" si="164"/>
        <v/>
      </c>
      <c r="I226" s="221" t="str">
        <f t="shared" si="164"/>
        <v/>
      </c>
      <c r="J226" s="237" t="str">
        <f t="shared" si="164"/>
        <v/>
      </c>
      <c r="K226" s="237" t="str">
        <f t="shared" si="164"/>
        <v/>
      </c>
      <c r="L226" s="237" t="str">
        <f t="shared" si="164"/>
        <v/>
      </c>
      <c r="M226" s="201" t="str">
        <f t="shared" si="164"/>
        <v/>
      </c>
      <c r="Q226" s="144">
        <f>Q223+1</f>
        <v>19</v>
      </c>
      <c r="R226" s="144" t="str">
        <f>IF(IGRF!H32="","",IGRF!H32)</f>
        <v/>
      </c>
      <c r="S226" s="201" t="s">
        <v>17</v>
      </c>
      <c r="T226" s="201" t="str">
        <f>IF(OR($U226="",$U226=0),"",SUMPRODUCT(--($S$3:$S$78=$R226),T$3:T$78))</f>
        <v/>
      </c>
      <c r="U226" s="201" t="str">
        <f>IF($R226="","",SUMPRODUCT(--(S$3:S$78=$R226)))</f>
        <v/>
      </c>
      <c r="V226" s="201" t="str">
        <f t="shared" ref="V226:AC226" si="165">IF(OR($U226="",$U226=0),"",SUMPRODUCT(--($S$3:$S$78=$R226),V$3:V$78))</f>
        <v/>
      </c>
      <c r="W226" s="237" t="str">
        <f t="shared" si="165"/>
        <v/>
      </c>
      <c r="X226" s="237" t="str">
        <f t="shared" si="165"/>
        <v/>
      </c>
      <c r="Y226" s="221" t="str">
        <f t="shared" si="165"/>
        <v/>
      </c>
      <c r="Z226" s="237" t="str">
        <f t="shared" si="165"/>
        <v/>
      </c>
      <c r="AA226" s="237" t="str">
        <f t="shared" si="165"/>
        <v/>
      </c>
      <c r="AB226" s="237" t="str">
        <f t="shared" si="165"/>
        <v/>
      </c>
      <c r="AC226" s="201" t="str">
        <f t="shared" si="165"/>
        <v/>
      </c>
    </row>
    <row r="227" spans="1:29" x14ac:dyDescent="0.25">
      <c r="A227" s="144"/>
      <c r="B227" s="148"/>
      <c r="C227" s="201" t="s">
        <v>33</v>
      </c>
      <c r="D227" s="201" t="str">
        <f>IF(OR($E227="",$E227=0),"",SUMPRODUCT(--($C$88:$C$163=$B226),D$88:D$163))</f>
        <v/>
      </c>
      <c r="E227" s="201" t="str">
        <f>IF($B226="","",SUMPRODUCT(--(C$88:C$163=$B226)))</f>
        <v/>
      </c>
      <c r="F227" s="201" t="str">
        <f>IF(OR($E227="",$E227=0),"",SUMIF($C$88:$C$147,$B226,F$88:F$147))</f>
        <v/>
      </c>
      <c r="G227" s="237" t="str">
        <f t="shared" ref="G227:M227" si="166">IF(OR($E227="",$E227=0),"",SUMPRODUCT(--($C$88:$C$163=$B226),G$88:G$163))</f>
        <v/>
      </c>
      <c r="H227" s="237" t="str">
        <f t="shared" si="166"/>
        <v/>
      </c>
      <c r="I227" s="221" t="str">
        <f t="shared" si="166"/>
        <v/>
      </c>
      <c r="J227" s="237" t="str">
        <f t="shared" si="166"/>
        <v/>
      </c>
      <c r="K227" s="237" t="str">
        <f t="shared" si="166"/>
        <v/>
      </c>
      <c r="L227" s="237" t="str">
        <f t="shared" si="166"/>
        <v/>
      </c>
      <c r="M227" s="201" t="str">
        <f t="shared" si="166"/>
        <v/>
      </c>
      <c r="Q227" s="144"/>
      <c r="R227" s="144"/>
      <c r="S227" s="201" t="s">
        <v>33</v>
      </c>
      <c r="T227" s="201" t="str">
        <f>IF(OR($U227="",$U227=0),"",SUMPRODUCT(--($S$88:$S$163=$R226),T$88:T$163))</f>
        <v/>
      </c>
      <c r="U227" s="201" t="str">
        <f>IF($R226="","",SUMPRODUCT(--(S$88:S$163=$R226)))</f>
        <v/>
      </c>
      <c r="V227" s="201" t="str">
        <f t="shared" ref="V227:AC227" si="167">IF(OR($U227="",$U227=0),"",SUMPRODUCT(--($S$88:$S$163=$R226),V$88:V$163))</f>
        <v/>
      </c>
      <c r="W227" s="237" t="str">
        <f t="shared" si="167"/>
        <v/>
      </c>
      <c r="X227" s="237" t="str">
        <f t="shared" si="167"/>
        <v/>
      </c>
      <c r="Y227" s="221" t="str">
        <f t="shared" si="167"/>
        <v/>
      </c>
      <c r="Z227" s="237" t="str">
        <f t="shared" si="167"/>
        <v/>
      </c>
      <c r="AA227" s="237" t="str">
        <f t="shared" si="167"/>
        <v/>
      </c>
      <c r="AB227" s="237" t="str">
        <f t="shared" si="167"/>
        <v/>
      </c>
      <c r="AC227" s="201" t="str">
        <f t="shared" si="167"/>
        <v/>
      </c>
    </row>
    <row r="228" spans="1:29" x14ac:dyDescent="0.25">
      <c r="A228" s="144"/>
      <c r="B228" s="148"/>
      <c r="C228" s="236" t="s">
        <v>19</v>
      </c>
      <c r="D228" s="236" t="str">
        <f>IF($B226="","",SUM(D226:D227))</f>
        <v/>
      </c>
      <c r="E228" s="236" t="str">
        <f>IF($B226="","",SUM(E226:E227))</f>
        <v/>
      </c>
      <c r="F228" s="236" t="str">
        <f>IF($B226="","",SUM(F226:F227))</f>
        <v/>
      </c>
      <c r="G228" s="225" t="str">
        <f t="shared" ref="G228:L228" si="168">IF($B226="","",SUM(G226,G227))</f>
        <v/>
      </c>
      <c r="H228" s="225" t="str">
        <f t="shared" si="168"/>
        <v/>
      </c>
      <c r="I228" s="228" t="str">
        <f t="shared" si="168"/>
        <v/>
      </c>
      <c r="J228" s="225" t="str">
        <f t="shared" si="168"/>
        <v/>
      </c>
      <c r="K228" s="225" t="str">
        <f t="shared" si="168"/>
        <v/>
      </c>
      <c r="L228" s="225" t="str">
        <f t="shared" si="168"/>
        <v/>
      </c>
      <c r="M228" s="236" t="str">
        <f>IF($B226="","",SUM(M226:M227))</f>
        <v/>
      </c>
      <c r="Q228" s="144"/>
      <c r="R228" s="144"/>
      <c r="S228" s="236" t="s">
        <v>19</v>
      </c>
      <c r="T228" s="236" t="str">
        <f>IF($R226="","",SUM(T226:T227))</f>
        <v/>
      </c>
      <c r="U228" s="236" t="str">
        <f t="shared" ref="U228:AC228" si="169">IF($R226="","",SUM(U226,U227))</f>
        <v/>
      </c>
      <c r="V228" s="236" t="str">
        <f t="shared" si="169"/>
        <v/>
      </c>
      <c r="W228" s="225" t="str">
        <f t="shared" si="169"/>
        <v/>
      </c>
      <c r="X228" s="225" t="str">
        <f t="shared" si="169"/>
        <v/>
      </c>
      <c r="Y228" s="228" t="str">
        <f t="shared" si="169"/>
        <v/>
      </c>
      <c r="Z228" s="225" t="str">
        <f t="shared" si="169"/>
        <v/>
      </c>
      <c r="AA228" s="225" t="str">
        <f t="shared" si="169"/>
        <v/>
      </c>
      <c r="AB228" s="225" t="str">
        <f t="shared" si="169"/>
        <v/>
      </c>
      <c r="AC228" s="236" t="str">
        <f t="shared" si="169"/>
        <v/>
      </c>
    </row>
    <row r="229" spans="1:29" x14ac:dyDescent="0.25">
      <c r="A229" s="144">
        <v>20</v>
      </c>
      <c r="B229" s="148" t="str">
        <f>IF(IGRF!B33="","",IGRF!B33)</f>
        <v/>
      </c>
      <c r="C229" s="201" t="s">
        <v>17</v>
      </c>
      <c r="D229" s="201" t="str">
        <f>IF(OR($E229="",$E229=0),"",SUMPRODUCT(--($C$3:$C$78=$B229),D$3:D$78))</f>
        <v/>
      </c>
      <c r="E229" s="201" t="str">
        <f>IF($B229="","",SUMPRODUCT(--(C$3:C$78=$B229)))</f>
        <v/>
      </c>
      <c r="F229" s="201" t="str">
        <f>IF(OR($E229="",$E229=0),"",SUMIF($C$3:$C$62,$B229,F$3:F$62))</f>
        <v/>
      </c>
      <c r="G229" s="237" t="str">
        <f t="shared" ref="G229:M229" si="170">IF(OR($E229="",$E229=0),"",SUMPRODUCT(--($C$3:$C$78=$B229),G$3:G$78))</f>
        <v/>
      </c>
      <c r="H229" s="237" t="str">
        <f t="shared" si="170"/>
        <v/>
      </c>
      <c r="I229" s="221" t="str">
        <f t="shared" si="170"/>
        <v/>
      </c>
      <c r="J229" s="237" t="str">
        <f t="shared" si="170"/>
        <v/>
      </c>
      <c r="K229" s="237" t="str">
        <f t="shared" si="170"/>
        <v/>
      </c>
      <c r="L229" s="237" t="str">
        <f t="shared" si="170"/>
        <v/>
      </c>
      <c r="M229" s="201" t="str">
        <f t="shared" si="170"/>
        <v/>
      </c>
      <c r="Q229" s="144">
        <v>20</v>
      </c>
      <c r="R229" s="144" t="str">
        <f>IF(IGRF!H33="","",IGRF!H33)</f>
        <v/>
      </c>
      <c r="S229" s="201" t="s">
        <v>17</v>
      </c>
      <c r="T229" s="201" t="str">
        <f>IF(OR($U229="",$U229=0),"",SUMPRODUCT(--($S$3:$S$78=$R229),T$3:T$78))</f>
        <v/>
      </c>
      <c r="U229" s="201" t="str">
        <f>IF($R229="","",SUMPRODUCT(--(S$3:S$78=$R229)))</f>
        <v/>
      </c>
      <c r="V229" s="201" t="str">
        <f t="shared" ref="V229:AC229" si="171">IF(OR($U229="",$U229=0),"",SUMPRODUCT(--($S$3:$S$78=$R229),V$3:V$78))</f>
        <v/>
      </c>
      <c r="W229" s="237" t="str">
        <f t="shared" si="171"/>
        <v/>
      </c>
      <c r="X229" s="237" t="str">
        <f t="shared" si="171"/>
        <v/>
      </c>
      <c r="Y229" s="221" t="str">
        <f t="shared" si="171"/>
        <v/>
      </c>
      <c r="Z229" s="237" t="str">
        <f t="shared" si="171"/>
        <v/>
      </c>
      <c r="AA229" s="237" t="str">
        <f t="shared" si="171"/>
        <v/>
      </c>
      <c r="AB229" s="237" t="str">
        <f t="shared" si="171"/>
        <v/>
      </c>
      <c r="AC229" s="201" t="str">
        <f t="shared" si="171"/>
        <v/>
      </c>
    </row>
    <row r="230" spans="1:29" x14ac:dyDescent="0.25">
      <c r="A230" s="144"/>
      <c r="B230" s="148"/>
      <c r="C230" s="201" t="s">
        <v>33</v>
      </c>
      <c r="D230" s="201" t="str">
        <f>IF(OR($E230="",$E230=0),"",SUMPRODUCT(--($C$88:$C$163=$B229),D$88:D$163))</f>
        <v/>
      </c>
      <c r="E230" s="201" t="str">
        <f>IF($B229="","",SUMPRODUCT(--(C$88:C$163=$B229)))</f>
        <v/>
      </c>
      <c r="F230" s="201" t="str">
        <f>IF(OR($E230="",$E230=0),"",SUMIF($C$88:$C$147,$B229,F$88:F$147))</f>
        <v/>
      </c>
      <c r="G230" s="237" t="str">
        <f t="shared" ref="G230:M230" si="172">IF(OR($E230="",$E230=0),"",SUMPRODUCT(--($C$88:$C$163=$B229),G$88:G$163))</f>
        <v/>
      </c>
      <c r="H230" s="237" t="str">
        <f t="shared" si="172"/>
        <v/>
      </c>
      <c r="I230" s="221" t="str">
        <f t="shared" si="172"/>
        <v/>
      </c>
      <c r="J230" s="237" t="str">
        <f t="shared" si="172"/>
        <v/>
      </c>
      <c r="K230" s="237" t="str">
        <f t="shared" si="172"/>
        <v/>
      </c>
      <c r="L230" s="237" t="str">
        <f t="shared" si="172"/>
        <v/>
      </c>
      <c r="M230" s="201" t="str">
        <f t="shared" si="172"/>
        <v/>
      </c>
      <c r="Q230" s="144"/>
      <c r="R230" s="144"/>
      <c r="S230" s="201" t="s">
        <v>33</v>
      </c>
      <c r="T230" s="201" t="str">
        <f>IF(OR($U230="",$U230=0),"",SUMPRODUCT(--($S$88:$S$163=$R229),T$88:T$163))</f>
        <v/>
      </c>
      <c r="U230" s="201" t="str">
        <f>IF($R229="","",SUMPRODUCT(--(S$88:S$163=$R229)))</f>
        <v/>
      </c>
      <c r="V230" s="201" t="str">
        <f t="shared" ref="V230:AC230" si="173">IF(OR($U230="",$U230=0),"",SUMPRODUCT(--($S$88:$S$163=$R229),V$88:V$163))</f>
        <v/>
      </c>
      <c r="W230" s="237" t="str">
        <f t="shared" si="173"/>
        <v/>
      </c>
      <c r="X230" s="237" t="str">
        <f t="shared" si="173"/>
        <v/>
      </c>
      <c r="Y230" s="221" t="str">
        <f t="shared" si="173"/>
        <v/>
      </c>
      <c r="Z230" s="237" t="str">
        <f t="shared" si="173"/>
        <v/>
      </c>
      <c r="AA230" s="237" t="str">
        <f t="shared" si="173"/>
        <v/>
      </c>
      <c r="AB230" s="237" t="str">
        <f t="shared" si="173"/>
        <v/>
      </c>
      <c r="AC230" s="201" t="str">
        <f t="shared" si="173"/>
        <v/>
      </c>
    </row>
    <row r="231" spans="1:29" x14ac:dyDescent="0.25">
      <c r="A231" s="144"/>
      <c r="B231" s="144"/>
      <c r="C231" s="236" t="s">
        <v>19</v>
      </c>
      <c r="D231" s="236" t="str">
        <f>IF($B229="","",SUM(D229:D230))</f>
        <v/>
      </c>
      <c r="E231" s="236" t="str">
        <f>IF($B229="","",SUM(E229:E230))</f>
        <v/>
      </c>
      <c r="F231" s="236" t="str">
        <f>IF($B229="","",SUM(F229:F230))</f>
        <v/>
      </c>
      <c r="G231" s="225" t="str">
        <f t="shared" ref="G231:L231" si="174">IF($B229="","",SUM(G229,G230))</f>
        <v/>
      </c>
      <c r="H231" s="225" t="str">
        <f t="shared" si="174"/>
        <v/>
      </c>
      <c r="I231" s="228" t="str">
        <f t="shared" si="174"/>
        <v/>
      </c>
      <c r="J231" s="225" t="str">
        <f t="shared" si="174"/>
        <v/>
      </c>
      <c r="K231" s="225" t="str">
        <f t="shared" si="174"/>
        <v/>
      </c>
      <c r="L231" s="225" t="str">
        <f t="shared" si="174"/>
        <v/>
      </c>
      <c r="M231" s="236" t="str">
        <f>IF($B229="","",SUM(M229:M230))</f>
        <v/>
      </c>
      <c r="Q231" s="144"/>
      <c r="R231" s="144"/>
      <c r="S231" s="236" t="s">
        <v>19</v>
      </c>
      <c r="T231" s="236" t="str">
        <f>IF($R229="","",SUM(T229:T230))</f>
        <v/>
      </c>
      <c r="U231" s="236" t="str">
        <f t="shared" ref="U231:AC231" si="175">IF($R229="","",SUM(U229,U230))</f>
        <v/>
      </c>
      <c r="V231" s="236" t="str">
        <f t="shared" si="175"/>
        <v/>
      </c>
      <c r="W231" s="225" t="str">
        <f t="shared" si="175"/>
        <v/>
      </c>
      <c r="X231" s="225" t="str">
        <f t="shared" si="175"/>
        <v/>
      </c>
      <c r="Y231" s="228" t="str">
        <f t="shared" si="175"/>
        <v/>
      </c>
      <c r="Z231" s="225" t="str">
        <f t="shared" si="175"/>
        <v/>
      </c>
      <c r="AA231" s="225" t="str">
        <f t="shared" si="175"/>
        <v/>
      </c>
      <c r="AB231" s="225" t="str">
        <f t="shared" si="175"/>
        <v/>
      </c>
      <c r="AC231" s="236" t="str">
        <f t="shared" si="175"/>
        <v/>
      </c>
    </row>
  </sheetData>
  <sheetProtection selectLockedCells="1" selectUnlockedCells="1"/>
  <mergeCells count="12">
    <mergeCell ref="Q79:Q80"/>
    <mergeCell ref="Z79:Z80"/>
    <mergeCell ref="AA79:AA80"/>
    <mergeCell ref="Q164:Q165"/>
    <mergeCell ref="A79:A80"/>
    <mergeCell ref="J79:J80"/>
    <mergeCell ref="K79:K80"/>
    <mergeCell ref="J164:J165"/>
    <mergeCell ref="K164:K165"/>
    <mergeCell ref="Z164:Z165"/>
    <mergeCell ref="AA164:AA165"/>
    <mergeCell ref="A164:A165"/>
  </mergeCells>
  <phoneticPr fontId="8" type="noConversion"/>
  <pageMargins left="0.7" right="0.7" top="0.75" bottom="0.75" header="0.51180555555555551" footer="0.51180555555555551"/>
  <pageSetup scale="49" firstPageNumber="0" orientation="portrait" horizontalDpi="300" verticalDpi="300" r:id="rId1"/>
  <headerFooter alignWithMargins="0"/>
  <rowBreaks count="2" manualBreakCount="2">
    <brk id="85" max="16383" man="1"/>
    <brk id="170" max="16383" man="1"/>
  </rowBreaks>
  <colBreaks count="1" manualBreakCount="1">
    <brk id="16" max="1048575" man="1"/>
  </colBreaks>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1"/>
  </sheetPr>
  <dimension ref="A1:K85"/>
  <sheetViews>
    <sheetView zoomScaleNormal="100" workbookViewId="0">
      <selection sqref="A1:K1"/>
    </sheetView>
  </sheetViews>
  <sheetFormatPr defaultColWidth="8.88671875" defaultRowHeight="13.8" x14ac:dyDescent="0.3"/>
  <cols>
    <col min="1" max="11" width="7.88671875" style="166" customWidth="1"/>
    <col min="12" max="16384" width="8.88671875" style="166"/>
  </cols>
  <sheetData>
    <row r="1" spans="1:11" ht="30" customHeight="1" x14ac:dyDescent="0.4">
      <c r="A1" s="1185" t="s">
        <v>261</v>
      </c>
      <c r="B1" s="1185"/>
      <c r="C1" s="1185"/>
      <c r="D1" s="1185"/>
      <c r="E1" s="1185"/>
      <c r="F1" s="1185"/>
      <c r="G1" s="1185"/>
      <c r="H1" s="1185"/>
      <c r="I1" s="1185"/>
      <c r="J1" s="1185"/>
      <c r="K1" s="1185"/>
    </row>
    <row r="2" spans="1:11" ht="6" customHeight="1" x14ac:dyDescent="0.5">
      <c r="A2" s="258"/>
      <c r="B2" s="258"/>
      <c r="C2" s="258"/>
      <c r="D2" s="258"/>
      <c r="E2" s="258"/>
      <c r="F2" s="258"/>
      <c r="G2" s="258"/>
      <c r="H2" s="259"/>
      <c r="I2" s="259"/>
      <c r="J2" s="259"/>
      <c r="K2" s="259"/>
    </row>
    <row r="3" spans="1:11" ht="45" customHeight="1" x14ac:dyDescent="0.3">
      <c r="A3" s="1183" t="s">
        <v>357</v>
      </c>
      <c r="B3" s="1184"/>
      <c r="C3" s="1184"/>
      <c r="D3" s="1184"/>
      <c r="E3" s="1184"/>
      <c r="F3" s="1184"/>
      <c r="G3" s="1184"/>
      <c r="H3" s="1184"/>
      <c r="I3" s="1184"/>
      <c r="J3" s="1184"/>
      <c r="K3" s="1184"/>
    </row>
    <row r="4" spans="1:11" ht="6" customHeight="1" x14ac:dyDescent="0.3">
      <c r="A4" s="258"/>
      <c r="B4" s="258"/>
      <c r="C4" s="258"/>
      <c r="D4" s="258"/>
      <c r="E4" s="258"/>
      <c r="F4" s="258"/>
      <c r="G4" s="258"/>
      <c r="H4" s="258"/>
      <c r="I4" s="258"/>
      <c r="J4" s="258"/>
      <c r="K4" s="258"/>
    </row>
    <row r="5" spans="1:11" ht="30" customHeight="1" x14ac:dyDescent="0.3">
      <c r="A5" s="1183" t="s">
        <v>358</v>
      </c>
      <c r="B5" s="1184"/>
      <c r="C5" s="1184"/>
      <c r="D5" s="1184"/>
      <c r="E5" s="1184"/>
      <c r="F5" s="1184"/>
      <c r="G5" s="1184"/>
      <c r="H5" s="1184"/>
      <c r="I5" s="1184"/>
      <c r="J5" s="1184"/>
      <c r="K5" s="1184"/>
    </row>
    <row r="6" spans="1:11" ht="6" customHeight="1" x14ac:dyDescent="0.3">
      <c r="A6" s="258"/>
      <c r="B6" s="258"/>
      <c r="C6" s="258"/>
      <c r="D6" s="258"/>
      <c r="E6" s="258"/>
      <c r="F6" s="258"/>
      <c r="G6" s="258"/>
      <c r="H6" s="258"/>
      <c r="I6" s="258"/>
      <c r="J6" s="258"/>
      <c r="K6" s="258"/>
    </row>
    <row r="7" spans="1:11" ht="15" customHeight="1" x14ac:dyDescent="0.3">
      <c r="A7" s="1179" t="s">
        <v>262</v>
      </c>
      <c r="B7" s="1179"/>
      <c r="C7" s="1179"/>
      <c r="D7" s="1179"/>
      <c r="E7" s="1179"/>
      <c r="F7" s="1179"/>
      <c r="G7" s="1179"/>
      <c r="H7" s="1179"/>
      <c r="I7" s="1179"/>
      <c r="J7" s="1179"/>
      <c r="K7" s="1179"/>
    </row>
    <row r="8" spans="1:11" ht="15" customHeight="1" x14ac:dyDescent="0.3">
      <c r="A8" s="260"/>
      <c r="B8" s="260"/>
      <c r="C8" s="260"/>
      <c r="D8" s="260"/>
      <c r="E8" s="260"/>
      <c r="F8" s="260"/>
      <c r="G8" s="260"/>
      <c r="H8" s="260"/>
      <c r="I8" s="260"/>
      <c r="J8" s="260"/>
      <c r="K8" s="260"/>
    </row>
    <row r="9" spans="1:11" s="167" customFormat="1" ht="18" customHeight="1" x14ac:dyDescent="0.25">
      <c r="A9" s="1182" t="s">
        <v>263</v>
      </c>
      <c r="B9" s="1182"/>
      <c r="C9" s="1182"/>
      <c r="D9" s="1182"/>
      <c r="E9" s="1182"/>
      <c r="F9" s="261"/>
      <c r="G9" s="1182" t="s">
        <v>264</v>
      </c>
      <c r="H9" s="1182"/>
      <c r="I9" s="1182"/>
      <c r="J9" s="1182"/>
      <c r="K9" s="1182"/>
    </row>
    <row r="10" spans="1:11" ht="6" customHeight="1" x14ac:dyDescent="0.3">
      <c r="A10" s="258"/>
      <c r="B10" s="258"/>
      <c r="C10" s="258"/>
      <c r="D10" s="258"/>
      <c r="E10" s="258"/>
      <c r="F10" s="258"/>
      <c r="G10" s="258"/>
      <c r="H10" s="258"/>
      <c r="I10" s="258"/>
      <c r="J10" s="258"/>
      <c r="K10" s="258"/>
    </row>
    <row r="11" spans="1:11" ht="15" customHeight="1" x14ac:dyDescent="0.3">
      <c r="A11" s="1177" t="s">
        <v>405</v>
      </c>
      <c r="B11" s="1179"/>
      <c r="C11" s="1179"/>
      <c r="D11" s="1179"/>
      <c r="E11" s="1179"/>
      <c r="F11" s="258"/>
      <c r="G11" s="1179" t="s">
        <v>273</v>
      </c>
      <c r="H11" s="1179"/>
      <c r="I11" s="1179"/>
      <c r="J11" s="1179"/>
      <c r="K11" s="1179"/>
    </row>
    <row r="12" spans="1:11" ht="15" customHeight="1" x14ac:dyDescent="0.3">
      <c r="A12" s="1179" t="s">
        <v>265</v>
      </c>
      <c r="B12" s="1179"/>
      <c r="C12" s="1179"/>
      <c r="D12" s="1179"/>
      <c r="E12" s="1179"/>
      <c r="F12" s="258"/>
      <c r="G12" s="1179" t="s">
        <v>274</v>
      </c>
      <c r="H12" s="1179"/>
      <c r="I12" s="1179"/>
      <c r="J12" s="1179"/>
      <c r="K12" s="1179"/>
    </row>
    <row r="13" spans="1:11" ht="6" customHeight="1" x14ac:dyDescent="0.3">
      <c r="A13" s="258"/>
      <c r="B13" s="258"/>
      <c r="C13" s="258"/>
      <c r="D13" s="258"/>
      <c r="E13" s="258"/>
      <c r="F13" s="258"/>
      <c r="G13" s="258"/>
      <c r="H13" s="258"/>
      <c r="I13" s="258"/>
      <c r="J13" s="258"/>
      <c r="K13" s="258"/>
    </row>
    <row r="14" spans="1:11" ht="15" customHeight="1" x14ac:dyDescent="0.3">
      <c r="A14" s="1179" t="s">
        <v>267</v>
      </c>
      <c r="B14" s="1179"/>
      <c r="C14" s="1179"/>
      <c r="D14" s="1179"/>
      <c r="E14" s="1179"/>
      <c r="F14" s="258"/>
      <c r="G14" s="1177" t="s">
        <v>446</v>
      </c>
      <c r="H14" s="1179"/>
      <c r="I14" s="1179"/>
      <c r="J14" s="1179"/>
      <c r="K14" s="1179"/>
    </row>
    <row r="15" spans="1:11" ht="15" customHeight="1" x14ac:dyDescent="0.3">
      <c r="A15" s="1179" t="s">
        <v>266</v>
      </c>
      <c r="B15" s="1179"/>
      <c r="C15" s="1179"/>
      <c r="D15" s="1179"/>
      <c r="E15" s="1179"/>
      <c r="F15" s="258"/>
      <c r="G15" s="1179" t="s">
        <v>276</v>
      </c>
      <c r="H15" s="1179"/>
      <c r="I15" s="1179"/>
      <c r="J15" s="1179"/>
      <c r="K15" s="1179"/>
    </row>
    <row r="16" spans="1:11" ht="6" customHeight="1" x14ac:dyDescent="0.3">
      <c r="A16" s="258"/>
      <c r="B16" s="258"/>
      <c r="C16" s="258"/>
      <c r="D16" s="258"/>
      <c r="E16" s="258"/>
      <c r="F16" s="258"/>
      <c r="G16" s="258"/>
      <c r="H16" s="258"/>
      <c r="I16" s="258"/>
      <c r="J16" s="258"/>
      <c r="K16" s="258"/>
    </row>
    <row r="17" spans="1:11" ht="15" customHeight="1" x14ac:dyDescent="0.3">
      <c r="A17" s="1179" t="s">
        <v>275</v>
      </c>
      <c r="B17" s="1179"/>
      <c r="C17" s="1179"/>
      <c r="D17" s="1179"/>
      <c r="E17" s="1179"/>
      <c r="F17" s="258"/>
      <c r="G17" s="1179" t="s">
        <v>277</v>
      </c>
      <c r="H17" s="1179"/>
      <c r="I17" s="1179"/>
      <c r="J17" s="1179"/>
      <c r="K17" s="1179"/>
    </row>
    <row r="18" spans="1:11" ht="15" customHeight="1" x14ac:dyDescent="0.3">
      <c r="A18" s="1179" t="s">
        <v>268</v>
      </c>
      <c r="B18" s="1179"/>
      <c r="C18" s="1179"/>
      <c r="D18" s="1179"/>
      <c r="E18" s="1179"/>
      <c r="F18" s="258"/>
      <c r="G18" s="1179" t="s">
        <v>278</v>
      </c>
      <c r="H18" s="1179"/>
      <c r="I18" s="1179"/>
      <c r="J18" s="1179"/>
      <c r="K18" s="1179"/>
    </row>
    <row r="19" spans="1:11" ht="6" customHeight="1" x14ac:dyDescent="0.3">
      <c r="A19" s="258"/>
      <c r="B19" s="258"/>
      <c r="C19" s="258"/>
      <c r="D19" s="258"/>
      <c r="E19" s="258"/>
      <c r="F19" s="258"/>
      <c r="G19" s="258"/>
      <c r="H19" s="258"/>
      <c r="I19" s="258"/>
      <c r="J19" s="258"/>
      <c r="K19" s="258"/>
    </row>
    <row r="20" spans="1:11" ht="15" customHeight="1" x14ac:dyDescent="0.3">
      <c r="A20" s="1177" t="s">
        <v>552</v>
      </c>
      <c r="B20" s="1179"/>
      <c r="C20" s="1179"/>
      <c r="D20" s="1179"/>
      <c r="E20" s="1179"/>
      <c r="F20" s="258"/>
      <c r="G20" s="1179" t="s">
        <v>279</v>
      </c>
      <c r="H20" s="1179"/>
      <c r="I20" s="1179"/>
      <c r="J20" s="1179"/>
      <c r="K20" s="1179"/>
    </row>
    <row r="21" spans="1:11" ht="15" customHeight="1" x14ac:dyDescent="0.3">
      <c r="A21" s="1179" t="s">
        <v>269</v>
      </c>
      <c r="B21" s="1179"/>
      <c r="C21" s="1179"/>
      <c r="D21" s="1179"/>
      <c r="E21" s="1179"/>
      <c r="F21" s="258"/>
      <c r="G21" s="1179" t="s">
        <v>280</v>
      </c>
      <c r="H21" s="1179"/>
      <c r="I21" s="1179"/>
      <c r="J21" s="1179"/>
      <c r="K21" s="1179"/>
    </row>
    <row r="22" spans="1:11" ht="6" customHeight="1" x14ac:dyDescent="0.3">
      <c r="A22" s="258"/>
      <c r="B22" s="258"/>
      <c r="C22" s="258"/>
      <c r="D22" s="258"/>
      <c r="E22" s="258"/>
      <c r="F22" s="258"/>
      <c r="G22" s="258"/>
      <c r="H22" s="258"/>
      <c r="I22" s="258"/>
      <c r="J22" s="258"/>
      <c r="K22" s="258"/>
    </row>
    <row r="23" spans="1:11" ht="15" customHeight="1" x14ac:dyDescent="0.3">
      <c r="A23" s="1179" t="s">
        <v>272</v>
      </c>
      <c r="B23" s="1179"/>
      <c r="C23" s="1179"/>
      <c r="D23" s="1179"/>
      <c r="E23" s="1179"/>
      <c r="F23" s="258"/>
      <c r="G23" s="1177" t="s">
        <v>558</v>
      </c>
      <c r="H23" s="1179"/>
      <c r="I23" s="1179"/>
      <c r="J23" s="1179"/>
      <c r="K23" s="1179"/>
    </row>
    <row r="24" spans="1:11" ht="15" customHeight="1" x14ac:dyDescent="0.3">
      <c r="A24" s="1179" t="s">
        <v>270</v>
      </c>
      <c r="B24" s="1179"/>
      <c r="C24" s="1179"/>
      <c r="D24" s="1179"/>
      <c r="E24" s="1179"/>
      <c r="F24" s="258"/>
      <c r="G24" s="1177" t="s">
        <v>559</v>
      </c>
      <c r="H24" s="1179"/>
      <c r="I24" s="1179"/>
      <c r="J24" s="1179"/>
      <c r="K24" s="1179"/>
    </row>
    <row r="25" spans="1:11" ht="6" customHeight="1" x14ac:dyDescent="0.3">
      <c r="A25" s="258"/>
      <c r="B25" s="258"/>
      <c r="C25" s="258"/>
      <c r="D25" s="258"/>
      <c r="E25" s="258"/>
      <c r="F25" s="258"/>
      <c r="G25" s="258"/>
      <c r="H25" s="258"/>
      <c r="I25" s="258"/>
      <c r="J25" s="258"/>
      <c r="K25" s="258"/>
    </row>
    <row r="26" spans="1:11" ht="15" customHeight="1" x14ac:dyDescent="0.3">
      <c r="A26" s="258"/>
      <c r="B26" s="258"/>
      <c r="C26" s="258"/>
      <c r="D26" s="258"/>
      <c r="E26" s="258"/>
      <c r="F26" s="258"/>
      <c r="G26" s="751" t="s">
        <v>366</v>
      </c>
      <c r="H26" s="750"/>
      <c r="I26" s="750"/>
      <c r="J26" s="750"/>
      <c r="K26" s="750"/>
    </row>
    <row r="27" spans="1:11" ht="15" customHeight="1" x14ac:dyDescent="0.3">
      <c r="A27" s="258"/>
      <c r="B27" s="258"/>
      <c r="C27" s="258"/>
      <c r="D27" s="258"/>
      <c r="E27" s="258"/>
      <c r="F27" s="258"/>
      <c r="G27" s="751" t="s">
        <v>367</v>
      </c>
      <c r="H27" s="750"/>
      <c r="I27" s="750"/>
      <c r="J27" s="750"/>
      <c r="K27" s="750"/>
    </row>
    <row r="28" spans="1:11" ht="6" customHeight="1" x14ac:dyDescent="0.3">
      <c r="A28" s="258"/>
      <c r="B28" s="258"/>
      <c r="C28" s="258"/>
      <c r="D28" s="258"/>
      <c r="E28" s="258"/>
      <c r="F28" s="258"/>
      <c r="G28" s="258"/>
      <c r="H28" s="258"/>
      <c r="I28" s="258"/>
      <c r="J28" s="258"/>
      <c r="K28" s="258"/>
    </row>
    <row r="29" spans="1:11" ht="15" customHeight="1" x14ac:dyDescent="0.3">
      <c r="A29" s="258"/>
      <c r="B29" s="258"/>
      <c r="C29" s="258"/>
      <c r="D29" s="258"/>
      <c r="E29" s="258"/>
      <c r="F29" s="258"/>
      <c r="G29" s="258"/>
      <c r="H29" s="258"/>
      <c r="I29" s="258"/>
      <c r="J29" s="258"/>
      <c r="K29" s="258"/>
    </row>
    <row r="30" spans="1:11" ht="15" customHeight="1" x14ac:dyDescent="0.3">
      <c r="A30" s="258"/>
      <c r="B30" s="258"/>
      <c r="C30" s="258"/>
      <c r="D30" s="258"/>
      <c r="E30" s="258"/>
      <c r="F30" s="258"/>
      <c r="G30" s="258"/>
      <c r="H30" s="258"/>
      <c r="I30" s="258"/>
      <c r="J30" s="258"/>
      <c r="K30" s="258"/>
    </row>
    <row r="31" spans="1:11" ht="6" customHeight="1" x14ac:dyDescent="0.3">
      <c r="A31" s="258"/>
      <c r="B31" s="258"/>
      <c r="C31" s="258"/>
      <c r="D31" s="258"/>
      <c r="E31" s="258"/>
      <c r="F31" s="258"/>
      <c r="G31" s="258"/>
      <c r="H31" s="258"/>
      <c r="I31" s="258"/>
      <c r="J31" s="258"/>
      <c r="K31" s="258"/>
    </row>
    <row r="32" spans="1:11" ht="15" customHeight="1" x14ac:dyDescent="0.3">
      <c r="A32" s="258"/>
      <c r="B32" s="258"/>
      <c r="C32" s="258"/>
      <c r="D32" s="258"/>
      <c r="E32" s="258"/>
      <c r="F32" s="258"/>
      <c r="G32" s="258"/>
      <c r="H32" s="258"/>
      <c r="I32" s="258"/>
      <c r="J32" s="258"/>
      <c r="K32" s="258"/>
    </row>
    <row r="33" spans="1:11" s="167" customFormat="1" ht="18" customHeight="1" x14ac:dyDescent="0.25">
      <c r="A33" s="752" t="s">
        <v>281</v>
      </c>
      <c r="B33" s="752"/>
      <c r="C33" s="752"/>
      <c r="D33" s="752"/>
      <c r="E33" s="752"/>
      <c r="F33" s="261"/>
      <c r="G33" s="1182" t="s">
        <v>282</v>
      </c>
      <c r="H33" s="1182"/>
      <c r="I33" s="1182"/>
      <c r="J33" s="1182"/>
      <c r="K33" s="1182"/>
    </row>
    <row r="34" spans="1:11" ht="6" customHeight="1" x14ac:dyDescent="0.3">
      <c r="A34" s="258"/>
      <c r="B34" s="258"/>
      <c r="C34" s="258"/>
      <c r="D34" s="258"/>
      <c r="E34" s="258"/>
      <c r="F34" s="258"/>
      <c r="G34" s="258"/>
      <c r="H34" s="258"/>
      <c r="I34" s="258"/>
      <c r="J34" s="258"/>
      <c r="K34" s="258"/>
    </row>
    <row r="35" spans="1:11" ht="15" customHeight="1" x14ac:dyDescent="0.3">
      <c r="A35" s="750" t="s">
        <v>283</v>
      </c>
      <c r="B35" s="750"/>
      <c r="C35" s="750"/>
      <c r="D35" s="750"/>
      <c r="E35" s="750"/>
      <c r="F35" s="258"/>
      <c r="G35" s="258" t="s">
        <v>289</v>
      </c>
      <c r="H35" s="258"/>
      <c r="I35" s="258"/>
      <c r="J35" s="258"/>
      <c r="K35" s="258"/>
    </row>
    <row r="36" spans="1:11" ht="15" customHeight="1" x14ac:dyDescent="0.3">
      <c r="A36" s="750" t="s">
        <v>284</v>
      </c>
      <c r="B36" s="750"/>
      <c r="C36" s="750"/>
      <c r="D36" s="750"/>
      <c r="E36" s="750"/>
      <c r="F36" s="258"/>
      <c r="G36" s="258" t="s">
        <v>290</v>
      </c>
      <c r="H36" s="258"/>
      <c r="I36" s="258"/>
      <c r="J36" s="258"/>
      <c r="K36" s="258"/>
    </row>
    <row r="37" spans="1:11" ht="15" customHeight="1" x14ac:dyDescent="0.3">
      <c r="A37" s="258"/>
      <c r="B37" s="258"/>
      <c r="C37" s="258"/>
      <c r="D37" s="258"/>
      <c r="E37" s="258"/>
      <c r="F37" s="258"/>
      <c r="H37" s="258"/>
      <c r="I37" s="258"/>
      <c r="J37" s="258"/>
      <c r="K37" s="258"/>
    </row>
    <row r="38" spans="1:11" ht="15" customHeight="1" x14ac:dyDescent="0.3">
      <c r="A38" s="750" t="s">
        <v>285</v>
      </c>
      <c r="B38" s="750"/>
      <c r="C38" s="750"/>
      <c r="D38" s="750"/>
      <c r="E38" s="750"/>
      <c r="F38" s="258"/>
      <c r="G38" s="258" t="s">
        <v>496</v>
      </c>
      <c r="H38" s="258"/>
      <c r="I38" s="258"/>
      <c r="J38" s="258"/>
      <c r="K38" s="258"/>
    </row>
    <row r="39" spans="1:11" ht="15" customHeight="1" x14ac:dyDescent="0.3">
      <c r="A39" s="750" t="s">
        <v>286</v>
      </c>
      <c r="B39" s="750"/>
      <c r="C39" s="750"/>
      <c r="D39" s="750"/>
      <c r="E39" s="750"/>
      <c r="F39" s="258"/>
      <c r="G39" s="258" t="s">
        <v>497</v>
      </c>
      <c r="H39" s="258"/>
      <c r="I39" s="258"/>
      <c r="J39" s="258"/>
      <c r="K39" s="258"/>
    </row>
    <row r="40" spans="1:11" ht="15" customHeight="1" x14ac:dyDescent="0.3">
      <c r="A40" s="258"/>
      <c r="B40" s="258"/>
      <c r="C40" s="258"/>
      <c r="D40" s="258"/>
      <c r="E40" s="258"/>
      <c r="F40" s="258"/>
      <c r="G40" s="753" t="s">
        <v>557</v>
      </c>
      <c r="H40" s="258"/>
      <c r="I40" s="258"/>
      <c r="J40" s="258"/>
      <c r="K40" s="258"/>
    </row>
    <row r="41" spans="1:11" s="754" customFormat="1" ht="15" customHeight="1" x14ac:dyDescent="0.3">
      <c r="A41" s="750" t="s">
        <v>287</v>
      </c>
      <c r="B41" s="750"/>
      <c r="C41" s="750"/>
      <c r="D41" s="750"/>
      <c r="E41" s="750"/>
      <c r="F41" s="258"/>
      <c r="G41" s="258" t="s">
        <v>291</v>
      </c>
      <c r="H41" s="258"/>
      <c r="I41" s="258"/>
      <c r="J41" s="258"/>
      <c r="K41" s="258"/>
    </row>
    <row r="42" spans="1:11" s="754" customFormat="1" ht="15" customHeight="1" x14ac:dyDescent="0.3">
      <c r="A42" s="750" t="s">
        <v>288</v>
      </c>
      <c r="B42" s="750"/>
      <c r="C42" s="750"/>
      <c r="D42" s="750"/>
      <c r="E42" s="750"/>
      <c r="F42" s="258"/>
      <c r="G42" s="258" t="s">
        <v>292</v>
      </c>
      <c r="H42" s="258"/>
      <c r="I42" s="258"/>
      <c r="J42" s="258"/>
      <c r="K42" s="258"/>
    </row>
    <row r="43" spans="1:11" s="754" customFormat="1" ht="15" customHeight="1" x14ac:dyDescent="0.3">
      <c r="A43" s="750"/>
      <c r="B43" s="750"/>
      <c r="C43" s="750"/>
      <c r="D43" s="750"/>
      <c r="E43" s="750"/>
      <c r="F43" s="258"/>
      <c r="G43" s="258" t="s">
        <v>440</v>
      </c>
      <c r="H43" s="258"/>
      <c r="I43" s="258"/>
      <c r="J43" s="258"/>
      <c r="K43" s="258"/>
    </row>
    <row r="44" spans="1:11" s="754" customFormat="1" ht="15" customHeight="1" x14ac:dyDescent="0.3">
      <c r="A44" s="751" t="s">
        <v>368</v>
      </c>
      <c r="B44" s="750"/>
      <c r="C44" s="750"/>
      <c r="D44" s="750"/>
      <c r="E44" s="750"/>
      <c r="F44" s="258"/>
      <c r="G44" s="258" t="s">
        <v>293</v>
      </c>
      <c r="H44" s="258"/>
      <c r="I44" s="258"/>
      <c r="J44" s="258"/>
      <c r="K44" s="258"/>
    </row>
    <row r="45" spans="1:11" s="754" customFormat="1" ht="15" customHeight="1" x14ac:dyDescent="0.3">
      <c r="A45" s="310" t="s">
        <v>369</v>
      </c>
      <c r="B45" s="258"/>
      <c r="C45" s="258"/>
      <c r="D45" s="258"/>
      <c r="E45" s="258"/>
      <c r="F45" s="258"/>
      <c r="G45" s="258" t="s">
        <v>456</v>
      </c>
      <c r="H45" s="258"/>
      <c r="I45" s="258"/>
      <c r="J45" s="258"/>
      <c r="K45" s="258"/>
    </row>
    <row r="46" spans="1:11" s="754" customFormat="1" ht="15" customHeight="1" x14ac:dyDescent="0.3">
      <c r="A46" s="310"/>
      <c r="B46" s="258"/>
      <c r="C46" s="258"/>
      <c r="D46" s="258"/>
      <c r="E46" s="258"/>
      <c r="F46" s="258"/>
      <c r="G46" s="258" t="s">
        <v>294</v>
      </c>
      <c r="H46" s="258"/>
      <c r="I46" s="258"/>
      <c r="J46" s="258"/>
      <c r="K46" s="258"/>
    </row>
    <row r="47" spans="1:11" ht="15" customHeight="1" x14ac:dyDescent="0.3">
      <c r="A47" s="258" t="s">
        <v>553</v>
      </c>
      <c r="B47" s="258"/>
      <c r="C47" s="258"/>
      <c r="D47" s="258"/>
      <c r="E47" s="258"/>
      <c r="F47" s="258"/>
      <c r="G47" s="258" t="s">
        <v>495</v>
      </c>
      <c r="H47" s="258"/>
      <c r="I47" s="258"/>
      <c r="J47" s="258"/>
      <c r="K47" s="258"/>
    </row>
    <row r="48" spans="1:11" ht="15" customHeight="1" x14ac:dyDescent="0.3">
      <c r="A48" s="258" t="s">
        <v>554</v>
      </c>
      <c r="B48" s="258"/>
      <c r="C48" s="258"/>
      <c r="D48" s="258"/>
      <c r="E48" s="258"/>
      <c r="F48" s="258"/>
      <c r="G48" s="258" t="s">
        <v>295</v>
      </c>
      <c r="H48" s="258"/>
      <c r="I48" s="258"/>
      <c r="J48" s="258"/>
      <c r="K48" s="258"/>
    </row>
    <row r="49" spans="1:11" ht="15" customHeight="1" x14ac:dyDescent="0.3">
      <c r="A49" s="258"/>
      <c r="B49" s="258"/>
      <c r="C49" s="258"/>
      <c r="D49" s="258"/>
      <c r="E49" s="258"/>
      <c r="F49" s="258"/>
      <c r="G49" s="258"/>
      <c r="H49" s="258"/>
      <c r="I49" s="258"/>
      <c r="J49" s="258"/>
      <c r="K49" s="258"/>
    </row>
    <row r="50" spans="1:11" ht="15" customHeight="1" x14ac:dyDescent="0.3">
      <c r="A50" s="258" t="s">
        <v>555</v>
      </c>
      <c r="B50" s="258"/>
      <c r="C50" s="258"/>
      <c r="D50" s="258"/>
      <c r="E50" s="258"/>
      <c r="F50" s="258"/>
      <c r="G50" s="258"/>
      <c r="H50" s="258"/>
      <c r="I50" s="258"/>
      <c r="J50" s="258"/>
      <c r="K50" s="258"/>
    </row>
    <row r="51" spans="1:11" ht="15" customHeight="1" x14ac:dyDescent="0.3">
      <c r="A51" s="258" t="s">
        <v>556</v>
      </c>
      <c r="B51" s="258"/>
      <c r="C51" s="258"/>
      <c r="D51" s="258"/>
      <c r="E51" s="258"/>
      <c r="F51" s="258"/>
      <c r="G51" s="258"/>
      <c r="H51" s="258"/>
      <c r="I51" s="258"/>
      <c r="J51" s="258"/>
      <c r="K51" s="258"/>
    </row>
    <row r="52" spans="1:11" x14ac:dyDescent="0.3">
      <c r="A52" s="258"/>
      <c r="B52" s="258"/>
      <c r="C52" s="258"/>
      <c r="D52" s="258"/>
      <c r="E52" s="258"/>
      <c r="F52" s="258"/>
      <c r="H52" s="258"/>
      <c r="I52" s="258"/>
      <c r="J52" s="258"/>
      <c r="K52" s="258"/>
    </row>
    <row r="53" spans="1:11" x14ac:dyDescent="0.3">
      <c r="A53" s="1176" t="s">
        <v>299</v>
      </c>
      <c r="B53" s="1176"/>
      <c r="C53" s="1176"/>
      <c r="D53" s="1176"/>
      <c r="E53" s="1176"/>
      <c r="F53" s="1176"/>
      <c r="G53" s="1176"/>
      <c r="H53" s="1176"/>
      <c r="I53" s="1176"/>
      <c r="J53" s="1176"/>
      <c r="K53" s="1176"/>
    </row>
    <row r="54" spans="1:11" x14ac:dyDescent="0.3">
      <c r="A54" s="1179" t="s">
        <v>214</v>
      </c>
      <c r="B54" s="1178"/>
      <c r="C54" s="1178"/>
      <c r="D54" s="1178"/>
      <c r="E54" s="1178"/>
      <c r="F54" s="1178"/>
      <c r="G54" s="1178"/>
      <c r="H54" s="1178"/>
      <c r="I54" s="1178"/>
      <c r="J54" s="1178"/>
      <c r="K54" s="1178"/>
    </row>
    <row r="55" spans="1:11" x14ac:dyDescent="0.3">
      <c r="A55" s="1179" t="s">
        <v>298</v>
      </c>
      <c r="B55" s="1179"/>
      <c r="C55" s="1179"/>
      <c r="D55" s="1179"/>
      <c r="E55" s="1179"/>
      <c r="F55" s="1179"/>
      <c r="G55" s="1180" t="s">
        <v>359</v>
      </c>
      <c r="H55" s="1180"/>
      <c r="I55" s="262"/>
      <c r="J55" s="258"/>
      <c r="K55" s="258"/>
    </row>
    <row r="56" spans="1:11" x14ac:dyDescent="0.3">
      <c r="A56" s="1181" t="s">
        <v>297</v>
      </c>
      <c r="B56" s="1181"/>
      <c r="C56" s="1181"/>
      <c r="D56" s="1181"/>
      <c r="E56" s="1181"/>
      <c r="F56" s="1181"/>
      <c r="G56" s="1180" t="s">
        <v>360</v>
      </c>
      <c r="H56" s="1180"/>
      <c r="I56" s="263"/>
      <c r="J56" s="258"/>
      <c r="K56" s="258"/>
    </row>
    <row r="57" spans="1:11" x14ac:dyDescent="0.3">
      <c r="A57" s="1177" t="s">
        <v>296</v>
      </c>
      <c r="B57" s="1178"/>
      <c r="C57" s="1178"/>
      <c r="D57" s="1178"/>
      <c r="E57" s="1178"/>
      <c r="F57" s="1178"/>
      <c r="G57" s="1178"/>
      <c r="H57" s="1178"/>
      <c r="I57" s="1178"/>
      <c r="J57" s="1178"/>
      <c r="K57" s="1178"/>
    </row>
    <row r="72" spans="1:1" x14ac:dyDescent="0.3">
      <c r="A72" s="689"/>
    </row>
    <row r="73" spans="1:1" x14ac:dyDescent="0.3">
      <c r="A73" s="689"/>
    </row>
    <row r="74" spans="1:1" x14ac:dyDescent="0.3">
      <c r="A74" s="689"/>
    </row>
    <row r="75" spans="1:1" x14ac:dyDescent="0.3">
      <c r="A75" s="689"/>
    </row>
    <row r="76" spans="1:1" x14ac:dyDescent="0.3">
      <c r="A76" s="689"/>
    </row>
    <row r="77" spans="1:1" x14ac:dyDescent="0.3">
      <c r="A77" s="689"/>
    </row>
    <row r="78" spans="1:1" x14ac:dyDescent="0.3">
      <c r="A78" s="689"/>
    </row>
    <row r="79" spans="1:1" x14ac:dyDescent="0.3">
      <c r="A79" s="689"/>
    </row>
    <row r="80" spans="1:1" x14ac:dyDescent="0.3">
      <c r="A80" s="689"/>
    </row>
    <row r="81" spans="1:1" x14ac:dyDescent="0.3">
      <c r="A81" s="689"/>
    </row>
    <row r="82" spans="1:1" x14ac:dyDescent="0.3">
      <c r="A82" s="689"/>
    </row>
    <row r="83" spans="1:1" x14ac:dyDescent="0.3">
      <c r="A83" s="689"/>
    </row>
    <row r="84" spans="1:1" x14ac:dyDescent="0.3">
      <c r="A84" s="689"/>
    </row>
    <row r="85" spans="1:1" x14ac:dyDescent="0.3">
      <c r="A85" s="689"/>
    </row>
  </sheetData>
  <mergeCells count="34">
    <mergeCell ref="A5:K5"/>
    <mergeCell ref="A1:K1"/>
    <mergeCell ref="A7:K7"/>
    <mergeCell ref="G17:K17"/>
    <mergeCell ref="G14:K14"/>
    <mergeCell ref="G9:K9"/>
    <mergeCell ref="A12:E12"/>
    <mergeCell ref="A11:E11"/>
    <mergeCell ref="A9:E9"/>
    <mergeCell ref="G15:K15"/>
    <mergeCell ref="G12:K12"/>
    <mergeCell ref="A17:E17"/>
    <mergeCell ref="A15:E15"/>
    <mergeCell ref="A14:E14"/>
    <mergeCell ref="G11:K11"/>
    <mergeCell ref="A3:K3"/>
    <mergeCell ref="G33:K33"/>
    <mergeCell ref="A24:E24"/>
    <mergeCell ref="A23:E23"/>
    <mergeCell ref="A21:E21"/>
    <mergeCell ref="A20:E20"/>
    <mergeCell ref="G20:K20"/>
    <mergeCell ref="G18:K18"/>
    <mergeCell ref="G24:K24"/>
    <mergeCell ref="A18:E18"/>
    <mergeCell ref="G23:K23"/>
    <mergeCell ref="G21:K21"/>
    <mergeCell ref="A53:K53"/>
    <mergeCell ref="A57:K57"/>
    <mergeCell ref="A54:K54"/>
    <mergeCell ref="G55:H55"/>
    <mergeCell ref="G56:H56"/>
    <mergeCell ref="A55:F55"/>
    <mergeCell ref="A56:F56"/>
  </mergeCells>
  <phoneticPr fontId="6" type="noConversion"/>
  <pageMargins left="0.75" right="0.75" top="1.06" bottom="0.5" header="0.5" footer="0.5"/>
  <pageSetup scale="86" orientation="portrait" horizontalDpi="200" verticalDpi="200" r:id="rId1"/>
  <headerFooter>
    <oddHeader>&amp;L&amp;"Calibri,Regular"&amp;K000000&amp;G&amp;18WFTDA StatsBook &amp;A&amp;R&amp;"Calibri,Regular"&amp;K000000_x000D_‘WFTDA StatsBook Credits’ revision 150103_x000D_StatsBook © 2008–2015 WFTDA</oddHeader>
  </headerFooter>
  <colBreaks count="1" manualBreakCount="1">
    <brk id="11" max="1048575" man="1"/>
  </colBreaks>
  <legacyDrawingHF r:id="rId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1"/>
  </sheetPr>
  <dimension ref="A1:J125"/>
  <sheetViews>
    <sheetView topLeftCell="A109" zoomScaleNormal="100" workbookViewId="0"/>
  </sheetViews>
  <sheetFormatPr defaultColWidth="8.88671875" defaultRowHeight="13.8" x14ac:dyDescent="0.3"/>
  <cols>
    <col min="1" max="1" width="8.6640625" style="166" customWidth="1"/>
    <col min="2" max="2" width="4.6640625" style="166" customWidth="1"/>
    <col min="3" max="3" width="12.6640625" style="166" customWidth="1"/>
    <col min="4" max="9" width="8.6640625" style="166" customWidth="1"/>
    <col min="10" max="10" width="25.33203125" style="166" customWidth="1"/>
    <col min="11" max="16384" width="8.88671875" style="166"/>
  </cols>
  <sheetData>
    <row r="1" spans="1:10" ht="15" customHeight="1" x14ac:dyDescent="0.3">
      <c r="C1" s="168"/>
      <c r="D1" s="168"/>
      <c r="E1" s="168"/>
      <c r="F1" s="168"/>
      <c r="G1" s="168"/>
      <c r="H1" s="168"/>
      <c r="I1" s="168"/>
      <c r="J1" s="168"/>
    </row>
    <row r="2" spans="1:10" ht="30" customHeight="1" x14ac:dyDescent="0.3">
      <c r="A2" s="1196" t="s">
        <v>300</v>
      </c>
      <c r="B2" s="1196"/>
      <c r="C2" s="1196"/>
      <c r="D2" s="1196"/>
      <c r="E2" s="1196"/>
      <c r="F2" s="1196"/>
      <c r="G2" s="1196"/>
      <c r="H2" s="1196"/>
      <c r="I2" s="1196"/>
      <c r="J2" s="1196"/>
    </row>
    <row r="3" spans="1:10" ht="75" customHeight="1" x14ac:dyDescent="0.3">
      <c r="B3" s="1197" t="s">
        <v>461</v>
      </c>
      <c r="C3" s="1198"/>
      <c r="D3" s="1198"/>
      <c r="E3" s="1198"/>
      <c r="F3" s="1198"/>
      <c r="G3" s="1198"/>
      <c r="H3" s="1198"/>
      <c r="I3" s="1198"/>
      <c r="J3" s="1198"/>
    </row>
    <row r="4" spans="1:10" ht="15" customHeight="1" x14ac:dyDescent="0.3">
      <c r="B4" s="1186" t="s">
        <v>301</v>
      </c>
      <c r="C4" s="1186"/>
      <c r="D4" s="1186"/>
      <c r="E4" s="1186"/>
      <c r="F4" s="1186"/>
      <c r="G4" s="1186"/>
      <c r="H4" s="1186"/>
      <c r="I4" s="1186"/>
      <c r="J4" s="1186"/>
    </row>
    <row r="5" spans="1:10" ht="30" customHeight="1" x14ac:dyDescent="0.3">
      <c r="B5" s="168"/>
      <c r="C5" s="168"/>
      <c r="D5" s="168"/>
      <c r="E5" s="168"/>
      <c r="F5" s="168"/>
      <c r="G5" s="168"/>
      <c r="H5" s="168"/>
      <c r="I5" s="168"/>
      <c r="J5" s="168"/>
    </row>
    <row r="6" spans="1:10" ht="30" customHeight="1" x14ac:dyDescent="0.3">
      <c r="A6" s="1196" t="s">
        <v>302</v>
      </c>
      <c r="B6" s="1196"/>
      <c r="C6" s="1196"/>
      <c r="D6" s="1196"/>
      <c r="E6" s="1196"/>
      <c r="F6" s="1196"/>
      <c r="G6" s="1196"/>
      <c r="H6" s="1196"/>
      <c r="I6" s="1196"/>
      <c r="J6" s="1196"/>
    </row>
    <row r="7" spans="1:10" ht="15" customHeight="1" x14ac:dyDescent="0.3">
      <c r="B7" s="1191" t="s">
        <v>566</v>
      </c>
      <c r="C7" s="1186"/>
      <c r="D7" s="1186"/>
      <c r="E7" s="1186"/>
      <c r="F7" s="1186"/>
      <c r="G7" s="1186"/>
      <c r="H7" s="1186"/>
      <c r="I7" s="1186"/>
      <c r="J7" s="1186"/>
    </row>
    <row r="8" spans="1:10" ht="15" customHeight="1" x14ac:dyDescent="0.3">
      <c r="B8" s="1191" t="s">
        <v>458</v>
      </c>
      <c r="C8" s="1186"/>
      <c r="D8" s="1186"/>
      <c r="E8" s="1186"/>
      <c r="F8" s="1186"/>
      <c r="G8" s="1186"/>
      <c r="H8" s="1186"/>
      <c r="I8" s="1186"/>
      <c r="J8" s="1186"/>
    </row>
    <row r="9" spans="1:10" ht="15" customHeight="1" x14ac:dyDescent="0.3"/>
    <row r="10" spans="1:10" ht="15" customHeight="1" x14ac:dyDescent="0.3">
      <c r="B10" s="576" t="s">
        <v>459</v>
      </c>
    </row>
    <row r="11" spans="1:10" ht="15" customHeight="1" x14ac:dyDescent="0.3">
      <c r="B11" s="169" t="s">
        <v>218</v>
      </c>
      <c r="C11" s="12" t="s">
        <v>494</v>
      </c>
    </row>
    <row r="12" spans="1:10" ht="15" customHeight="1" x14ac:dyDescent="0.3">
      <c r="B12" s="169" t="s">
        <v>201</v>
      </c>
      <c r="C12" s="747" t="s">
        <v>534</v>
      </c>
    </row>
    <row r="13" spans="1:10" ht="15" customHeight="1" x14ac:dyDescent="0.3">
      <c r="B13" s="309" t="s">
        <v>203</v>
      </c>
      <c r="C13" s="12" t="s">
        <v>489</v>
      </c>
    </row>
    <row r="14" spans="1:10" ht="15" customHeight="1" x14ac:dyDescent="0.3">
      <c r="B14" s="309" t="s">
        <v>205</v>
      </c>
      <c r="C14" s="12" t="s">
        <v>462</v>
      </c>
    </row>
    <row r="15" spans="1:10" ht="15" customHeight="1" x14ac:dyDescent="0.3">
      <c r="B15" s="309" t="s">
        <v>207</v>
      </c>
      <c r="C15" s="633" t="s">
        <v>463</v>
      </c>
    </row>
    <row r="16" spans="1:10" ht="15" customHeight="1" x14ac:dyDescent="0.3">
      <c r="B16" s="309" t="s">
        <v>213</v>
      </c>
      <c r="C16" s="12" t="s">
        <v>469</v>
      </c>
    </row>
    <row r="17" spans="2:10" ht="15" customHeight="1" x14ac:dyDescent="0.3">
      <c r="B17" s="634"/>
      <c r="C17" s="12"/>
    </row>
    <row r="18" spans="2:10" ht="15" customHeight="1" x14ac:dyDescent="0.3">
      <c r="B18" s="576" t="s">
        <v>464</v>
      </c>
    </row>
    <row r="19" spans="2:10" ht="15" customHeight="1" x14ac:dyDescent="0.3">
      <c r="B19" s="169" t="s">
        <v>218</v>
      </c>
      <c r="C19" s="12" t="s">
        <v>429</v>
      </c>
    </row>
    <row r="20" spans="2:10" ht="15" customHeight="1" x14ac:dyDescent="0.3">
      <c r="B20" s="169" t="s">
        <v>201</v>
      </c>
      <c r="C20" s="12" t="s">
        <v>460</v>
      </c>
    </row>
    <row r="21" spans="2:10" ht="12.75" customHeight="1" x14ac:dyDescent="0.3">
      <c r="B21" s="309" t="s">
        <v>203</v>
      </c>
      <c r="C21" s="633" t="s">
        <v>442</v>
      </c>
      <c r="D21" s="633"/>
      <c r="E21" s="633"/>
      <c r="F21" s="633"/>
      <c r="G21" s="633"/>
      <c r="H21" s="633"/>
      <c r="I21" s="633"/>
      <c r="J21" s="633"/>
    </row>
    <row r="22" spans="2:10" ht="15" customHeight="1" x14ac:dyDescent="0.3">
      <c r="B22" s="309" t="s">
        <v>205</v>
      </c>
      <c r="C22" s="12" t="s">
        <v>441</v>
      </c>
    </row>
    <row r="23" spans="2:10" ht="15" customHeight="1" x14ac:dyDescent="0.3">
      <c r="B23" s="309" t="s">
        <v>207</v>
      </c>
      <c r="C23" s="12" t="s">
        <v>439</v>
      </c>
    </row>
    <row r="24" spans="2:10" ht="15" customHeight="1" x14ac:dyDescent="0.3">
      <c r="B24" s="309" t="s">
        <v>213</v>
      </c>
      <c r="C24" s="12" t="s">
        <v>454</v>
      </c>
    </row>
    <row r="25" spans="2:10" ht="15" customHeight="1" x14ac:dyDescent="0.3">
      <c r="B25" s="634" t="s">
        <v>312</v>
      </c>
      <c r="C25" s="12" t="s">
        <v>453</v>
      </c>
    </row>
    <row r="26" spans="2:10" ht="15" customHeight="1" x14ac:dyDescent="0.3"/>
    <row r="27" spans="2:10" ht="15" customHeight="1" x14ac:dyDescent="0.3">
      <c r="B27" s="576" t="s">
        <v>447</v>
      </c>
    </row>
    <row r="28" spans="2:10" ht="15" customHeight="1" x14ac:dyDescent="0.3">
      <c r="B28" s="169" t="s">
        <v>218</v>
      </c>
      <c r="C28" s="12" t="s">
        <v>413</v>
      </c>
    </row>
    <row r="29" spans="2:10" ht="15" customHeight="1" x14ac:dyDescent="0.3">
      <c r="B29" s="169" t="s">
        <v>201</v>
      </c>
      <c r="C29" s="12" t="s">
        <v>414</v>
      </c>
    </row>
    <row r="30" spans="2:10" ht="15" customHeight="1" x14ac:dyDescent="0.3">
      <c r="B30" s="309" t="s">
        <v>203</v>
      </c>
      <c r="C30" s="12" t="s">
        <v>416</v>
      </c>
    </row>
    <row r="31" spans="2:10" ht="15" customHeight="1" x14ac:dyDescent="0.3">
      <c r="B31" s="309" t="s">
        <v>205</v>
      </c>
      <c r="C31" s="12" t="s">
        <v>417</v>
      </c>
    </row>
    <row r="32" spans="2:10" ht="15" customHeight="1" x14ac:dyDescent="0.3">
      <c r="B32" s="309" t="s">
        <v>207</v>
      </c>
      <c r="C32" s="12" t="s">
        <v>415</v>
      </c>
    </row>
    <row r="33" spans="2:10" ht="15" customHeight="1" x14ac:dyDescent="0.3"/>
    <row r="34" spans="2:10" ht="15" customHeight="1" x14ac:dyDescent="0.3">
      <c r="B34" s="1199" t="s">
        <v>407</v>
      </c>
      <c r="C34" s="1190"/>
      <c r="D34" s="1190"/>
      <c r="E34" s="1190"/>
      <c r="F34" s="1190"/>
      <c r="G34" s="1190"/>
      <c r="H34" s="1190"/>
      <c r="I34" s="1190"/>
      <c r="J34" s="1190"/>
    </row>
    <row r="35" spans="2:10" ht="15" customHeight="1" x14ac:dyDescent="0.3">
      <c r="B35" s="169" t="s">
        <v>218</v>
      </c>
      <c r="C35" s="1191" t="s">
        <v>362</v>
      </c>
      <c r="D35" s="1186"/>
      <c r="E35" s="1186"/>
      <c r="F35" s="1186"/>
      <c r="G35" s="1186"/>
      <c r="H35" s="1186"/>
      <c r="I35" s="1186"/>
      <c r="J35" s="1186"/>
    </row>
    <row r="36" spans="2:10" ht="15" customHeight="1" x14ac:dyDescent="0.3">
      <c r="B36" s="169" t="s">
        <v>201</v>
      </c>
      <c r="C36" s="1191" t="s">
        <v>361</v>
      </c>
      <c r="D36" s="1186"/>
      <c r="E36" s="1186"/>
      <c r="F36" s="1186"/>
      <c r="G36" s="1186"/>
      <c r="H36" s="1186"/>
      <c r="I36" s="1186"/>
      <c r="J36" s="1186"/>
    </row>
    <row r="37" spans="2:10" ht="15" customHeight="1" x14ac:dyDescent="0.3">
      <c r="B37" s="309" t="s">
        <v>203</v>
      </c>
      <c r="C37" s="1191" t="s">
        <v>364</v>
      </c>
      <c r="D37" s="1186"/>
      <c r="E37" s="1186"/>
      <c r="F37" s="1186"/>
      <c r="G37" s="1186"/>
      <c r="H37" s="1186"/>
      <c r="I37" s="1186"/>
      <c r="J37" s="1186"/>
    </row>
    <row r="38" spans="2:10" ht="15" customHeight="1" x14ac:dyDescent="0.3">
      <c r="B38" s="309" t="s">
        <v>205</v>
      </c>
      <c r="C38" s="298" t="s">
        <v>365</v>
      </c>
      <c r="D38" s="297"/>
      <c r="E38" s="297"/>
      <c r="F38" s="297"/>
      <c r="G38" s="297"/>
      <c r="H38" s="297"/>
      <c r="I38" s="297"/>
      <c r="J38" s="297"/>
    </row>
    <row r="39" spans="2:10" ht="15" customHeight="1" x14ac:dyDescent="0.3">
      <c r="B39" s="309" t="s">
        <v>207</v>
      </c>
      <c r="C39" s="1191" t="s">
        <v>363</v>
      </c>
      <c r="D39" s="1186"/>
      <c r="E39" s="1186"/>
      <c r="F39" s="1186"/>
      <c r="G39" s="1186"/>
      <c r="H39" s="1186"/>
      <c r="I39" s="1186"/>
      <c r="J39" s="1186"/>
    </row>
    <row r="40" spans="2:10" ht="15" customHeight="1" x14ac:dyDescent="0.3"/>
    <row r="41" spans="2:10" ht="15" customHeight="1" x14ac:dyDescent="0.3">
      <c r="B41" s="1199" t="s">
        <v>406</v>
      </c>
      <c r="C41" s="1190"/>
      <c r="D41" s="1190"/>
      <c r="E41" s="1190"/>
      <c r="F41" s="1190"/>
      <c r="G41" s="1190"/>
      <c r="H41" s="1190"/>
      <c r="I41" s="1190"/>
      <c r="J41" s="1190"/>
    </row>
    <row r="42" spans="2:10" ht="15" customHeight="1" x14ac:dyDescent="0.3">
      <c r="B42" s="169" t="s">
        <v>218</v>
      </c>
      <c r="C42" s="1186" t="s">
        <v>303</v>
      </c>
      <c r="D42" s="1186"/>
      <c r="E42" s="1186"/>
      <c r="F42" s="1186"/>
      <c r="G42" s="1186"/>
      <c r="H42" s="1186"/>
      <c r="I42" s="1186"/>
      <c r="J42" s="1186"/>
    </row>
    <row r="43" spans="2:10" ht="15" customHeight="1" x14ac:dyDescent="0.3">
      <c r="B43" s="169" t="s">
        <v>201</v>
      </c>
      <c r="C43" s="1186" t="s">
        <v>309</v>
      </c>
      <c r="D43" s="1186"/>
      <c r="E43" s="1186"/>
      <c r="F43" s="1186"/>
      <c r="G43" s="1186"/>
      <c r="H43" s="1186"/>
      <c r="I43" s="1186"/>
      <c r="J43" s="1186"/>
    </row>
    <row r="44" spans="2:10" ht="15" customHeight="1" x14ac:dyDescent="0.3">
      <c r="B44" s="169" t="s">
        <v>203</v>
      </c>
      <c r="C44" s="1186" t="s">
        <v>304</v>
      </c>
      <c r="D44" s="1186"/>
      <c r="E44" s="1186"/>
      <c r="F44" s="1186"/>
      <c r="G44" s="1186"/>
      <c r="H44" s="1186"/>
      <c r="I44" s="1186"/>
      <c r="J44" s="1186"/>
    </row>
    <row r="45" spans="2:10" ht="15" customHeight="1" x14ac:dyDescent="0.3">
      <c r="B45" s="169" t="s">
        <v>205</v>
      </c>
      <c r="C45" s="1186" t="s">
        <v>305</v>
      </c>
      <c r="D45" s="1186"/>
      <c r="E45" s="1186"/>
      <c r="F45" s="1186"/>
      <c r="G45" s="1186"/>
      <c r="H45" s="1186"/>
      <c r="I45" s="1186"/>
      <c r="J45" s="1186"/>
    </row>
    <row r="46" spans="2:10" ht="15" customHeight="1" x14ac:dyDescent="0.3">
      <c r="B46" s="169" t="s">
        <v>207</v>
      </c>
      <c r="C46" s="1186" t="s">
        <v>306</v>
      </c>
      <c r="D46" s="1186"/>
      <c r="E46" s="1186"/>
      <c r="F46" s="1186"/>
      <c r="G46" s="1186"/>
      <c r="H46" s="1186"/>
      <c r="I46" s="1186"/>
      <c r="J46" s="1186"/>
    </row>
    <row r="47" spans="2:10" ht="15" customHeight="1" x14ac:dyDescent="0.3">
      <c r="B47" s="169" t="s">
        <v>213</v>
      </c>
      <c r="C47" s="1186" t="s">
        <v>307</v>
      </c>
      <c r="D47" s="1186"/>
      <c r="E47" s="1186"/>
      <c r="F47" s="1186"/>
      <c r="G47" s="1186"/>
      <c r="H47" s="1186"/>
      <c r="I47" s="1186"/>
      <c r="J47" s="1186"/>
    </row>
    <row r="48" spans="2:10" ht="15" customHeight="1" x14ac:dyDescent="0.3">
      <c r="B48" s="169" t="s">
        <v>312</v>
      </c>
      <c r="C48" s="1186" t="s">
        <v>308</v>
      </c>
      <c r="D48" s="1186"/>
      <c r="E48" s="1186"/>
      <c r="F48" s="1186"/>
      <c r="G48" s="1186"/>
      <c r="H48" s="1186"/>
      <c r="I48" s="1186"/>
      <c r="J48" s="1186"/>
    </row>
    <row r="49" spans="2:10" ht="15" customHeight="1" x14ac:dyDescent="0.3">
      <c r="B49" s="169" t="s">
        <v>313</v>
      </c>
      <c r="C49" s="1186" t="s">
        <v>310</v>
      </c>
      <c r="D49" s="1186"/>
      <c r="E49" s="1186"/>
      <c r="F49" s="1186"/>
      <c r="G49" s="1186"/>
      <c r="H49" s="1186"/>
      <c r="I49" s="1186"/>
      <c r="J49" s="1186"/>
    </row>
    <row r="50" spans="2:10" ht="30" customHeight="1" x14ac:dyDescent="0.3">
      <c r="B50" s="170" t="s">
        <v>314</v>
      </c>
      <c r="C50" s="1198" t="s">
        <v>311</v>
      </c>
      <c r="D50" s="1198"/>
      <c r="E50" s="1198"/>
      <c r="F50" s="1198"/>
      <c r="G50" s="1198"/>
      <c r="H50" s="1198"/>
      <c r="I50" s="1198"/>
      <c r="J50" s="1198"/>
    </row>
    <row r="51" spans="2:10" ht="15" customHeight="1" x14ac:dyDescent="0.3">
      <c r="C51" s="168"/>
      <c r="D51" s="168"/>
      <c r="E51" s="168"/>
      <c r="F51" s="168"/>
      <c r="G51" s="168"/>
      <c r="H51" s="168"/>
      <c r="I51" s="168"/>
      <c r="J51" s="168"/>
    </row>
    <row r="52" spans="2:10" ht="15" customHeight="1" x14ac:dyDescent="0.3">
      <c r="B52" s="1190" t="s">
        <v>315</v>
      </c>
      <c r="C52" s="1190"/>
      <c r="D52" s="1190"/>
      <c r="E52" s="1190"/>
      <c r="F52" s="1190"/>
      <c r="G52" s="1190"/>
      <c r="H52" s="1190"/>
      <c r="I52" s="1190"/>
      <c r="J52" s="1190"/>
    </row>
    <row r="53" spans="2:10" ht="15" customHeight="1" x14ac:dyDescent="0.3">
      <c r="B53" s="169" t="s">
        <v>218</v>
      </c>
      <c r="C53" s="1191" t="s">
        <v>423</v>
      </c>
      <c r="D53" s="1186"/>
      <c r="E53" s="1186"/>
      <c r="F53" s="1186"/>
      <c r="G53" s="1186"/>
      <c r="H53" s="1186"/>
      <c r="I53" s="1186"/>
      <c r="J53" s="1186"/>
    </row>
    <row r="54" spans="2:10" ht="29.1" customHeight="1" x14ac:dyDescent="0.3">
      <c r="B54" s="170" t="s">
        <v>201</v>
      </c>
      <c r="C54" s="1198" t="s">
        <v>316</v>
      </c>
      <c r="D54" s="1198"/>
      <c r="E54" s="1198"/>
      <c r="F54" s="1198"/>
      <c r="G54" s="1198"/>
      <c r="H54" s="1198"/>
      <c r="I54" s="1198"/>
      <c r="J54" s="1198"/>
    </row>
    <row r="55" spans="2:10" ht="27" customHeight="1" x14ac:dyDescent="0.3">
      <c r="B55" s="661" t="s">
        <v>203</v>
      </c>
      <c r="C55" s="1201" t="s">
        <v>479</v>
      </c>
      <c r="D55" s="1201"/>
      <c r="E55" s="1201"/>
      <c r="F55" s="1201"/>
      <c r="G55" s="1201"/>
      <c r="H55" s="1201"/>
      <c r="I55" s="1201"/>
      <c r="J55" s="1201"/>
    </row>
    <row r="56" spans="2:10" ht="24.75" customHeight="1" x14ac:dyDescent="0.3">
      <c r="B56" s="661" t="s">
        <v>205</v>
      </c>
      <c r="C56" s="1202" t="s">
        <v>568</v>
      </c>
      <c r="D56" s="1202"/>
      <c r="E56" s="1202"/>
      <c r="F56" s="1202"/>
      <c r="G56" s="1202"/>
      <c r="H56" s="1202"/>
      <c r="I56" s="1202"/>
      <c r="J56" s="1202"/>
    </row>
    <row r="57" spans="2:10" ht="15" customHeight="1" x14ac:dyDescent="0.3">
      <c r="B57" s="662"/>
    </row>
    <row r="58" spans="2:10" ht="15" customHeight="1" x14ac:dyDescent="0.3">
      <c r="B58" s="662"/>
    </row>
    <row r="59" spans="2:10" ht="15" customHeight="1" x14ac:dyDescent="0.3">
      <c r="B59" s="662"/>
    </row>
    <row r="60" spans="2:10" ht="15" customHeight="1" x14ac:dyDescent="0.3"/>
    <row r="61" spans="2:10" ht="15" customHeight="1" x14ac:dyDescent="0.3"/>
    <row r="62" spans="2:10" ht="15" customHeight="1" x14ac:dyDescent="0.3"/>
    <row r="63" spans="2:10" ht="15" customHeight="1" x14ac:dyDescent="0.3">
      <c r="B63" s="168"/>
      <c r="C63" s="168"/>
      <c r="D63" s="168"/>
      <c r="E63" s="168"/>
      <c r="F63" s="168"/>
      <c r="G63" s="168"/>
      <c r="H63" s="168"/>
      <c r="I63" s="168"/>
      <c r="J63" s="168"/>
    </row>
    <row r="64" spans="2:10" ht="15" customHeight="1" x14ac:dyDescent="0.3"/>
    <row r="65" spans="1:10" ht="29.25" customHeight="1" x14ac:dyDescent="0.3">
      <c r="A65" s="1196" t="s">
        <v>345</v>
      </c>
      <c r="B65" s="1196"/>
      <c r="C65" s="1196"/>
      <c r="D65" s="1196"/>
      <c r="E65" s="1196"/>
      <c r="F65" s="1196"/>
      <c r="G65" s="1196"/>
      <c r="H65" s="1196"/>
      <c r="I65" s="1196"/>
      <c r="J65" s="1196"/>
    </row>
    <row r="66" spans="1:10" ht="15" customHeight="1" x14ac:dyDescent="0.3"/>
    <row r="67" spans="1:10" ht="15" customHeight="1" x14ac:dyDescent="0.3">
      <c r="B67" s="576" t="s">
        <v>567</v>
      </c>
    </row>
    <row r="68" spans="1:10" ht="15" customHeight="1" x14ac:dyDescent="0.3">
      <c r="B68" s="12" t="s">
        <v>560</v>
      </c>
    </row>
    <row r="69" spans="1:10" ht="15" customHeight="1" x14ac:dyDescent="0.3">
      <c r="B69" s="12" t="s">
        <v>480</v>
      </c>
    </row>
    <row r="70" spans="1:10" ht="15" customHeight="1" x14ac:dyDescent="0.3"/>
    <row r="71" spans="1:10" ht="15" customHeight="1" x14ac:dyDescent="0.3">
      <c r="B71" s="576" t="s">
        <v>465</v>
      </c>
    </row>
    <row r="72" spans="1:10" ht="15" customHeight="1" x14ac:dyDescent="0.3">
      <c r="B72" s="12" t="s">
        <v>467</v>
      </c>
    </row>
    <row r="73" spans="1:10" ht="15" customHeight="1" x14ac:dyDescent="0.3">
      <c r="B73" s="12" t="s">
        <v>466</v>
      </c>
    </row>
    <row r="74" spans="1:10" ht="15" customHeight="1" x14ac:dyDescent="0.3"/>
    <row r="75" spans="1:10" ht="15" customHeight="1" x14ac:dyDescent="0.3">
      <c r="B75" s="576" t="s">
        <v>420</v>
      </c>
    </row>
    <row r="76" spans="1:10" ht="15" customHeight="1" x14ac:dyDescent="0.3">
      <c r="B76" s="12" t="s">
        <v>419</v>
      </c>
    </row>
    <row r="77" spans="1:10" ht="15" customHeight="1" x14ac:dyDescent="0.3">
      <c r="B77" s="12" t="s">
        <v>421</v>
      </c>
    </row>
    <row r="78" spans="1:10" ht="15" customHeight="1" x14ac:dyDescent="0.3"/>
    <row r="79" spans="1:10" ht="15" customHeight="1" x14ac:dyDescent="0.3">
      <c r="B79" s="576" t="s">
        <v>410</v>
      </c>
    </row>
    <row r="80" spans="1:10" ht="15" customHeight="1" x14ac:dyDescent="0.3">
      <c r="B80" s="12" t="s">
        <v>418</v>
      </c>
    </row>
    <row r="81" spans="2:10" ht="15" customHeight="1" x14ac:dyDescent="0.3">
      <c r="B81" s="12" t="s">
        <v>422</v>
      </c>
    </row>
    <row r="82" spans="2:10" ht="15" customHeight="1" x14ac:dyDescent="0.3"/>
    <row r="83" spans="2:10" ht="15" customHeight="1" x14ac:dyDescent="0.3">
      <c r="B83" s="1189" t="s">
        <v>408</v>
      </c>
      <c r="C83" s="1190"/>
      <c r="D83" s="1190"/>
      <c r="E83" s="1190"/>
      <c r="F83" s="1190"/>
      <c r="G83" s="1190"/>
      <c r="H83" s="1190"/>
      <c r="I83" s="1190"/>
      <c r="J83" s="1190"/>
    </row>
    <row r="84" spans="2:10" ht="15" customHeight="1" x14ac:dyDescent="0.3">
      <c r="B84" s="1186" t="s">
        <v>346</v>
      </c>
      <c r="C84" s="1186"/>
      <c r="D84" s="1186"/>
      <c r="E84" s="1186"/>
      <c r="F84" s="1186"/>
      <c r="G84" s="1186"/>
      <c r="H84" s="1186"/>
      <c r="I84" s="1186"/>
      <c r="J84" s="1186"/>
    </row>
    <row r="85" spans="2:10" ht="15" customHeight="1" x14ac:dyDescent="0.3">
      <c r="B85" s="1191" t="s">
        <v>409</v>
      </c>
      <c r="C85" s="1186"/>
      <c r="D85" s="1186"/>
      <c r="E85" s="1186"/>
      <c r="F85" s="1186"/>
      <c r="G85" s="1186"/>
      <c r="H85" s="1186"/>
      <c r="I85" s="1186"/>
      <c r="J85" s="1186"/>
    </row>
    <row r="86" spans="2:10" ht="15" customHeight="1" x14ac:dyDescent="0.3"/>
    <row r="87" spans="2:10" ht="15" customHeight="1" x14ac:dyDescent="0.3">
      <c r="B87" s="1200" t="s">
        <v>318</v>
      </c>
      <c r="C87" s="1190"/>
      <c r="D87" s="1190"/>
      <c r="E87" s="1190"/>
      <c r="F87" s="1190"/>
      <c r="G87" s="1190"/>
      <c r="H87" s="1190"/>
      <c r="I87" s="1190"/>
      <c r="J87" s="1190"/>
    </row>
    <row r="88" spans="2:10" ht="15" customHeight="1" x14ac:dyDescent="0.3">
      <c r="B88" s="1191" t="s">
        <v>353</v>
      </c>
      <c r="C88" s="1186"/>
      <c r="D88" s="1186"/>
      <c r="E88" s="1186"/>
      <c r="F88" s="1186"/>
      <c r="G88" s="1186"/>
      <c r="H88" s="1186"/>
      <c r="I88" s="1186"/>
      <c r="J88" s="1186"/>
    </row>
    <row r="89" spans="2:10" ht="15" customHeight="1" x14ac:dyDescent="0.3">
      <c r="B89" s="1186" t="s">
        <v>347</v>
      </c>
      <c r="C89" s="1186"/>
      <c r="D89" s="1186"/>
      <c r="E89" s="1186"/>
      <c r="F89" s="1186"/>
      <c r="G89" s="1186"/>
      <c r="H89" s="1186"/>
      <c r="I89" s="1186"/>
      <c r="J89" s="1186"/>
    </row>
    <row r="90" spans="2:10" ht="15" customHeight="1" x14ac:dyDescent="0.3"/>
    <row r="91" spans="2:10" ht="15" customHeight="1" x14ac:dyDescent="0.3">
      <c r="B91" s="1192" t="s">
        <v>327</v>
      </c>
      <c r="C91" s="1192"/>
      <c r="D91" s="1192"/>
      <c r="E91" s="1193">
        <v>40354</v>
      </c>
      <c r="F91" s="1193"/>
      <c r="G91" s="1186"/>
      <c r="H91" s="1186"/>
      <c r="I91" s="1186"/>
      <c r="J91" s="1186"/>
    </row>
    <row r="92" spans="2:10" ht="15" customHeight="1" x14ac:dyDescent="0.3">
      <c r="B92" s="1186" t="s">
        <v>317</v>
      </c>
      <c r="C92" s="1186"/>
      <c r="D92" s="1186"/>
      <c r="E92" s="1186"/>
      <c r="F92" s="1186"/>
      <c r="G92" s="1186"/>
      <c r="H92" s="1186"/>
      <c r="I92" s="1186"/>
      <c r="J92" s="1186"/>
    </row>
    <row r="93" spans="2:10" ht="15" customHeight="1" x14ac:dyDescent="0.3">
      <c r="B93" s="1186" t="s">
        <v>343</v>
      </c>
      <c r="C93" s="1186"/>
      <c r="D93" s="1186"/>
      <c r="E93" s="1186"/>
      <c r="F93" s="1186"/>
      <c r="G93" s="1186"/>
      <c r="H93" s="1186"/>
      <c r="I93" s="1186"/>
      <c r="J93" s="1186"/>
    </row>
    <row r="94" spans="2:10" ht="15" customHeight="1" x14ac:dyDescent="0.3"/>
    <row r="95" spans="2:10" ht="15" customHeight="1" x14ac:dyDescent="0.3">
      <c r="B95" s="1192" t="s">
        <v>328</v>
      </c>
      <c r="C95" s="1192"/>
      <c r="D95" s="1192"/>
      <c r="E95" s="1193">
        <v>40268</v>
      </c>
      <c r="F95" s="1193"/>
      <c r="G95" s="1186"/>
      <c r="H95" s="1186"/>
      <c r="I95" s="1186"/>
      <c r="J95" s="1186"/>
    </row>
    <row r="96" spans="2:10" ht="15" customHeight="1" x14ac:dyDescent="0.3">
      <c r="B96" s="1192" t="s">
        <v>325</v>
      </c>
      <c r="C96" s="1192"/>
      <c r="D96" s="1192"/>
      <c r="E96" s="1193">
        <v>40256</v>
      </c>
      <c r="F96" s="1193"/>
      <c r="G96" s="1186" t="s">
        <v>344</v>
      </c>
      <c r="H96" s="1186"/>
      <c r="I96" s="1186"/>
      <c r="J96" s="1186"/>
    </row>
    <row r="97" spans="2:10" ht="15" customHeight="1" x14ac:dyDescent="0.3">
      <c r="B97" s="1192" t="s">
        <v>329</v>
      </c>
      <c r="C97" s="1192"/>
      <c r="D97" s="1192"/>
      <c r="E97" s="1193">
        <v>40218</v>
      </c>
      <c r="F97" s="1193"/>
      <c r="G97" s="1186" t="s">
        <v>336</v>
      </c>
      <c r="H97" s="1186"/>
      <c r="I97" s="1186"/>
      <c r="J97" s="1186"/>
    </row>
    <row r="98" spans="2:10" ht="15" customHeight="1" x14ac:dyDescent="0.3">
      <c r="B98" s="1192" t="s">
        <v>323</v>
      </c>
      <c r="C98" s="1192"/>
      <c r="D98" s="1192"/>
      <c r="E98" s="1193">
        <v>40107</v>
      </c>
      <c r="F98" s="1193"/>
      <c r="G98" s="1186"/>
      <c r="H98" s="1186"/>
      <c r="I98" s="1186"/>
      <c r="J98" s="1186"/>
    </row>
    <row r="99" spans="2:10" ht="15" customHeight="1" x14ac:dyDescent="0.3">
      <c r="B99" s="1192" t="s">
        <v>330</v>
      </c>
      <c r="C99" s="1192"/>
      <c r="D99" s="1192"/>
      <c r="E99" s="1193">
        <v>40092</v>
      </c>
      <c r="F99" s="1193"/>
      <c r="G99" s="1186" t="s">
        <v>335</v>
      </c>
      <c r="H99" s="1186"/>
      <c r="I99" s="1186"/>
      <c r="J99" s="1186"/>
    </row>
    <row r="100" spans="2:10" ht="15" customHeight="1" x14ac:dyDescent="0.3">
      <c r="B100" s="1186" t="s">
        <v>317</v>
      </c>
      <c r="C100" s="1186"/>
      <c r="D100" s="1186"/>
      <c r="E100" s="1186"/>
      <c r="F100" s="1186"/>
      <c r="G100" s="1186"/>
      <c r="H100" s="1186"/>
      <c r="I100" s="1186"/>
      <c r="J100" s="1186"/>
    </row>
    <row r="101" spans="2:10" ht="15" customHeight="1" x14ac:dyDescent="0.3">
      <c r="B101" s="172"/>
      <c r="C101" s="172"/>
      <c r="D101" s="172"/>
      <c r="E101" s="173"/>
      <c r="F101" s="173"/>
      <c r="G101" s="171"/>
      <c r="H101" s="171"/>
      <c r="I101" s="171"/>
      <c r="J101" s="171"/>
    </row>
    <row r="102" spans="2:10" ht="15" customHeight="1" x14ac:dyDescent="0.3">
      <c r="B102" s="1192" t="s">
        <v>324</v>
      </c>
      <c r="C102" s="1192"/>
      <c r="D102" s="1192"/>
      <c r="E102" s="1193"/>
      <c r="F102" s="1193"/>
      <c r="G102" s="1186"/>
      <c r="H102" s="1186"/>
      <c r="I102" s="1186"/>
      <c r="J102" s="1186"/>
    </row>
    <row r="103" spans="2:10" ht="15" customHeight="1" x14ac:dyDescent="0.3">
      <c r="B103" s="1186" t="s">
        <v>331</v>
      </c>
      <c r="C103" s="1186"/>
      <c r="D103" s="1186"/>
      <c r="E103" s="1186"/>
      <c r="F103" s="1186"/>
      <c r="G103" s="1186"/>
      <c r="H103" s="1186"/>
      <c r="I103" s="1186"/>
      <c r="J103" s="1186"/>
    </row>
    <row r="104" spans="2:10" ht="45" customHeight="1" x14ac:dyDescent="0.3">
      <c r="B104" s="1187" t="s">
        <v>349</v>
      </c>
      <c r="C104" s="1188"/>
      <c r="D104" s="1188"/>
      <c r="E104" s="1188"/>
      <c r="F104" s="1188"/>
      <c r="G104" s="1188"/>
      <c r="H104" s="1188"/>
      <c r="I104" s="1188"/>
      <c r="J104" s="1188"/>
    </row>
    <row r="105" spans="2:10" ht="15" customHeight="1" x14ac:dyDescent="0.3"/>
    <row r="106" spans="2:10" ht="15" customHeight="1" x14ac:dyDescent="0.3">
      <c r="B106" s="1192" t="s">
        <v>326</v>
      </c>
      <c r="C106" s="1192"/>
      <c r="D106" s="1192"/>
      <c r="E106" s="1193"/>
      <c r="F106" s="1193"/>
      <c r="G106" s="1186"/>
      <c r="H106" s="1186"/>
      <c r="I106" s="1186"/>
      <c r="J106" s="1186"/>
    </row>
    <row r="107" spans="2:10" ht="15" customHeight="1" x14ac:dyDescent="0.3">
      <c r="B107" s="1192" t="s">
        <v>333</v>
      </c>
      <c r="C107" s="1192"/>
      <c r="D107" s="1192"/>
      <c r="E107" s="1193">
        <v>40034</v>
      </c>
      <c r="F107" s="1193"/>
      <c r="G107" s="1186"/>
      <c r="H107" s="1186"/>
      <c r="I107" s="1186"/>
      <c r="J107" s="1186"/>
    </row>
    <row r="108" spans="2:10" ht="15" customHeight="1" x14ac:dyDescent="0.3">
      <c r="B108" s="1186" t="s">
        <v>332</v>
      </c>
      <c r="C108" s="1186"/>
      <c r="D108" s="1186"/>
      <c r="E108" s="1186"/>
      <c r="F108" s="1186"/>
      <c r="G108" s="1186"/>
      <c r="H108" s="1186"/>
      <c r="I108" s="1186"/>
      <c r="J108" s="1186"/>
    </row>
    <row r="109" spans="2:10" ht="30" customHeight="1" x14ac:dyDescent="0.3">
      <c r="B109" s="1194" t="s">
        <v>348</v>
      </c>
      <c r="C109" s="1195"/>
      <c r="D109" s="1195"/>
      <c r="E109" s="1195"/>
      <c r="F109" s="1195"/>
      <c r="G109" s="1195"/>
      <c r="H109" s="1195"/>
      <c r="I109" s="1195"/>
      <c r="J109" s="1195"/>
    </row>
    <row r="110" spans="2:10" ht="15" customHeight="1" x14ac:dyDescent="0.3"/>
    <row r="111" spans="2:10" ht="15" customHeight="1" x14ac:dyDescent="0.3">
      <c r="B111" s="1192" t="s">
        <v>334</v>
      </c>
      <c r="C111" s="1192"/>
      <c r="D111" s="1192"/>
      <c r="E111" s="1193">
        <v>39898</v>
      </c>
      <c r="F111" s="1193"/>
      <c r="G111" s="1186"/>
      <c r="H111" s="1186"/>
      <c r="I111" s="1186"/>
      <c r="J111" s="1186"/>
    </row>
    <row r="112" spans="2:10" ht="15" customHeight="1" x14ac:dyDescent="0.3">
      <c r="B112" s="1186" t="s">
        <v>321</v>
      </c>
      <c r="C112" s="1186"/>
      <c r="D112" s="1186"/>
      <c r="E112" s="1186"/>
      <c r="F112" s="1186"/>
      <c r="G112" s="1186"/>
      <c r="H112" s="1186"/>
      <c r="I112" s="1186"/>
      <c r="J112" s="1186"/>
    </row>
    <row r="113" spans="2:10" ht="60" customHeight="1" x14ac:dyDescent="0.3">
      <c r="B113" s="1188" t="s">
        <v>342</v>
      </c>
      <c r="C113" s="1188"/>
      <c r="D113" s="1188"/>
      <c r="E113" s="1188"/>
      <c r="F113" s="1188"/>
      <c r="G113" s="1188"/>
      <c r="H113" s="1188"/>
      <c r="I113" s="1188"/>
      <c r="J113" s="1188"/>
    </row>
    <row r="114" spans="2:10" ht="15" customHeight="1" x14ac:dyDescent="0.3"/>
    <row r="115" spans="2:10" ht="15" customHeight="1" x14ac:dyDescent="0.3">
      <c r="B115" s="1192" t="s">
        <v>322</v>
      </c>
      <c r="C115" s="1192"/>
      <c r="D115" s="1192"/>
      <c r="E115" s="1193">
        <v>39720</v>
      </c>
      <c r="F115" s="1193"/>
      <c r="G115" s="1186"/>
      <c r="H115" s="1186"/>
      <c r="I115" s="1186"/>
      <c r="J115" s="1186"/>
    </row>
    <row r="116" spans="2:10" ht="15" customHeight="1" x14ac:dyDescent="0.3">
      <c r="B116" s="1186" t="s">
        <v>321</v>
      </c>
      <c r="C116" s="1186"/>
      <c r="D116" s="1186"/>
      <c r="E116" s="1186"/>
      <c r="F116" s="1186"/>
      <c r="G116" s="1186"/>
      <c r="H116" s="1186"/>
      <c r="I116" s="1186"/>
      <c r="J116" s="1186"/>
    </row>
    <row r="117" spans="2:10" ht="15" customHeight="1" x14ac:dyDescent="0.3">
      <c r="B117" s="1186" t="s">
        <v>337</v>
      </c>
      <c r="C117" s="1186"/>
      <c r="D117" s="1186"/>
      <c r="E117" s="1186"/>
      <c r="F117" s="1186"/>
      <c r="G117" s="1186"/>
      <c r="H117" s="1186"/>
      <c r="I117" s="1186"/>
      <c r="J117" s="1186"/>
    </row>
    <row r="118" spans="2:10" ht="15" customHeight="1" x14ac:dyDescent="0.3"/>
    <row r="119" spans="2:10" ht="15" customHeight="1" x14ac:dyDescent="0.3">
      <c r="B119" s="1192" t="s">
        <v>319</v>
      </c>
      <c r="C119" s="1192"/>
      <c r="D119" s="1192"/>
      <c r="E119" s="1193">
        <v>39692</v>
      </c>
      <c r="F119" s="1193"/>
      <c r="G119" s="1186"/>
      <c r="H119" s="1186"/>
      <c r="I119" s="1186"/>
      <c r="J119" s="1186"/>
    </row>
    <row r="120" spans="2:10" ht="15" customHeight="1" x14ac:dyDescent="0.3">
      <c r="B120" s="1186" t="s">
        <v>320</v>
      </c>
      <c r="C120" s="1186"/>
      <c r="D120" s="1186"/>
      <c r="E120" s="1186"/>
      <c r="F120" s="1186"/>
      <c r="G120" s="1186"/>
      <c r="H120" s="1186"/>
      <c r="I120" s="1186"/>
      <c r="J120" s="1186"/>
    </row>
    <row r="121" spans="2:10" ht="15" customHeight="1" x14ac:dyDescent="0.3">
      <c r="B121" s="1186" t="s">
        <v>341</v>
      </c>
      <c r="C121" s="1186"/>
      <c r="D121" s="1186"/>
      <c r="E121" s="1186"/>
      <c r="F121" s="1186"/>
      <c r="G121" s="1186"/>
      <c r="H121" s="1186"/>
      <c r="I121" s="1186"/>
      <c r="J121" s="1186"/>
    </row>
    <row r="122" spans="2:10" ht="15" customHeight="1" x14ac:dyDescent="0.3"/>
    <row r="123" spans="2:10" ht="15" customHeight="1" x14ac:dyDescent="0.3">
      <c r="B123" s="1192" t="s">
        <v>338</v>
      </c>
      <c r="C123" s="1192"/>
      <c r="D123" s="1192"/>
      <c r="E123" s="1193">
        <v>39118</v>
      </c>
      <c r="F123" s="1193"/>
      <c r="G123" s="1186"/>
      <c r="H123" s="1186"/>
      <c r="I123" s="1186"/>
      <c r="J123" s="1186"/>
    </row>
    <row r="124" spans="2:10" ht="15" customHeight="1" x14ac:dyDescent="0.3">
      <c r="B124" s="1186" t="s">
        <v>339</v>
      </c>
      <c r="C124" s="1186"/>
      <c r="D124" s="1186"/>
      <c r="E124" s="1186"/>
      <c r="F124" s="1186"/>
      <c r="G124" s="1186"/>
      <c r="H124" s="1186"/>
      <c r="I124" s="1186"/>
      <c r="J124" s="1186"/>
    </row>
    <row r="125" spans="2:10" ht="15" customHeight="1" x14ac:dyDescent="0.3">
      <c r="B125" s="1186" t="s">
        <v>340</v>
      </c>
      <c r="C125" s="1186"/>
      <c r="D125" s="1186"/>
      <c r="E125" s="1186"/>
      <c r="F125" s="1186"/>
      <c r="G125" s="1186"/>
      <c r="H125" s="1186"/>
      <c r="I125" s="1186"/>
      <c r="J125" s="1186"/>
    </row>
  </sheetData>
  <mergeCells count="87">
    <mergeCell ref="B34:J34"/>
    <mergeCell ref="C35:J35"/>
    <mergeCell ref="C36:J36"/>
    <mergeCell ref="C37:J37"/>
    <mergeCell ref="C39:J39"/>
    <mergeCell ref="B88:J88"/>
    <mergeCell ref="C50:J50"/>
    <mergeCell ref="C53:J53"/>
    <mergeCell ref="C54:J54"/>
    <mergeCell ref="B87:J87"/>
    <mergeCell ref="B52:J52"/>
    <mergeCell ref="C55:J55"/>
    <mergeCell ref="C56:J56"/>
    <mergeCell ref="A6:J6"/>
    <mergeCell ref="A2:J2"/>
    <mergeCell ref="A65:J65"/>
    <mergeCell ref="C45:J45"/>
    <mergeCell ref="C46:J46"/>
    <mergeCell ref="C47:J47"/>
    <mergeCell ref="C48:J48"/>
    <mergeCell ref="C49:J49"/>
    <mergeCell ref="C42:J42"/>
    <mergeCell ref="C43:J43"/>
    <mergeCell ref="C44:J44"/>
    <mergeCell ref="B3:J3"/>
    <mergeCell ref="B4:J4"/>
    <mergeCell ref="B7:J7"/>
    <mergeCell ref="B8:J8"/>
    <mergeCell ref="B41:J41"/>
    <mergeCell ref="B96:D96"/>
    <mergeCell ref="E96:F96"/>
    <mergeCell ref="G96:J96"/>
    <mergeCell ref="B89:J89"/>
    <mergeCell ref="B92:J92"/>
    <mergeCell ref="B93:J93"/>
    <mergeCell ref="B91:D91"/>
    <mergeCell ref="E91:F91"/>
    <mergeCell ref="G91:J91"/>
    <mergeCell ref="B95:D95"/>
    <mergeCell ref="E95:F95"/>
    <mergeCell ref="G95:J95"/>
    <mergeCell ref="B120:J120"/>
    <mergeCell ref="B108:J108"/>
    <mergeCell ref="B109:J109"/>
    <mergeCell ref="B103:J103"/>
    <mergeCell ref="B116:J116"/>
    <mergeCell ref="B117:J117"/>
    <mergeCell ref="B112:J112"/>
    <mergeCell ref="B113:J113"/>
    <mergeCell ref="G115:J115"/>
    <mergeCell ref="B107:D107"/>
    <mergeCell ref="E107:F107"/>
    <mergeCell ref="G107:J107"/>
    <mergeCell ref="G106:J106"/>
    <mergeCell ref="B97:D97"/>
    <mergeCell ref="E97:F97"/>
    <mergeCell ref="G97:J97"/>
    <mergeCell ref="B98:D98"/>
    <mergeCell ref="E98:F98"/>
    <mergeCell ref="G98:J98"/>
    <mergeCell ref="B99:D99"/>
    <mergeCell ref="E99:F99"/>
    <mergeCell ref="G99:J99"/>
    <mergeCell ref="B102:D102"/>
    <mergeCell ref="E102:F102"/>
    <mergeCell ref="G102:J102"/>
    <mergeCell ref="B123:D123"/>
    <mergeCell ref="E123:F123"/>
    <mergeCell ref="G123:J123"/>
    <mergeCell ref="B124:J124"/>
    <mergeCell ref="B125:J125"/>
    <mergeCell ref="B121:J121"/>
    <mergeCell ref="B104:J104"/>
    <mergeCell ref="B83:J83"/>
    <mergeCell ref="B84:J84"/>
    <mergeCell ref="B85:J85"/>
    <mergeCell ref="B119:D119"/>
    <mergeCell ref="E119:F119"/>
    <mergeCell ref="G119:J119"/>
    <mergeCell ref="B111:D111"/>
    <mergeCell ref="E111:F111"/>
    <mergeCell ref="G111:J111"/>
    <mergeCell ref="B115:D115"/>
    <mergeCell ref="E115:F115"/>
    <mergeCell ref="B100:J100"/>
    <mergeCell ref="B106:D106"/>
    <mergeCell ref="E106:F106"/>
  </mergeCells>
  <phoneticPr fontId="6" type="noConversion"/>
  <pageMargins left="0.75" right="0.75" top="1" bottom="1" header="0.42" footer="0.5"/>
  <pageSetup scale="79" orientation="portrait" horizontalDpi="200" verticalDpi="200" r:id="rId1"/>
  <headerFooter>
    <oddHeader>&amp;L&amp;"Calibri,Regular"&amp;34&amp;G&amp;A&amp;R&amp;"Calibri,Regular"
‘&amp;A’ revision 15013
StatsBook © 2008–2015 WFTDA</oddHeader>
  </headerFooter>
  <rowBreaks count="2" manualBreakCount="2">
    <brk id="39" max="16383" man="1"/>
    <brk id="90" max="9" man="1"/>
  </rowBreaks>
  <colBreaks count="1" manualBreakCount="1">
    <brk id="10" max="1048575" man="1"/>
  </colBreaks>
  <legacyDrawingHF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Category xmlns="1650dc55-6804-4c8f-aa3c-5e816bdd9c33">Stats</Category>
    <Archived xmlns="f0d1fba5-b851-4fbb-ad26-6f3fee8e9285">false</Archived>
    <WFTDA_x0020_Job xmlns="c201eecb-b093-46ba-b276-c6fd26ee6b78" xsi:nil="true"/>
    <Description0 xmlns="1650dc55-6804-4c8f-aa3c-5e816bdd9c33">January 2015 Release for 12/1/2014 Ruleset</Description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4852AB1726CC444B45CC5CCEED1F70E" ma:contentTypeVersion="8" ma:contentTypeDescription="Create a new document." ma:contentTypeScope="" ma:versionID="87ddbb7e6a458d84cb4f57fb80b47829">
  <xsd:schema xmlns:xsd="http://www.w3.org/2001/XMLSchema" xmlns:p="http://schemas.microsoft.com/office/2006/metadata/properties" xmlns:ns2="1650dc55-6804-4c8f-aa3c-5e816bdd9c33" xmlns:ns3="c201eecb-b093-46ba-b276-c6fd26ee6b78" xmlns:ns4="f0d1fba5-b851-4fbb-ad26-6f3fee8e9285" targetNamespace="http://schemas.microsoft.com/office/2006/metadata/properties" ma:root="true" ma:fieldsID="dc41ec70e29f79ec248d3a1f14d5656b" ns2:_="" ns3:_="" ns4:_="">
    <xsd:import namespace="1650dc55-6804-4c8f-aa3c-5e816bdd9c33"/>
    <xsd:import namespace="c201eecb-b093-46ba-b276-c6fd26ee6b78"/>
    <xsd:import namespace="f0d1fba5-b851-4fbb-ad26-6f3fee8e9285"/>
    <xsd:element name="properties">
      <xsd:complexType>
        <xsd:sequence>
          <xsd:element name="documentManagement">
            <xsd:complexType>
              <xsd:all>
                <xsd:element ref="ns2:Description0" minOccurs="0"/>
                <xsd:element ref="ns2:Category" minOccurs="0"/>
                <xsd:element ref="ns3:WFTDA_x0020_Job" minOccurs="0"/>
                <xsd:element ref="ns4:Archived" minOccurs="0"/>
              </xsd:all>
            </xsd:complexType>
          </xsd:element>
        </xsd:sequence>
      </xsd:complexType>
    </xsd:element>
  </xsd:schema>
  <xsd:schema xmlns:xsd="http://www.w3.org/2001/XMLSchema" xmlns:dms="http://schemas.microsoft.com/office/2006/documentManagement/types" targetNamespace="1650dc55-6804-4c8f-aa3c-5e816bdd9c33" elementFormDefault="qualified">
    <xsd:import namespace="http://schemas.microsoft.com/office/2006/documentManagement/types"/>
    <xsd:element name="Description0" ma:index="2" nillable="true" ma:displayName="Description" ma:internalName="Description0">
      <xsd:simpleType>
        <xsd:restriction base="dms:Note"/>
      </xsd:simpleType>
    </xsd:element>
    <xsd:element name="Category" ma:index="3" nillable="true" ma:displayName="Category" ma:default="General" ma:format="Dropdown" ma:internalName="Category">
      <xsd:simpleType>
        <xsd:restriction base="dms:Choice">
          <xsd:enumeration value="General"/>
          <xsd:enumeration value="Rankings"/>
          <xsd:enumeration value="Rules"/>
          <xsd:enumeration value="Sanctioning"/>
          <xsd:enumeration value="Stats"/>
          <xsd:enumeration value="Tournaments"/>
          <xsd:enumeration value="Training"/>
          <xsd:enumeration value="Ref Education and Clinics"/>
          <xsd:enumeration value="Referee Certification"/>
          <xsd:enumeration value="Interleague Bouting"/>
        </xsd:restriction>
      </xsd:simpleType>
    </xsd:element>
  </xsd:schema>
  <xsd:schema xmlns:xsd="http://www.w3.org/2001/XMLSchema" xmlns:dms="http://schemas.microsoft.com/office/2006/documentManagement/types" targetNamespace="c201eecb-b093-46ba-b276-c6fd26ee6b78" elementFormDefault="qualified">
    <xsd:import namespace="http://schemas.microsoft.com/office/2006/documentManagement/types"/>
    <xsd:element name="WFTDA_x0020_Job" ma:index="11" nillable="true" ma:displayName="WFTDA Job" ma:description="This site column performs a lookup against the master WFTDA Jobs list that lives at the root of the site." ma:list="{8615d828-fba7-4934-bc30-3504cfbaf748}" ma:internalName="WFTDA_x0020_Job" ma:showField="LinkTitleNoMenu" ma:web="c201eecb-b093-46ba-b276-c6fd26ee6b78">
      <xsd:simpleType>
        <xsd:restriction base="dms:Lookup"/>
      </xsd:simpleType>
    </xsd:element>
  </xsd:schema>
  <xsd:schema xmlns:xsd="http://www.w3.org/2001/XMLSchema" xmlns:dms="http://schemas.microsoft.com/office/2006/documentManagement/types" targetNamespace="f0d1fba5-b851-4fbb-ad26-6f3fee8e9285" elementFormDefault="qualified">
    <xsd:import namespace="http://schemas.microsoft.com/office/2006/documentManagement/types"/>
    <xsd:element name="Archived" ma:index="12" nillable="true" ma:displayName="Archived" ma:default="0" ma:internalName="Archived">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ma:index="4"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6B0D998D-5930-4DC8-8A9F-6A32FC7EA694}">
  <ds:schemaRefs>
    <ds:schemaRef ds:uri="http://www.w3.org/XML/1998/namespace"/>
    <ds:schemaRef ds:uri="http://schemas.microsoft.com/office/2006/documentManagement/types"/>
    <ds:schemaRef ds:uri="f0d1fba5-b851-4fbb-ad26-6f3fee8e9285"/>
    <ds:schemaRef ds:uri="http://purl.org/dc/elements/1.1/"/>
    <ds:schemaRef ds:uri="http://purl.org/dc/dcmitype/"/>
    <ds:schemaRef ds:uri="http://schemas.openxmlformats.org/package/2006/metadata/core-properties"/>
    <ds:schemaRef ds:uri="1650dc55-6804-4c8f-aa3c-5e816bdd9c33"/>
    <ds:schemaRef ds:uri="c201eecb-b093-46ba-b276-c6fd26ee6b78"/>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74F6312F-917D-41D3-8AEC-A0CF9928DE56}">
  <ds:schemaRefs>
    <ds:schemaRef ds:uri="http://schemas.microsoft.com/sharepoint/v3/contenttype/forms"/>
  </ds:schemaRefs>
</ds:datastoreItem>
</file>

<file path=customXml/itemProps3.xml><?xml version="1.0" encoding="utf-8"?>
<ds:datastoreItem xmlns:ds="http://schemas.openxmlformats.org/officeDocument/2006/customXml" ds:itemID="{ECB3A16A-EB09-4487-B9B7-FB5074C14E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50dc55-6804-4c8f-aa3c-5e816bdd9c33"/>
    <ds:schemaRef ds:uri="c201eecb-b093-46ba-b276-c6fd26ee6b78"/>
    <ds:schemaRef ds:uri="f0d1fba5-b851-4fbb-ad26-6f3fee8e928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13</vt:i4>
      </vt:variant>
    </vt:vector>
  </HeadingPairs>
  <TitlesOfParts>
    <vt:vector size="35" baseType="lpstr">
      <vt:lpstr>Read Me</vt:lpstr>
      <vt:lpstr>IGRF</vt:lpstr>
      <vt:lpstr>Score</vt:lpstr>
      <vt:lpstr>Penalties</vt:lpstr>
      <vt:lpstr>Lineups</vt:lpstr>
      <vt:lpstr>Export_IGRF</vt:lpstr>
      <vt:lpstr>Export_Score</vt:lpstr>
      <vt:lpstr>Export_Lineups</vt:lpstr>
      <vt:lpstr>Export_Penalties</vt:lpstr>
      <vt:lpstr>Expulsion-Suspension Form</vt:lpstr>
      <vt:lpstr>Game Summary</vt:lpstr>
      <vt:lpstr>Penalty Summary</vt:lpstr>
      <vt:lpstr>OS Offset</vt:lpstr>
      <vt:lpstr>Official Reviews</vt:lpstr>
      <vt:lpstr>Game Clock</vt:lpstr>
      <vt:lpstr>Penalty Box</vt:lpstr>
      <vt:lpstr>Whiteboards</vt:lpstr>
      <vt:lpstr>LU</vt:lpstr>
      <vt:lpstr>PT</vt:lpstr>
      <vt:lpstr>SK</vt:lpstr>
      <vt:lpstr>Credits</vt:lpstr>
      <vt:lpstr>Colophon</vt:lpstr>
      <vt:lpstr>Score!ao</vt:lpstr>
      <vt:lpstr>'Expulsion-Suspension Form'!Print_Area</vt:lpstr>
      <vt:lpstr>'Game Clock'!Print_Area</vt:lpstr>
      <vt:lpstr>'Game Summary'!Print_Area</vt:lpstr>
      <vt:lpstr>IGRF!Print_Area</vt:lpstr>
      <vt:lpstr>Lineups!Print_Area</vt:lpstr>
      <vt:lpstr>'Official Reviews'!Print_Area</vt:lpstr>
      <vt:lpstr>'OS Offset'!Print_Area</vt:lpstr>
      <vt:lpstr>Penalties!Print_Area</vt:lpstr>
      <vt:lpstr>'Penalty Box'!Print_Area</vt:lpstr>
      <vt:lpstr>'Penalty Summary'!Print_Area</vt:lpstr>
      <vt:lpstr>'Read Me'!Print_Area</vt:lpstr>
      <vt:lpstr>Score!Print_Area</vt:lpstr>
    </vt:vector>
  </TitlesOfParts>
  <Manager/>
  <Company>Women's Flat Track Derby Association</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WFTDA IGRF &amp; Standardized Stats Calculator</dc:title>
  <dc:subject>NSO/Stats forms for modern roller derby</dc:subject>
  <dc:creator>Women's Flat Track Derby Association</dc:creator>
  <cp:keywords/>
  <dc:description/>
  <cp:lastModifiedBy>Antoni Paleshi</cp:lastModifiedBy>
  <cp:lastPrinted>2015-04-11T16:41:44Z</cp:lastPrinted>
  <dcterms:created xsi:type="dcterms:W3CDTF">2012-01-20T00:04:57Z</dcterms:created>
  <dcterms:modified xsi:type="dcterms:W3CDTF">2015-11-22T17:11:48Z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0x010100C4852AB1726CC444B45CC5CCEED1F70E</vt:lpwstr>
  </property>
  <property fmtid="{D5CDD505-2E9C-101B-9397-08002B2CF9AE}" pid="3" name="STATS_VERSION">
    <vt:lpwstr>2015-01-03</vt:lpwstr>
  </property>
  <property fmtid="{D5CDD505-2E9C-101B-9397-08002B2CF9AE}" pid="4" name="VERSION_REV">
    <vt:lpwstr>0</vt:lpwstr>
  </property>
  <property fmtid="{D5CDD505-2E9C-101B-9397-08002B2CF9AE}" pid="5" name="VERSION_STATUS">
    <vt:lpwstr>prod</vt:lpwstr>
  </property>
</Properties>
</file>