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robringer/Library/Mobile Documents/com~apple~CloudDocs/Documents/Research/2020_21/datafootprint/"/>
    </mc:Choice>
  </mc:AlternateContent>
  <xr:revisionPtr revIDLastSave="0" documentId="13_ncr:1_{5A6CA2F1-50A3-674B-AC7D-47A592D7B6D9}" xr6:coauthVersionLast="45" xr6:coauthVersionMax="45" xr10:uidLastSave="{00000000-0000-0000-0000-000000000000}"/>
  <bookViews>
    <workbookView xWindow="0" yWindow="460" windowWidth="28800" windowHeight="16160" xr2:uid="{00000000-000D-0000-FFFF-FFFF00000000}"/>
  </bookViews>
  <sheets>
    <sheet name="Metadata" sheetId="28" r:id="rId1"/>
    <sheet name="Global Footprints" sheetId="10" r:id="rId2"/>
    <sheet name="Brazil Footprints" sheetId="23" r:id="rId3"/>
    <sheet name="China Footprints" sheetId="13" r:id="rId4"/>
    <sheet name="France Footprints" sheetId="22" r:id="rId5"/>
    <sheet name="Germany Footprints" sheetId="20" r:id="rId6"/>
    <sheet name="India Footprints" sheetId="16" r:id="rId7"/>
    <sheet name="Iran Footprints" sheetId="14" r:id="rId8"/>
    <sheet name="Italy Footprints" sheetId="19" r:id="rId9"/>
    <sheet name="Japan Footprints" sheetId="18" r:id="rId10"/>
    <sheet name="Mexico Footprints" sheetId="24" r:id="rId11"/>
    <sheet name="Pakistan Footprints" sheetId="15" r:id="rId12"/>
    <sheet name="Poland Footprints" sheetId="21" r:id="rId13"/>
    <sheet name="Russia Footprints" sheetId="17" r:id="rId14"/>
    <sheet name="South Africa Footprints" sheetId="25" r:id="rId15"/>
    <sheet name="United Kingdom Footprints" sheetId="12" r:id="rId16"/>
    <sheet name="United States Footprints" sheetId="11" r:id="rId17"/>
    <sheet name="COVID-19 Increases" sheetId="31" r:id="rId18"/>
    <sheet name="Application-based Footprints" sheetId="30" r:id="rId19"/>
    <sheet name="References" sheetId="32"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5" l="1"/>
  <c r="C13" i="25" s="1"/>
  <c r="O14" i="25"/>
  <c r="N14" i="25"/>
  <c r="M14" i="25"/>
  <c r="C14" i="25"/>
  <c r="AQ14" i="25" s="1"/>
  <c r="O13" i="25"/>
  <c r="N13" i="25"/>
  <c r="M13" i="25"/>
  <c r="O12" i="25"/>
  <c r="N12" i="25"/>
  <c r="M12" i="25"/>
  <c r="C12" i="25"/>
  <c r="AO12" i="25" s="1"/>
  <c r="O11" i="25"/>
  <c r="N11" i="25"/>
  <c r="M11" i="25"/>
  <c r="C11" i="25"/>
  <c r="AP11" i="25" s="1"/>
  <c r="O10" i="25"/>
  <c r="N10" i="25"/>
  <c r="M10" i="25"/>
  <c r="C10" i="25"/>
  <c r="Y10" i="25" s="1"/>
  <c r="Y9" i="25"/>
  <c r="O9" i="25"/>
  <c r="N9" i="25"/>
  <c r="M9" i="25"/>
  <c r="C9" i="25"/>
  <c r="W9" i="25" s="1"/>
  <c r="O8" i="25"/>
  <c r="N8" i="25"/>
  <c r="M8" i="25"/>
  <c r="C8" i="25"/>
  <c r="U8" i="25" s="1"/>
  <c r="O7" i="25"/>
  <c r="N7" i="25"/>
  <c r="AE7" i="25" s="1"/>
  <c r="M7" i="25"/>
  <c r="C7" i="25"/>
  <c r="AR7" i="25" s="1"/>
  <c r="Z6" i="25"/>
  <c r="O6" i="25"/>
  <c r="N6" i="25"/>
  <c r="M6" i="25"/>
  <c r="C6" i="25"/>
  <c r="AQ6" i="25" s="1"/>
  <c r="O5" i="25"/>
  <c r="N5" i="25"/>
  <c r="M5" i="25"/>
  <c r="C5" i="25"/>
  <c r="AR5" i="25" s="1"/>
  <c r="X4" i="25"/>
  <c r="U4" i="25"/>
  <c r="AA4" i="25" s="1"/>
  <c r="O4" i="25"/>
  <c r="N4" i="25"/>
  <c r="M4" i="25"/>
  <c r="AD4" i="25" s="1"/>
  <c r="C4" i="25"/>
  <c r="AO4" i="25" s="1"/>
  <c r="O14" i="24"/>
  <c r="N14" i="24"/>
  <c r="M14" i="24"/>
  <c r="O13" i="24"/>
  <c r="N13" i="24"/>
  <c r="M13" i="24"/>
  <c r="O12" i="24"/>
  <c r="N12" i="24"/>
  <c r="M12" i="24"/>
  <c r="O11" i="24"/>
  <c r="N11" i="24"/>
  <c r="M11" i="24"/>
  <c r="O10" i="24"/>
  <c r="N10" i="24"/>
  <c r="M10" i="24"/>
  <c r="O9" i="24"/>
  <c r="N9" i="24"/>
  <c r="M9" i="24"/>
  <c r="B9" i="24"/>
  <c r="O8" i="24"/>
  <c r="N8" i="24"/>
  <c r="M8" i="24"/>
  <c r="O7" i="24"/>
  <c r="N7" i="24"/>
  <c r="M7" i="24"/>
  <c r="O6" i="24"/>
  <c r="N6" i="24"/>
  <c r="M6" i="24"/>
  <c r="O5" i="24"/>
  <c r="N5" i="24"/>
  <c r="M5" i="24"/>
  <c r="O4" i="24"/>
  <c r="N4" i="24"/>
  <c r="M4" i="24"/>
  <c r="B16" i="23"/>
  <c r="C11" i="23" s="1"/>
  <c r="AR11" i="23" s="1"/>
  <c r="C15" i="23"/>
  <c r="O14" i="23"/>
  <c r="N14" i="23"/>
  <c r="M14" i="23"/>
  <c r="O13" i="23"/>
  <c r="N13" i="23"/>
  <c r="M13" i="23"/>
  <c r="O12" i="23"/>
  <c r="N12" i="23"/>
  <c r="M12" i="23"/>
  <c r="O11" i="23"/>
  <c r="N11" i="23"/>
  <c r="M11" i="23"/>
  <c r="O10" i="23"/>
  <c r="N10" i="23"/>
  <c r="M10" i="23"/>
  <c r="O9" i="23"/>
  <c r="N9" i="23"/>
  <c r="M9" i="23"/>
  <c r="O8" i="23"/>
  <c r="N8" i="23"/>
  <c r="M8" i="23"/>
  <c r="O7" i="23"/>
  <c r="N7" i="23"/>
  <c r="M7" i="23"/>
  <c r="O6" i="23"/>
  <c r="N6" i="23"/>
  <c r="M6" i="23"/>
  <c r="O5" i="23"/>
  <c r="N5" i="23"/>
  <c r="M5" i="23"/>
  <c r="O4" i="23"/>
  <c r="N4" i="23"/>
  <c r="M4" i="23"/>
  <c r="O14" i="22"/>
  <c r="N14" i="22"/>
  <c r="M14" i="22"/>
  <c r="O13" i="22"/>
  <c r="N13" i="22"/>
  <c r="M13" i="22"/>
  <c r="O12" i="22"/>
  <c r="N12" i="22"/>
  <c r="M12" i="22"/>
  <c r="O11" i="22"/>
  <c r="N11" i="22"/>
  <c r="M11" i="22"/>
  <c r="O10" i="22"/>
  <c r="N10" i="22"/>
  <c r="M10" i="22"/>
  <c r="O9" i="22"/>
  <c r="N9" i="22"/>
  <c r="M9" i="22"/>
  <c r="B9" i="22"/>
  <c r="B15" i="22" s="1"/>
  <c r="O8" i="22"/>
  <c r="N8" i="22"/>
  <c r="M8" i="22"/>
  <c r="O7" i="22"/>
  <c r="N7" i="22"/>
  <c r="M7" i="22"/>
  <c r="O6" i="22"/>
  <c r="N6" i="22"/>
  <c r="M6" i="22"/>
  <c r="O5" i="22"/>
  <c r="N5" i="22"/>
  <c r="M5" i="22"/>
  <c r="O4" i="22"/>
  <c r="N4" i="22"/>
  <c r="M4" i="22"/>
  <c r="O14" i="21"/>
  <c r="N14" i="21"/>
  <c r="M14" i="21"/>
  <c r="O13" i="21"/>
  <c r="N13" i="21"/>
  <c r="M13" i="21"/>
  <c r="O12" i="21"/>
  <c r="N12" i="21"/>
  <c r="M12" i="21"/>
  <c r="O11" i="21"/>
  <c r="N11" i="21"/>
  <c r="M11" i="21"/>
  <c r="O10" i="21"/>
  <c r="N10" i="21"/>
  <c r="M10" i="21"/>
  <c r="O9" i="21"/>
  <c r="N9" i="21"/>
  <c r="M9" i="21"/>
  <c r="O8" i="21"/>
  <c r="N8" i="21"/>
  <c r="M8" i="21"/>
  <c r="B8" i="21"/>
  <c r="O7" i="21"/>
  <c r="N7" i="21"/>
  <c r="M7" i="21"/>
  <c r="O6" i="21"/>
  <c r="N6" i="21"/>
  <c r="M6" i="21"/>
  <c r="O5" i="21"/>
  <c r="N5" i="21"/>
  <c r="M5" i="21"/>
  <c r="O4" i="21"/>
  <c r="N4" i="21"/>
  <c r="M4" i="21"/>
  <c r="B4" i="21"/>
  <c r="B15" i="21" s="1"/>
  <c r="C5" i="21" s="1"/>
  <c r="O14" i="20"/>
  <c r="N14" i="20"/>
  <c r="M14" i="20"/>
  <c r="O13" i="20"/>
  <c r="N13" i="20"/>
  <c r="M13" i="20"/>
  <c r="O12" i="20"/>
  <c r="N12" i="20"/>
  <c r="M12" i="20"/>
  <c r="B12" i="20"/>
  <c r="O11" i="20"/>
  <c r="N11" i="20"/>
  <c r="M11" i="20"/>
  <c r="B11" i="20"/>
  <c r="O10" i="20"/>
  <c r="N10" i="20"/>
  <c r="M10" i="20"/>
  <c r="B10" i="20"/>
  <c r="O9" i="20"/>
  <c r="N9" i="20"/>
  <c r="M9" i="20"/>
  <c r="O8" i="20"/>
  <c r="N8" i="20"/>
  <c r="M8" i="20"/>
  <c r="O7" i="20"/>
  <c r="N7" i="20"/>
  <c r="M7" i="20"/>
  <c r="O6" i="20"/>
  <c r="N6" i="20"/>
  <c r="M6" i="20"/>
  <c r="O5" i="20"/>
  <c r="N5" i="20"/>
  <c r="M5" i="20"/>
  <c r="O4" i="20"/>
  <c r="N4" i="20"/>
  <c r="M4" i="20"/>
  <c r="B4" i="20"/>
  <c r="O14" i="19"/>
  <c r="N14" i="19"/>
  <c r="M14" i="19"/>
  <c r="O13" i="19"/>
  <c r="N13" i="19"/>
  <c r="M13" i="19"/>
  <c r="O12" i="19"/>
  <c r="N12" i="19"/>
  <c r="M12" i="19"/>
  <c r="O11" i="19"/>
  <c r="N11" i="19"/>
  <c r="M11" i="19"/>
  <c r="O10" i="19"/>
  <c r="N10" i="19"/>
  <c r="M10" i="19"/>
  <c r="O9" i="19"/>
  <c r="N9" i="19"/>
  <c r="M9" i="19"/>
  <c r="B9" i="19"/>
  <c r="B15" i="19" s="1"/>
  <c r="C8" i="19" s="1"/>
  <c r="O8" i="19"/>
  <c r="N8" i="19"/>
  <c r="M8" i="19"/>
  <c r="O7" i="19"/>
  <c r="N7" i="19"/>
  <c r="M7" i="19"/>
  <c r="O6" i="19"/>
  <c r="N6" i="19"/>
  <c r="M6" i="19"/>
  <c r="O5" i="19"/>
  <c r="N5" i="19"/>
  <c r="M5" i="19"/>
  <c r="O4" i="19"/>
  <c r="N4" i="19"/>
  <c r="M4" i="19"/>
  <c r="O14" i="18"/>
  <c r="N14" i="18"/>
  <c r="M14" i="18"/>
  <c r="O13" i="18"/>
  <c r="N13" i="18"/>
  <c r="M13" i="18"/>
  <c r="O12" i="18"/>
  <c r="N12" i="18"/>
  <c r="M12" i="18"/>
  <c r="O11" i="18"/>
  <c r="N11" i="18"/>
  <c r="M11" i="18"/>
  <c r="O10" i="18"/>
  <c r="N10" i="18"/>
  <c r="M10" i="18"/>
  <c r="O9" i="18"/>
  <c r="N9" i="18"/>
  <c r="M9" i="18"/>
  <c r="B9" i="18"/>
  <c r="O8" i="18"/>
  <c r="N8" i="18"/>
  <c r="M8" i="18"/>
  <c r="O7" i="18"/>
  <c r="N7" i="18"/>
  <c r="M7" i="18"/>
  <c r="O6" i="18"/>
  <c r="N6" i="18"/>
  <c r="M6" i="18"/>
  <c r="O5" i="18"/>
  <c r="N5" i="18"/>
  <c r="M5" i="18"/>
  <c r="O4" i="18"/>
  <c r="N4" i="18"/>
  <c r="M4" i="18"/>
  <c r="O14" i="17"/>
  <c r="N14" i="17"/>
  <c r="M14" i="17"/>
  <c r="O13" i="17"/>
  <c r="N13" i="17"/>
  <c r="M13" i="17"/>
  <c r="O12" i="17"/>
  <c r="N12" i="17"/>
  <c r="M12" i="17"/>
  <c r="O11" i="17"/>
  <c r="N11" i="17"/>
  <c r="M11" i="17"/>
  <c r="O10" i="17"/>
  <c r="N10" i="17"/>
  <c r="M10" i="17"/>
  <c r="O9" i="17"/>
  <c r="N9" i="17"/>
  <c r="M9" i="17"/>
  <c r="B9" i="17"/>
  <c r="O8" i="17"/>
  <c r="N8" i="17"/>
  <c r="M8" i="17"/>
  <c r="O7" i="17"/>
  <c r="N7" i="17"/>
  <c r="M7" i="17"/>
  <c r="O6" i="17"/>
  <c r="N6" i="17"/>
  <c r="M6" i="17"/>
  <c r="O5" i="17"/>
  <c r="N5" i="17"/>
  <c r="M5" i="17"/>
  <c r="O4" i="17"/>
  <c r="N4" i="17"/>
  <c r="M4" i="17"/>
  <c r="O14" i="16"/>
  <c r="N14" i="16"/>
  <c r="M14" i="16"/>
  <c r="O13" i="16"/>
  <c r="N13" i="16"/>
  <c r="M13" i="16"/>
  <c r="O12" i="16"/>
  <c r="N12" i="16"/>
  <c r="M12" i="16"/>
  <c r="O11" i="16"/>
  <c r="N11" i="16"/>
  <c r="M11" i="16"/>
  <c r="O10" i="16"/>
  <c r="N10" i="16"/>
  <c r="M10" i="16"/>
  <c r="O9" i="16"/>
  <c r="N9" i="16"/>
  <c r="M9" i="16"/>
  <c r="B9" i="16"/>
  <c r="B15" i="16" s="1"/>
  <c r="C5" i="16" s="1"/>
  <c r="O8" i="16"/>
  <c r="N8" i="16"/>
  <c r="M8" i="16"/>
  <c r="O7" i="16"/>
  <c r="N7" i="16"/>
  <c r="M7" i="16"/>
  <c r="O6" i="16"/>
  <c r="N6" i="16"/>
  <c r="M6" i="16"/>
  <c r="O5" i="16"/>
  <c r="N5" i="16"/>
  <c r="M5" i="16"/>
  <c r="O4" i="16"/>
  <c r="N4" i="16"/>
  <c r="M4" i="16"/>
  <c r="B15" i="15"/>
  <c r="O14" i="15"/>
  <c r="N14" i="15"/>
  <c r="M14" i="15"/>
  <c r="O13" i="15"/>
  <c r="N13" i="15"/>
  <c r="M13" i="15"/>
  <c r="O12" i="15"/>
  <c r="N12" i="15"/>
  <c r="M12" i="15"/>
  <c r="O11" i="15"/>
  <c r="N11" i="15"/>
  <c r="M11" i="15"/>
  <c r="O10" i="15"/>
  <c r="N10" i="15"/>
  <c r="M10" i="15"/>
  <c r="O9" i="15"/>
  <c r="N9" i="15"/>
  <c r="M9" i="15"/>
  <c r="O8" i="15"/>
  <c r="N8" i="15"/>
  <c r="M8" i="15"/>
  <c r="O7" i="15"/>
  <c r="N7" i="15"/>
  <c r="M7" i="15"/>
  <c r="O6" i="15"/>
  <c r="N6" i="15"/>
  <c r="M6" i="15"/>
  <c r="O5" i="15"/>
  <c r="N5" i="15"/>
  <c r="M5" i="15"/>
  <c r="O4" i="15"/>
  <c r="N4" i="15"/>
  <c r="M4" i="15"/>
  <c r="B15" i="14"/>
  <c r="C14" i="14" s="1"/>
  <c r="O14" i="14"/>
  <c r="N14" i="14"/>
  <c r="M14" i="14"/>
  <c r="O13" i="14"/>
  <c r="N13" i="14"/>
  <c r="M13" i="14"/>
  <c r="O12" i="14"/>
  <c r="N12" i="14"/>
  <c r="M12" i="14"/>
  <c r="O11" i="14"/>
  <c r="N11" i="14"/>
  <c r="M11" i="14"/>
  <c r="O10" i="14"/>
  <c r="N10" i="14"/>
  <c r="M10" i="14"/>
  <c r="O9" i="14"/>
  <c r="N9" i="14"/>
  <c r="M9" i="14"/>
  <c r="O8" i="14"/>
  <c r="N8" i="14"/>
  <c r="M8" i="14"/>
  <c r="O7" i="14"/>
  <c r="N7" i="14"/>
  <c r="M7" i="14"/>
  <c r="O6" i="14"/>
  <c r="N6" i="14"/>
  <c r="M6" i="14"/>
  <c r="C6" i="14"/>
  <c r="AP6" i="14" s="1"/>
  <c r="O5" i="14"/>
  <c r="N5" i="14"/>
  <c r="M5" i="14"/>
  <c r="O4" i="14"/>
  <c r="N4" i="14"/>
  <c r="M4" i="14"/>
  <c r="O14" i="13"/>
  <c r="N14" i="13"/>
  <c r="M14" i="13"/>
  <c r="O13" i="13"/>
  <c r="N13" i="13"/>
  <c r="M13" i="13"/>
  <c r="O12" i="13"/>
  <c r="N12" i="13"/>
  <c r="M12" i="13"/>
  <c r="O11" i="13"/>
  <c r="N11" i="13"/>
  <c r="M11" i="13"/>
  <c r="O10" i="13"/>
  <c r="N10" i="13"/>
  <c r="M10" i="13"/>
  <c r="O9" i="13"/>
  <c r="N9" i="13"/>
  <c r="M9" i="13"/>
  <c r="B9" i="13"/>
  <c r="O8" i="13"/>
  <c r="N8" i="13"/>
  <c r="M8" i="13"/>
  <c r="O7" i="13"/>
  <c r="N7" i="13"/>
  <c r="M7" i="13"/>
  <c r="O6" i="13"/>
  <c r="N6" i="13"/>
  <c r="M6" i="13"/>
  <c r="O5" i="13"/>
  <c r="N5" i="13"/>
  <c r="M5" i="13"/>
  <c r="O4" i="13"/>
  <c r="N4" i="13"/>
  <c r="M4" i="13"/>
  <c r="B15" i="12"/>
  <c r="C9" i="12" s="1"/>
  <c r="Z9" i="12" s="1"/>
  <c r="O14" i="12"/>
  <c r="N14" i="12"/>
  <c r="M14" i="12"/>
  <c r="O13" i="12"/>
  <c r="N13" i="12"/>
  <c r="M13" i="12"/>
  <c r="O12" i="12"/>
  <c r="N12" i="12"/>
  <c r="M12" i="12"/>
  <c r="O11" i="12"/>
  <c r="N11" i="12"/>
  <c r="M11" i="12"/>
  <c r="C11" i="12"/>
  <c r="AH11" i="12" s="1"/>
  <c r="O10" i="12"/>
  <c r="N10" i="12"/>
  <c r="M10" i="12"/>
  <c r="O9" i="12"/>
  <c r="N9" i="12"/>
  <c r="M9" i="12"/>
  <c r="O8" i="12"/>
  <c r="N8" i="12"/>
  <c r="M8" i="12"/>
  <c r="O7" i="12"/>
  <c r="N7" i="12"/>
  <c r="M7" i="12"/>
  <c r="O6" i="12"/>
  <c r="N6" i="12"/>
  <c r="M6" i="12"/>
  <c r="O5" i="12"/>
  <c r="N5" i="12"/>
  <c r="M5" i="12"/>
  <c r="O4" i="12"/>
  <c r="N4" i="12"/>
  <c r="M4" i="12"/>
  <c r="B15" i="11"/>
  <c r="C13" i="11" s="1"/>
  <c r="O14" i="11"/>
  <c r="N14" i="11"/>
  <c r="M14" i="11"/>
  <c r="O13" i="11"/>
  <c r="N13" i="11"/>
  <c r="M13" i="11"/>
  <c r="O12" i="11"/>
  <c r="N12" i="11"/>
  <c r="M12" i="11"/>
  <c r="C12" i="11"/>
  <c r="AN12" i="11" s="1"/>
  <c r="O11" i="11"/>
  <c r="N11" i="11"/>
  <c r="M11" i="11"/>
  <c r="C11" i="11"/>
  <c r="AD11" i="11" s="1"/>
  <c r="O10" i="11"/>
  <c r="N10" i="11"/>
  <c r="M10" i="11"/>
  <c r="C10" i="11"/>
  <c r="AP10" i="11" s="1"/>
  <c r="O9" i="11"/>
  <c r="N9" i="11"/>
  <c r="M9" i="11"/>
  <c r="C9" i="11"/>
  <c r="AO9" i="11" s="1"/>
  <c r="U8" i="11"/>
  <c r="O8" i="11"/>
  <c r="N8" i="11"/>
  <c r="M8" i="11"/>
  <c r="C8" i="11"/>
  <c r="AP8" i="11" s="1"/>
  <c r="O7" i="11"/>
  <c r="N7" i="11"/>
  <c r="M7" i="11"/>
  <c r="C7" i="11"/>
  <c r="Z7" i="11" s="1"/>
  <c r="O6" i="11"/>
  <c r="N6" i="11"/>
  <c r="M6" i="11"/>
  <c r="C6" i="11"/>
  <c r="AG6" i="11" s="1"/>
  <c r="O5" i="11"/>
  <c r="N5" i="11"/>
  <c r="M5" i="11"/>
  <c r="C5" i="11"/>
  <c r="AQ5" i="11" s="1"/>
  <c r="O4" i="11"/>
  <c r="N4" i="11"/>
  <c r="M4" i="11"/>
  <c r="C4" i="11"/>
  <c r="O14" i="10"/>
  <c r="N14" i="10"/>
  <c r="M14" i="10"/>
  <c r="O13" i="10"/>
  <c r="N13" i="10"/>
  <c r="M13" i="10"/>
  <c r="O12" i="10"/>
  <c r="N12" i="10"/>
  <c r="M12" i="10"/>
  <c r="O11" i="10"/>
  <c r="N11" i="10"/>
  <c r="M11" i="10"/>
  <c r="O10" i="10"/>
  <c r="N10" i="10"/>
  <c r="M10" i="10"/>
  <c r="B10" i="10"/>
  <c r="B15" i="10" s="1"/>
  <c r="C8" i="10" s="1"/>
  <c r="X8" i="10" s="1"/>
  <c r="O9" i="10"/>
  <c r="N9" i="10"/>
  <c r="M9" i="10"/>
  <c r="O8" i="10"/>
  <c r="N8" i="10"/>
  <c r="M8" i="10"/>
  <c r="O7" i="10"/>
  <c r="N7" i="10"/>
  <c r="M7" i="10"/>
  <c r="O6" i="10"/>
  <c r="N6" i="10"/>
  <c r="M6" i="10"/>
  <c r="O5" i="10"/>
  <c r="N5" i="10"/>
  <c r="M5" i="10"/>
  <c r="O4" i="10"/>
  <c r="N4" i="10"/>
  <c r="M4" i="10"/>
  <c r="AH4" i="11" l="1"/>
  <c r="AH9" i="11"/>
  <c r="V10" i="11"/>
  <c r="AE10" i="11"/>
  <c r="AD8" i="11"/>
  <c r="W9" i="11"/>
  <c r="AC9" i="11" s="1"/>
  <c r="V4" i="11"/>
  <c r="AP9" i="11"/>
  <c r="AM4" i="11"/>
  <c r="W4" i="11"/>
  <c r="AM10" i="11"/>
  <c r="AS10" i="11" s="1"/>
  <c r="AG7" i="11"/>
  <c r="Z4" i="11"/>
  <c r="AC4" i="11" s="1"/>
  <c r="V5" i="11"/>
  <c r="AI7" i="11"/>
  <c r="AQ10" i="11"/>
  <c r="X7" i="11"/>
  <c r="U12" i="11"/>
  <c r="AO4" i="11"/>
  <c r="AO7" i="11"/>
  <c r="AQ8" i="11"/>
  <c r="AD4" i="11"/>
  <c r="AP4" i="11"/>
  <c r="AS4" i="11" s="1"/>
  <c r="AQ7" i="11"/>
  <c r="AI10" i="11"/>
  <c r="AD13" i="11"/>
  <c r="AI13" i="11"/>
  <c r="AH13" i="11"/>
  <c r="U4" i="11"/>
  <c r="AN4" i="11"/>
  <c r="W5" i="11"/>
  <c r="AH7" i="11"/>
  <c r="AP7" i="11"/>
  <c r="V8" i="11"/>
  <c r="AR8" i="11"/>
  <c r="Z9" i="11"/>
  <c r="AF10" i="11"/>
  <c r="AL10" i="11" s="1"/>
  <c r="X12" i="11"/>
  <c r="AA12" i="11" s="1"/>
  <c r="Z5" i="11"/>
  <c r="Y8" i="11"/>
  <c r="AD9" i="11"/>
  <c r="Y12" i="11"/>
  <c r="AF5" i="11"/>
  <c r="U7" i="11"/>
  <c r="AA7" i="11" s="1"/>
  <c r="AR7" i="11"/>
  <c r="AU7" i="11" s="1"/>
  <c r="Z8" i="11"/>
  <c r="AM9" i="11"/>
  <c r="AS9" i="11" s="1"/>
  <c r="U10" i="11"/>
  <c r="AN10" i="11"/>
  <c r="Z12" i="11"/>
  <c r="AE6" i="11"/>
  <c r="AH12" i="11"/>
  <c r="AE4" i="11"/>
  <c r="AK4" i="11" s="1"/>
  <c r="AG5" i="11"/>
  <c r="AN5" i="11"/>
  <c r="AT5" i="11" s="1"/>
  <c r="AF6" i="11"/>
  <c r="Y7" i="11"/>
  <c r="AG8" i="11"/>
  <c r="AI9" i="11"/>
  <c r="AQ9" i="11"/>
  <c r="W10" i="11"/>
  <c r="AR10" i="11"/>
  <c r="AM12" i="11"/>
  <c r="C14" i="11"/>
  <c r="AM5" i="11"/>
  <c r="AF4" i="11"/>
  <c r="AE5" i="11"/>
  <c r="AO5" i="11"/>
  <c r="AF7" i="11"/>
  <c r="AH8" i="11"/>
  <c r="AO8" i="11"/>
  <c r="U9" i="11"/>
  <c r="AR9" i="11"/>
  <c r="AU9" i="11" s="1"/>
  <c r="X10" i="11"/>
  <c r="AG4" i="11"/>
  <c r="AJ4" i="11" s="1"/>
  <c r="AN7" i="11"/>
  <c r="AI8" i="11"/>
  <c r="V9" i="11"/>
  <c r="AD10" i="11"/>
  <c r="C6" i="12"/>
  <c r="C8" i="12"/>
  <c r="AO8" i="12" s="1"/>
  <c r="C10" i="12"/>
  <c r="Y10" i="12" s="1"/>
  <c r="AI11" i="12"/>
  <c r="C7" i="12"/>
  <c r="Y7" i="12" s="1"/>
  <c r="W8" i="12"/>
  <c r="V6" i="12"/>
  <c r="W6" i="12"/>
  <c r="AF8" i="12"/>
  <c r="AF9" i="12"/>
  <c r="Y6" i="12"/>
  <c r="AH8" i="12"/>
  <c r="AG6" i="12"/>
  <c r="AI8" i="12"/>
  <c r="V4" i="25"/>
  <c r="U5" i="25"/>
  <c r="Z8" i="25"/>
  <c r="Y5" i="25"/>
  <c r="AP8" i="25"/>
  <c r="AN4" i="25"/>
  <c r="AR4" i="25"/>
  <c r="AU4" i="25" s="1"/>
  <c r="AD7" i="25"/>
  <c r="AJ7" i="25" s="1"/>
  <c r="AE4" i="25"/>
  <c r="AD6" i="25"/>
  <c r="Z12" i="25"/>
  <c r="AF14" i="25"/>
  <c r="AH8" i="25"/>
  <c r="X10" i="25"/>
  <c r="W11" i="25"/>
  <c r="AC11" i="25" s="1"/>
  <c r="AN12" i="25"/>
  <c r="AT12" i="25" s="1"/>
  <c r="V14" i="25"/>
  <c r="AP6" i="25"/>
  <c r="Z10" i="25"/>
  <c r="Z11" i="25"/>
  <c r="AM14" i="25"/>
  <c r="U6" i="25"/>
  <c r="V8" i="25"/>
  <c r="AH10" i="25"/>
  <c r="AQ11" i="25"/>
  <c r="V6" i="25"/>
  <c r="W8" i="25"/>
  <c r="AO10" i="25"/>
  <c r="AP4" i="25"/>
  <c r="AO5" i="25"/>
  <c r="AN6" i="25"/>
  <c r="AT6" i="25" s="1"/>
  <c r="AQ7" i="25"/>
  <c r="AN8" i="25"/>
  <c r="AG11" i="25"/>
  <c r="AP13" i="25"/>
  <c r="AR13" i="25"/>
  <c r="AQ13" i="25"/>
  <c r="U13" i="25"/>
  <c r="AI7" i="25"/>
  <c r="AC8" i="25"/>
  <c r="AM9" i="25"/>
  <c r="AH12" i="25"/>
  <c r="AN14" i="25"/>
  <c r="AT14" i="25" s="1"/>
  <c r="W4" i="25"/>
  <c r="AQ4" i="25"/>
  <c r="AT4" i="25" s="1"/>
  <c r="AI5" i="25"/>
  <c r="X6" i="25"/>
  <c r="AA6" i="25" s="1"/>
  <c r="AM7" i="25"/>
  <c r="X8" i="25"/>
  <c r="AR8" i="25"/>
  <c r="AN10" i="25"/>
  <c r="Y11" i="25"/>
  <c r="AD12" i="25"/>
  <c r="AI12" i="25"/>
  <c r="AI13" i="25"/>
  <c r="U14" i="25"/>
  <c r="AR14" i="25"/>
  <c r="Z4" i="25"/>
  <c r="AH6" i="25"/>
  <c r="AD8" i="25"/>
  <c r="AP10" i="25"/>
  <c r="AH11" i="25"/>
  <c r="AF12" i="25"/>
  <c r="AP12" i="25"/>
  <c r="W14" i="25"/>
  <c r="U7" i="25"/>
  <c r="AE8" i="25"/>
  <c r="AK8" i="25" s="1"/>
  <c r="AM11" i="25"/>
  <c r="AS11" i="25" s="1"/>
  <c r="U12" i="25"/>
  <c r="AQ12" i="25"/>
  <c r="X14" i="25"/>
  <c r="AH4" i="25"/>
  <c r="V7" i="25"/>
  <c r="AO11" i="25"/>
  <c r="V12" i="25"/>
  <c r="AR12" i="25"/>
  <c r="AU12" i="25" s="1"/>
  <c r="AD14" i="25"/>
  <c r="AI4" i="25"/>
  <c r="AM4" i="25"/>
  <c r="AF6" i="25"/>
  <c r="AR6" i="25"/>
  <c r="W7" i="25"/>
  <c r="AF8" i="25"/>
  <c r="AM8" i="25"/>
  <c r="AS8" i="25" s="1"/>
  <c r="X12" i="25"/>
  <c r="AE14" i="25"/>
  <c r="C7" i="19"/>
  <c r="AG7" i="19" s="1"/>
  <c r="C11" i="19"/>
  <c r="C9" i="19"/>
  <c r="C10" i="14"/>
  <c r="AH6" i="14"/>
  <c r="C9" i="14"/>
  <c r="C5" i="14"/>
  <c r="AN5" i="14" s="1"/>
  <c r="C8" i="14"/>
  <c r="U6" i="14"/>
  <c r="AI10" i="14"/>
  <c r="V6" i="14"/>
  <c r="C13" i="14"/>
  <c r="AG13" i="14" s="1"/>
  <c r="C7" i="14"/>
  <c r="AH14" i="14"/>
  <c r="AM14" i="14"/>
  <c r="V14" i="14"/>
  <c r="AF6" i="14"/>
  <c r="AR10" i="14"/>
  <c r="AG6" i="14"/>
  <c r="AM6" i="14"/>
  <c r="AS6" i="14" s="1"/>
  <c r="AF13" i="14"/>
  <c r="AN13" i="14"/>
  <c r="AG5" i="14"/>
  <c r="Y9" i="14"/>
  <c r="U10" i="14"/>
  <c r="U5" i="14"/>
  <c r="AO5" i="14"/>
  <c r="W6" i="14"/>
  <c r="AN6" i="14"/>
  <c r="AR8" i="14"/>
  <c r="Z9" i="14"/>
  <c r="AD10" i="14"/>
  <c r="U13" i="14"/>
  <c r="AO13" i="14"/>
  <c r="AU13" i="14" s="1"/>
  <c r="W14" i="14"/>
  <c r="AN14" i="14"/>
  <c r="V5" i="14"/>
  <c r="AR5" i="14"/>
  <c r="X6" i="14"/>
  <c r="AA6" i="14" s="1"/>
  <c r="AO6" i="14"/>
  <c r="W7" i="14"/>
  <c r="AP7" i="14"/>
  <c r="AG9" i="14"/>
  <c r="AG10" i="14"/>
  <c r="V13" i="14"/>
  <c r="AR13" i="14"/>
  <c r="X14" i="14"/>
  <c r="AO14" i="14"/>
  <c r="W5" i="14"/>
  <c r="AD6" i="14"/>
  <c r="X7" i="14"/>
  <c r="AQ7" i="14"/>
  <c r="AE8" i="14"/>
  <c r="AH9" i="14"/>
  <c r="AH10" i="14"/>
  <c r="W13" i="14"/>
  <c r="AD14" i="14"/>
  <c r="AJ14" i="14" s="1"/>
  <c r="AP14" i="14"/>
  <c r="X5" i="14"/>
  <c r="AE6" i="14"/>
  <c r="AK6" i="14" s="1"/>
  <c r="AH8" i="14"/>
  <c r="AI9" i="14"/>
  <c r="AP10" i="14"/>
  <c r="X13" i="14"/>
  <c r="AE14" i="14"/>
  <c r="AK14" i="14" s="1"/>
  <c r="AI7" i="14"/>
  <c r="AE7" i="14"/>
  <c r="AQ10" i="14"/>
  <c r="AD13" i="14"/>
  <c r="AJ13" i="14" s="1"/>
  <c r="AF14" i="14"/>
  <c r="AE5" i="14"/>
  <c r="AF7" i="14"/>
  <c r="AL7" i="14" s="1"/>
  <c r="AE13" i="14"/>
  <c r="AG14" i="14"/>
  <c r="AH7" i="14"/>
  <c r="AM7" i="14"/>
  <c r="AP8" i="14"/>
  <c r="X9" i="14"/>
  <c r="U14" i="14"/>
  <c r="B15" i="20"/>
  <c r="Z8" i="10"/>
  <c r="AM5" i="16"/>
  <c r="AE5" i="16"/>
  <c r="W5" i="16"/>
  <c r="AQ5" i="16"/>
  <c r="AH5" i="16"/>
  <c r="Y5" i="16"/>
  <c r="AP5" i="16"/>
  <c r="AG5" i="16"/>
  <c r="X5" i="16"/>
  <c r="V5" i="16"/>
  <c r="AI5" i="16"/>
  <c r="U5" i="16"/>
  <c r="AF5" i="16"/>
  <c r="Z5" i="16"/>
  <c r="AR5" i="16"/>
  <c r="AO5" i="16"/>
  <c r="AN5" i="16"/>
  <c r="AD5" i="16"/>
  <c r="U8" i="19"/>
  <c r="AR8" i="19"/>
  <c r="AQ8" i="19"/>
  <c r="AI8" i="19"/>
  <c r="AF8" i="19"/>
  <c r="AE8" i="19"/>
  <c r="AP8" i="19"/>
  <c r="AD8" i="19"/>
  <c r="Y8" i="19"/>
  <c r="AO8" i="19"/>
  <c r="AU8" i="19" s="1"/>
  <c r="X8" i="19"/>
  <c r="AN8" i="19"/>
  <c r="W8" i="19"/>
  <c r="AM8" i="19"/>
  <c r="V8" i="19"/>
  <c r="Z8" i="19"/>
  <c r="AQ11" i="11"/>
  <c r="AI11" i="11"/>
  <c r="AP11" i="11"/>
  <c r="AH11" i="11"/>
  <c r="Z11" i="11"/>
  <c r="X11" i="11"/>
  <c r="AG11" i="11"/>
  <c r="W11" i="11"/>
  <c r="V11" i="11"/>
  <c r="U11" i="11"/>
  <c r="AA11" i="11" s="1"/>
  <c r="AE11" i="11"/>
  <c r="AF11" i="11"/>
  <c r="AO7" i="12"/>
  <c r="AN11" i="12"/>
  <c r="AF11" i="12"/>
  <c r="X11" i="12"/>
  <c r="AM11" i="12"/>
  <c r="AE11" i="12"/>
  <c r="AK11" i="12" s="1"/>
  <c r="W11" i="12"/>
  <c r="AQ11" i="12"/>
  <c r="AG11" i="12"/>
  <c r="U11" i="12"/>
  <c r="AP11" i="12"/>
  <c r="AD11" i="12"/>
  <c r="AO11" i="12"/>
  <c r="Z11" i="12"/>
  <c r="V11" i="12"/>
  <c r="Y11" i="12"/>
  <c r="AH8" i="10"/>
  <c r="AO11" i="11"/>
  <c r="AQ9" i="12"/>
  <c r="AO14" i="11"/>
  <c r="AR9" i="12"/>
  <c r="AG8" i="19"/>
  <c r="AD6" i="11"/>
  <c r="AJ6" i="11" s="1"/>
  <c r="V6" i="11"/>
  <c r="U6" i="11"/>
  <c r="Z6" i="11"/>
  <c r="AI6" i="11"/>
  <c r="AL6" i="11" s="1"/>
  <c r="Y6" i="11"/>
  <c r="AO6" i="11"/>
  <c r="AN6" i="11"/>
  <c r="X6" i="11"/>
  <c r="AM6" i="11"/>
  <c r="W6" i="11"/>
  <c r="AH6" i="11"/>
  <c r="Y9" i="12"/>
  <c r="C12" i="15"/>
  <c r="C6" i="15"/>
  <c r="C14" i="15"/>
  <c r="C7" i="15"/>
  <c r="C9" i="15"/>
  <c r="C4" i="15"/>
  <c r="C8" i="15"/>
  <c r="C5" i="15"/>
  <c r="C10" i="15"/>
  <c r="C11" i="15"/>
  <c r="AF7" i="19"/>
  <c r="AH8" i="19"/>
  <c r="AJ11" i="11"/>
  <c r="AQ7" i="12"/>
  <c r="AI7" i="12"/>
  <c r="AN7" i="12"/>
  <c r="AD7" i="12"/>
  <c r="AJ7" i="12" s="1"/>
  <c r="V7" i="12"/>
  <c r="AB7" i="12" s="1"/>
  <c r="AG7" i="12"/>
  <c r="U7" i="12"/>
  <c r="B16" i="13"/>
  <c r="AM9" i="12"/>
  <c r="AP9" i="12"/>
  <c r="C13" i="10"/>
  <c r="C6" i="10"/>
  <c r="C12" i="10"/>
  <c r="C5" i="10"/>
  <c r="C7" i="10"/>
  <c r="C4" i="10"/>
  <c r="C14" i="10"/>
  <c r="C11" i="10"/>
  <c r="C7" i="16"/>
  <c r="C11" i="16"/>
  <c r="C13" i="16"/>
  <c r="C6" i="16"/>
  <c r="C10" i="16"/>
  <c r="C4" i="16"/>
  <c r="C14" i="16"/>
  <c r="C12" i="16"/>
  <c r="C8" i="16"/>
  <c r="AI8" i="14"/>
  <c r="AF8" i="14"/>
  <c r="AP6" i="11"/>
  <c r="Y11" i="11"/>
  <c r="AQ6" i="11"/>
  <c r="AM11" i="11"/>
  <c r="AD9" i="12"/>
  <c r="V9" i="12"/>
  <c r="AB9" i="12" s="1"/>
  <c r="U9" i="12"/>
  <c r="AO9" i="12"/>
  <c r="AU9" i="12" s="1"/>
  <c r="AE9" i="12"/>
  <c r="AN9" i="12"/>
  <c r="X9" i="12"/>
  <c r="AI9" i="12"/>
  <c r="W9" i="12"/>
  <c r="AC9" i="12" s="1"/>
  <c r="AG9" i="12"/>
  <c r="AH9" i="12"/>
  <c r="AR7" i="19"/>
  <c r="AQ7" i="19"/>
  <c r="AI7" i="19"/>
  <c r="AP7" i="19"/>
  <c r="AH7" i="19"/>
  <c r="Z7" i="19"/>
  <c r="AN7" i="19"/>
  <c r="W7" i="19"/>
  <c r="V7" i="19"/>
  <c r="AD7" i="19"/>
  <c r="AJ7" i="19" s="1"/>
  <c r="Y7" i="19"/>
  <c r="X7" i="19"/>
  <c r="AO7" i="19"/>
  <c r="U7" i="19"/>
  <c r="AE7" i="19"/>
  <c r="AM8" i="10"/>
  <c r="AE8" i="10"/>
  <c r="W8" i="10"/>
  <c r="AC8" i="10" s="1"/>
  <c r="AD8" i="10"/>
  <c r="V8" i="10"/>
  <c r="AQ8" i="10"/>
  <c r="AG8" i="10"/>
  <c r="U8" i="10"/>
  <c r="AA8" i="10" s="1"/>
  <c r="AN8" i="10"/>
  <c r="AT8" i="10" s="1"/>
  <c r="AP8" i="10"/>
  <c r="AF8" i="10"/>
  <c r="AO8" i="10"/>
  <c r="AK6" i="11"/>
  <c r="AN11" i="11"/>
  <c r="U13" i="11"/>
  <c r="AR13" i="11"/>
  <c r="AQ13" i="11"/>
  <c r="AG13" i="11"/>
  <c r="AJ13" i="11" s="1"/>
  <c r="W13" i="11"/>
  <c r="AP13" i="11"/>
  <c r="AF13" i="11"/>
  <c r="AL13" i="11" s="1"/>
  <c r="V13" i="11"/>
  <c r="AO13" i="11"/>
  <c r="X13" i="11"/>
  <c r="AN13" i="11"/>
  <c r="AT13" i="11" s="1"/>
  <c r="Z13" i="11"/>
  <c r="AM13" i="11"/>
  <c r="Y13" i="11"/>
  <c r="AP7" i="12"/>
  <c r="AR11" i="12"/>
  <c r="AI8" i="10"/>
  <c r="AR11" i="11"/>
  <c r="AD14" i="11"/>
  <c r="V14" i="11"/>
  <c r="U14" i="11"/>
  <c r="AR14" i="11"/>
  <c r="AH14" i="11"/>
  <c r="X14" i="11"/>
  <c r="AQ14" i="11"/>
  <c r="AG14" i="11"/>
  <c r="W14" i="11"/>
  <c r="AN14" i="11"/>
  <c r="Z14" i="11"/>
  <c r="AM14" i="11"/>
  <c r="Y14" i="11"/>
  <c r="AI14" i="11"/>
  <c r="U5" i="21"/>
  <c r="AA5" i="21" s="1"/>
  <c r="AP5" i="21"/>
  <c r="AF5" i="21"/>
  <c r="V5" i="21"/>
  <c r="AO5" i="21"/>
  <c r="AE5" i="21"/>
  <c r="AN5" i="21"/>
  <c r="AD5" i="21"/>
  <c r="AM5" i="21"/>
  <c r="AS5" i="21" s="1"/>
  <c r="Y5" i="21"/>
  <c r="AR5" i="21"/>
  <c r="X5" i="21"/>
  <c r="AQ5" i="21"/>
  <c r="W5" i="21"/>
  <c r="AG5" i="21"/>
  <c r="Z5" i="21"/>
  <c r="AI5" i="21"/>
  <c r="AH5" i="21"/>
  <c r="Y8" i="10"/>
  <c r="AR8" i="10"/>
  <c r="C9" i="10"/>
  <c r="AR6" i="11"/>
  <c r="AE13" i="11"/>
  <c r="AK13" i="11" s="1"/>
  <c r="C13" i="15"/>
  <c r="AM7" i="19"/>
  <c r="AS7" i="19" s="1"/>
  <c r="AE9" i="11"/>
  <c r="AK9" i="11" s="1"/>
  <c r="U9" i="19"/>
  <c r="AR9" i="19"/>
  <c r="AQ9" i="19"/>
  <c r="AI9" i="19"/>
  <c r="AH9" i="19"/>
  <c r="W9" i="19"/>
  <c r="AN9" i="19"/>
  <c r="Y9" i="19"/>
  <c r="AM9" i="19"/>
  <c r="X9" i="19"/>
  <c r="AE9" i="19"/>
  <c r="AK9" i="19" s="1"/>
  <c r="AD9" i="19"/>
  <c r="Z9" i="19"/>
  <c r="AP9" i="19"/>
  <c r="V9" i="19"/>
  <c r="AR12" i="11"/>
  <c r="AQ12" i="11"/>
  <c r="AT12" i="11" s="1"/>
  <c r="AI12" i="11"/>
  <c r="AG12" i="11"/>
  <c r="W12" i="11"/>
  <c r="AC12" i="11" s="1"/>
  <c r="AP12" i="11"/>
  <c r="AF12" i="11"/>
  <c r="V12" i="11"/>
  <c r="AB12" i="11" s="1"/>
  <c r="AO12" i="11"/>
  <c r="AU12" i="11" s="1"/>
  <c r="AQ6" i="12"/>
  <c r="AI6" i="12"/>
  <c r="AP6" i="12"/>
  <c r="AH6" i="12"/>
  <c r="Z6" i="12"/>
  <c r="AO6" i="12"/>
  <c r="AE6" i="12"/>
  <c r="U6" i="12"/>
  <c r="AN6" i="12"/>
  <c r="AD6" i="12"/>
  <c r="AR6" i="12"/>
  <c r="Y8" i="12"/>
  <c r="AM10" i="12"/>
  <c r="AE10" i="12"/>
  <c r="W10" i="12"/>
  <c r="AD10" i="12"/>
  <c r="V10" i="12"/>
  <c r="AP10" i="12"/>
  <c r="AF10" i="12"/>
  <c r="AO10" i="12"/>
  <c r="AQ10" i="12"/>
  <c r="B15" i="17"/>
  <c r="C14" i="21"/>
  <c r="C10" i="21"/>
  <c r="C13" i="21"/>
  <c r="C12" i="21"/>
  <c r="C11" i="21"/>
  <c r="C7" i="21"/>
  <c r="C9" i="21"/>
  <c r="C6" i="21"/>
  <c r="C10" i="10"/>
  <c r="AD12" i="11"/>
  <c r="U8" i="12"/>
  <c r="AR8" i="12"/>
  <c r="AU8" i="12" s="1"/>
  <c r="AN8" i="12"/>
  <c r="AD8" i="12"/>
  <c r="AM8" i="12"/>
  <c r="Z8" i="12"/>
  <c r="AC8" i="12" s="1"/>
  <c r="AP8" i="12"/>
  <c r="AR10" i="12"/>
  <c r="C12" i="12"/>
  <c r="C4" i="12"/>
  <c r="C13" i="12"/>
  <c r="C5" i="12"/>
  <c r="C4" i="21"/>
  <c r="AL7" i="11"/>
  <c r="U5" i="11"/>
  <c r="AR5" i="11"/>
  <c r="AI5" i="11"/>
  <c r="AL5" i="11" s="1"/>
  <c r="Y5" i="11"/>
  <c r="AH5" i="11"/>
  <c r="X5" i="11"/>
  <c r="AD5" i="11"/>
  <c r="AJ5" i="11" s="1"/>
  <c r="AP5" i="11"/>
  <c r="AE12" i="11"/>
  <c r="AF6" i="12"/>
  <c r="AE8" i="12"/>
  <c r="AQ8" i="12"/>
  <c r="AG10" i="12"/>
  <c r="C14" i="12"/>
  <c r="AQ5" i="14"/>
  <c r="AT5" i="14" s="1"/>
  <c r="AI5" i="14"/>
  <c r="AP5" i="14"/>
  <c r="AH5" i="14"/>
  <c r="Z5" i="14"/>
  <c r="Y5" i="14"/>
  <c r="AB5" i="14" s="1"/>
  <c r="AN10" i="14"/>
  <c r="AT10" i="14" s="1"/>
  <c r="AF10" i="14"/>
  <c r="AL10" i="14" s="1"/>
  <c r="X10" i="14"/>
  <c r="AA10" i="14" s="1"/>
  <c r="AM10" i="14"/>
  <c r="AS10" i="14" s="1"/>
  <c r="AE10" i="14"/>
  <c r="AK10" i="14" s="1"/>
  <c r="W10" i="14"/>
  <c r="AQ13" i="14"/>
  <c r="AT13" i="14" s="1"/>
  <c r="AI13" i="14"/>
  <c r="AL13" i="14" s="1"/>
  <c r="AP13" i="14"/>
  <c r="AH13" i="14"/>
  <c r="AK13" i="14" s="1"/>
  <c r="Z13" i="14"/>
  <c r="AC13" i="14" s="1"/>
  <c r="Y13" i="14"/>
  <c r="AM11" i="19"/>
  <c r="AE11" i="19"/>
  <c r="W11" i="19"/>
  <c r="AD11" i="19"/>
  <c r="V11" i="19"/>
  <c r="U11" i="19"/>
  <c r="AA11" i="19" s="1"/>
  <c r="AI11" i="19"/>
  <c r="X11" i="19"/>
  <c r="AH11" i="19"/>
  <c r="AG11" i="19"/>
  <c r="AF11" i="19"/>
  <c r="X4" i="11"/>
  <c r="AN8" i="11"/>
  <c r="AT8" i="11" s="1"/>
  <c r="AF8" i="11"/>
  <c r="AL8" i="11" s="1"/>
  <c r="X8" i="11"/>
  <c r="AA8" i="11" s="1"/>
  <c r="AM8" i="11"/>
  <c r="AS8" i="11" s="1"/>
  <c r="AE8" i="11"/>
  <c r="W8" i="11"/>
  <c r="AC8" i="11" s="1"/>
  <c r="AR6" i="14"/>
  <c r="AU6" i="14" s="1"/>
  <c r="AQ6" i="14"/>
  <c r="AI6" i="14"/>
  <c r="Y6" i="14"/>
  <c r="Y7" i="14"/>
  <c r="AM9" i="14"/>
  <c r="AE9" i="14"/>
  <c r="AK9" i="14" s="1"/>
  <c r="W9" i="14"/>
  <c r="AC9" i="14" s="1"/>
  <c r="AD9" i="14"/>
  <c r="AJ9" i="14" s="1"/>
  <c r="V9" i="14"/>
  <c r="AB9" i="14" s="1"/>
  <c r="AR14" i="14"/>
  <c r="AU14" i="14" s="1"/>
  <c r="AQ14" i="14"/>
  <c r="AT14" i="14" s="1"/>
  <c r="AI14" i="14"/>
  <c r="Y14" i="14"/>
  <c r="AB14" i="14" s="1"/>
  <c r="C11" i="14"/>
  <c r="C12" i="14"/>
  <c r="C4" i="14"/>
  <c r="AR4" i="11"/>
  <c r="AQ4" i="11"/>
  <c r="AT4" i="11" s="1"/>
  <c r="AI4" i="11"/>
  <c r="Y4" i="11"/>
  <c r="AB4" i="11" s="1"/>
  <c r="AM7" i="11"/>
  <c r="AE7" i="11"/>
  <c r="W7" i="11"/>
  <c r="AC7" i="11" s="1"/>
  <c r="AD7" i="11"/>
  <c r="AJ7" i="11" s="1"/>
  <c r="V7" i="11"/>
  <c r="AB7" i="11" s="1"/>
  <c r="AM5" i="14"/>
  <c r="AS5" i="14" s="1"/>
  <c r="Z6" i="14"/>
  <c r="AC6" i="14" s="1"/>
  <c r="U7" i="14"/>
  <c r="AA7" i="14" s="1"/>
  <c r="AR7" i="14"/>
  <c r="Z7" i="14"/>
  <c r="AC7" i="14" s="1"/>
  <c r="AD8" i="14"/>
  <c r="V8" i="14"/>
  <c r="U8" i="14"/>
  <c r="AM8" i="14"/>
  <c r="AN9" i="14"/>
  <c r="AO10" i="14"/>
  <c r="AU10" i="14" s="1"/>
  <c r="AM13" i="14"/>
  <c r="Z14" i="14"/>
  <c r="AC14" i="14" s="1"/>
  <c r="C13" i="19"/>
  <c r="C4" i="19"/>
  <c r="C14" i="19"/>
  <c r="C5" i="19"/>
  <c r="C6" i="19"/>
  <c r="C10" i="19"/>
  <c r="C12" i="19"/>
  <c r="AN11" i="19"/>
  <c r="X9" i="11"/>
  <c r="AA9" i="11" s="1"/>
  <c r="AF9" i="11"/>
  <c r="AL9" i="11" s="1"/>
  <c r="AN9" i="11"/>
  <c r="Y10" i="11"/>
  <c r="AB10" i="11" s="1"/>
  <c r="AG10" i="11"/>
  <c r="AJ10" i="11" s="1"/>
  <c r="AO10" i="11"/>
  <c r="AU10" i="11" s="1"/>
  <c r="Y9" i="11"/>
  <c r="AG9" i="11"/>
  <c r="AJ9" i="11" s="1"/>
  <c r="Z10" i="11"/>
  <c r="AH10" i="11"/>
  <c r="AK10" i="11" s="1"/>
  <c r="C9" i="16"/>
  <c r="C4" i="20"/>
  <c r="B15" i="18"/>
  <c r="C8" i="21"/>
  <c r="AP11" i="23"/>
  <c r="AH11" i="23"/>
  <c r="Z11" i="23"/>
  <c r="AN11" i="23"/>
  <c r="AF11" i="23"/>
  <c r="X11" i="23"/>
  <c r="AD11" i="23"/>
  <c r="AJ11" i="23" s="1"/>
  <c r="V11" i="23"/>
  <c r="U11" i="23"/>
  <c r="AQ11" i="23"/>
  <c r="AO11" i="23"/>
  <c r="AU11" i="23" s="1"/>
  <c r="Y11" i="23"/>
  <c r="AM11" i="23"/>
  <c r="AS11" i="23" s="1"/>
  <c r="W11" i="23"/>
  <c r="AC11" i="23" s="1"/>
  <c r="AI11" i="23"/>
  <c r="AG11" i="23"/>
  <c r="AE11" i="23"/>
  <c r="C9" i="22"/>
  <c r="C8" i="22"/>
  <c r="C10" i="22"/>
  <c r="C14" i="22"/>
  <c r="C11" i="22"/>
  <c r="C12" i="22"/>
  <c r="C4" i="22"/>
  <c r="C7" i="22"/>
  <c r="C5" i="22"/>
  <c r="C13" i="22"/>
  <c r="C6" i="22"/>
  <c r="C14" i="23"/>
  <c r="C10" i="23"/>
  <c r="C12" i="23"/>
  <c r="C7" i="23"/>
  <c r="C9" i="23"/>
  <c r="C6" i="23"/>
  <c r="C5" i="23"/>
  <c r="C4" i="23"/>
  <c r="C13" i="23"/>
  <c r="C8" i="23"/>
  <c r="AU5" i="25"/>
  <c r="AD9" i="25"/>
  <c r="AJ9" i="25" s="1"/>
  <c r="V9" i="25"/>
  <c r="AB9" i="25" s="1"/>
  <c r="AR9" i="25"/>
  <c r="AQ9" i="25"/>
  <c r="AI9" i="25"/>
  <c r="AP9" i="25"/>
  <c r="AH9" i="25"/>
  <c r="Z9" i="25"/>
  <c r="AC9" i="25" s="1"/>
  <c r="AN9" i="25"/>
  <c r="AT9" i="25" s="1"/>
  <c r="X9" i="25"/>
  <c r="U9" i="25"/>
  <c r="AG9" i="25"/>
  <c r="AF9" i="25"/>
  <c r="AL9" i="25" s="1"/>
  <c r="AE9" i="25"/>
  <c r="AK9" i="25" s="1"/>
  <c r="AO9" i="25"/>
  <c r="AK4" i="25"/>
  <c r="AQ5" i="25"/>
  <c r="AF4" i="25"/>
  <c r="AM10" i="25"/>
  <c r="AE10" i="25"/>
  <c r="AK10" i="25" s="1"/>
  <c r="W10" i="25"/>
  <c r="AC10" i="25" s="1"/>
  <c r="U10" i="25"/>
  <c r="AA10" i="25" s="1"/>
  <c r="AR10" i="25"/>
  <c r="AU10" i="25" s="1"/>
  <c r="AQ10" i="25"/>
  <c r="AT10" i="25" s="1"/>
  <c r="AI10" i="25"/>
  <c r="AD10" i="25"/>
  <c r="AP5" i="25"/>
  <c r="AH5" i="25"/>
  <c r="Z5" i="25"/>
  <c r="AN5" i="25"/>
  <c r="AF5" i="25"/>
  <c r="X5" i="25"/>
  <c r="AA5" i="25" s="1"/>
  <c r="AM5" i="25"/>
  <c r="AS5" i="25" s="1"/>
  <c r="AE5" i="25"/>
  <c r="W5" i="25"/>
  <c r="AD5" i="25"/>
  <c r="V5" i="25"/>
  <c r="AB5" i="25" s="1"/>
  <c r="AA8" i="25"/>
  <c r="AF10" i="25"/>
  <c r="AN11" i="25"/>
  <c r="AF11" i="25"/>
  <c r="AL11" i="25" s="1"/>
  <c r="X11" i="25"/>
  <c r="AD11" i="25"/>
  <c r="AJ11" i="25" s="1"/>
  <c r="V11" i="25"/>
  <c r="AB11" i="25" s="1"/>
  <c r="U11" i="25"/>
  <c r="AR11" i="25"/>
  <c r="AU11" i="25" s="1"/>
  <c r="AE11" i="25"/>
  <c r="C9" i="24"/>
  <c r="AG5" i="25"/>
  <c r="AG10" i="25"/>
  <c r="B15" i="24"/>
  <c r="AS4" i="25"/>
  <c r="V10" i="25"/>
  <c r="AB10" i="25" s="1"/>
  <c r="AI11" i="25"/>
  <c r="W6" i="25"/>
  <c r="AC6" i="25" s="1"/>
  <c r="AE6" i="25"/>
  <c r="AK6" i="25" s="1"/>
  <c r="AM6" i="25"/>
  <c r="AS6" i="25" s="1"/>
  <c r="X7" i="25"/>
  <c r="AA7" i="25" s="1"/>
  <c r="AF7" i="25"/>
  <c r="AL7" i="25" s="1"/>
  <c r="AN7" i="25"/>
  <c r="AT7" i="25" s="1"/>
  <c r="Y8" i="25"/>
  <c r="AB8" i="25" s="1"/>
  <c r="AG8" i="25"/>
  <c r="AO8" i="25"/>
  <c r="AU8" i="25" s="1"/>
  <c r="V13" i="25"/>
  <c r="AD13" i="25"/>
  <c r="Y7" i="25"/>
  <c r="AB7" i="25" s="1"/>
  <c r="AG7" i="25"/>
  <c r="AO7" i="25"/>
  <c r="AU7" i="25" s="1"/>
  <c r="W13" i="25"/>
  <c r="AE13" i="25"/>
  <c r="AM13" i="25"/>
  <c r="AS13" i="25" s="1"/>
  <c r="Y6" i="25"/>
  <c r="AB6" i="25" s="1"/>
  <c r="AG6" i="25"/>
  <c r="AJ6" i="25" s="1"/>
  <c r="AO6" i="25"/>
  <c r="AU6" i="25" s="1"/>
  <c r="Z7" i="25"/>
  <c r="AC7" i="25" s="1"/>
  <c r="AH7" i="25"/>
  <c r="AK7" i="25" s="1"/>
  <c r="AP7" i="25"/>
  <c r="AI8" i="25"/>
  <c r="AL8" i="25" s="1"/>
  <c r="AQ8" i="25"/>
  <c r="W12" i="25"/>
  <c r="AC12" i="25" s="1"/>
  <c r="AE12" i="25"/>
  <c r="AK12" i="25" s="1"/>
  <c r="AM12" i="25"/>
  <c r="AS12" i="25" s="1"/>
  <c r="X13" i="25"/>
  <c r="AA13" i="25" s="1"/>
  <c r="AF13" i="25"/>
  <c r="AN13" i="25"/>
  <c r="AT13" i="25" s="1"/>
  <c r="Y14" i="25"/>
  <c r="AG14" i="25"/>
  <c r="AO14" i="25"/>
  <c r="AU14" i="25" s="1"/>
  <c r="Y13" i="25"/>
  <c r="AG13" i="25"/>
  <c r="AO13" i="25"/>
  <c r="AU13" i="25" s="1"/>
  <c r="Z14" i="25"/>
  <c r="AC14" i="25" s="1"/>
  <c r="AH14" i="25"/>
  <c r="AP14" i="25"/>
  <c r="AS14" i="25" s="1"/>
  <c r="Y4" i="25"/>
  <c r="AB4" i="25" s="1"/>
  <c r="AG4" i="25"/>
  <c r="AJ4" i="25" s="1"/>
  <c r="AI6" i="25"/>
  <c r="AL6" i="25" s="1"/>
  <c r="Y12" i="25"/>
  <c r="AB12" i="25" s="1"/>
  <c r="AG12" i="25"/>
  <c r="AJ12" i="25" s="1"/>
  <c r="Z13" i="25"/>
  <c r="AH13" i="25"/>
  <c r="AI14" i="25"/>
  <c r="AL14" i="25" s="1"/>
  <c r="M11" i="31" l="1"/>
  <c r="F11" i="31"/>
  <c r="F27" i="31" s="1"/>
  <c r="H11" i="31"/>
  <c r="H27" i="31" s="1"/>
  <c r="M27" i="31"/>
  <c r="AK8" i="11"/>
  <c r="AS12" i="11"/>
  <c r="AT7" i="11"/>
  <c r="AK5" i="11"/>
  <c r="AH15" i="11"/>
  <c r="AB9" i="11"/>
  <c r="AJ8" i="11"/>
  <c r="AU5" i="11"/>
  <c r="AC10" i="11"/>
  <c r="AA4" i="11"/>
  <c r="AB5" i="11"/>
  <c r="AK12" i="11"/>
  <c r="AT10" i="11"/>
  <c r="AT9" i="11"/>
  <c r="AA5" i="11"/>
  <c r="AU8" i="11"/>
  <c r="AC6" i="11"/>
  <c r="AC5" i="11"/>
  <c r="AJ12" i="11"/>
  <c r="AM15" i="11"/>
  <c r="AD15" i="11"/>
  <c r="AK7" i="11"/>
  <c r="AS7" i="11"/>
  <c r="AL12" i="11"/>
  <c r="AT6" i="11"/>
  <c r="AP14" i="11"/>
  <c r="AP15" i="11" s="1"/>
  <c r="AF14" i="11"/>
  <c r="AF15" i="11" s="1"/>
  <c r="AE14" i="11"/>
  <c r="AE15" i="11" s="1"/>
  <c r="AA10" i="11"/>
  <c r="AT11" i="11"/>
  <c r="AU6" i="11"/>
  <c r="AL11" i="11"/>
  <c r="AG15" i="11"/>
  <c r="AA14" i="11"/>
  <c r="AB8" i="11"/>
  <c r="X10" i="12"/>
  <c r="Z10" i="12"/>
  <c r="AC10" i="12" s="1"/>
  <c r="AT6" i="12"/>
  <c r="AB10" i="12"/>
  <c r="AK8" i="12"/>
  <c r="AL11" i="12"/>
  <c r="U10" i="12"/>
  <c r="AA10" i="12" s="1"/>
  <c r="AK9" i="12"/>
  <c r="AI10" i="12"/>
  <c r="AL10" i="12" s="1"/>
  <c r="AL9" i="12"/>
  <c r="AC6" i="12"/>
  <c r="AT9" i="12"/>
  <c r="AH7" i="12"/>
  <c r="AK7" i="12" s="1"/>
  <c r="AR7" i="12"/>
  <c r="AU7" i="12" s="1"/>
  <c r="AG8" i="12"/>
  <c r="AJ8" i="12" s="1"/>
  <c r="AE7" i="12"/>
  <c r="Z7" i="12"/>
  <c r="AF7" i="12"/>
  <c r="AL7" i="12" s="1"/>
  <c r="V8" i="12"/>
  <c r="AB8" i="12" s="1"/>
  <c r="AN10" i="12"/>
  <c r="AT10" i="12" s="1"/>
  <c r="AH10" i="12"/>
  <c r="AK10" i="12" s="1"/>
  <c r="W7" i="12"/>
  <c r="X7" i="12"/>
  <c r="AK6" i="12"/>
  <c r="AA9" i="12"/>
  <c r="AM7" i="12"/>
  <c r="AB11" i="12"/>
  <c r="X8" i="12"/>
  <c r="AA8" i="12" s="1"/>
  <c r="AM6" i="12"/>
  <c r="AS6" i="12" s="1"/>
  <c r="X6" i="12"/>
  <c r="AA6" i="12" s="1"/>
  <c r="AU6" i="12"/>
  <c r="AS8" i="12"/>
  <c r="AC11" i="12"/>
  <c r="AB6" i="12"/>
  <c r="AS9" i="12"/>
  <c r="AU11" i="12"/>
  <c r="AS11" i="12"/>
  <c r="AJ6" i="12"/>
  <c r="AJ11" i="12"/>
  <c r="AL8" i="12"/>
  <c r="AL12" i="25"/>
  <c r="AT11" i="25"/>
  <c r="AT8" i="25"/>
  <c r="AK11" i="25"/>
  <c r="AB14" i="25"/>
  <c r="AK14" i="25"/>
  <c r="AS7" i="25"/>
  <c r="AL4" i="25"/>
  <c r="AK13" i="25"/>
  <c r="AJ8" i="25"/>
  <c r="AL5" i="25"/>
  <c r="AA12" i="25"/>
  <c r="AC4" i="25"/>
  <c r="AS9" i="25"/>
  <c r="AL13" i="25"/>
  <c r="AC5" i="25"/>
  <c r="AC15" i="25" s="1"/>
  <c r="AS10" i="25"/>
  <c r="AJ14" i="25"/>
  <c r="AJ13" i="25"/>
  <c r="AK5" i="25"/>
  <c r="AA9" i="25"/>
  <c r="AA14" i="25"/>
  <c r="AT5" i="21"/>
  <c r="AC5" i="21"/>
  <c r="AK5" i="21"/>
  <c r="AU5" i="21"/>
  <c r="AJ11" i="19"/>
  <c r="AC7" i="19"/>
  <c r="AL11" i="19"/>
  <c r="AT8" i="19"/>
  <c r="AS9" i="19"/>
  <c r="AB8" i="19"/>
  <c r="AL8" i="19"/>
  <c r="AB7" i="19"/>
  <c r="AK11" i="19"/>
  <c r="AB9" i="19"/>
  <c r="AC8" i="19"/>
  <c r="AO9" i="19"/>
  <c r="AU9" i="19" s="1"/>
  <c r="AG9" i="19"/>
  <c r="AF9" i="19"/>
  <c r="AJ9" i="19"/>
  <c r="AL9" i="19"/>
  <c r="AO11" i="19"/>
  <c r="Z11" i="19"/>
  <c r="AC11" i="19" s="1"/>
  <c r="AP11" i="19"/>
  <c r="AS11" i="19" s="1"/>
  <c r="Y11" i="19"/>
  <c r="AB11" i="19" s="1"/>
  <c r="AR11" i="19"/>
  <c r="AQ11" i="19"/>
  <c r="AT11" i="19" s="1"/>
  <c r="AB6" i="14"/>
  <c r="Z8" i="14"/>
  <c r="W8" i="14"/>
  <c r="AO8" i="14"/>
  <c r="AQ8" i="14"/>
  <c r="AS13" i="14"/>
  <c r="AL6" i="14"/>
  <c r="AL8" i="14"/>
  <c r="AK8" i="14"/>
  <c r="AB13" i="14"/>
  <c r="AU8" i="14"/>
  <c r="AG8" i="14"/>
  <c r="AJ8" i="14" s="1"/>
  <c r="AD7" i="14"/>
  <c r="AN7" i="14"/>
  <c r="AT7" i="14"/>
  <c r="X8" i="14"/>
  <c r="AA8" i="14" s="1"/>
  <c r="AF5" i="14"/>
  <c r="AL5" i="14" s="1"/>
  <c r="AQ9" i="14"/>
  <c r="AT9" i="14" s="1"/>
  <c r="AO9" i="14"/>
  <c r="U9" i="14"/>
  <c r="AA9" i="14" s="1"/>
  <c r="AP9" i="14"/>
  <c r="AS9" i="14" s="1"/>
  <c r="AA14" i="14"/>
  <c r="AO7" i="14"/>
  <c r="AU7" i="14" s="1"/>
  <c r="AS8" i="14"/>
  <c r="AG7" i="14"/>
  <c r="AD5" i="14"/>
  <c r="AJ5" i="14" s="1"/>
  <c r="AS14" i="14"/>
  <c r="AJ6" i="14"/>
  <c r="Y8" i="14"/>
  <c r="AB8" i="14" s="1"/>
  <c r="V7" i="14"/>
  <c r="AB7" i="14" s="1"/>
  <c r="AN8" i="14"/>
  <c r="AR9" i="14"/>
  <c r="AF9" i="14"/>
  <c r="AL9" i="14" s="1"/>
  <c r="Y10" i="14"/>
  <c r="Z10" i="14"/>
  <c r="AC10" i="14" s="1"/>
  <c r="V10" i="14"/>
  <c r="AB10" i="14" s="1"/>
  <c r="AK7" i="14"/>
  <c r="AK5" i="14"/>
  <c r="AJ10" i="14"/>
  <c r="AU5" i="14"/>
  <c r="AA5" i="14"/>
  <c r="AT6" i="14"/>
  <c r="AC5" i="14"/>
  <c r="AA13" i="14"/>
  <c r="AS7" i="14"/>
  <c r="AL14" i="14"/>
  <c r="AU5" i="16"/>
  <c r="AA5" i="16"/>
  <c r="AK5" i="16"/>
  <c r="AT11" i="23"/>
  <c r="AK11" i="23"/>
  <c r="AK8" i="10"/>
  <c r="AB8" i="10"/>
  <c r="AL8" i="10"/>
  <c r="C8" i="18"/>
  <c r="C10" i="18"/>
  <c r="C11" i="18"/>
  <c r="C12" i="18"/>
  <c r="C5" i="18"/>
  <c r="C7" i="18"/>
  <c r="C13" i="18"/>
  <c r="C14" i="18"/>
  <c r="C4" i="18"/>
  <c r="C6" i="18"/>
  <c r="AQ12" i="23"/>
  <c r="AI12" i="23"/>
  <c r="AO12" i="23"/>
  <c r="AU12" i="23" s="1"/>
  <c r="AG12" i="23"/>
  <c r="Y12" i="23"/>
  <c r="AM12" i="23"/>
  <c r="AS12" i="23" s="1"/>
  <c r="AE12" i="23"/>
  <c r="AK12" i="23" s="1"/>
  <c r="W12" i="23"/>
  <c r="AD12" i="23"/>
  <c r="V12" i="23"/>
  <c r="AP12" i="23"/>
  <c r="Z12" i="23"/>
  <c r="AN12" i="23"/>
  <c r="AT12" i="23" s="1"/>
  <c r="X12" i="23"/>
  <c r="U12" i="23"/>
  <c r="AA12" i="23" s="1"/>
  <c r="AR12" i="23"/>
  <c r="AH12" i="23"/>
  <c r="AF12" i="23"/>
  <c r="AL12" i="23" s="1"/>
  <c r="AD10" i="19"/>
  <c r="V10" i="19"/>
  <c r="U10" i="19"/>
  <c r="AR10" i="19"/>
  <c r="AO10" i="19"/>
  <c r="AI10" i="19"/>
  <c r="W10" i="19"/>
  <c r="AH10" i="19"/>
  <c r="AG10" i="19"/>
  <c r="AF10" i="19"/>
  <c r="AE10" i="19"/>
  <c r="Z10" i="19"/>
  <c r="X10" i="19"/>
  <c r="AQ10" i="19"/>
  <c r="Y10" i="19"/>
  <c r="AP10" i="19"/>
  <c r="AN10" i="19"/>
  <c r="AM10" i="19"/>
  <c r="AP5" i="12"/>
  <c r="AH5" i="12"/>
  <c r="Z5" i="12"/>
  <c r="AO5" i="12"/>
  <c r="AG5" i="12"/>
  <c r="Y5" i="12"/>
  <c r="AR5" i="12"/>
  <c r="AF5" i="12"/>
  <c r="V5" i="12"/>
  <c r="AQ5" i="12"/>
  <c r="AE5" i="12"/>
  <c r="U5" i="12"/>
  <c r="X5" i="12"/>
  <c r="W5" i="12"/>
  <c r="AI5" i="12"/>
  <c r="AN5" i="12"/>
  <c r="AM5" i="12"/>
  <c r="AS5" i="12" s="1"/>
  <c r="AD5" i="12"/>
  <c r="AP13" i="23"/>
  <c r="AQ13" i="23"/>
  <c r="AH13" i="23"/>
  <c r="Z13" i="23"/>
  <c r="AN13" i="23"/>
  <c r="AF13" i="23"/>
  <c r="X13" i="23"/>
  <c r="AM13" i="23"/>
  <c r="AS13" i="23" s="1"/>
  <c r="AE13" i="23"/>
  <c r="W13" i="23"/>
  <c r="V13" i="23"/>
  <c r="U13" i="23"/>
  <c r="AI13" i="23"/>
  <c r="AG13" i="23"/>
  <c r="AO13" i="23"/>
  <c r="AU13" i="23" s="1"/>
  <c r="AD13" i="23"/>
  <c r="AJ13" i="23" s="1"/>
  <c r="AR13" i="23"/>
  <c r="Y13" i="23"/>
  <c r="AP10" i="22"/>
  <c r="AH10" i="22"/>
  <c r="Z10" i="22"/>
  <c r="AO10" i="22"/>
  <c r="AG10" i="22"/>
  <c r="Y10" i="22"/>
  <c r="AN10" i="22"/>
  <c r="AF10" i="22"/>
  <c r="X10" i="22"/>
  <c r="AM10" i="22"/>
  <c r="AE10" i="22"/>
  <c r="W10" i="22"/>
  <c r="AR10" i="22"/>
  <c r="AQ10" i="22"/>
  <c r="V10" i="22"/>
  <c r="AI10" i="22"/>
  <c r="AD10" i="22"/>
  <c r="U10" i="22"/>
  <c r="AP13" i="12"/>
  <c r="AH13" i="12"/>
  <c r="Z13" i="12"/>
  <c r="AO13" i="12"/>
  <c r="AG13" i="12"/>
  <c r="Y13" i="12"/>
  <c r="AR13" i="12"/>
  <c r="AF13" i="12"/>
  <c r="AL13" i="12" s="1"/>
  <c r="V13" i="12"/>
  <c r="AQ13" i="12"/>
  <c r="AE13" i="12"/>
  <c r="U13" i="12"/>
  <c r="AI13" i="12"/>
  <c r="AD13" i="12"/>
  <c r="X13" i="12"/>
  <c r="AN13" i="12"/>
  <c r="AM13" i="12"/>
  <c r="AS13" i="12" s="1"/>
  <c r="W13" i="12"/>
  <c r="C9" i="18"/>
  <c r="AD13" i="16"/>
  <c r="V13" i="16"/>
  <c r="AB13" i="16" s="1"/>
  <c r="AR13" i="16"/>
  <c r="AI13" i="16"/>
  <c r="Z13" i="16"/>
  <c r="AO13" i="16"/>
  <c r="AN13" i="16"/>
  <c r="AM13" i="16"/>
  <c r="AS13" i="16" s="1"/>
  <c r="Y13" i="16"/>
  <c r="X13" i="16"/>
  <c r="W13" i="16"/>
  <c r="U13" i="16"/>
  <c r="AQ13" i="16"/>
  <c r="AP13" i="16"/>
  <c r="AF13" i="16"/>
  <c r="AG13" i="16"/>
  <c r="AE13" i="16"/>
  <c r="AH13" i="16"/>
  <c r="AK11" i="11"/>
  <c r="AC13" i="25"/>
  <c r="AT5" i="25"/>
  <c r="AT15" i="25" s="1"/>
  <c r="AU9" i="25"/>
  <c r="AU15" i="25" s="1"/>
  <c r="AQ4" i="23"/>
  <c r="AI4" i="23"/>
  <c r="AD4" i="23"/>
  <c r="V4" i="23"/>
  <c r="Z4" i="23"/>
  <c r="Y4" i="23"/>
  <c r="AH4" i="23"/>
  <c r="X4" i="23"/>
  <c r="AR4" i="23"/>
  <c r="AG4" i="23"/>
  <c r="W4" i="23"/>
  <c r="AM4" i="23"/>
  <c r="AF4" i="23"/>
  <c r="AL4" i="23" s="1"/>
  <c r="AE4" i="23"/>
  <c r="AP4" i="23"/>
  <c r="AO4" i="23"/>
  <c r="AN4" i="23"/>
  <c r="AT4" i="23" s="1"/>
  <c r="U4" i="23"/>
  <c r="AO8" i="22"/>
  <c r="AG8" i="22"/>
  <c r="Y8" i="22"/>
  <c r="AN8" i="22"/>
  <c r="AF8" i="22"/>
  <c r="X8" i="22"/>
  <c r="AM8" i="22"/>
  <c r="AS8" i="22" s="1"/>
  <c r="AE8" i="22"/>
  <c r="W8" i="22"/>
  <c r="AD8" i="22"/>
  <c r="AJ8" i="22" s="1"/>
  <c r="V8" i="22"/>
  <c r="AB8" i="22" s="1"/>
  <c r="AR8" i="22"/>
  <c r="AI8" i="22"/>
  <c r="AH8" i="22"/>
  <c r="Z8" i="22"/>
  <c r="U8" i="22"/>
  <c r="AQ8" i="22"/>
  <c r="AP8" i="22"/>
  <c r="AP9" i="16"/>
  <c r="AH9" i="16"/>
  <c r="Z9" i="16"/>
  <c r="AR9" i="16"/>
  <c r="AI9" i="16"/>
  <c r="Y9" i="16"/>
  <c r="AQ9" i="16"/>
  <c r="AG9" i="16"/>
  <c r="X9" i="16"/>
  <c r="W9" i="16"/>
  <c r="V9" i="16"/>
  <c r="AO9" i="16"/>
  <c r="AU9" i="16" s="1"/>
  <c r="U9" i="16"/>
  <c r="AN9" i="16"/>
  <c r="AM9" i="16"/>
  <c r="AF9" i="16"/>
  <c r="AE9" i="16"/>
  <c r="AD9" i="16"/>
  <c r="AJ9" i="16" s="1"/>
  <c r="AP14" i="19"/>
  <c r="AH14" i="19"/>
  <c r="Z14" i="19"/>
  <c r="AO14" i="19"/>
  <c r="AG14" i="19"/>
  <c r="Y14" i="19"/>
  <c r="AN14" i="19"/>
  <c r="AF14" i="19"/>
  <c r="X14" i="19"/>
  <c r="AR14" i="19"/>
  <c r="AD14" i="19"/>
  <c r="W14" i="19"/>
  <c r="V14" i="19"/>
  <c r="AI14" i="19"/>
  <c r="AE14" i="19"/>
  <c r="AQ14" i="19"/>
  <c r="AM14" i="19"/>
  <c r="AS14" i="19" s="1"/>
  <c r="U14" i="19"/>
  <c r="AA14" i="19" s="1"/>
  <c r="AR15" i="11"/>
  <c r="AO11" i="14"/>
  <c r="AG11" i="14"/>
  <c r="Y11" i="14"/>
  <c r="AN11" i="14"/>
  <c r="AF11" i="14"/>
  <c r="X11" i="14"/>
  <c r="AP11" i="14"/>
  <c r="AD11" i="14"/>
  <c r="AM11" i="14"/>
  <c r="AQ11" i="14"/>
  <c r="W11" i="14"/>
  <c r="V11" i="14"/>
  <c r="U11" i="14"/>
  <c r="AI11" i="14"/>
  <c r="Z11" i="14"/>
  <c r="AR11" i="14"/>
  <c r="AH11" i="14"/>
  <c r="AE11" i="14"/>
  <c r="AK11" i="14" s="1"/>
  <c r="AL6" i="12"/>
  <c r="AO4" i="12"/>
  <c r="AG4" i="12"/>
  <c r="Y4" i="12"/>
  <c r="AN4" i="12"/>
  <c r="AF4" i="12"/>
  <c r="X4" i="12"/>
  <c r="AR4" i="12"/>
  <c r="AH4" i="12"/>
  <c r="V4" i="12"/>
  <c r="AQ4" i="12"/>
  <c r="AE4" i="12"/>
  <c r="U4" i="12"/>
  <c r="AA4" i="12" s="1"/>
  <c r="AP4" i="12"/>
  <c r="AM4" i="12"/>
  <c r="Z4" i="12"/>
  <c r="W4" i="12"/>
  <c r="AI4" i="12"/>
  <c r="AD4" i="12"/>
  <c r="AN13" i="21"/>
  <c r="AF13" i="21"/>
  <c r="AQ13" i="21"/>
  <c r="AG13" i="21"/>
  <c r="W13" i="21"/>
  <c r="AM13" i="21"/>
  <c r="Z13" i="21"/>
  <c r="Y13" i="21"/>
  <c r="AI13" i="21"/>
  <c r="X13" i="21"/>
  <c r="AD13" i="21"/>
  <c r="V13" i="21"/>
  <c r="AB13" i="21" s="1"/>
  <c r="AH13" i="21"/>
  <c r="AE13" i="21"/>
  <c r="AR13" i="21"/>
  <c r="AP13" i="21"/>
  <c r="AO13" i="21"/>
  <c r="U13" i="21"/>
  <c r="AA13" i="21" s="1"/>
  <c r="AS10" i="12"/>
  <c r="AB5" i="21"/>
  <c r="AT14" i="11"/>
  <c r="AB14" i="11"/>
  <c r="AU13" i="11"/>
  <c r="AA13" i="11"/>
  <c r="AK7" i="19"/>
  <c r="AT7" i="19"/>
  <c r="AR11" i="16"/>
  <c r="AQ11" i="16"/>
  <c r="AH11" i="16"/>
  <c r="Y11" i="16"/>
  <c r="AP11" i="16"/>
  <c r="AG11" i="16"/>
  <c r="X11" i="16"/>
  <c r="AF11" i="16"/>
  <c r="U11" i="16"/>
  <c r="AE11" i="16"/>
  <c r="AO11" i="16"/>
  <c r="AU11" i="16" s="1"/>
  <c r="AD11" i="16"/>
  <c r="W11" i="16"/>
  <c r="Z11" i="16"/>
  <c r="AN11" i="16"/>
  <c r="AI11" i="16"/>
  <c r="V11" i="16"/>
  <c r="AM11" i="16"/>
  <c r="AP5" i="10"/>
  <c r="AH5" i="10"/>
  <c r="Z5" i="10"/>
  <c r="AO5" i="10"/>
  <c r="AG5" i="10"/>
  <c r="Y5" i="10"/>
  <c r="AN5" i="10"/>
  <c r="AD5" i="10"/>
  <c r="AM5" i="10"/>
  <c r="AS5" i="10" s="1"/>
  <c r="AQ5" i="10"/>
  <c r="W5" i="10"/>
  <c r="AC5" i="10" s="1"/>
  <c r="AI5" i="10"/>
  <c r="AE5" i="10"/>
  <c r="AR5" i="10"/>
  <c r="V5" i="10"/>
  <c r="U5" i="10"/>
  <c r="AF5" i="10"/>
  <c r="X5" i="10"/>
  <c r="AR9" i="15"/>
  <c r="AQ9" i="15"/>
  <c r="AI9" i="15"/>
  <c r="Y9" i="15"/>
  <c r="AH9" i="15"/>
  <c r="X9" i="15"/>
  <c r="AG9" i="15"/>
  <c r="W9" i="15"/>
  <c r="AE9" i="15"/>
  <c r="AD9" i="15"/>
  <c r="AO9" i="15"/>
  <c r="AP9" i="15"/>
  <c r="Z9" i="15"/>
  <c r="U9" i="15"/>
  <c r="AA9" i="15" s="1"/>
  <c r="AN9" i="15"/>
  <c r="AT9" i="15" s="1"/>
  <c r="AF9" i="15"/>
  <c r="V9" i="15"/>
  <c r="AM9" i="15"/>
  <c r="AA11" i="12"/>
  <c r="AT11" i="12"/>
  <c r="AL5" i="16"/>
  <c r="AJ10" i="25"/>
  <c r="AN12" i="19"/>
  <c r="AF12" i="19"/>
  <c r="X12" i="19"/>
  <c r="AM12" i="19"/>
  <c r="AE12" i="19"/>
  <c r="W12" i="19"/>
  <c r="AD12" i="19"/>
  <c r="V12" i="19"/>
  <c r="AQ12" i="19"/>
  <c r="AG12" i="19"/>
  <c r="AR12" i="19"/>
  <c r="AO12" i="19"/>
  <c r="U12" i="19"/>
  <c r="AI12" i="19"/>
  <c r="AP12" i="19"/>
  <c r="AH12" i="19"/>
  <c r="Z12" i="19"/>
  <c r="Y12" i="19"/>
  <c r="AQ14" i="12"/>
  <c r="AI14" i="12"/>
  <c r="AP14" i="12"/>
  <c r="AH14" i="12"/>
  <c r="Z14" i="12"/>
  <c r="AO14" i="12"/>
  <c r="AE14" i="12"/>
  <c r="U14" i="12"/>
  <c r="AN14" i="12"/>
  <c r="AT14" i="12" s="1"/>
  <c r="AD14" i="12"/>
  <c r="AR14" i="12"/>
  <c r="AM14" i="12"/>
  <c r="Y14" i="12"/>
  <c r="X14" i="12"/>
  <c r="W14" i="12"/>
  <c r="V14" i="12"/>
  <c r="AG14" i="12"/>
  <c r="AF14" i="12"/>
  <c r="AL14" i="12" s="1"/>
  <c r="AB13" i="25"/>
  <c r="AB15" i="25" s="1"/>
  <c r="AJ10" i="12"/>
  <c r="AN14" i="10"/>
  <c r="AF14" i="10"/>
  <c r="X14" i="10"/>
  <c r="AM14" i="10"/>
  <c r="AE14" i="10"/>
  <c r="W14" i="10"/>
  <c r="AO14" i="10"/>
  <c r="Z14" i="10"/>
  <c r="AI14" i="10"/>
  <c r="U14" i="10"/>
  <c r="AH14" i="10"/>
  <c r="AG14" i="10"/>
  <c r="V14" i="10"/>
  <c r="AQ14" i="10"/>
  <c r="AD14" i="10"/>
  <c r="Y14" i="10"/>
  <c r="AR14" i="10"/>
  <c r="AP14" i="10"/>
  <c r="AO10" i="23"/>
  <c r="AU10" i="23" s="1"/>
  <c r="AG10" i="23"/>
  <c r="Y10" i="23"/>
  <c r="AM10" i="23"/>
  <c r="AE10" i="23"/>
  <c r="W10" i="23"/>
  <c r="U10" i="23"/>
  <c r="AA10" i="23" s="1"/>
  <c r="AR10" i="23"/>
  <c r="AQ10" i="23"/>
  <c r="AP10" i="23"/>
  <c r="Z10" i="23"/>
  <c r="AN10" i="23"/>
  <c r="X10" i="23"/>
  <c r="V10" i="23"/>
  <c r="AD10" i="23"/>
  <c r="AI10" i="23"/>
  <c r="AH10" i="23"/>
  <c r="AF10" i="23"/>
  <c r="AL10" i="23" s="1"/>
  <c r="AR14" i="22"/>
  <c r="AM14" i="22"/>
  <c r="AE14" i="22"/>
  <c r="W14" i="22"/>
  <c r="AI14" i="22"/>
  <c r="Z14" i="22"/>
  <c r="AQ14" i="22"/>
  <c r="AH14" i="22"/>
  <c r="Y14" i="22"/>
  <c r="AG14" i="22"/>
  <c r="X14" i="22"/>
  <c r="V14" i="22"/>
  <c r="U14" i="22"/>
  <c r="AA14" i="22" s="1"/>
  <c r="AP14" i="22"/>
  <c r="AO14" i="22"/>
  <c r="AD14" i="22"/>
  <c r="AJ14" i="22" s="1"/>
  <c r="AN14" i="22"/>
  <c r="AF14" i="22"/>
  <c r="AR4" i="20"/>
  <c r="AN4" i="20"/>
  <c r="AE4" i="20"/>
  <c r="V4" i="20"/>
  <c r="AM4" i="20"/>
  <c r="AD4" i="20"/>
  <c r="U4" i="20"/>
  <c r="AQ4" i="20"/>
  <c r="AF4" i="20"/>
  <c r="Z4" i="20"/>
  <c r="AI4" i="20"/>
  <c r="AH4" i="20"/>
  <c r="AG4" i="20"/>
  <c r="AP4" i="20"/>
  <c r="W4" i="20"/>
  <c r="Y4" i="20"/>
  <c r="X4" i="20"/>
  <c r="AO4" i="20"/>
  <c r="AQ6" i="19"/>
  <c r="AI6" i="19"/>
  <c r="AP6" i="19"/>
  <c r="AH6" i="19"/>
  <c r="Z6" i="19"/>
  <c r="AO6" i="19"/>
  <c r="AG6" i="19"/>
  <c r="Y6" i="19"/>
  <c r="X6" i="19"/>
  <c r="AE6" i="19"/>
  <c r="AD6" i="19"/>
  <c r="AR6" i="19"/>
  <c r="W6" i="19"/>
  <c r="AC6" i="19" s="1"/>
  <c r="AN6" i="19"/>
  <c r="V6" i="19"/>
  <c r="AM6" i="19"/>
  <c r="U6" i="19"/>
  <c r="AF6" i="19"/>
  <c r="AL6" i="19" s="1"/>
  <c r="AP4" i="14"/>
  <c r="AH4" i="14"/>
  <c r="Z4" i="14"/>
  <c r="AO4" i="14"/>
  <c r="AG4" i="14"/>
  <c r="Y4" i="14"/>
  <c r="AN4" i="14"/>
  <c r="AD4" i="14"/>
  <c r="AM4" i="14"/>
  <c r="AI4" i="14"/>
  <c r="AF4" i="14"/>
  <c r="AE4" i="14"/>
  <c r="W4" i="14"/>
  <c r="X4" i="14"/>
  <c r="V4" i="14"/>
  <c r="AQ4" i="14"/>
  <c r="U4" i="14"/>
  <c r="AR4" i="14"/>
  <c r="AR10" i="10"/>
  <c r="AQ10" i="10"/>
  <c r="AI10" i="10"/>
  <c r="Z10" i="10"/>
  <c r="Y10" i="10"/>
  <c r="W10" i="10"/>
  <c r="AH10" i="10"/>
  <c r="X10" i="10"/>
  <c r="AG10" i="10"/>
  <c r="AO10" i="10"/>
  <c r="U10" i="10"/>
  <c r="AE10" i="10"/>
  <c r="AD10" i="10"/>
  <c r="AN10" i="10"/>
  <c r="AM10" i="10"/>
  <c r="V10" i="10"/>
  <c r="AF10" i="10"/>
  <c r="AP10" i="10"/>
  <c r="AP11" i="21"/>
  <c r="AH11" i="21"/>
  <c r="Z11" i="21"/>
  <c r="AO11" i="21"/>
  <c r="AF11" i="21"/>
  <c r="W11" i="21"/>
  <c r="AN11" i="21"/>
  <c r="AD11" i="21"/>
  <c r="AM11" i="21"/>
  <c r="AS11" i="21" s="1"/>
  <c r="AQ11" i="21"/>
  <c r="U11" i="21"/>
  <c r="AI11" i="21"/>
  <c r="AR11" i="21"/>
  <c r="AG11" i="21"/>
  <c r="AE11" i="21"/>
  <c r="V11" i="21"/>
  <c r="Y11" i="21"/>
  <c r="X11" i="21"/>
  <c r="AN6" i="16"/>
  <c r="AF6" i="16"/>
  <c r="X6" i="16"/>
  <c r="AM6" i="16"/>
  <c r="AD6" i="16"/>
  <c r="U6" i="16"/>
  <c r="AO6" i="16"/>
  <c r="Z6" i="16"/>
  <c r="Y6" i="16"/>
  <c r="AI6" i="16"/>
  <c r="AH6" i="16"/>
  <c r="AE6" i="16"/>
  <c r="AG6" i="16"/>
  <c r="W6" i="16"/>
  <c r="V6" i="16"/>
  <c r="AR6" i="16"/>
  <c r="AQ6" i="16"/>
  <c r="AP6" i="16"/>
  <c r="AQ8" i="15"/>
  <c r="AI8" i="15"/>
  <c r="AP8" i="15"/>
  <c r="AH8" i="15"/>
  <c r="Z8" i="15"/>
  <c r="Y8" i="15"/>
  <c r="X8" i="15"/>
  <c r="AE8" i="15"/>
  <c r="AD8" i="15"/>
  <c r="AJ8" i="15" s="1"/>
  <c r="AO8" i="15"/>
  <c r="AR8" i="15"/>
  <c r="W8" i="15"/>
  <c r="AM8" i="15"/>
  <c r="U8" i="15"/>
  <c r="AG8" i="15"/>
  <c r="AN8" i="15"/>
  <c r="AF8" i="15"/>
  <c r="AL8" i="15" s="1"/>
  <c r="V8" i="15"/>
  <c r="AK15" i="25"/>
  <c r="AP5" i="19"/>
  <c r="AH5" i="19"/>
  <c r="Z5" i="19"/>
  <c r="AO5" i="19"/>
  <c r="AG5" i="19"/>
  <c r="Y5" i="19"/>
  <c r="AN5" i="19"/>
  <c r="AF5" i="19"/>
  <c r="X5" i="19"/>
  <c r="AI5" i="19"/>
  <c r="U5" i="19"/>
  <c r="V5" i="19"/>
  <c r="AR5" i="19"/>
  <c r="AQ5" i="19"/>
  <c r="W5" i="19"/>
  <c r="AM5" i="19"/>
  <c r="AD5" i="19"/>
  <c r="AJ5" i="19" s="1"/>
  <c r="AE5" i="19"/>
  <c r="AP12" i="14"/>
  <c r="AH12" i="14"/>
  <c r="Z12" i="14"/>
  <c r="AO12" i="14"/>
  <c r="AG12" i="14"/>
  <c r="Y12" i="14"/>
  <c r="AN12" i="14"/>
  <c r="AD12" i="14"/>
  <c r="AM12" i="14"/>
  <c r="AS12" i="14" s="1"/>
  <c r="U12" i="14"/>
  <c r="AI12" i="14"/>
  <c r="AE12" i="14"/>
  <c r="AF12" i="14"/>
  <c r="X12" i="14"/>
  <c r="AR12" i="14"/>
  <c r="W12" i="14"/>
  <c r="V12" i="14"/>
  <c r="AQ12" i="14"/>
  <c r="AP13" i="15"/>
  <c r="AH13" i="15"/>
  <c r="Z13" i="15"/>
  <c r="AN13" i="15"/>
  <c r="AE13" i="15"/>
  <c r="V13" i="15"/>
  <c r="AM13" i="15"/>
  <c r="AD13" i="15"/>
  <c r="U13" i="15"/>
  <c r="AI13" i="15"/>
  <c r="W13" i="15"/>
  <c r="AC13" i="15" s="1"/>
  <c r="AG13" i="15"/>
  <c r="AR13" i="15"/>
  <c r="AF13" i="15"/>
  <c r="AO13" i="15"/>
  <c r="AU13" i="15" s="1"/>
  <c r="X13" i="15"/>
  <c r="AQ13" i="15"/>
  <c r="Y13" i="15"/>
  <c r="AS15" i="25"/>
  <c r="AA11" i="25"/>
  <c r="AA15" i="25" s="1"/>
  <c r="AR5" i="23"/>
  <c r="AM5" i="23"/>
  <c r="AE5" i="23"/>
  <c r="W5" i="23"/>
  <c r="Z5" i="23"/>
  <c r="AI5" i="23"/>
  <c r="Y5" i="23"/>
  <c r="AH5" i="23"/>
  <c r="X5" i="23"/>
  <c r="AQ5" i="23"/>
  <c r="AG5" i="23"/>
  <c r="V5" i="23"/>
  <c r="AP5" i="23"/>
  <c r="U5" i="23"/>
  <c r="AD5" i="23"/>
  <c r="AO5" i="23"/>
  <c r="AN5" i="23"/>
  <c r="AF5" i="23"/>
  <c r="AL5" i="23" s="1"/>
  <c r="AD5" i="22"/>
  <c r="V5" i="22"/>
  <c r="U5" i="22"/>
  <c r="AQ5" i="22"/>
  <c r="AI5" i="22"/>
  <c r="AP5" i="22"/>
  <c r="AE5" i="22"/>
  <c r="AO5" i="22"/>
  <c r="AH5" i="22"/>
  <c r="Z5" i="22"/>
  <c r="Y5" i="22"/>
  <c r="AR5" i="22"/>
  <c r="X5" i="22"/>
  <c r="AN5" i="22"/>
  <c r="AT5" i="22" s="1"/>
  <c r="W5" i="22"/>
  <c r="AC5" i="22" s="1"/>
  <c r="AG5" i="22"/>
  <c r="AF5" i="22"/>
  <c r="AM5" i="22"/>
  <c r="AO9" i="22"/>
  <c r="AG9" i="22"/>
  <c r="Y9" i="22"/>
  <c r="AN9" i="22"/>
  <c r="AF9" i="22"/>
  <c r="X9" i="22"/>
  <c r="AM9" i="22"/>
  <c r="AE9" i="22"/>
  <c r="W9" i="22"/>
  <c r="AD9" i="22"/>
  <c r="AJ9" i="22" s="1"/>
  <c r="V9" i="22"/>
  <c r="AB9" i="22" s="1"/>
  <c r="AR9" i="22"/>
  <c r="AQ9" i="22"/>
  <c r="AP9" i="22"/>
  <c r="AI9" i="22"/>
  <c r="AH9" i="22"/>
  <c r="Z9" i="22"/>
  <c r="U9" i="22"/>
  <c r="AO4" i="19"/>
  <c r="AG4" i="19"/>
  <c r="Y4" i="19"/>
  <c r="AN4" i="19"/>
  <c r="AF4" i="19"/>
  <c r="X4" i="19"/>
  <c r="AM4" i="19"/>
  <c r="AE4" i="19"/>
  <c r="W4" i="19"/>
  <c r="AP4" i="19"/>
  <c r="Z4" i="19"/>
  <c r="V4" i="19"/>
  <c r="AR4" i="19"/>
  <c r="U4" i="19"/>
  <c r="AA4" i="19" s="1"/>
  <c r="AQ4" i="19"/>
  <c r="AI4" i="19"/>
  <c r="AH4" i="19"/>
  <c r="AD4" i="19"/>
  <c r="AO12" i="12"/>
  <c r="AU12" i="12" s="1"/>
  <c r="AG12" i="12"/>
  <c r="Y12" i="12"/>
  <c r="AN12" i="12"/>
  <c r="AF12" i="12"/>
  <c r="X12" i="12"/>
  <c r="AR12" i="12"/>
  <c r="AH12" i="12"/>
  <c r="V12" i="12"/>
  <c r="AQ12" i="12"/>
  <c r="AE12" i="12"/>
  <c r="U12" i="12"/>
  <c r="Z12" i="12"/>
  <c r="W12" i="12"/>
  <c r="AI12" i="12"/>
  <c r="AM12" i="12"/>
  <c r="AD12" i="12"/>
  <c r="AP12" i="12"/>
  <c r="AU4" i="11"/>
  <c r="AO10" i="21"/>
  <c r="AG10" i="21"/>
  <c r="Y10" i="21"/>
  <c r="AP10" i="21"/>
  <c r="AE10" i="21"/>
  <c r="U10" i="21"/>
  <c r="AN10" i="21"/>
  <c r="AD10" i="21"/>
  <c r="AM10" i="21"/>
  <c r="AS10" i="21" s="1"/>
  <c r="AI10" i="21"/>
  <c r="AH10" i="21"/>
  <c r="X10" i="21"/>
  <c r="W10" i="21"/>
  <c r="V10" i="21"/>
  <c r="AQ10" i="21"/>
  <c r="AR10" i="21"/>
  <c r="Z10" i="21"/>
  <c r="AF10" i="21"/>
  <c r="AU10" i="12"/>
  <c r="AT9" i="19"/>
  <c r="AL5" i="21"/>
  <c r="AC14" i="11"/>
  <c r="AJ14" i="11"/>
  <c r="AJ15" i="11" s="1"/>
  <c r="AB13" i="11"/>
  <c r="AA7" i="19"/>
  <c r="AP8" i="16"/>
  <c r="AH8" i="16"/>
  <c r="Z8" i="16"/>
  <c r="AN8" i="16"/>
  <c r="AE8" i="16"/>
  <c r="AK8" i="16" s="1"/>
  <c r="V8" i="16"/>
  <c r="AM8" i="16"/>
  <c r="AS8" i="16" s="1"/>
  <c r="AD8" i="16"/>
  <c r="U8" i="16"/>
  <c r="X8" i="16"/>
  <c r="AI8" i="16"/>
  <c r="W8" i="16"/>
  <c r="AC8" i="16" s="1"/>
  <c r="AG8" i="16"/>
  <c r="AO8" i="16"/>
  <c r="AF8" i="16"/>
  <c r="AL8" i="16" s="1"/>
  <c r="AR8" i="16"/>
  <c r="AQ8" i="16"/>
  <c r="Y8" i="16"/>
  <c r="AO7" i="16"/>
  <c r="AG7" i="16"/>
  <c r="Y7" i="16"/>
  <c r="AR7" i="16"/>
  <c r="AI7" i="16"/>
  <c r="Z7" i="16"/>
  <c r="AQ7" i="16"/>
  <c r="AE7" i="16"/>
  <c r="AP7" i="16"/>
  <c r="AD7" i="16"/>
  <c r="AJ7" i="16" s="1"/>
  <c r="AN7" i="16"/>
  <c r="AT7" i="16" s="1"/>
  <c r="AH7" i="16"/>
  <c r="AF7" i="16"/>
  <c r="AL7" i="16" s="1"/>
  <c r="AM7" i="16"/>
  <c r="AS7" i="16" s="1"/>
  <c r="W7" i="16"/>
  <c r="V7" i="16"/>
  <c r="AB7" i="16" s="1"/>
  <c r="X7" i="16"/>
  <c r="U7" i="16"/>
  <c r="AA7" i="16" s="1"/>
  <c r="AP12" i="10"/>
  <c r="AH12" i="10"/>
  <c r="Z12" i="10"/>
  <c r="AO12" i="10"/>
  <c r="AG12" i="10"/>
  <c r="Y12" i="10"/>
  <c r="AQ12" i="10"/>
  <c r="AE12" i="10"/>
  <c r="U12" i="10"/>
  <c r="AN12" i="10"/>
  <c r="AD12" i="10"/>
  <c r="AM12" i="10"/>
  <c r="AI12" i="10"/>
  <c r="AR12" i="10"/>
  <c r="AF12" i="10"/>
  <c r="V12" i="10"/>
  <c r="X12" i="10"/>
  <c r="W12" i="10"/>
  <c r="C7" i="13"/>
  <c r="C8" i="13"/>
  <c r="C13" i="13"/>
  <c r="C12" i="13"/>
  <c r="C4" i="13"/>
  <c r="C11" i="13"/>
  <c r="C6" i="13"/>
  <c r="C5" i="13"/>
  <c r="C14" i="13"/>
  <c r="C10" i="13"/>
  <c r="AS7" i="12"/>
  <c r="AP7" i="15"/>
  <c r="AH7" i="15"/>
  <c r="Z7" i="15"/>
  <c r="AO7" i="15"/>
  <c r="AG7" i="15"/>
  <c r="Y7" i="15"/>
  <c r="AM7" i="15"/>
  <c r="AF7" i="15"/>
  <c r="AE7" i="15"/>
  <c r="AR7" i="15"/>
  <c r="AD7" i="15"/>
  <c r="X7" i="15"/>
  <c r="AQ7" i="15"/>
  <c r="AI7" i="15"/>
  <c r="V7" i="15"/>
  <c r="AN7" i="15"/>
  <c r="W7" i="15"/>
  <c r="U7" i="15"/>
  <c r="AU11" i="11"/>
  <c r="AB11" i="11"/>
  <c r="AA8" i="19"/>
  <c r="AR12" i="22"/>
  <c r="AQ12" i="22"/>
  <c r="AI12" i="22"/>
  <c r="AP12" i="22"/>
  <c r="AH12" i="22"/>
  <c r="Z12" i="22"/>
  <c r="AO12" i="22"/>
  <c r="AG12" i="22"/>
  <c r="Y12" i="22"/>
  <c r="U12" i="22"/>
  <c r="AF12" i="22"/>
  <c r="AL12" i="22" s="1"/>
  <c r="AD12" i="22"/>
  <c r="X12" i="22"/>
  <c r="W12" i="22"/>
  <c r="AC12" i="22" s="1"/>
  <c r="V12" i="22"/>
  <c r="AN12" i="22"/>
  <c r="AE12" i="22"/>
  <c r="AM12" i="22"/>
  <c r="C14" i="17"/>
  <c r="C6" i="17"/>
  <c r="C8" i="17"/>
  <c r="C7" i="17"/>
  <c r="C4" i="17"/>
  <c r="C13" i="17"/>
  <c r="C12" i="17"/>
  <c r="C11" i="17"/>
  <c r="C5" i="17"/>
  <c r="C10" i="17"/>
  <c r="AD13" i="22"/>
  <c r="V13" i="22"/>
  <c r="AO13" i="22"/>
  <c r="AF13" i="22"/>
  <c r="AL13" i="22" s="1"/>
  <c r="W13" i="22"/>
  <c r="AN13" i="22"/>
  <c r="AE13" i="22"/>
  <c r="U13" i="22"/>
  <c r="AM13" i="22"/>
  <c r="AI13" i="22"/>
  <c r="AH13" i="22"/>
  <c r="AQ13" i="22"/>
  <c r="AP13" i="22"/>
  <c r="AG13" i="22"/>
  <c r="Z13" i="22"/>
  <c r="AR13" i="22"/>
  <c r="Y13" i="22"/>
  <c r="X13" i="22"/>
  <c r="AM7" i="21"/>
  <c r="AE7" i="21"/>
  <c r="W7" i="21"/>
  <c r="AN7" i="21"/>
  <c r="AD7" i="21"/>
  <c r="U7" i="21"/>
  <c r="AQ7" i="21"/>
  <c r="AG7" i="21"/>
  <c r="V7" i="21"/>
  <c r="AP7" i="21"/>
  <c r="AF7" i="21"/>
  <c r="AO7" i="21"/>
  <c r="AH7" i="21"/>
  <c r="Z7" i="21"/>
  <c r="AI7" i="21"/>
  <c r="Y7" i="21"/>
  <c r="AR7" i="21"/>
  <c r="X7" i="21"/>
  <c r="AQ10" i="16"/>
  <c r="AI10" i="16"/>
  <c r="AM10" i="16"/>
  <c r="AD10" i="16"/>
  <c r="U10" i="16"/>
  <c r="AA10" i="16" s="1"/>
  <c r="AO10" i="16"/>
  <c r="AN10" i="16"/>
  <c r="Z10" i="16"/>
  <c r="Y10" i="16"/>
  <c r="AE10" i="16"/>
  <c r="X10" i="16"/>
  <c r="V10" i="16"/>
  <c r="AB10" i="16" s="1"/>
  <c r="AR10" i="16"/>
  <c r="W10" i="16"/>
  <c r="AP10" i="16"/>
  <c r="AF10" i="16"/>
  <c r="AH10" i="16"/>
  <c r="AG10" i="16"/>
  <c r="AN5" i="15"/>
  <c r="AF5" i="15"/>
  <c r="AL5" i="15" s="1"/>
  <c r="X5" i="15"/>
  <c r="AM5" i="15"/>
  <c r="AE5" i="15"/>
  <c r="W5" i="15"/>
  <c r="AC5" i="15" s="1"/>
  <c r="Z5" i="15"/>
  <c r="AI5" i="15"/>
  <c r="AD5" i="15"/>
  <c r="AH5" i="15"/>
  <c r="AG5" i="15"/>
  <c r="AO5" i="15"/>
  <c r="AR5" i="15"/>
  <c r="AP5" i="15"/>
  <c r="AQ5" i="15"/>
  <c r="Y5" i="15"/>
  <c r="V5" i="15"/>
  <c r="AB5" i="15" s="1"/>
  <c r="U5" i="15"/>
  <c r="AA5" i="15" s="1"/>
  <c r="AI15" i="11"/>
  <c r="AL4" i="11"/>
  <c r="AD9" i="10"/>
  <c r="V9" i="10"/>
  <c r="U9" i="10"/>
  <c r="Z9" i="10"/>
  <c r="W9" i="10"/>
  <c r="AI9" i="10"/>
  <c r="Y9" i="10"/>
  <c r="AQ9" i="10"/>
  <c r="AR9" i="10"/>
  <c r="AH9" i="10"/>
  <c r="X9" i="10"/>
  <c r="AG9" i="10"/>
  <c r="AM9" i="10"/>
  <c r="AF9" i="10"/>
  <c r="AL9" i="10" s="1"/>
  <c r="AE9" i="10"/>
  <c r="AO9" i="10"/>
  <c r="AP9" i="10"/>
  <c r="AN9" i="10"/>
  <c r="AQ4" i="10"/>
  <c r="AI4" i="10"/>
  <c r="AP4" i="10"/>
  <c r="AH4" i="10"/>
  <c r="Z4" i="10"/>
  <c r="Y4" i="10"/>
  <c r="X4" i="10"/>
  <c r="AD4" i="10"/>
  <c r="V4" i="10"/>
  <c r="AM4" i="10"/>
  <c r="AR4" i="10"/>
  <c r="AO4" i="10"/>
  <c r="AG4" i="10"/>
  <c r="AF4" i="10"/>
  <c r="W4" i="10"/>
  <c r="AN4" i="10"/>
  <c r="U4" i="10"/>
  <c r="AE4" i="10"/>
  <c r="AU14" i="11"/>
  <c r="AL10" i="25"/>
  <c r="AT8" i="12"/>
  <c r="AA9" i="19"/>
  <c r="AS8" i="10"/>
  <c r="AN7" i="10"/>
  <c r="AF7" i="10"/>
  <c r="X7" i="10"/>
  <c r="AM7" i="10"/>
  <c r="AE7" i="10"/>
  <c r="W7" i="10"/>
  <c r="Z7" i="10"/>
  <c r="AQ7" i="10"/>
  <c r="Y7" i="10"/>
  <c r="AI7" i="10"/>
  <c r="AP7" i="10"/>
  <c r="V7" i="10"/>
  <c r="AO7" i="10"/>
  <c r="AH7" i="10"/>
  <c r="AD7" i="10"/>
  <c r="U7" i="10"/>
  <c r="AG7" i="10"/>
  <c r="AR7" i="10"/>
  <c r="AM4" i="15"/>
  <c r="AE4" i="15"/>
  <c r="W4" i="15"/>
  <c r="AD4" i="15"/>
  <c r="V4" i="15"/>
  <c r="Z4" i="15"/>
  <c r="AI4" i="15"/>
  <c r="Y4" i="15"/>
  <c r="AH4" i="15"/>
  <c r="AG4" i="15"/>
  <c r="AF4" i="15"/>
  <c r="AR4" i="15"/>
  <c r="AQ4" i="15"/>
  <c r="AN4" i="15"/>
  <c r="X4" i="15"/>
  <c r="U4" i="15"/>
  <c r="AP4" i="15"/>
  <c r="AO4" i="15"/>
  <c r="C13" i="24"/>
  <c r="C4" i="24"/>
  <c r="C6" i="24"/>
  <c r="C8" i="24"/>
  <c r="C10" i="24"/>
  <c r="C7" i="24"/>
  <c r="C14" i="24"/>
  <c r="C12" i="24"/>
  <c r="C5" i="24"/>
  <c r="C11" i="24"/>
  <c r="AJ5" i="25"/>
  <c r="AJ15" i="25" s="1"/>
  <c r="U6" i="23"/>
  <c r="AN6" i="23"/>
  <c r="AF6" i="23"/>
  <c r="X6" i="23"/>
  <c r="Z6" i="23"/>
  <c r="AI6" i="23"/>
  <c r="Y6" i="23"/>
  <c r="AR6" i="23"/>
  <c r="AH6" i="23"/>
  <c r="W6" i="23"/>
  <c r="AM6" i="23"/>
  <c r="AG6" i="23"/>
  <c r="V6" i="23"/>
  <c r="AP6" i="23"/>
  <c r="AO6" i="23"/>
  <c r="AE6" i="23"/>
  <c r="AD6" i="23"/>
  <c r="AQ6" i="23"/>
  <c r="AM6" i="22"/>
  <c r="AE6" i="22"/>
  <c r="W6" i="22"/>
  <c r="AD6" i="22"/>
  <c r="V6" i="22"/>
  <c r="AR6" i="22"/>
  <c r="AI6" i="22"/>
  <c r="X6" i="22"/>
  <c r="AH6" i="22"/>
  <c r="U6" i="22"/>
  <c r="AG6" i="22"/>
  <c r="AF6" i="22"/>
  <c r="AQ6" i="22"/>
  <c r="Z6" i="22"/>
  <c r="AP6" i="22"/>
  <c r="AO6" i="22"/>
  <c r="AU6" i="22" s="1"/>
  <c r="AN6" i="22"/>
  <c r="Y6" i="22"/>
  <c r="AN7" i="22"/>
  <c r="AF7" i="22"/>
  <c r="X7" i="22"/>
  <c r="AM7" i="22"/>
  <c r="AE7" i="22"/>
  <c r="W7" i="22"/>
  <c r="U7" i="22"/>
  <c r="AR7" i="22"/>
  <c r="AD7" i="22"/>
  <c r="AQ7" i="22"/>
  <c r="AO7" i="22"/>
  <c r="AI7" i="22"/>
  <c r="AH7" i="22"/>
  <c r="AG7" i="22"/>
  <c r="AP7" i="22"/>
  <c r="Z7" i="22"/>
  <c r="Y7" i="22"/>
  <c r="V7" i="22"/>
  <c r="AA11" i="23"/>
  <c r="AO13" i="19"/>
  <c r="AG13" i="19"/>
  <c r="Y13" i="19"/>
  <c r="AN13" i="19"/>
  <c r="AF13" i="19"/>
  <c r="X13" i="19"/>
  <c r="AM13" i="19"/>
  <c r="AE13" i="19"/>
  <c r="W13" i="19"/>
  <c r="Z13" i="19"/>
  <c r="AR13" i="19"/>
  <c r="AQ13" i="19"/>
  <c r="AD13" i="19"/>
  <c r="V13" i="19"/>
  <c r="AP13" i="19"/>
  <c r="U13" i="19"/>
  <c r="AA13" i="19" s="1"/>
  <c r="AI13" i="19"/>
  <c r="AH13" i="19"/>
  <c r="AO15" i="11"/>
  <c r="AO14" i="21"/>
  <c r="AU14" i="21" s="1"/>
  <c r="AG14" i="21"/>
  <c r="Y14" i="21"/>
  <c r="AQ14" i="21"/>
  <c r="AH14" i="21"/>
  <c r="X14" i="21"/>
  <c r="AR14" i="21"/>
  <c r="AF14" i="21"/>
  <c r="V14" i="21"/>
  <c r="AE14" i="21"/>
  <c r="AP14" i="21"/>
  <c r="AD14" i="21"/>
  <c r="AJ14" i="21" s="1"/>
  <c r="AN14" i="21"/>
  <c r="AT14" i="21" s="1"/>
  <c r="AM14" i="21"/>
  <c r="AI14" i="21"/>
  <c r="W14" i="21"/>
  <c r="U14" i="21"/>
  <c r="Z14" i="21"/>
  <c r="AC9" i="19"/>
  <c r="AU7" i="19"/>
  <c r="AJ9" i="12"/>
  <c r="U12" i="16"/>
  <c r="AN12" i="16"/>
  <c r="AE12" i="16"/>
  <c r="V12" i="16"/>
  <c r="AM12" i="16"/>
  <c r="AD12" i="16"/>
  <c r="Y12" i="16"/>
  <c r="AI12" i="16"/>
  <c r="X12" i="16"/>
  <c r="AH12" i="16"/>
  <c r="W12" i="16"/>
  <c r="AR12" i="16"/>
  <c r="AG12" i="16"/>
  <c r="AF12" i="16"/>
  <c r="AQ12" i="16"/>
  <c r="Z12" i="16"/>
  <c r="AP12" i="16"/>
  <c r="AO12" i="16"/>
  <c r="AO6" i="10"/>
  <c r="AG6" i="10"/>
  <c r="Y6" i="10"/>
  <c r="AN6" i="10"/>
  <c r="AF6" i="10"/>
  <c r="X6" i="10"/>
  <c r="AI6" i="10"/>
  <c r="W6" i="10"/>
  <c r="AR6" i="10"/>
  <c r="AH6" i="10"/>
  <c r="V6" i="10"/>
  <c r="AB6" i="10" s="1"/>
  <c r="AQ6" i="10"/>
  <c r="AE6" i="10"/>
  <c r="U6" i="10"/>
  <c r="AA6" i="10" s="1"/>
  <c r="AP6" i="10"/>
  <c r="AM6" i="10"/>
  <c r="Z6" i="10"/>
  <c r="AD6" i="10"/>
  <c r="AJ6" i="10" s="1"/>
  <c r="C9" i="13"/>
  <c r="AL7" i="19"/>
  <c r="AQ14" i="15"/>
  <c r="AI14" i="15"/>
  <c r="Z14" i="15"/>
  <c r="AR14" i="15"/>
  <c r="AH14" i="15"/>
  <c r="Y14" i="15"/>
  <c r="X14" i="15"/>
  <c r="W14" i="15"/>
  <c r="AC14" i="15" s="1"/>
  <c r="AG14" i="15"/>
  <c r="V14" i="15"/>
  <c r="AP14" i="15"/>
  <c r="AN14" i="15"/>
  <c r="AT14" i="15" s="1"/>
  <c r="AO14" i="15"/>
  <c r="U14" i="15"/>
  <c r="AM14" i="15"/>
  <c r="AF14" i="15"/>
  <c r="AL14" i="15" s="1"/>
  <c r="AE14" i="15"/>
  <c r="AD14" i="15"/>
  <c r="AJ14" i="15" s="1"/>
  <c r="AC11" i="11"/>
  <c r="AJ8" i="19"/>
  <c r="AC5" i="16"/>
  <c r="AD7" i="23"/>
  <c r="AJ7" i="23" s="1"/>
  <c r="V7" i="23"/>
  <c r="AR7" i="23"/>
  <c r="AO7" i="23"/>
  <c r="AG7" i="23"/>
  <c r="Y7" i="23"/>
  <c r="AP7" i="23"/>
  <c r="AN7" i="23"/>
  <c r="AM7" i="23"/>
  <c r="Z7" i="23"/>
  <c r="X7" i="23"/>
  <c r="W7" i="23"/>
  <c r="U7" i="23"/>
  <c r="AI7" i="23"/>
  <c r="AH7" i="23"/>
  <c r="AF7" i="23"/>
  <c r="AE7" i="23"/>
  <c r="AQ7" i="23"/>
  <c r="AN9" i="21"/>
  <c r="AF9" i="21"/>
  <c r="X9" i="21"/>
  <c r="AO9" i="21"/>
  <c r="AE9" i="21"/>
  <c r="V9" i="21"/>
  <c r="AQ9" i="21"/>
  <c r="AG9" i="21"/>
  <c r="U9" i="21"/>
  <c r="AP9" i="21"/>
  <c r="AD9" i="21"/>
  <c r="AM9" i="21"/>
  <c r="AI9" i="21"/>
  <c r="AH9" i="21"/>
  <c r="AR9" i="21"/>
  <c r="W9" i="21"/>
  <c r="Z9" i="21"/>
  <c r="Y9" i="21"/>
  <c r="AQ11" i="22"/>
  <c r="AI11" i="22"/>
  <c r="AP11" i="22"/>
  <c r="AH11" i="22"/>
  <c r="Z11" i="22"/>
  <c r="AO11" i="22"/>
  <c r="AG11" i="22"/>
  <c r="Y11" i="22"/>
  <c r="AN11" i="22"/>
  <c r="AT11" i="22" s="1"/>
  <c r="AF11" i="22"/>
  <c r="AL11" i="22" s="1"/>
  <c r="X11" i="22"/>
  <c r="AM11" i="22"/>
  <c r="W11" i="22"/>
  <c r="AC11" i="22" s="1"/>
  <c r="V11" i="22"/>
  <c r="AB11" i="22" s="1"/>
  <c r="AE11" i="22"/>
  <c r="U11" i="22"/>
  <c r="AR11" i="22"/>
  <c r="AD11" i="22"/>
  <c r="AJ11" i="22" s="1"/>
  <c r="U9" i="24"/>
  <c r="AQ9" i="24"/>
  <c r="AI9" i="24"/>
  <c r="AP9" i="24"/>
  <c r="AH9" i="24"/>
  <c r="Z9" i="24"/>
  <c r="AO9" i="24"/>
  <c r="AG9" i="24"/>
  <c r="Y9" i="24"/>
  <c r="AF9" i="24"/>
  <c r="AD9" i="24"/>
  <c r="AN9" i="24"/>
  <c r="AT9" i="24" s="1"/>
  <c r="X9" i="24"/>
  <c r="AM9" i="24"/>
  <c r="AS9" i="24" s="1"/>
  <c r="W9" i="24"/>
  <c r="AC9" i="24" s="1"/>
  <c r="AR9" i="24"/>
  <c r="AE9" i="24"/>
  <c r="AK9" i="24" s="1"/>
  <c r="V9" i="24"/>
  <c r="AM8" i="23"/>
  <c r="AE8" i="23"/>
  <c r="W8" i="23"/>
  <c r="U8" i="23"/>
  <c r="AP8" i="23"/>
  <c r="AH8" i="23"/>
  <c r="Z8" i="23"/>
  <c r="AI8" i="23"/>
  <c r="V8" i="23"/>
  <c r="AG8" i="23"/>
  <c r="AR8" i="23"/>
  <c r="AF8" i="23"/>
  <c r="AL8" i="23" s="1"/>
  <c r="AQ8" i="23"/>
  <c r="AD8" i="23"/>
  <c r="AJ8" i="23" s="1"/>
  <c r="AO8" i="23"/>
  <c r="AU8" i="23" s="1"/>
  <c r="Y8" i="23"/>
  <c r="X8" i="23"/>
  <c r="AN8" i="23"/>
  <c r="AL11" i="23"/>
  <c r="AQ14" i="23"/>
  <c r="AI14" i="23"/>
  <c r="AO14" i="23"/>
  <c r="AG14" i="23"/>
  <c r="Y14" i="23"/>
  <c r="AM14" i="23"/>
  <c r="AH14" i="23"/>
  <c r="W14" i="23"/>
  <c r="AC14" i="23" s="1"/>
  <c r="AR14" i="23"/>
  <c r="AE14" i="23"/>
  <c r="U14" i="23"/>
  <c r="AN14" i="23"/>
  <c r="V14" i="23"/>
  <c r="AB14" i="23" s="1"/>
  <c r="AP14" i="23"/>
  <c r="Z14" i="23"/>
  <c r="X14" i="23"/>
  <c r="AF14" i="23"/>
  <c r="AD14" i="23"/>
  <c r="AJ14" i="23" s="1"/>
  <c r="C13" i="20"/>
  <c r="C9" i="20"/>
  <c r="C12" i="20"/>
  <c r="C14" i="20"/>
  <c r="C10" i="20"/>
  <c r="C8" i="20"/>
  <c r="C5" i="20"/>
  <c r="C7" i="20"/>
  <c r="C6" i="20"/>
  <c r="C11" i="20"/>
  <c r="AQ15" i="11"/>
  <c r="AQ12" i="21"/>
  <c r="AI12" i="21"/>
  <c r="AM12" i="21"/>
  <c r="Z12" i="21"/>
  <c r="Y12" i="21"/>
  <c r="AH12" i="21"/>
  <c r="X12" i="21"/>
  <c r="AP12" i="21"/>
  <c r="V12" i="21"/>
  <c r="AO12" i="21"/>
  <c r="AU12" i="21" s="1"/>
  <c r="U12" i="21"/>
  <c r="AA12" i="21" s="1"/>
  <c r="AN12" i="21"/>
  <c r="AF12" i="21"/>
  <c r="AL12" i="21" s="1"/>
  <c r="AE12" i="21"/>
  <c r="AK12" i="21" s="1"/>
  <c r="AR12" i="21"/>
  <c r="AG12" i="21"/>
  <c r="AD12" i="21"/>
  <c r="W12" i="21"/>
  <c r="AN9" i="23"/>
  <c r="AT9" i="23" s="1"/>
  <c r="AF9" i="23"/>
  <c r="X9" i="23"/>
  <c r="AD9" i="23"/>
  <c r="V9" i="23"/>
  <c r="AR9" i="23"/>
  <c r="AQ9" i="23"/>
  <c r="AI9" i="23"/>
  <c r="AP9" i="23"/>
  <c r="Z9" i="23"/>
  <c r="AO9" i="23"/>
  <c r="AU9" i="23" s="1"/>
  <c r="Y9" i="23"/>
  <c r="AM9" i="23"/>
  <c r="W9" i="23"/>
  <c r="AE9" i="23"/>
  <c r="U9" i="23"/>
  <c r="AH9" i="23"/>
  <c r="AG9" i="23"/>
  <c r="AR4" i="22"/>
  <c r="AP4" i="22"/>
  <c r="AH4" i="22"/>
  <c r="Z4" i="22"/>
  <c r="Y4" i="22"/>
  <c r="AI4" i="22"/>
  <c r="X4" i="22"/>
  <c r="AG4" i="22"/>
  <c r="U4" i="22"/>
  <c r="AQ4" i="22"/>
  <c r="AO4" i="22"/>
  <c r="W4" i="22"/>
  <c r="AC4" i="22" s="1"/>
  <c r="AN4" i="22"/>
  <c r="AT4" i="22" s="1"/>
  <c r="V4" i="22"/>
  <c r="AF4" i="22"/>
  <c r="AL4" i="22" s="1"/>
  <c r="AE4" i="22"/>
  <c r="AK4" i="22" s="1"/>
  <c r="AD4" i="22"/>
  <c r="AJ4" i="22" s="1"/>
  <c r="AM4" i="22"/>
  <c r="AS4" i="22" s="1"/>
  <c r="AB11" i="23"/>
  <c r="AM8" i="21"/>
  <c r="AE8" i="21"/>
  <c r="W8" i="21"/>
  <c r="AR8" i="21"/>
  <c r="AI8" i="21"/>
  <c r="Z8" i="21"/>
  <c r="AP8" i="21"/>
  <c r="AF8" i="21"/>
  <c r="U8" i="21"/>
  <c r="AA8" i="21" s="1"/>
  <c r="AO8" i="21"/>
  <c r="AD8" i="21"/>
  <c r="AN8" i="21"/>
  <c r="AH8" i="21"/>
  <c r="AG8" i="21"/>
  <c r="X8" i="21"/>
  <c r="V8" i="21"/>
  <c r="Y8" i="21"/>
  <c r="AQ8" i="21"/>
  <c r="AR4" i="21"/>
  <c r="AO4" i="21"/>
  <c r="AF4" i="21"/>
  <c r="W4" i="21"/>
  <c r="AQ4" i="21"/>
  <c r="AG4" i="21"/>
  <c r="V4" i="21"/>
  <c r="AP4" i="21"/>
  <c r="AE4" i="21"/>
  <c r="U4" i="21"/>
  <c r="AN4" i="21"/>
  <c r="AD4" i="21"/>
  <c r="AM4" i="21"/>
  <c r="Y4" i="21"/>
  <c r="X4" i="21"/>
  <c r="Z4" i="21"/>
  <c r="AI4" i="21"/>
  <c r="AH4" i="21"/>
  <c r="AD6" i="21"/>
  <c r="V6" i="21"/>
  <c r="AQ6" i="21"/>
  <c r="AH6" i="21"/>
  <c r="Y6" i="21"/>
  <c r="AP6" i="21"/>
  <c r="AF6" i="21"/>
  <c r="U6" i="21"/>
  <c r="AO6" i="21"/>
  <c r="AE6" i="21"/>
  <c r="AN6" i="21"/>
  <c r="AT6" i="21" s="1"/>
  <c r="AM6" i="21"/>
  <c r="Z6" i="21"/>
  <c r="X6" i="21"/>
  <c r="AR6" i="21"/>
  <c r="AG6" i="21"/>
  <c r="W6" i="21"/>
  <c r="AI6" i="21"/>
  <c r="C9" i="17"/>
  <c r="AS5" i="11"/>
  <c r="AM14" i="16"/>
  <c r="AS14" i="16" s="1"/>
  <c r="AE14" i="16"/>
  <c r="W14" i="16"/>
  <c r="AP14" i="16"/>
  <c r="AG14" i="16"/>
  <c r="X14" i="16"/>
  <c r="AO14" i="16"/>
  <c r="AF14" i="16"/>
  <c r="V14" i="16"/>
  <c r="AI14" i="16"/>
  <c r="U14" i="16"/>
  <c r="AH14" i="16"/>
  <c r="AR14" i="16"/>
  <c r="AD14" i="16"/>
  <c r="AJ14" i="16" s="1"/>
  <c r="AQ14" i="16"/>
  <c r="Z14" i="16"/>
  <c r="AN14" i="16"/>
  <c r="AT14" i="16" s="1"/>
  <c r="Y14" i="16"/>
  <c r="AN15" i="11"/>
  <c r="AO13" i="10"/>
  <c r="AG13" i="10"/>
  <c r="Y13" i="10"/>
  <c r="AN13" i="10"/>
  <c r="AF13" i="10"/>
  <c r="X13" i="10"/>
  <c r="Z13" i="10"/>
  <c r="AI13" i="10"/>
  <c r="W13" i="10"/>
  <c r="AE13" i="10"/>
  <c r="AR13" i="10"/>
  <c r="AH13" i="10"/>
  <c r="V13" i="10"/>
  <c r="AQ13" i="10"/>
  <c r="U13" i="10"/>
  <c r="AD13" i="10"/>
  <c r="AP13" i="10"/>
  <c r="AM13" i="10"/>
  <c r="AA7" i="12"/>
  <c r="AT7" i="12"/>
  <c r="AN11" i="15"/>
  <c r="AF11" i="15"/>
  <c r="AM11" i="15"/>
  <c r="AS11" i="15" s="1"/>
  <c r="AD11" i="15"/>
  <c r="V11" i="15"/>
  <c r="AB11" i="15" s="1"/>
  <c r="U11" i="15"/>
  <c r="Z11" i="15"/>
  <c r="Y11" i="15"/>
  <c r="AI11" i="15"/>
  <c r="X11" i="15"/>
  <c r="AO11" i="15"/>
  <c r="AU11" i="15" s="1"/>
  <c r="AH11" i="15"/>
  <c r="AG11" i="15"/>
  <c r="AE11" i="15"/>
  <c r="AQ11" i="15"/>
  <c r="W11" i="15"/>
  <c r="AR11" i="15"/>
  <c r="AP11" i="15"/>
  <c r="AO6" i="15"/>
  <c r="AG6" i="15"/>
  <c r="Y6" i="15"/>
  <c r="AN6" i="15"/>
  <c r="AF6" i="15"/>
  <c r="X6" i="15"/>
  <c r="AM6" i="15"/>
  <c r="AS6" i="15" s="1"/>
  <c r="AI6" i="15"/>
  <c r="AH6" i="15"/>
  <c r="AE6" i="15"/>
  <c r="AD6" i="15"/>
  <c r="V6" i="15"/>
  <c r="AP6" i="15"/>
  <c r="Z6" i="15"/>
  <c r="W6" i="15"/>
  <c r="AC6" i="15" s="1"/>
  <c r="U6" i="15"/>
  <c r="AA6" i="15" s="1"/>
  <c r="AQ6" i="15"/>
  <c r="AR6" i="15"/>
  <c r="AA6" i="11"/>
  <c r="AJ5" i="16"/>
  <c r="AB5" i="16"/>
  <c r="AJ5" i="21"/>
  <c r="AS13" i="11"/>
  <c r="AC13" i="11"/>
  <c r="AU8" i="10"/>
  <c r="AJ8" i="10"/>
  <c r="AS11" i="11"/>
  <c r="AD4" i="16"/>
  <c r="V4" i="16"/>
  <c r="AP4" i="16"/>
  <c r="AE4" i="16"/>
  <c r="AO4" i="16"/>
  <c r="AN4" i="16"/>
  <c r="Z4" i="16"/>
  <c r="AR4" i="16"/>
  <c r="X4" i="16"/>
  <c r="AQ4" i="16"/>
  <c r="W4" i="16"/>
  <c r="AM4" i="16"/>
  <c r="U4" i="16"/>
  <c r="AI4" i="16"/>
  <c r="AF4" i="16"/>
  <c r="Y4" i="16"/>
  <c r="AH4" i="16"/>
  <c r="AG4" i="16"/>
  <c r="AQ11" i="10"/>
  <c r="AI11" i="10"/>
  <c r="AP11" i="10"/>
  <c r="AH11" i="10"/>
  <c r="Z11" i="10"/>
  <c r="AM11" i="10"/>
  <c r="Y11" i="10"/>
  <c r="X11" i="10"/>
  <c r="AD11" i="10"/>
  <c r="U11" i="10"/>
  <c r="AF11" i="10"/>
  <c r="W11" i="10"/>
  <c r="V11" i="10"/>
  <c r="AN11" i="10"/>
  <c r="AG11" i="10"/>
  <c r="AR11" i="10"/>
  <c r="AO11" i="10"/>
  <c r="AE11" i="10"/>
  <c r="U10" i="15"/>
  <c r="AR10" i="15"/>
  <c r="AI10" i="15"/>
  <c r="Y10" i="15"/>
  <c r="AH10" i="15"/>
  <c r="X10" i="15"/>
  <c r="AQ10" i="15"/>
  <c r="AG10" i="15"/>
  <c r="W10" i="15"/>
  <c r="AF10" i="15"/>
  <c r="AE10" i="15"/>
  <c r="AP10" i="15"/>
  <c r="AD10" i="15"/>
  <c r="AO10" i="15"/>
  <c r="AM10" i="15"/>
  <c r="Z10" i="15"/>
  <c r="AN10" i="15"/>
  <c r="AT10" i="15" s="1"/>
  <c r="V10" i="15"/>
  <c r="AO12" i="15"/>
  <c r="AU12" i="15" s="1"/>
  <c r="AG12" i="15"/>
  <c r="Y12" i="15"/>
  <c r="AR12" i="15"/>
  <c r="AI12" i="15"/>
  <c r="Z12" i="15"/>
  <c r="AP12" i="15"/>
  <c r="AD12" i="15"/>
  <c r="AN12" i="15"/>
  <c r="AT12" i="15" s="1"/>
  <c r="AM12" i="15"/>
  <c r="AS12" i="15" s="1"/>
  <c r="U12" i="15"/>
  <c r="AF12" i="15"/>
  <c r="AL12" i="15" s="1"/>
  <c r="AH12" i="15"/>
  <c r="AQ12" i="15"/>
  <c r="AE12" i="15"/>
  <c r="AK12" i="15" s="1"/>
  <c r="W12" i="15"/>
  <c r="AC12" i="15" s="1"/>
  <c r="V12" i="15"/>
  <c r="X12" i="15"/>
  <c r="AS6" i="11"/>
  <c r="AB6" i="11"/>
  <c r="AS8" i="19"/>
  <c r="AK8" i="19"/>
  <c r="AT5" i="16"/>
  <c r="AS5" i="16"/>
  <c r="AS12" i="10" l="1"/>
  <c r="AB13" i="10"/>
  <c r="AU4" i="10"/>
  <c r="N7" i="31" s="1"/>
  <c r="G16" i="31"/>
  <c r="G32" i="31" s="1"/>
  <c r="L11" i="31"/>
  <c r="L27" i="31" s="1"/>
  <c r="H8" i="31"/>
  <c r="H24" i="31" s="1"/>
  <c r="F9" i="31"/>
  <c r="K12" i="31"/>
  <c r="K28" i="31" s="1"/>
  <c r="L8" i="31"/>
  <c r="L24" i="31" s="1"/>
  <c r="K11" i="31"/>
  <c r="K27" i="31" s="1"/>
  <c r="AS11" i="10"/>
  <c r="AC10" i="10"/>
  <c r="G11" i="31"/>
  <c r="G27" i="31" s="1"/>
  <c r="I11" i="31"/>
  <c r="I27" i="31" s="1"/>
  <c r="G9" i="31"/>
  <c r="L15" i="31"/>
  <c r="L31" i="31" s="1"/>
  <c r="J11" i="31"/>
  <c r="N11" i="31"/>
  <c r="N27" i="31" s="1"/>
  <c r="I9" i="31"/>
  <c r="N23" i="31"/>
  <c r="J27" i="31"/>
  <c r="AL14" i="11"/>
  <c r="AB15" i="11"/>
  <c r="AA15" i="11"/>
  <c r="AT15" i="11"/>
  <c r="AC15" i="11"/>
  <c r="AL15" i="11"/>
  <c r="AK14" i="11"/>
  <c r="AK15" i="11" s="1"/>
  <c r="AS14" i="11"/>
  <c r="AS15" i="11" s="1"/>
  <c r="AC7" i="12"/>
  <c r="AJ13" i="12"/>
  <c r="AK13" i="12"/>
  <c r="AU5" i="12"/>
  <c r="AK5" i="12"/>
  <c r="AJ12" i="12"/>
  <c r="AB12" i="12"/>
  <c r="AS14" i="12"/>
  <c r="AS12" i="12"/>
  <c r="AQ15" i="12"/>
  <c r="AT5" i="12"/>
  <c r="AL5" i="12"/>
  <c r="AT12" i="12"/>
  <c r="AU14" i="12"/>
  <c r="AA13" i="12"/>
  <c r="AU13" i="12"/>
  <c r="AC5" i="12"/>
  <c r="AL15" i="25"/>
  <c r="AT13" i="21"/>
  <c r="AL10" i="21"/>
  <c r="AT9" i="21"/>
  <c r="AC6" i="21"/>
  <c r="AS12" i="21"/>
  <c r="AS9" i="21"/>
  <c r="AJ12" i="21"/>
  <c r="AL11" i="21"/>
  <c r="AS8" i="21"/>
  <c r="AB8" i="21"/>
  <c r="AA9" i="21"/>
  <c r="AA7" i="21"/>
  <c r="AU10" i="21"/>
  <c r="AJ7" i="21"/>
  <c r="AC4" i="21"/>
  <c r="AU6" i="21"/>
  <c r="AJ6" i="21"/>
  <c r="AT12" i="21"/>
  <c r="AB9" i="21"/>
  <c r="AA14" i="21"/>
  <c r="AA10" i="21"/>
  <c r="AB11" i="21"/>
  <c r="AA6" i="21"/>
  <c r="AA4" i="21"/>
  <c r="AT8" i="21"/>
  <c r="AK9" i="21"/>
  <c r="AL6" i="21"/>
  <c r="AB7" i="21"/>
  <c r="AS7" i="21"/>
  <c r="AC11" i="21"/>
  <c r="AK13" i="21"/>
  <c r="AS13" i="21"/>
  <c r="AL10" i="15"/>
  <c r="AU5" i="15"/>
  <c r="AS13" i="15"/>
  <c r="AT8" i="15"/>
  <c r="AJ5" i="15"/>
  <c r="AS8" i="15"/>
  <c r="AB12" i="15"/>
  <c r="AK10" i="15"/>
  <c r="AL11" i="15"/>
  <c r="AA13" i="15"/>
  <c r="AB10" i="15"/>
  <c r="AT11" i="15"/>
  <c r="AA10" i="15"/>
  <c r="AJ12" i="15"/>
  <c r="AI15" i="15"/>
  <c r="AL13" i="15"/>
  <c r="AB13" i="15"/>
  <c r="AK8" i="15"/>
  <c r="AK11" i="15"/>
  <c r="AT5" i="15"/>
  <c r="AU7" i="15"/>
  <c r="AK13" i="15"/>
  <c r="AU6" i="15"/>
  <c r="AJ6" i="15"/>
  <c r="AS14" i="15"/>
  <c r="AB4" i="15"/>
  <c r="AB9" i="15"/>
  <c r="AA9" i="24"/>
  <c r="AU10" i="19"/>
  <c r="AT10" i="19"/>
  <c r="AU11" i="19"/>
  <c r="AB12" i="19"/>
  <c r="AJ14" i="19"/>
  <c r="AJ12" i="19"/>
  <c r="AS5" i="19"/>
  <c r="AB6" i="19"/>
  <c r="AB14" i="19"/>
  <c r="AA6" i="19"/>
  <c r="AT6" i="19"/>
  <c r="AK5" i="19"/>
  <c r="AB5" i="19"/>
  <c r="AU5" i="19"/>
  <c r="AJ6" i="19"/>
  <c r="AC12" i="19"/>
  <c r="AK10" i="19"/>
  <c r="AB4" i="19"/>
  <c r="AA5" i="19"/>
  <c r="AA12" i="19"/>
  <c r="AL14" i="19"/>
  <c r="AS10" i="19"/>
  <c r="AL10" i="19"/>
  <c r="AC8" i="14"/>
  <c r="AT8" i="14"/>
  <c r="AU9" i="14"/>
  <c r="AJ7" i="14"/>
  <c r="AJ11" i="14"/>
  <c r="AA12" i="14"/>
  <c r="AB12" i="14"/>
  <c r="AJ12" i="14"/>
  <c r="AR15" i="14"/>
  <c r="AI15" i="14"/>
  <c r="AA4" i="14"/>
  <c r="AC12" i="14"/>
  <c r="AB4" i="14"/>
  <c r="AC4" i="14"/>
  <c r="AL12" i="14"/>
  <c r="AJ10" i="16"/>
  <c r="AB8" i="16"/>
  <c r="AS12" i="16"/>
  <c r="AT8" i="16"/>
  <c r="AU6" i="16"/>
  <c r="AL12" i="16"/>
  <c r="AJ12" i="16"/>
  <c r="AS10" i="16"/>
  <c r="AA11" i="16"/>
  <c r="AS9" i="16"/>
  <c r="AG15" i="16"/>
  <c r="AB4" i="16"/>
  <c r="AK14" i="16"/>
  <c r="AC12" i="16"/>
  <c r="AK12" i="16"/>
  <c r="AA9" i="16"/>
  <c r="AL13" i="16"/>
  <c r="AT13" i="16"/>
  <c r="AU14" i="16"/>
  <c r="AJ8" i="16"/>
  <c r="AB9" i="16"/>
  <c r="AU13" i="16"/>
  <c r="AJ12" i="10"/>
  <c r="AL12" i="10"/>
  <c r="AL5" i="22"/>
  <c r="AB4" i="20"/>
  <c r="AK13" i="22"/>
  <c r="AS13" i="22"/>
  <c r="AK10" i="22"/>
  <c r="AK6" i="22"/>
  <c r="AU14" i="22"/>
  <c r="AC10" i="22"/>
  <c r="AC7" i="22"/>
  <c r="AJ13" i="22"/>
  <c r="AU5" i="22"/>
  <c r="AK7" i="22"/>
  <c r="AA13" i="22"/>
  <c r="AJ12" i="22"/>
  <c r="AU11" i="22"/>
  <c r="AS7" i="22"/>
  <c r="AB14" i="22"/>
  <c r="AA4" i="22"/>
  <c r="AU7" i="22"/>
  <c r="AT13" i="22"/>
  <c r="AU8" i="22"/>
  <c r="AS11" i="22"/>
  <c r="AB7" i="22"/>
  <c r="AJ6" i="22"/>
  <c r="AL14" i="22"/>
  <c r="AB10" i="10"/>
  <c r="AC4" i="10"/>
  <c r="H7" i="31" s="1"/>
  <c r="AB12" i="10"/>
  <c r="AU14" i="10"/>
  <c r="AA13" i="10"/>
  <c r="AS14" i="23"/>
  <c r="AK5" i="23"/>
  <c r="AL13" i="23"/>
  <c r="AC6" i="23"/>
  <c r="AT6" i="23"/>
  <c r="AS5" i="23"/>
  <c r="AB9" i="23"/>
  <c r="AB8" i="23"/>
  <c r="AJ6" i="23"/>
  <c r="AA6" i="23"/>
  <c r="AB7" i="23"/>
  <c r="AB10" i="23"/>
  <c r="AC10" i="23"/>
  <c r="AK14" i="23"/>
  <c r="AK7" i="23"/>
  <c r="AS7" i="23"/>
  <c r="AC4" i="23"/>
  <c r="AJ4" i="23"/>
  <c r="AC13" i="23"/>
  <c r="AJ12" i="23"/>
  <c r="AL9" i="23"/>
  <c r="AL7" i="23"/>
  <c r="AU7" i="10"/>
  <c r="AU10" i="10"/>
  <c r="AU12" i="10"/>
  <c r="AJ10" i="10"/>
  <c r="AJ4" i="10"/>
  <c r="AS4" i="10"/>
  <c r="L7" i="31" s="1"/>
  <c r="L23" i="31" s="1"/>
  <c r="AL6" i="10"/>
  <c r="AB9" i="10"/>
  <c r="AU9" i="10"/>
  <c r="AL13" i="10"/>
  <c r="AS14" i="10"/>
  <c r="AT11" i="10"/>
  <c r="AK4" i="10"/>
  <c r="AT10" i="10"/>
  <c r="AA7" i="10"/>
  <c r="AA4" i="10"/>
  <c r="AT12" i="10"/>
  <c r="AT9" i="10"/>
  <c r="AK7" i="10"/>
  <c r="AB14" i="10"/>
  <c r="AK14" i="10"/>
  <c r="AU5" i="10"/>
  <c r="AS10" i="10"/>
  <c r="AC11" i="10"/>
  <c r="AT7" i="10"/>
  <c r="AL14" i="10"/>
  <c r="AK6" i="10"/>
  <c r="AB4" i="10"/>
  <c r="AT14" i="10"/>
  <c r="AJ5" i="10"/>
  <c r="AM5" i="13"/>
  <c r="AE5" i="13"/>
  <c r="W5" i="13"/>
  <c r="AD5" i="13"/>
  <c r="V5" i="13"/>
  <c r="AQ5" i="13"/>
  <c r="AG5" i="13"/>
  <c r="U5" i="13"/>
  <c r="AP5" i="13"/>
  <c r="AF5" i="13"/>
  <c r="Y5" i="13"/>
  <c r="AH5" i="13"/>
  <c r="X5" i="13"/>
  <c r="AI5" i="13"/>
  <c r="AO5" i="13"/>
  <c r="AU5" i="13" s="1"/>
  <c r="Z5" i="13"/>
  <c r="AR5" i="13"/>
  <c r="AN5" i="13"/>
  <c r="AP9" i="13"/>
  <c r="AH9" i="13"/>
  <c r="Z9" i="13"/>
  <c r="AO9" i="13"/>
  <c r="AU9" i="13" s="1"/>
  <c r="AG9" i="13"/>
  <c r="Y9" i="13"/>
  <c r="AR9" i="13"/>
  <c r="AF9" i="13"/>
  <c r="V9" i="13"/>
  <c r="AQ9" i="13"/>
  <c r="AE9" i="13"/>
  <c r="U9" i="13"/>
  <c r="AN9" i="13"/>
  <c r="AT9" i="13" s="1"/>
  <c r="AD9" i="13"/>
  <c r="AM9" i="13"/>
  <c r="X9" i="13"/>
  <c r="W9" i="13"/>
  <c r="AI9" i="13"/>
  <c r="AT6" i="10"/>
  <c r="AQ15" i="16"/>
  <c r="AJ4" i="21"/>
  <c r="AD15" i="21"/>
  <c r="AM7" i="20"/>
  <c r="AE7" i="20"/>
  <c r="W7" i="20"/>
  <c r="AC7" i="20" s="1"/>
  <c r="AR7" i="20"/>
  <c r="AF7" i="20"/>
  <c r="AQ7" i="20"/>
  <c r="Z7" i="20"/>
  <c r="AP7" i="20"/>
  <c r="Y7" i="20"/>
  <c r="X7" i="20"/>
  <c r="V7" i="20"/>
  <c r="AB7" i="20" s="1"/>
  <c r="AO7" i="20"/>
  <c r="AU7" i="20" s="1"/>
  <c r="U7" i="20"/>
  <c r="AN7" i="20"/>
  <c r="AD7" i="20"/>
  <c r="AG7" i="20"/>
  <c r="AI7" i="20"/>
  <c r="AH7" i="20"/>
  <c r="AH15" i="16"/>
  <c r="AD15" i="16"/>
  <c r="AJ4" i="16"/>
  <c r="AB14" i="16"/>
  <c r="AN15" i="21"/>
  <c r="AT4" i="21"/>
  <c r="AF15" i="21"/>
  <c r="AL4" i="21"/>
  <c r="U5" i="20"/>
  <c r="AR5" i="20"/>
  <c r="AI5" i="20"/>
  <c r="Z5" i="20"/>
  <c r="AQ5" i="20"/>
  <c r="AH5" i="20"/>
  <c r="Y5" i="20"/>
  <c r="AN5" i="20"/>
  <c r="X5" i="20"/>
  <c r="AE5" i="20"/>
  <c r="AD5" i="20"/>
  <c r="W5" i="20"/>
  <c r="AC5" i="20" s="1"/>
  <c r="AP5" i="20"/>
  <c r="V5" i="20"/>
  <c r="AO5" i="20"/>
  <c r="AG5" i="20"/>
  <c r="AF5" i="20"/>
  <c r="AM5" i="20"/>
  <c r="AL14" i="23"/>
  <c r="AT4" i="19"/>
  <c r="AN15" i="19"/>
  <c r="AL6" i="16"/>
  <c r="U8" i="24"/>
  <c r="AQ8" i="24"/>
  <c r="AI8" i="24"/>
  <c r="AO8" i="24"/>
  <c r="AG8" i="24"/>
  <c r="Y8" i="24"/>
  <c r="AM8" i="24"/>
  <c r="Z8" i="24"/>
  <c r="W8" i="24"/>
  <c r="AF8" i="24"/>
  <c r="AL8" i="24" s="1"/>
  <c r="AR8" i="24"/>
  <c r="AE8" i="24"/>
  <c r="X8" i="24"/>
  <c r="V8" i="24"/>
  <c r="AB8" i="24" s="1"/>
  <c r="AP8" i="24"/>
  <c r="AD8" i="24"/>
  <c r="AJ8" i="24" s="1"/>
  <c r="AN8" i="24"/>
  <c r="AH8" i="24"/>
  <c r="AP6" i="17"/>
  <c r="AH6" i="17"/>
  <c r="Z6" i="17"/>
  <c r="AO6" i="17"/>
  <c r="AG6" i="17"/>
  <c r="Y6" i="17"/>
  <c r="AM6" i="17"/>
  <c r="AI6" i="17"/>
  <c r="V6" i="17"/>
  <c r="AF6" i="17"/>
  <c r="U6" i="17"/>
  <c r="AE6" i="17"/>
  <c r="AD6" i="17"/>
  <c r="AJ6" i="17" s="1"/>
  <c r="AR6" i="17"/>
  <c r="AQ6" i="17"/>
  <c r="X6" i="17"/>
  <c r="W6" i="17"/>
  <c r="AN6" i="17"/>
  <c r="AN15" i="12"/>
  <c r="AT4" i="12"/>
  <c r="U4" i="18"/>
  <c r="AR4" i="18"/>
  <c r="AQ4" i="18"/>
  <c r="AI4" i="18"/>
  <c r="AM4" i="18"/>
  <c r="Y4" i="18"/>
  <c r="AH4" i="18"/>
  <c r="V4" i="18"/>
  <c r="AG4" i="18"/>
  <c r="AN4" i="18"/>
  <c r="AF4" i="18"/>
  <c r="AE4" i="18"/>
  <c r="W4" i="18"/>
  <c r="AP4" i="18"/>
  <c r="X4" i="18"/>
  <c r="AO4" i="18"/>
  <c r="AD4" i="18"/>
  <c r="Z4" i="18"/>
  <c r="AO8" i="18"/>
  <c r="AG8" i="18"/>
  <c r="Y8" i="18"/>
  <c r="AN8" i="18"/>
  <c r="AF8" i="18"/>
  <c r="X8" i="18"/>
  <c r="AM8" i="18"/>
  <c r="AS8" i="18" s="1"/>
  <c r="AE8" i="18"/>
  <c r="W8" i="18"/>
  <c r="AP8" i="18"/>
  <c r="V8" i="18"/>
  <c r="AB8" i="18" s="1"/>
  <c r="U8" i="18"/>
  <c r="AR8" i="18"/>
  <c r="Z8" i="18"/>
  <c r="AQ8" i="18"/>
  <c r="AI8" i="18"/>
  <c r="AH8" i="18"/>
  <c r="AD8" i="18"/>
  <c r="AJ8" i="18" s="1"/>
  <c r="AR8" i="17"/>
  <c r="AQ8" i="17"/>
  <c r="AI8" i="17"/>
  <c r="Y8" i="17"/>
  <c r="AM8" i="17"/>
  <c r="Z8" i="17"/>
  <c r="X8" i="17"/>
  <c r="AD8" i="17"/>
  <c r="AP8" i="17"/>
  <c r="AO8" i="17"/>
  <c r="AU8" i="17" s="1"/>
  <c r="W8" i="17"/>
  <c r="AC8" i="17" s="1"/>
  <c r="AN8" i="17"/>
  <c r="V8" i="17"/>
  <c r="U8" i="17"/>
  <c r="AA8" i="17" s="1"/>
  <c r="AH8" i="17"/>
  <c r="AE8" i="17"/>
  <c r="AK8" i="17" s="1"/>
  <c r="AG8" i="17"/>
  <c r="AF8" i="17"/>
  <c r="AT4" i="15"/>
  <c r="AN15" i="15"/>
  <c r="AA9" i="10"/>
  <c r="AC9" i="21"/>
  <c r="AH15" i="14"/>
  <c r="AJ4" i="20"/>
  <c r="AC11" i="16"/>
  <c r="AE15" i="12"/>
  <c r="AK4" i="12"/>
  <c r="AU4" i="23"/>
  <c r="AO9" i="18"/>
  <c r="AU9" i="18" s="1"/>
  <c r="AG9" i="18"/>
  <c r="Y9" i="18"/>
  <c r="AN9" i="18"/>
  <c r="AF9" i="18"/>
  <c r="X9" i="18"/>
  <c r="AM9" i="18"/>
  <c r="AE9" i="18"/>
  <c r="W9" i="18"/>
  <c r="AH9" i="18"/>
  <c r="AD9" i="18"/>
  <c r="AR9" i="18"/>
  <c r="AP9" i="18"/>
  <c r="V9" i="18"/>
  <c r="U9" i="18"/>
  <c r="Z9" i="18"/>
  <c r="AQ9" i="18"/>
  <c r="AI9" i="18"/>
  <c r="AD14" i="18"/>
  <c r="V14" i="18"/>
  <c r="U14" i="18"/>
  <c r="AR14" i="18"/>
  <c r="AP14" i="18"/>
  <c r="AE14" i="18"/>
  <c r="AH14" i="18"/>
  <c r="AG14" i="18"/>
  <c r="AM14" i="18"/>
  <c r="AI14" i="18"/>
  <c r="AF14" i="18"/>
  <c r="W14" i="18"/>
  <c r="AQ14" i="18"/>
  <c r="AO14" i="18"/>
  <c r="AU14" i="18" s="1"/>
  <c r="Y14" i="18"/>
  <c r="AN14" i="18"/>
  <c r="AT14" i="18" s="1"/>
  <c r="X14" i="18"/>
  <c r="Z14" i="18"/>
  <c r="AD10" i="24"/>
  <c r="V10" i="24"/>
  <c r="AR10" i="24"/>
  <c r="AQ10" i="24"/>
  <c r="AI10" i="24"/>
  <c r="AP10" i="24"/>
  <c r="AH10" i="24"/>
  <c r="Z10" i="24"/>
  <c r="AN10" i="24"/>
  <c r="X10" i="24"/>
  <c r="U10" i="24"/>
  <c r="AG10" i="24"/>
  <c r="AF10" i="24"/>
  <c r="AL10" i="24" s="1"/>
  <c r="AE10" i="24"/>
  <c r="Y10" i="24"/>
  <c r="W10" i="24"/>
  <c r="AC10" i="24" s="1"/>
  <c r="AO10" i="24"/>
  <c r="AM10" i="24"/>
  <c r="U10" i="17"/>
  <c r="AR10" i="17"/>
  <c r="AQ10" i="17"/>
  <c r="AG10" i="17"/>
  <c r="W10" i="17"/>
  <c r="AF10" i="17"/>
  <c r="AP10" i="17"/>
  <c r="AE10" i="17"/>
  <c r="V10" i="17"/>
  <c r="AI10" i="17"/>
  <c r="AH10" i="17"/>
  <c r="AD10" i="17"/>
  <c r="AJ10" i="17" s="1"/>
  <c r="Z10" i="17"/>
  <c r="X10" i="17"/>
  <c r="Y10" i="17"/>
  <c r="AN10" i="17"/>
  <c r="AO10" i="17"/>
  <c r="AM10" i="17"/>
  <c r="AM14" i="13"/>
  <c r="AE14" i="13"/>
  <c r="W14" i="13"/>
  <c r="AD14" i="13"/>
  <c r="V14" i="13"/>
  <c r="AP14" i="13"/>
  <c r="AF14" i="13"/>
  <c r="AO14" i="13"/>
  <c r="AN14" i="13"/>
  <c r="AR14" i="13"/>
  <c r="Z14" i="13"/>
  <c r="AQ14" i="13"/>
  <c r="Y14" i="13"/>
  <c r="U14" i="13"/>
  <c r="X14" i="13"/>
  <c r="AG14" i="13"/>
  <c r="AH14" i="13"/>
  <c r="AI14" i="13"/>
  <c r="AO7" i="13"/>
  <c r="AG7" i="13"/>
  <c r="Y7" i="13"/>
  <c r="AN7" i="13"/>
  <c r="AF7" i="13"/>
  <c r="X7" i="13"/>
  <c r="AI7" i="13"/>
  <c r="W7" i="13"/>
  <c r="AR7" i="13"/>
  <c r="AH7" i="13"/>
  <c r="V7" i="13"/>
  <c r="AB7" i="13" s="1"/>
  <c r="AE7" i="13"/>
  <c r="AK7" i="13" s="1"/>
  <c r="AP7" i="13"/>
  <c r="AD7" i="13"/>
  <c r="AQ7" i="13"/>
  <c r="Z7" i="13"/>
  <c r="AM7" i="13"/>
  <c r="U7" i="13"/>
  <c r="AR15" i="19"/>
  <c r="AF15" i="19"/>
  <c r="AL4" i="19"/>
  <c r="AS9" i="22"/>
  <c r="AJ5" i="22"/>
  <c r="AM15" i="14"/>
  <c r="AS4" i="14"/>
  <c r="AP15" i="14"/>
  <c r="AS4" i="20"/>
  <c r="AR15" i="16"/>
  <c r="AU13" i="19"/>
  <c r="AK6" i="23"/>
  <c r="AQ15" i="15"/>
  <c r="AT4" i="10"/>
  <c r="M7" i="31" s="1"/>
  <c r="M23" i="31" s="1"/>
  <c r="AC12" i="10"/>
  <c r="AK5" i="22"/>
  <c r="AT6" i="16"/>
  <c r="AU11" i="21"/>
  <c r="AK6" i="19"/>
  <c r="AJ11" i="16"/>
  <c r="AC13" i="21"/>
  <c r="AD15" i="12"/>
  <c r="AJ4" i="12"/>
  <c r="AG15" i="12"/>
  <c r="AL8" i="22"/>
  <c r="AC13" i="12"/>
  <c r="AU10" i="22"/>
  <c r="AA5" i="12"/>
  <c r="AA10" i="19"/>
  <c r="U13" i="18"/>
  <c r="AR13" i="18"/>
  <c r="AQ13" i="18"/>
  <c r="AI13" i="18"/>
  <c r="X13" i="18"/>
  <c r="AN13" i="18"/>
  <c r="Y13" i="18"/>
  <c r="AM13" i="18"/>
  <c r="W13" i="18"/>
  <c r="AH13" i="18"/>
  <c r="AG13" i="18"/>
  <c r="AF13" i="18"/>
  <c r="AL13" i="18" s="1"/>
  <c r="AE13" i="18"/>
  <c r="AD13" i="18"/>
  <c r="Z13" i="18"/>
  <c r="V13" i="18"/>
  <c r="AB13" i="18" s="1"/>
  <c r="AO13" i="18"/>
  <c r="AP13" i="18"/>
  <c r="AC10" i="15"/>
  <c r="AB11" i="10"/>
  <c r="AL4" i="16"/>
  <c r="AF15" i="16"/>
  <c r="AC11" i="15"/>
  <c r="AT13" i="10"/>
  <c r="AI15" i="21"/>
  <c r="AE15" i="21"/>
  <c r="AK4" i="21"/>
  <c r="AR15" i="21"/>
  <c r="AJ8" i="21"/>
  <c r="AC8" i="21"/>
  <c r="AB4" i="22"/>
  <c r="AA9" i="23"/>
  <c r="AC12" i="21"/>
  <c r="AN10" i="20"/>
  <c r="AF10" i="20"/>
  <c r="X10" i="20"/>
  <c r="AR10" i="20"/>
  <c r="AI10" i="20"/>
  <c r="Z10" i="20"/>
  <c r="AO10" i="20"/>
  <c r="V10" i="20"/>
  <c r="AM10" i="20"/>
  <c r="U10" i="20"/>
  <c r="AH10" i="20"/>
  <c r="AP10" i="20"/>
  <c r="W10" i="20"/>
  <c r="AQ10" i="20"/>
  <c r="AG10" i="20"/>
  <c r="AD10" i="20"/>
  <c r="Y10" i="20"/>
  <c r="AE10" i="20"/>
  <c r="AA8" i="23"/>
  <c r="AT7" i="23"/>
  <c r="AU14" i="15"/>
  <c r="AB12" i="16"/>
  <c r="AK14" i="21"/>
  <c r="AK13" i="19"/>
  <c r="AB6" i="22"/>
  <c r="AU6" i="23"/>
  <c r="AM11" i="24"/>
  <c r="AE11" i="24"/>
  <c r="W11" i="24"/>
  <c r="U11" i="24"/>
  <c r="AR11" i="24"/>
  <c r="AQ11" i="24"/>
  <c r="AI11" i="24"/>
  <c r="AO11" i="24"/>
  <c r="Y11" i="24"/>
  <c r="V11" i="24"/>
  <c r="AG11" i="24"/>
  <c r="AF11" i="24"/>
  <c r="X11" i="24"/>
  <c r="AP11" i="24"/>
  <c r="AN11" i="24"/>
  <c r="AH11" i="24"/>
  <c r="AD11" i="24"/>
  <c r="Z11" i="24"/>
  <c r="AO4" i="24"/>
  <c r="AG4" i="24"/>
  <c r="Y4" i="24"/>
  <c r="AM4" i="24"/>
  <c r="AE4" i="24"/>
  <c r="W4" i="24"/>
  <c r="U4" i="24"/>
  <c r="AQ4" i="24"/>
  <c r="AD4" i="24"/>
  <c r="AN4" i="24"/>
  <c r="X4" i="24"/>
  <c r="AI4" i="24"/>
  <c r="V4" i="24"/>
  <c r="AB4" i="24" s="1"/>
  <c r="Z4" i="24"/>
  <c r="AR4" i="24"/>
  <c r="AP4" i="24"/>
  <c r="AH4" i="24"/>
  <c r="AF4" i="24"/>
  <c r="AR15" i="15"/>
  <c r="AD15" i="15"/>
  <c r="AJ4" i="15"/>
  <c r="AC7" i="10"/>
  <c r="AJ9" i="10"/>
  <c r="AK10" i="16"/>
  <c r="AU7" i="21"/>
  <c r="AT7" i="21"/>
  <c r="AD11" i="17"/>
  <c r="V11" i="17"/>
  <c r="U11" i="17"/>
  <c r="AA11" i="17" s="1"/>
  <c r="AR11" i="17"/>
  <c r="AH11" i="17"/>
  <c r="X11" i="17"/>
  <c r="AM11" i="17"/>
  <c r="Z11" i="17"/>
  <c r="Y11" i="17"/>
  <c r="AN11" i="17"/>
  <c r="AI11" i="17"/>
  <c r="AG11" i="17"/>
  <c r="AF11" i="17"/>
  <c r="W11" i="17"/>
  <c r="AP11" i="17"/>
  <c r="AQ11" i="17"/>
  <c r="AO11" i="17"/>
  <c r="AE11" i="17"/>
  <c r="AS12" i="22"/>
  <c r="AA12" i="22"/>
  <c r="AJ7" i="15"/>
  <c r="AR11" i="13"/>
  <c r="AQ11" i="13"/>
  <c r="AI11" i="13"/>
  <c r="AN11" i="13"/>
  <c r="AT11" i="13" s="1"/>
  <c r="AD11" i="13"/>
  <c r="AM11" i="13"/>
  <c r="Z11" i="13"/>
  <c r="AG11" i="13"/>
  <c r="AF11" i="13"/>
  <c r="AE11" i="13"/>
  <c r="Y11" i="13"/>
  <c r="AO11" i="13"/>
  <c r="AU11" i="13" s="1"/>
  <c r="W11" i="13"/>
  <c r="V11" i="13"/>
  <c r="U11" i="13"/>
  <c r="AP11" i="13"/>
  <c r="AH11" i="13"/>
  <c r="X11" i="13"/>
  <c r="AA12" i="10"/>
  <c r="AJ10" i="21"/>
  <c r="AU15" i="11"/>
  <c r="AC12" i="12"/>
  <c r="AD15" i="19"/>
  <c r="AJ4" i="19"/>
  <c r="AP15" i="19"/>
  <c r="AG15" i="19"/>
  <c r="AT9" i="22"/>
  <c r="AU5" i="23"/>
  <c r="AT13" i="15"/>
  <c r="AT12" i="14"/>
  <c r="AA8" i="15"/>
  <c r="AA11" i="21"/>
  <c r="AT4" i="14"/>
  <c r="AN15" i="14"/>
  <c r="AK4" i="20"/>
  <c r="AJ10" i="23"/>
  <c r="AA14" i="10"/>
  <c r="AK12" i="19"/>
  <c r="AL5" i="10"/>
  <c r="AI15" i="12"/>
  <c r="AB4" i="12"/>
  <c r="AO15" i="12"/>
  <c r="AU4" i="12"/>
  <c r="AA11" i="14"/>
  <c r="AA15" i="14" s="1"/>
  <c r="AL11" i="14"/>
  <c r="AC9" i="16"/>
  <c r="AT8" i="22"/>
  <c r="AK4" i="23"/>
  <c r="AB13" i="12"/>
  <c r="AT13" i="23"/>
  <c r="AB10" i="19"/>
  <c r="AN7" i="18"/>
  <c r="AF7" i="18"/>
  <c r="X7" i="18"/>
  <c r="AM7" i="18"/>
  <c r="AE7" i="18"/>
  <c r="AK7" i="18" s="1"/>
  <c r="W7" i="18"/>
  <c r="AD7" i="18"/>
  <c r="V7" i="18"/>
  <c r="AH7" i="18"/>
  <c r="AO7" i="18"/>
  <c r="Z7" i="18"/>
  <c r="Y7" i="18"/>
  <c r="AI7" i="18"/>
  <c r="AG7" i="18"/>
  <c r="AR7" i="18"/>
  <c r="AQ7" i="18"/>
  <c r="AP7" i="18"/>
  <c r="U7" i="18"/>
  <c r="AK10" i="10"/>
  <c r="AS6" i="19"/>
  <c r="AU4" i="20"/>
  <c r="AT4" i="20"/>
  <c r="AC14" i="22"/>
  <c r="AJ14" i="12"/>
  <c r="AU12" i="19"/>
  <c r="AS12" i="19"/>
  <c r="AU9" i="15"/>
  <c r="AA5" i="10"/>
  <c r="AS11" i="16"/>
  <c r="AK11" i="16"/>
  <c r="AJ13" i="21"/>
  <c r="AC4" i="12"/>
  <c r="AH15" i="12"/>
  <c r="AB11" i="14"/>
  <c r="AT11" i="14"/>
  <c r="AK14" i="19"/>
  <c r="AT14" i="19"/>
  <c r="AK9" i="16"/>
  <c r="AA13" i="16"/>
  <c r="AT13" i="12"/>
  <c r="AA10" i="22"/>
  <c r="AS10" i="22"/>
  <c r="AA13" i="23"/>
  <c r="AJ5" i="12"/>
  <c r="AJ10" i="19"/>
  <c r="AD5" i="18"/>
  <c r="V5" i="18"/>
  <c r="U5" i="18"/>
  <c r="AR5" i="18"/>
  <c r="AQ5" i="18"/>
  <c r="AF5" i="18"/>
  <c r="AE5" i="18"/>
  <c r="AP5" i="18"/>
  <c r="AN5" i="18"/>
  <c r="W5" i="18"/>
  <c r="AM5" i="18"/>
  <c r="AI5" i="18"/>
  <c r="AH5" i="18"/>
  <c r="AO5" i="18"/>
  <c r="AU5" i="18" s="1"/>
  <c r="AG5" i="18"/>
  <c r="Z5" i="18"/>
  <c r="X5" i="18"/>
  <c r="Y5" i="18"/>
  <c r="AL14" i="16"/>
  <c r="AA14" i="15"/>
  <c r="AQ6" i="24"/>
  <c r="AI6" i="24"/>
  <c r="AO6" i="24"/>
  <c r="AG6" i="24"/>
  <c r="Y6" i="24"/>
  <c r="AM6" i="24"/>
  <c r="AE6" i="24"/>
  <c r="W6" i="24"/>
  <c r="AP6" i="24"/>
  <c r="Z6" i="24"/>
  <c r="V6" i="24"/>
  <c r="AH6" i="24"/>
  <c r="U6" i="24"/>
  <c r="AA6" i="24" s="1"/>
  <c r="X6" i="24"/>
  <c r="AR6" i="24"/>
  <c r="AN6" i="24"/>
  <c r="AF6" i="24"/>
  <c r="AD6" i="24"/>
  <c r="AO5" i="17"/>
  <c r="AG5" i="17"/>
  <c r="Y5" i="17"/>
  <c r="AN5" i="17"/>
  <c r="AF5" i="17"/>
  <c r="X5" i="17"/>
  <c r="AM5" i="17"/>
  <c r="AR5" i="17"/>
  <c r="AE5" i="17"/>
  <c r="AQ5" i="17"/>
  <c r="AD5" i="17"/>
  <c r="AJ5" i="17" s="1"/>
  <c r="AI5" i="17"/>
  <c r="AH5" i="17"/>
  <c r="Z5" i="17"/>
  <c r="V5" i="17"/>
  <c r="AB5" i="17" s="1"/>
  <c r="W5" i="17"/>
  <c r="U5" i="17"/>
  <c r="AP5" i="17"/>
  <c r="AL9" i="22"/>
  <c r="AK8" i="21"/>
  <c r="AK9" i="23"/>
  <c r="AB12" i="21"/>
  <c r="AU6" i="10"/>
  <c r="AP5" i="24"/>
  <c r="AH5" i="24"/>
  <c r="Z5" i="24"/>
  <c r="AN5" i="24"/>
  <c r="AT5" i="24" s="1"/>
  <c r="AF5" i="24"/>
  <c r="X5" i="24"/>
  <c r="AD5" i="24"/>
  <c r="V5" i="24"/>
  <c r="W5" i="24"/>
  <c r="AG5" i="24"/>
  <c r="AQ5" i="24"/>
  <c r="AO5" i="24"/>
  <c r="AI5" i="24"/>
  <c r="AE5" i="24"/>
  <c r="AR5" i="24"/>
  <c r="AM5" i="24"/>
  <c r="Y5" i="24"/>
  <c r="U5" i="24"/>
  <c r="AL4" i="10"/>
  <c r="K7" i="31" s="1"/>
  <c r="AC7" i="21"/>
  <c r="AK12" i="22"/>
  <c r="AA7" i="15"/>
  <c r="AD4" i="13"/>
  <c r="V4" i="13"/>
  <c r="U4" i="13"/>
  <c r="AP4" i="13"/>
  <c r="AF4" i="13"/>
  <c r="AO4" i="13"/>
  <c r="AE4" i="13"/>
  <c r="AQ4" i="13"/>
  <c r="AN4" i="13"/>
  <c r="Z4" i="13"/>
  <c r="X4" i="13"/>
  <c r="AM4" i="13"/>
  <c r="Y4" i="13"/>
  <c r="W4" i="13"/>
  <c r="AR4" i="13"/>
  <c r="AI4" i="13"/>
  <c r="AH4" i="13"/>
  <c r="AG4" i="13"/>
  <c r="AH15" i="19"/>
  <c r="AS10" i="15"/>
  <c r="AL11" i="10"/>
  <c r="AA4" i="16"/>
  <c r="AU4" i="16"/>
  <c r="AO15" i="16"/>
  <c r="AB6" i="15"/>
  <c r="AT6" i="15"/>
  <c r="AA11" i="15"/>
  <c r="AS13" i="10"/>
  <c r="AK13" i="10"/>
  <c r="AS6" i="21"/>
  <c r="AB4" i="21"/>
  <c r="AC9" i="23"/>
  <c r="AN12" i="20"/>
  <c r="AF12" i="20"/>
  <c r="X12" i="20"/>
  <c r="AR12" i="20"/>
  <c r="AI12" i="20"/>
  <c r="Z12" i="20"/>
  <c r="AQ12" i="20"/>
  <c r="AH12" i="20"/>
  <c r="Y12" i="20"/>
  <c r="AP12" i="20"/>
  <c r="AG12" i="20"/>
  <c r="W12" i="20"/>
  <c r="AM12" i="20"/>
  <c r="U12" i="20"/>
  <c r="AO12" i="20"/>
  <c r="AE12" i="20"/>
  <c r="AD12" i="20"/>
  <c r="V12" i="20"/>
  <c r="AT8" i="23"/>
  <c r="AK8" i="23"/>
  <c r="AU9" i="21"/>
  <c r="AS6" i="10"/>
  <c r="AC6" i="10"/>
  <c r="AU12" i="16"/>
  <c r="AT12" i="16"/>
  <c r="AC14" i="21"/>
  <c r="AL14" i="21"/>
  <c r="AB13" i="19"/>
  <c r="AJ7" i="22"/>
  <c r="AT7" i="22"/>
  <c r="AC6" i="22"/>
  <c r="AB6" i="23"/>
  <c r="AN12" i="24"/>
  <c r="AF12" i="24"/>
  <c r="X12" i="24"/>
  <c r="AD12" i="24"/>
  <c r="V12" i="24"/>
  <c r="U12" i="24"/>
  <c r="AR12" i="24"/>
  <c r="AO12" i="24"/>
  <c r="Y12" i="24"/>
  <c r="AI12" i="24"/>
  <c r="AG12" i="24"/>
  <c r="AE12" i="24"/>
  <c r="AQ12" i="24"/>
  <c r="AP12" i="24"/>
  <c r="AM12" i="24"/>
  <c r="AH12" i="24"/>
  <c r="Z12" i="24"/>
  <c r="W12" i="24"/>
  <c r="AU4" i="15"/>
  <c r="AO15" i="15"/>
  <c r="AG15" i="15"/>
  <c r="AK4" i="15"/>
  <c r="AE15" i="15"/>
  <c r="AB7" i="10"/>
  <c r="AS7" i="10"/>
  <c r="AK9" i="10"/>
  <c r="AK5" i="15"/>
  <c r="AL10" i="16"/>
  <c r="AK7" i="21"/>
  <c r="AO13" i="17"/>
  <c r="AG13" i="17"/>
  <c r="AN13" i="17"/>
  <c r="AF13" i="17"/>
  <c r="X13" i="17"/>
  <c r="AM13" i="17"/>
  <c r="AE13" i="17"/>
  <c r="W13" i="17"/>
  <c r="Z13" i="17"/>
  <c r="Y13" i="17"/>
  <c r="V13" i="17"/>
  <c r="AB13" i="17" s="1"/>
  <c r="AP13" i="17"/>
  <c r="AI13" i="17"/>
  <c r="AH13" i="17"/>
  <c r="AD13" i="17"/>
  <c r="U13" i="17"/>
  <c r="AR13" i="17"/>
  <c r="AQ13" i="17"/>
  <c r="AT12" i="22"/>
  <c r="AC7" i="15"/>
  <c r="AK7" i="15"/>
  <c r="U12" i="13"/>
  <c r="AR12" i="13"/>
  <c r="AN12" i="13"/>
  <c r="AD12" i="13"/>
  <c r="AM12" i="13"/>
  <c r="Z12" i="13"/>
  <c r="AF12" i="13"/>
  <c r="AE12" i="13"/>
  <c r="X12" i="13"/>
  <c r="AQ12" i="13"/>
  <c r="Y12" i="13"/>
  <c r="AP12" i="13"/>
  <c r="AH12" i="13"/>
  <c r="AG12" i="13"/>
  <c r="V12" i="13"/>
  <c r="W12" i="13"/>
  <c r="AO12" i="13"/>
  <c r="AI12" i="13"/>
  <c r="AU7" i="16"/>
  <c r="AB10" i="21"/>
  <c r="AA12" i="12"/>
  <c r="AI15" i="19"/>
  <c r="AE15" i="19"/>
  <c r="AK4" i="19"/>
  <c r="AA9" i="22"/>
  <c r="AA5" i="23"/>
  <c r="AC5" i="19"/>
  <c r="AT5" i="19"/>
  <c r="AC8" i="15"/>
  <c r="AC6" i="16"/>
  <c r="AA6" i="16"/>
  <c r="AA10" i="10"/>
  <c r="AG15" i="14"/>
  <c r="AL4" i="20"/>
  <c r="AK14" i="22"/>
  <c r="AK10" i="23"/>
  <c r="AS9" i="15"/>
  <c r="AJ9" i="15"/>
  <c r="AB5" i="10"/>
  <c r="AT5" i="10"/>
  <c r="AB11" i="16"/>
  <c r="AL13" i="21"/>
  <c r="AR15" i="12"/>
  <c r="AC11" i="14"/>
  <c r="AL9" i="16"/>
  <c r="AS4" i="23"/>
  <c r="AB4" i="23"/>
  <c r="AC13" i="16"/>
  <c r="AJ10" i="22"/>
  <c r="AB13" i="23"/>
  <c r="AB5" i="12"/>
  <c r="AB12" i="23"/>
  <c r="AR12" i="18"/>
  <c r="AQ12" i="18"/>
  <c r="AI12" i="18"/>
  <c r="AP12" i="18"/>
  <c r="AH12" i="18"/>
  <c r="Z12" i="18"/>
  <c r="AF12" i="18"/>
  <c r="U12" i="18"/>
  <c r="AD12" i="18"/>
  <c r="AO12" i="18"/>
  <c r="AG12" i="18"/>
  <c r="AE12" i="18"/>
  <c r="Y12" i="18"/>
  <c r="X12" i="18"/>
  <c r="V12" i="18"/>
  <c r="AB12" i="18" s="1"/>
  <c r="W12" i="18"/>
  <c r="AN12" i="18"/>
  <c r="AM12" i="18"/>
  <c r="AS12" i="18" s="1"/>
  <c r="AH15" i="21"/>
  <c r="AO15" i="21"/>
  <c r="AU4" i="21"/>
  <c r="AN8" i="20"/>
  <c r="AF8" i="20"/>
  <c r="X8" i="20"/>
  <c r="AD8" i="20"/>
  <c r="V8" i="20"/>
  <c r="AM8" i="20"/>
  <c r="Z8" i="20"/>
  <c r="AE8" i="20"/>
  <c r="AG8" i="20"/>
  <c r="AP8" i="20"/>
  <c r="AO8" i="20"/>
  <c r="AI8" i="20"/>
  <c r="AH8" i="20"/>
  <c r="W8" i="20"/>
  <c r="U8" i="20"/>
  <c r="AQ8" i="20"/>
  <c r="Y8" i="20"/>
  <c r="AR8" i="20"/>
  <c r="AU9" i="24"/>
  <c r="AC13" i="19"/>
  <c r="AP14" i="17"/>
  <c r="AH14" i="17"/>
  <c r="Z14" i="17"/>
  <c r="AO14" i="17"/>
  <c r="AG14" i="17"/>
  <c r="Y14" i="17"/>
  <c r="AN14" i="17"/>
  <c r="AF14" i="17"/>
  <c r="X14" i="17"/>
  <c r="AR14" i="17"/>
  <c r="AD14" i="17"/>
  <c r="AI14" i="17"/>
  <c r="AE14" i="17"/>
  <c r="U14" i="17"/>
  <c r="AQ14" i="17"/>
  <c r="AM14" i="17"/>
  <c r="V14" i="17"/>
  <c r="AB14" i="17" s="1"/>
  <c r="W14" i="17"/>
  <c r="AU8" i="16"/>
  <c r="AQ15" i="14"/>
  <c r="AT4" i="16"/>
  <c r="AN15" i="16"/>
  <c r="AL6" i="15"/>
  <c r="AP15" i="21"/>
  <c r="AU8" i="21"/>
  <c r="AC8" i="23"/>
  <c r="AB14" i="21"/>
  <c r="AS13" i="19"/>
  <c r="AL7" i="22"/>
  <c r="AO13" i="24"/>
  <c r="AU13" i="24" s="1"/>
  <c r="AG13" i="24"/>
  <c r="Y13" i="24"/>
  <c r="AM13" i="24"/>
  <c r="AE13" i="24"/>
  <c r="W13" i="24"/>
  <c r="AD13" i="24"/>
  <c r="AJ13" i="24" s="1"/>
  <c r="V13" i="24"/>
  <c r="U13" i="24"/>
  <c r="AP13" i="24"/>
  <c r="Z13" i="24"/>
  <c r="AH13" i="24"/>
  <c r="AF13" i="24"/>
  <c r="AN13" i="24"/>
  <c r="AI13" i="24"/>
  <c r="AQ13" i="24"/>
  <c r="X13" i="24"/>
  <c r="AR13" i="24"/>
  <c r="AL7" i="21"/>
  <c r="AC13" i="22"/>
  <c r="AL12" i="12"/>
  <c r="AC4" i="19"/>
  <c r="AJ5" i="23"/>
  <c r="AL5" i="19"/>
  <c r="AB6" i="16"/>
  <c r="AU10" i="15"/>
  <c r="AK11" i="10"/>
  <c r="AK4" i="16"/>
  <c r="AE15" i="16"/>
  <c r="AC13" i="10"/>
  <c r="AU13" i="10"/>
  <c r="AR9" i="17"/>
  <c r="AQ9" i="17"/>
  <c r="AI9" i="17"/>
  <c r="AG9" i="17"/>
  <c r="W9" i="17"/>
  <c r="AN9" i="17"/>
  <c r="AM9" i="17"/>
  <c r="Z9" i="17"/>
  <c r="AO9" i="17"/>
  <c r="AU9" i="17" s="1"/>
  <c r="X9" i="17"/>
  <c r="V9" i="17"/>
  <c r="U9" i="17"/>
  <c r="AH9" i="17"/>
  <c r="AP9" i="17"/>
  <c r="AF9" i="17"/>
  <c r="AL9" i="17" s="1"/>
  <c r="AE9" i="17"/>
  <c r="AK9" i="17" s="1"/>
  <c r="AD9" i="17"/>
  <c r="AJ9" i="17" s="1"/>
  <c r="Y9" i="17"/>
  <c r="AG15" i="21"/>
  <c r="AL8" i="21"/>
  <c r="AU4" i="22"/>
  <c r="AS9" i="23"/>
  <c r="AN11" i="20"/>
  <c r="AF11" i="20"/>
  <c r="X11" i="20"/>
  <c r="AP11" i="20"/>
  <c r="AG11" i="20"/>
  <c r="W11" i="20"/>
  <c r="AO11" i="20"/>
  <c r="AE11" i="20"/>
  <c r="V11" i="20"/>
  <c r="AM11" i="20"/>
  <c r="AD11" i="20"/>
  <c r="U11" i="20"/>
  <c r="AQ11" i="20"/>
  <c r="Y11" i="20"/>
  <c r="AR11" i="20"/>
  <c r="AI11" i="20"/>
  <c r="AH11" i="20"/>
  <c r="Z11" i="20"/>
  <c r="AN9" i="20"/>
  <c r="AF9" i="20"/>
  <c r="X9" i="20"/>
  <c r="AR9" i="20"/>
  <c r="AI9" i="20"/>
  <c r="Z9" i="20"/>
  <c r="AP9" i="20"/>
  <c r="AG9" i="20"/>
  <c r="W9" i="20"/>
  <c r="AO9" i="20"/>
  <c r="AD9" i="20"/>
  <c r="AQ9" i="20"/>
  <c r="AM9" i="20"/>
  <c r="AE9" i="20"/>
  <c r="Y9" i="20"/>
  <c r="V9" i="20"/>
  <c r="U9" i="20"/>
  <c r="AH9" i="20"/>
  <c r="AT14" i="23"/>
  <c r="AS8" i="23"/>
  <c r="AJ9" i="24"/>
  <c r="AA11" i="22"/>
  <c r="AJ9" i="21"/>
  <c r="AA7" i="23"/>
  <c r="AB14" i="15"/>
  <c r="AA12" i="16"/>
  <c r="AJ13" i="19"/>
  <c r="AL13" i="19"/>
  <c r="AA6" i="22"/>
  <c r="AP14" i="24"/>
  <c r="AH14" i="24"/>
  <c r="Z14" i="24"/>
  <c r="AN14" i="24"/>
  <c r="AF14" i="24"/>
  <c r="X14" i="24"/>
  <c r="AM14" i="24"/>
  <c r="AE14" i="24"/>
  <c r="W14" i="24"/>
  <c r="AD14" i="24"/>
  <c r="AJ14" i="24" s="1"/>
  <c r="V14" i="24"/>
  <c r="AO14" i="24"/>
  <c r="Y14" i="24"/>
  <c r="AG14" i="24"/>
  <c r="U14" i="24"/>
  <c r="AA14" i="24" s="1"/>
  <c r="AI14" i="24"/>
  <c r="AR14" i="24"/>
  <c r="AQ14" i="24"/>
  <c r="AP15" i="15"/>
  <c r="AH15" i="15"/>
  <c r="AM15" i="15"/>
  <c r="AS4" i="15"/>
  <c r="AS5" i="15"/>
  <c r="AT10" i="16"/>
  <c r="AU13" i="22"/>
  <c r="AP4" i="17"/>
  <c r="AH4" i="17"/>
  <c r="Z4" i="17"/>
  <c r="AQ4" i="17"/>
  <c r="AG4" i="17"/>
  <c r="X4" i="17"/>
  <c r="AO4" i="17"/>
  <c r="AF4" i="17"/>
  <c r="W4" i="17"/>
  <c r="AC4" i="17" s="1"/>
  <c r="AN4" i="17"/>
  <c r="AM4" i="17"/>
  <c r="Y4" i="17"/>
  <c r="V4" i="17"/>
  <c r="U4" i="17"/>
  <c r="AA4" i="17" s="1"/>
  <c r="AR4" i="17"/>
  <c r="AI4" i="17"/>
  <c r="AE4" i="17"/>
  <c r="AD4" i="17"/>
  <c r="AB12" i="22"/>
  <c r="AU12" i="22"/>
  <c r="AT7" i="15"/>
  <c r="AL7" i="15"/>
  <c r="AD13" i="13"/>
  <c r="V13" i="13"/>
  <c r="U13" i="13"/>
  <c r="AO13" i="13"/>
  <c r="AE13" i="13"/>
  <c r="AN13" i="13"/>
  <c r="AM13" i="13"/>
  <c r="AF13" i="13"/>
  <c r="X13" i="13"/>
  <c r="AR13" i="13"/>
  <c r="Z13" i="13"/>
  <c r="AQ13" i="13"/>
  <c r="Y13" i="13"/>
  <c r="AP13" i="13"/>
  <c r="AH13" i="13"/>
  <c r="AG13" i="13"/>
  <c r="AI13" i="13"/>
  <c r="W13" i="13"/>
  <c r="AK7" i="16"/>
  <c r="AC10" i="21"/>
  <c r="AK10" i="21"/>
  <c r="AK12" i="12"/>
  <c r="AQ15" i="19"/>
  <c r="AM15" i="19"/>
  <c r="AS4" i="19"/>
  <c r="AC9" i="22"/>
  <c r="AU9" i="22"/>
  <c r="AA5" i="22"/>
  <c r="AK12" i="14"/>
  <c r="AU12" i="14"/>
  <c r="AJ6" i="16"/>
  <c r="AJ11" i="21"/>
  <c r="AE15" i="14"/>
  <c r="AK4" i="14"/>
  <c r="AK15" i="14" s="1"/>
  <c r="AU4" i="14"/>
  <c r="AO15" i="14"/>
  <c r="AU6" i="19"/>
  <c r="AS14" i="22"/>
  <c r="AT10" i="23"/>
  <c r="AS10" i="23"/>
  <c r="AJ14" i="10"/>
  <c r="AB14" i="12"/>
  <c r="AA14" i="12"/>
  <c r="AL12" i="19"/>
  <c r="AK9" i="15"/>
  <c r="AL11" i="16"/>
  <c r="AU13" i="21"/>
  <c r="AS4" i="12"/>
  <c r="AM15" i="12"/>
  <c r="AC8" i="22"/>
  <c r="AL10" i="22"/>
  <c r="AC10" i="19"/>
  <c r="AQ11" i="18"/>
  <c r="AI11" i="18"/>
  <c r="AP11" i="18"/>
  <c r="AH11" i="18"/>
  <c r="Z11" i="18"/>
  <c r="AO11" i="18"/>
  <c r="AG11" i="18"/>
  <c r="Y11" i="18"/>
  <c r="AR11" i="18"/>
  <c r="AD11" i="18"/>
  <c r="V11" i="18"/>
  <c r="U11" i="18"/>
  <c r="AE11" i="18"/>
  <c r="AK11" i="18" s="1"/>
  <c r="X11" i="18"/>
  <c r="AM11" i="18"/>
  <c r="AF11" i="18"/>
  <c r="W11" i="18"/>
  <c r="AC11" i="18" s="1"/>
  <c r="AN11" i="18"/>
  <c r="AT11" i="18" s="1"/>
  <c r="AJ7" i="10"/>
  <c r="AN6" i="13"/>
  <c r="AF6" i="13"/>
  <c r="X6" i="13"/>
  <c r="AM6" i="13"/>
  <c r="AE6" i="13"/>
  <c r="W6" i="13"/>
  <c r="AR6" i="13"/>
  <c r="AH6" i="13"/>
  <c r="V6" i="13"/>
  <c r="AQ6" i="13"/>
  <c r="AG6" i="13"/>
  <c r="U6" i="13"/>
  <c r="AA6" i="13" s="1"/>
  <c r="AI6" i="13"/>
  <c r="AD6" i="13"/>
  <c r="Z6" i="13"/>
  <c r="AP6" i="13"/>
  <c r="Y6" i="13"/>
  <c r="AO6" i="13"/>
  <c r="AU6" i="13" s="1"/>
  <c r="AT5" i="23"/>
  <c r="AT15" i="23" s="1"/>
  <c r="AD15" i="14"/>
  <c r="AJ4" i="14"/>
  <c r="AI15" i="16"/>
  <c r="AP14" i="20"/>
  <c r="AH14" i="20"/>
  <c r="Z14" i="20"/>
  <c r="AR14" i="20"/>
  <c r="AI14" i="20"/>
  <c r="Y14" i="20"/>
  <c r="AQ14" i="20"/>
  <c r="AG14" i="20"/>
  <c r="X14" i="20"/>
  <c r="AO14" i="20"/>
  <c r="W14" i="20"/>
  <c r="AC14" i="20" s="1"/>
  <c r="AN14" i="20"/>
  <c r="V14" i="20"/>
  <c r="AM14" i="20"/>
  <c r="U14" i="20"/>
  <c r="AF14" i="20"/>
  <c r="AE14" i="20"/>
  <c r="AD14" i="20"/>
  <c r="AL6" i="22"/>
  <c r="AF15" i="15"/>
  <c r="AL4" i="15"/>
  <c r="AC4" i="15"/>
  <c r="AM12" i="17"/>
  <c r="AE12" i="17"/>
  <c r="W12" i="17"/>
  <c r="AD12" i="17"/>
  <c r="V12" i="17"/>
  <c r="AI12" i="17"/>
  <c r="Y12" i="17"/>
  <c r="AQ12" i="17"/>
  <c r="AF12" i="17"/>
  <c r="AP12" i="17"/>
  <c r="AH12" i="17"/>
  <c r="AG12" i="17"/>
  <c r="AN12" i="17"/>
  <c r="AT12" i="17" s="1"/>
  <c r="Z12" i="17"/>
  <c r="AR12" i="17"/>
  <c r="AO12" i="17"/>
  <c r="X12" i="17"/>
  <c r="U12" i="17"/>
  <c r="AK12" i="10"/>
  <c r="AT10" i="21"/>
  <c r="AU4" i="19"/>
  <c r="AO15" i="19"/>
  <c r="AA11" i="10"/>
  <c r="AM15" i="16"/>
  <c r="AS4" i="16"/>
  <c r="AA12" i="15"/>
  <c r="AJ10" i="15"/>
  <c r="AU11" i="10"/>
  <c r="AJ11" i="10"/>
  <c r="AC4" i="16"/>
  <c r="AP15" i="16"/>
  <c r="AK6" i="15"/>
  <c r="AJ11" i="15"/>
  <c r="AJ13" i="10"/>
  <c r="AA14" i="16"/>
  <c r="AC14" i="16"/>
  <c r="AK6" i="21"/>
  <c r="AB6" i="21"/>
  <c r="AM15" i="21"/>
  <c r="AS4" i="21"/>
  <c r="AQ15" i="21"/>
  <c r="AJ9" i="23"/>
  <c r="AD6" i="20"/>
  <c r="V6" i="20"/>
  <c r="AP6" i="20"/>
  <c r="AG6" i="20"/>
  <c r="X6" i="20"/>
  <c r="AO6" i="20"/>
  <c r="AF6" i="20"/>
  <c r="W6" i="20"/>
  <c r="AN6" i="20"/>
  <c r="AE6" i="20"/>
  <c r="U6" i="20"/>
  <c r="Y6" i="20"/>
  <c r="AH6" i="20"/>
  <c r="AQ6" i="20"/>
  <c r="AM6" i="20"/>
  <c r="AI6" i="20"/>
  <c r="Z6" i="20"/>
  <c r="AR6" i="20"/>
  <c r="AO13" i="20"/>
  <c r="AG13" i="20"/>
  <c r="Y13" i="20"/>
  <c r="AP13" i="20"/>
  <c r="AF13" i="20"/>
  <c r="W13" i="20"/>
  <c r="AN13" i="20"/>
  <c r="AE13" i="20"/>
  <c r="V13" i="20"/>
  <c r="AM13" i="20"/>
  <c r="AD13" i="20"/>
  <c r="U13" i="20"/>
  <c r="AR13" i="20"/>
  <c r="Z13" i="20"/>
  <c r="AQ13" i="20"/>
  <c r="X13" i="20"/>
  <c r="AH13" i="20"/>
  <c r="AI13" i="20"/>
  <c r="AA14" i="23"/>
  <c r="AU14" i="23"/>
  <c r="AB9" i="24"/>
  <c r="AL9" i="24"/>
  <c r="AK11" i="22"/>
  <c r="AL9" i="21"/>
  <c r="AC7" i="23"/>
  <c r="AU7" i="23"/>
  <c r="AK14" i="15"/>
  <c r="AS14" i="21"/>
  <c r="AT13" i="19"/>
  <c r="AA7" i="22"/>
  <c r="AT6" i="22"/>
  <c r="AS6" i="22"/>
  <c r="AS6" i="23"/>
  <c r="AL6" i="23"/>
  <c r="AL15" i="23" s="1"/>
  <c r="AR7" i="24"/>
  <c r="AP7" i="24"/>
  <c r="AH7" i="24"/>
  <c r="Z7" i="24"/>
  <c r="AN7" i="24"/>
  <c r="AF7" i="24"/>
  <c r="X7" i="24"/>
  <c r="AG7" i="24"/>
  <c r="U7" i="24"/>
  <c r="AQ7" i="24"/>
  <c r="AD7" i="24"/>
  <c r="AM7" i="24"/>
  <c r="Y7" i="24"/>
  <c r="AO7" i="24"/>
  <c r="AI7" i="24"/>
  <c r="AE7" i="24"/>
  <c r="AK7" i="24" s="1"/>
  <c r="V7" i="24"/>
  <c r="AB7" i="24" s="1"/>
  <c r="W7" i="24"/>
  <c r="AA4" i="15"/>
  <c r="AL7" i="10"/>
  <c r="AS9" i="10"/>
  <c r="AC9" i="10"/>
  <c r="AC10" i="16"/>
  <c r="AU10" i="16"/>
  <c r="AB13" i="22"/>
  <c r="AQ7" i="17"/>
  <c r="AI7" i="17"/>
  <c r="AP7" i="17"/>
  <c r="AH7" i="17"/>
  <c r="Z7" i="17"/>
  <c r="W7" i="17"/>
  <c r="AC7" i="17" s="1"/>
  <c r="AG7" i="17"/>
  <c r="V7" i="17"/>
  <c r="AD7" i="17"/>
  <c r="AR7" i="17"/>
  <c r="AO7" i="17"/>
  <c r="Y7" i="17"/>
  <c r="AN7" i="17"/>
  <c r="AT7" i="17" s="1"/>
  <c r="X7" i="17"/>
  <c r="U7" i="17"/>
  <c r="AA7" i="17" s="1"/>
  <c r="AM7" i="17"/>
  <c r="AF7" i="17"/>
  <c r="AL7" i="17" s="1"/>
  <c r="AE7" i="17"/>
  <c r="AK7" i="17" s="1"/>
  <c r="AB7" i="15"/>
  <c r="AS7" i="15"/>
  <c r="AQ10" i="13"/>
  <c r="AI10" i="13"/>
  <c r="AP10" i="13"/>
  <c r="AH10" i="13"/>
  <c r="Z10" i="13"/>
  <c r="AO10" i="13"/>
  <c r="AE10" i="13"/>
  <c r="AK10" i="13" s="1"/>
  <c r="U10" i="13"/>
  <c r="AN10" i="13"/>
  <c r="AT10" i="13" s="1"/>
  <c r="AD10" i="13"/>
  <c r="AJ10" i="13" s="1"/>
  <c r="AM10" i="13"/>
  <c r="W10" i="13"/>
  <c r="AC10" i="13" s="1"/>
  <c r="AG10" i="13"/>
  <c r="V10" i="13"/>
  <c r="Y10" i="13"/>
  <c r="X10" i="13"/>
  <c r="AR10" i="13"/>
  <c r="AF10" i="13"/>
  <c r="AL10" i="13" s="1"/>
  <c r="AP8" i="13"/>
  <c r="AH8" i="13"/>
  <c r="Z8" i="13"/>
  <c r="AO8" i="13"/>
  <c r="AG8" i="13"/>
  <c r="Y8" i="13"/>
  <c r="AI8" i="13"/>
  <c r="W8" i="13"/>
  <c r="AC8" i="13" s="1"/>
  <c r="AR8" i="13"/>
  <c r="AF8" i="13"/>
  <c r="V8" i="13"/>
  <c r="AQ8" i="13"/>
  <c r="AN8" i="13"/>
  <c r="AT8" i="13" s="1"/>
  <c r="X8" i="13"/>
  <c r="AM8" i="13"/>
  <c r="AE8" i="13"/>
  <c r="AK8" i="13" s="1"/>
  <c r="AD8" i="13"/>
  <c r="U8" i="13"/>
  <c r="AA8" i="13" s="1"/>
  <c r="AC7" i="16"/>
  <c r="AA8" i="16"/>
  <c r="AK9" i="22"/>
  <c r="AS5" i="22"/>
  <c r="AB5" i="22"/>
  <c r="AB5" i="23"/>
  <c r="AC5" i="23"/>
  <c r="AC15" i="23" s="1"/>
  <c r="AJ13" i="15"/>
  <c r="AB8" i="15"/>
  <c r="AU8" i="15"/>
  <c r="AK6" i="16"/>
  <c r="AS6" i="16"/>
  <c r="AK11" i="21"/>
  <c r="AT11" i="21"/>
  <c r="AL10" i="10"/>
  <c r="AL4" i="14"/>
  <c r="AF15" i="14"/>
  <c r="AC4" i="20"/>
  <c r="AA4" i="20"/>
  <c r="AT14" i="22"/>
  <c r="AC14" i="10"/>
  <c r="AC14" i="12"/>
  <c r="AK14" i="12"/>
  <c r="AT12" i="19"/>
  <c r="AL9" i="15"/>
  <c r="AC9" i="15"/>
  <c r="AK5" i="10"/>
  <c r="AT11" i="16"/>
  <c r="AP15" i="12"/>
  <c r="AF15" i="12"/>
  <c r="AL4" i="12"/>
  <c r="AS11" i="14"/>
  <c r="AU11" i="14"/>
  <c r="AC14" i="19"/>
  <c r="AU14" i="19"/>
  <c r="AT9" i="16"/>
  <c r="AA8" i="22"/>
  <c r="AK8" i="22"/>
  <c r="AA4" i="23"/>
  <c r="AK13" i="16"/>
  <c r="AJ13" i="16"/>
  <c r="AB10" i="22"/>
  <c r="AT10" i="22"/>
  <c r="AK13" i="23"/>
  <c r="AC12" i="23"/>
  <c r="AM6" i="18"/>
  <c r="AE6" i="18"/>
  <c r="W6" i="18"/>
  <c r="AD6" i="18"/>
  <c r="V6" i="18"/>
  <c r="U6" i="18"/>
  <c r="AN6" i="18"/>
  <c r="Z6" i="18"/>
  <c r="AQ6" i="18"/>
  <c r="AP6" i="18"/>
  <c r="AF6" i="18"/>
  <c r="Y6" i="18"/>
  <c r="AR6" i="18"/>
  <c r="X6" i="18"/>
  <c r="AO6" i="18"/>
  <c r="AH6" i="18"/>
  <c r="AI6" i="18"/>
  <c r="AG6" i="18"/>
  <c r="AP10" i="18"/>
  <c r="AH10" i="18"/>
  <c r="Z10" i="18"/>
  <c r="AO10" i="18"/>
  <c r="AG10" i="18"/>
  <c r="Y10" i="18"/>
  <c r="AN10" i="18"/>
  <c r="AF10" i="18"/>
  <c r="X10" i="18"/>
  <c r="AR10" i="18"/>
  <c r="AQ10" i="18"/>
  <c r="AD10" i="18"/>
  <c r="W10" i="18"/>
  <c r="V10" i="18"/>
  <c r="AB10" i="18" s="1"/>
  <c r="AM10" i="18"/>
  <c r="AS10" i="18" s="1"/>
  <c r="U10" i="18"/>
  <c r="AA10" i="18" s="1"/>
  <c r="AI10" i="18"/>
  <c r="AE10" i="18"/>
  <c r="AK10" i="18" s="1"/>
  <c r="I17" i="31" l="1"/>
  <c r="I33" i="31" s="1"/>
  <c r="L13" i="31"/>
  <c r="L29" i="31" s="1"/>
  <c r="I14" i="31"/>
  <c r="I30" i="31" s="1"/>
  <c r="G10" i="31"/>
  <c r="G26" i="31" s="1"/>
  <c r="F15" i="31"/>
  <c r="F31" i="31" s="1"/>
  <c r="M16" i="31"/>
  <c r="M32" i="31" s="1"/>
  <c r="I8" i="31"/>
  <c r="I24" i="31" s="1"/>
  <c r="N8" i="31"/>
  <c r="N24" i="31" s="1"/>
  <c r="M13" i="31"/>
  <c r="M29" i="31" s="1"/>
  <c r="G13" i="31"/>
  <c r="G29" i="31" s="1"/>
  <c r="L14" i="31"/>
  <c r="L30" i="31" s="1"/>
  <c r="H17" i="31"/>
  <c r="H33" i="31" s="1"/>
  <c r="H12" i="31"/>
  <c r="H28" i="31" s="1"/>
  <c r="N14" i="31"/>
  <c r="N30" i="31" s="1"/>
  <c r="I10" i="31"/>
  <c r="I26" i="31" s="1"/>
  <c r="J14" i="31"/>
  <c r="J30" i="31" s="1"/>
  <c r="H9" i="31"/>
  <c r="H25" i="31" s="1"/>
  <c r="F12" i="31"/>
  <c r="F28" i="31" s="1"/>
  <c r="M17" i="31"/>
  <c r="M33" i="31" s="1"/>
  <c r="J17" i="31"/>
  <c r="J33" i="31" s="1"/>
  <c r="J7" i="31"/>
  <c r="J23" i="31" s="1"/>
  <c r="I7" i="31"/>
  <c r="I23" i="31" s="1"/>
  <c r="G8" i="31"/>
  <c r="G24" i="31" s="1"/>
  <c r="L12" i="31"/>
  <c r="L28" i="31" s="1"/>
  <c r="J15" i="31"/>
  <c r="J31" i="31" s="1"/>
  <c r="L9" i="31"/>
  <c r="G7" i="31"/>
  <c r="G23" i="31" s="1"/>
  <c r="G17" i="31"/>
  <c r="G33" i="31" s="1"/>
  <c r="M14" i="31"/>
  <c r="M30" i="31" s="1"/>
  <c r="I13" i="31"/>
  <c r="I29" i="31" s="1"/>
  <c r="K15" i="31"/>
  <c r="K31" i="31" s="1"/>
  <c r="L10" i="31"/>
  <c r="L26" i="31" s="1"/>
  <c r="J8" i="31"/>
  <c r="J24" i="31" s="1"/>
  <c r="K10" i="31"/>
  <c r="K26" i="31" s="1"/>
  <c r="I16" i="31"/>
  <c r="I32" i="31" s="1"/>
  <c r="J16" i="31"/>
  <c r="J32" i="31" s="1"/>
  <c r="K14" i="31"/>
  <c r="K30" i="31" s="1"/>
  <c r="I12" i="31"/>
  <c r="I28" i="31" s="1"/>
  <c r="M9" i="31"/>
  <c r="M25" i="31" s="1"/>
  <c r="J9" i="31"/>
  <c r="J25" i="31" s="1"/>
  <c r="J10" i="31"/>
  <c r="J26" i="31" s="1"/>
  <c r="L17" i="31"/>
  <c r="L33" i="31" s="1"/>
  <c r="N15" i="31"/>
  <c r="N31" i="31" s="1"/>
  <c r="I15" i="31"/>
  <c r="I31" i="31" s="1"/>
  <c r="H23" i="31"/>
  <c r="K13" i="31"/>
  <c r="K29" i="31" s="1"/>
  <c r="L16" i="31"/>
  <c r="L32" i="31" s="1"/>
  <c r="F8" i="31"/>
  <c r="F24" i="31" s="1"/>
  <c r="K8" i="31"/>
  <c r="K24" i="31" s="1"/>
  <c r="G14" i="31"/>
  <c r="G30" i="31" s="1"/>
  <c r="K17" i="31"/>
  <c r="K33" i="31" s="1"/>
  <c r="M12" i="31"/>
  <c r="M28" i="31" s="1"/>
  <c r="K16" i="31"/>
  <c r="K32" i="31" s="1"/>
  <c r="N13" i="31"/>
  <c r="N29" i="31" s="1"/>
  <c r="F16" i="31"/>
  <c r="F32" i="31" s="1"/>
  <c r="K9" i="31"/>
  <c r="K25" i="31" s="1"/>
  <c r="H13" i="31"/>
  <c r="H29" i="31" s="1"/>
  <c r="N16" i="31"/>
  <c r="N32" i="31" s="1"/>
  <c r="J13" i="31"/>
  <c r="J29" i="31" s="1"/>
  <c r="H10" i="31"/>
  <c r="H26" i="31" s="1"/>
  <c r="M10" i="31"/>
  <c r="M26" i="31" s="1"/>
  <c r="M15" i="31"/>
  <c r="M31" i="31" s="1"/>
  <c r="N12" i="31"/>
  <c r="N28" i="31" s="1"/>
  <c r="N10" i="31"/>
  <c r="N26" i="31" s="1"/>
  <c r="N17" i="31"/>
  <c r="N33" i="31" s="1"/>
  <c r="F10" i="31"/>
  <c r="F26" i="31" s="1"/>
  <c r="F14" i="31"/>
  <c r="F30" i="31" s="1"/>
  <c r="H16" i="31"/>
  <c r="H32" i="31" s="1"/>
  <c r="M8" i="31"/>
  <c r="M24" i="31" s="1"/>
  <c r="F13" i="31"/>
  <c r="F29" i="31" s="1"/>
  <c r="J12" i="31"/>
  <c r="J28" i="31" s="1"/>
  <c r="N9" i="31"/>
  <c r="N25" i="31" s="1"/>
  <c r="F17" i="31"/>
  <c r="F33" i="31" s="1"/>
  <c r="H15" i="31"/>
  <c r="H31" i="31" s="1"/>
  <c r="H14" i="31"/>
  <c r="H30" i="31" s="1"/>
  <c r="F7" i="31"/>
  <c r="F23" i="31" s="1"/>
  <c r="G12" i="31"/>
  <c r="G28" i="31" s="1"/>
  <c r="G15" i="31"/>
  <c r="G31" i="31" s="1"/>
  <c r="K23" i="31"/>
  <c r="AS15" i="12"/>
  <c r="AU15" i="12"/>
  <c r="AL15" i="12"/>
  <c r="AJ15" i="12"/>
  <c r="AA15" i="12"/>
  <c r="AT15" i="12"/>
  <c r="AS9" i="17"/>
  <c r="AP15" i="17"/>
  <c r="AU14" i="17"/>
  <c r="AS5" i="17"/>
  <c r="AS6" i="17"/>
  <c r="AL13" i="17"/>
  <c r="AC6" i="17"/>
  <c r="AT13" i="17"/>
  <c r="AU11" i="17"/>
  <c r="AJ11" i="17"/>
  <c r="AJ8" i="17"/>
  <c r="AU7" i="17"/>
  <c r="AB4" i="17"/>
  <c r="AL5" i="17"/>
  <c r="AS10" i="17"/>
  <c r="AB10" i="17"/>
  <c r="AA10" i="17"/>
  <c r="AS8" i="17"/>
  <c r="AB7" i="17"/>
  <c r="AK14" i="17"/>
  <c r="AK13" i="17"/>
  <c r="AL11" i="17"/>
  <c r="AT10" i="17"/>
  <c r="AK10" i="17"/>
  <c r="AT8" i="17"/>
  <c r="AK6" i="17"/>
  <c r="AA15" i="21"/>
  <c r="AS15" i="21"/>
  <c r="AC15" i="21"/>
  <c r="AL15" i="15"/>
  <c r="AB15" i="15"/>
  <c r="AJ15" i="15"/>
  <c r="AK15" i="15"/>
  <c r="AB13" i="24"/>
  <c r="AB10" i="24"/>
  <c r="AS5" i="24"/>
  <c r="AL6" i="24"/>
  <c r="AU10" i="24"/>
  <c r="AU14" i="24"/>
  <c r="AT14" i="24"/>
  <c r="AJ12" i="24"/>
  <c r="AU4" i="24"/>
  <c r="AC11" i="24"/>
  <c r="AB5" i="24"/>
  <c r="AJ5" i="24"/>
  <c r="AS12" i="24"/>
  <c r="AK5" i="24"/>
  <c r="AS4" i="24"/>
  <c r="AA12" i="24"/>
  <c r="AB14" i="24"/>
  <c r="AC13" i="24"/>
  <c r="AC5" i="24"/>
  <c r="AJ6" i="24"/>
  <c r="AU7" i="24"/>
  <c r="AT12" i="24"/>
  <c r="AS13" i="24"/>
  <c r="AU12" i="24"/>
  <c r="AC6" i="24"/>
  <c r="AK4" i="24"/>
  <c r="AT11" i="24"/>
  <c r="AS7" i="24"/>
  <c r="AS14" i="24"/>
  <c r="AK6" i="24"/>
  <c r="AJ4" i="24"/>
  <c r="AK10" i="24"/>
  <c r="AC8" i="24"/>
  <c r="AA8" i="24"/>
  <c r="AC9" i="18"/>
  <c r="AB6" i="18"/>
  <c r="AL12" i="18"/>
  <c r="AC5" i="18"/>
  <c r="AC7" i="18"/>
  <c r="AJ13" i="18"/>
  <c r="AT13" i="18"/>
  <c r="AB4" i="18"/>
  <c r="AA7" i="18"/>
  <c r="AK8" i="18"/>
  <c r="AL10" i="18"/>
  <c r="AT10" i="18"/>
  <c r="AS6" i="18"/>
  <c r="AS7" i="18"/>
  <c r="AL8" i="18"/>
  <c r="AL5" i="18"/>
  <c r="AT8" i="18"/>
  <c r="AC10" i="18"/>
  <c r="AU6" i="18"/>
  <c r="AJ11" i="18"/>
  <c r="AU7" i="18"/>
  <c r="AT12" i="18"/>
  <c r="AC13" i="18"/>
  <c r="AA13" i="18"/>
  <c r="AS14" i="18"/>
  <c r="AA15" i="19"/>
  <c r="AB15" i="19"/>
  <c r="AU15" i="19"/>
  <c r="AS15" i="19"/>
  <c r="AJ15" i="19"/>
  <c r="AB15" i="14"/>
  <c r="AJ15" i="14"/>
  <c r="AC15" i="14"/>
  <c r="AS15" i="14"/>
  <c r="AB15" i="16"/>
  <c r="AT15" i="16"/>
  <c r="AS7" i="20"/>
  <c r="AL12" i="20"/>
  <c r="AT5" i="20"/>
  <c r="AK12" i="20"/>
  <c r="AU12" i="20"/>
  <c r="AT7" i="20"/>
  <c r="AB14" i="20"/>
  <c r="AC10" i="20"/>
  <c r="AS13" i="20"/>
  <c r="AS11" i="20"/>
  <c r="AA9" i="20"/>
  <c r="AJ11" i="20"/>
  <c r="AI15" i="20"/>
  <c r="AT14" i="20"/>
  <c r="AB9" i="20"/>
  <c r="AL11" i="20"/>
  <c r="AA6" i="20"/>
  <c r="AB13" i="20"/>
  <c r="AB11" i="20"/>
  <c r="AK6" i="20"/>
  <c r="AC8" i="20"/>
  <c r="AK10" i="20"/>
  <c r="AA10" i="20"/>
  <c r="AS5" i="20"/>
  <c r="AQ15" i="20"/>
  <c r="AU9" i="20"/>
  <c r="AT9" i="20"/>
  <c r="AK8" i="20"/>
  <c r="AU13" i="20"/>
  <c r="AT10" i="20"/>
  <c r="AJ10" i="20"/>
  <c r="AP15" i="20"/>
  <c r="AT11" i="20"/>
  <c r="AJ12" i="20"/>
  <c r="AR15" i="20"/>
  <c r="AK14" i="20"/>
  <c r="AS10" i="20"/>
  <c r="AL5" i="20"/>
  <c r="AA5" i="20"/>
  <c r="AC6" i="20"/>
  <c r="AG15" i="20"/>
  <c r="AA12" i="20"/>
  <c r="AU10" i="20"/>
  <c r="AU5" i="20"/>
  <c r="AL8" i="20"/>
  <c r="AH15" i="20"/>
  <c r="AC9" i="20"/>
  <c r="AT8" i="20"/>
  <c r="AJ7" i="20"/>
  <c r="AL15" i="22"/>
  <c r="AJ15" i="22"/>
  <c r="AA15" i="22"/>
  <c r="AT15" i="22"/>
  <c r="AC15" i="22"/>
  <c r="AS15" i="22"/>
  <c r="AK15" i="22"/>
  <c r="AK9" i="13"/>
  <c r="AC9" i="13"/>
  <c r="AS10" i="13"/>
  <c r="AB8" i="13"/>
  <c r="AJ7" i="13"/>
  <c r="AJ8" i="13"/>
  <c r="AL6" i="13"/>
  <c r="AT7" i="13"/>
  <c r="AA9" i="13"/>
  <c r="AB12" i="13"/>
  <c r="AB5" i="13"/>
  <c r="AA13" i="13"/>
  <c r="AB13" i="13"/>
  <c r="AJ13" i="13"/>
  <c r="AB4" i="13"/>
  <c r="AC11" i="13"/>
  <c r="AS13" i="13"/>
  <c r="AS12" i="13"/>
  <c r="AL9" i="13"/>
  <c r="AS6" i="13"/>
  <c r="AK11" i="13"/>
  <c r="AU14" i="13"/>
  <c r="AS9" i="13"/>
  <c r="AL7" i="13"/>
  <c r="AL14" i="13"/>
  <c r="AJ9" i="13"/>
  <c r="AA5" i="13"/>
  <c r="AJ15" i="23"/>
  <c r="AK15" i="23"/>
  <c r="AD15" i="20"/>
  <c r="AO15" i="18"/>
  <c r="AU4" i="18"/>
  <c r="AO15" i="20"/>
  <c r="AQ15" i="13"/>
  <c r="AT15" i="14"/>
  <c r="AS11" i="17"/>
  <c r="AS13" i="18"/>
  <c r="AA14" i="13"/>
  <c r="AK14" i="18"/>
  <c r="AK9" i="18"/>
  <c r="AU15" i="23"/>
  <c r="AL8" i="17"/>
  <c r="AA8" i="18"/>
  <c r="AP15" i="18"/>
  <c r="AU6" i="17"/>
  <c r="AL15" i="21"/>
  <c r="AK7" i="20"/>
  <c r="AJ10" i="18"/>
  <c r="AU10" i="18"/>
  <c r="AA6" i="18"/>
  <c r="AA10" i="13"/>
  <c r="AT7" i="24"/>
  <c r="AT13" i="20"/>
  <c r="AT6" i="20"/>
  <c r="AJ6" i="20"/>
  <c r="AJ12" i="17"/>
  <c r="AJ14" i="20"/>
  <c r="AU14" i="20"/>
  <c r="AB6" i="13"/>
  <c r="AT6" i="13"/>
  <c r="AS11" i="18"/>
  <c r="AL13" i="13"/>
  <c r="AC14" i="24"/>
  <c r="AK9" i="20"/>
  <c r="AK11" i="20"/>
  <c r="AT9" i="17"/>
  <c r="AL13" i="24"/>
  <c r="AK13" i="24"/>
  <c r="AC14" i="17"/>
  <c r="AA8" i="20"/>
  <c r="AK12" i="18"/>
  <c r="AF15" i="20"/>
  <c r="AT12" i="13"/>
  <c r="AA13" i="17"/>
  <c r="AC13" i="17"/>
  <c r="AB12" i="24"/>
  <c r="AS12" i="20"/>
  <c r="AU15" i="16"/>
  <c r="AR15" i="13"/>
  <c r="AK4" i="13"/>
  <c r="AE15" i="13"/>
  <c r="AL5" i="24"/>
  <c r="AT5" i="17"/>
  <c r="AS6" i="24"/>
  <c r="AS5" i="18"/>
  <c r="AA5" i="18"/>
  <c r="AL11" i="13"/>
  <c r="AC11" i="17"/>
  <c r="AL4" i="24"/>
  <c r="AT4" i="24"/>
  <c r="AL11" i="24"/>
  <c r="AA11" i="24"/>
  <c r="AB15" i="22"/>
  <c r="AT15" i="10"/>
  <c r="AB14" i="13"/>
  <c r="AS15" i="10"/>
  <c r="AA10" i="24"/>
  <c r="AA9" i="18"/>
  <c r="AS9" i="18"/>
  <c r="AK15" i="12"/>
  <c r="AC4" i="18"/>
  <c r="AS4" i="18"/>
  <c r="AM15" i="18"/>
  <c r="AA6" i="17"/>
  <c r="AS8" i="24"/>
  <c r="AT15" i="19"/>
  <c r="AB5" i="20"/>
  <c r="AC14" i="18"/>
  <c r="AB9" i="18"/>
  <c r="AK4" i="18"/>
  <c r="AE15" i="18"/>
  <c r="AI15" i="18"/>
  <c r="AT6" i="17"/>
  <c r="AL6" i="17"/>
  <c r="AT15" i="21"/>
  <c r="AJ5" i="13"/>
  <c r="AJ15" i="21"/>
  <c r="AI15" i="17"/>
  <c r="AT6" i="24"/>
  <c r="AL15" i="19"/>
  <c r="AT6" i="18"/>
  <c r="AK13" i="20"/>
  <c r="AB12" i="17"/>
  <c r="AL11" i="18"/>
  <c r="AO15" i="17"/>
  <c r="AU4" i="17"/>
  <c r="AJ14" i="17"/>
  <c r="AU15" i="21"/>
  <c r="AJ12" i="13"/>
  <c r="AB15" i="21"/>
  <c r="AC12" i="17"/>
  <c r="AU11" i="18"/>
  <c r="AU11" i="20"/>
  <c r="AC9" i="17"/>
  <c r="AJ13" i="17"/>
  <c r="AC12" i="20"/>
  <c r="AC4" i="13"/>
  <c r="AC15" i="12"/>
  <c r="AJ14" i="13"/>
  <c r="AS10" i="24"/>
  <c r="AJ6" i="18"/>
  <c r="AU8" i="13"/>
  <c r="AB10" i="13"/>
  <c r="AU10" i="13"/>
  <c r="AA15" i="15"/>
  <c r="AJ7" i="24"/>
  <c r="AL13" i="20"/>
  <c r="AS6" i="20"/>
  <c r="AL6" i="20"/>
  <c r="AA12" i="17"/>
  <c r="AK12" i="17"/>
  <c r="AL14" i="20"/>
  <c r="AT13" i="13"/>
  <c r="AQ15" i="17"/>
  <c r="AC11" i="20"/>
  <c r="AA9" i="17"/>
  <c r="AS14" i="17"/>
  <c r="AL14" i="17"/>
  <c r="AB8" i="20"/>
  <c r="AU12" i="18"/>
  <c r="AS15" i="23"/>
  <c r="AU12" i="13"/>
  <c r="AA12" i="13"/>
  <c r="AS13" i="17"/>
  <c r="AU15" i="15"/>
  <c r="AL4" i="13"/>
  <c r="AF15" i="13"/>
  <c r="AL15" i="10"/>
  <c r="AT5" i="18"/>
  <c r="AJ5" i="18"/>
  <c r="AT7" i="18"/>
  <c r="AA11" i="13"/>
  <c r="AC15" i="10"/>
  <c r="AB11" i="24"/>
  <c r="AK11" i="24"/>
  <c r="AL15" i="16"/>
  <c r="AK13" i="18"/>
  <c r="AS7" i="13"/>
  <c r="AU7" i="13"/>
  <c r="AC14" i="13"/>
  <c r="AC10" i="17"/>
  <c r="AT10" i="24"/>
  <c r="AJ10" i="24"/>
  <c r="AL14" i="18"/>
  <c r="AA14" i="18"/>
  <c r="AL9" i="18"/>
  <c r="AA15" i="10"/>
  <c r="AC8" i="18"/>
  <c r="AU8" i="18"/>
  <c r="AF15" i="18"/>
  <c r="AL4" i="18"/>
  <c r="AQ15" i="18"/>
  <c r="AB6" i="17"/>
  <c r="AK15" i="10"/>
  <c r="AB9" i="13"/>
  <c r="AC5" i="13"/>
  <c r="AE15" i="17"/>
  <c r="AK4" i="17"/>
  <c r="AG15" i="13"/>
  <c r="AB15" i="12"/>
  <c r="AC15" i="16"/>
  <c r="AC13" i="13"/>
  <c r="AF15" i="17"/>
  <c r="AL4" i="17"/>
  <c r="AH15" i="13"/>
  <c r="AD15" i="13"/>
  <c r="AJ4" i="13"/>
  <c r="AB10" i="20"/>
  <c r="AH15" i="18"/>
  <c r="AB6" i="20"/>
  <c r="AR15" i="17"/>
  <c r="AT13" i="24"/>
  <c r="AU13" i="17"/>
  <c r="AI15" i="13"/>
  <c r="AC13" i="20"/>
  <c r="AJ15" i="10"/>
  <c r="AG15" i="17"/>
  <c r="AU15" i="10"/>
  <c r="AS9" i="20"/>
  <c r="AS8" i="20"/>
  <c r="AK12" i="24"/>
  <c r="AA15" i="16"/>
  <c r="AO15" i="13"/>
  <c r="AU4" i="13"/>
  <c r="AU5" i="24"/>
  <c r="AB5" i="18"/>
  <c r="AL7" i="18"/>
  <c r="AA7" i="13"/>
  <c r="AL10" i="17"/>
  <c r="AL6" i="18"/>
  <c r="AC6" i="18"/>
  <c r="AL15" i="14"/>
  <c r="AJ7" i="17"/>
  <c r="AC7" i="24"/>
  <c r="AA13" i="20"/>
  <c r="AU6" i="20"/>
  <c r="AS15" i="16"/>
  <c r="AL12" i="17"/>
  <c r="AS12" i="17"/>
  <c r="AA14" i="20"/>
  <c r="AJ6" i="13"/>
  <c r="AC6" i="13"/>
  <c r="AA11" i="18"/>
  <c r="AK13" i="13"/>
  <c r="AS4" i="17"/>
  <c r="AM15" i="17"/>
  <c r="AS15" i="15"/>
  <c r="AJ9" i="20"/>
  <c r="AB9" i="17"/>
  <c r="AT14" i="17"/>
  <c r="AJ8" i="20"/>
  <c r="AJ12" i="18"/>
  <c r="AK15" i="19"/>
  <c r="AC12" i="13"/>
  <c r="AK12" i="13"/>
  <c r="AC12" i="24"/>
  <c r="AL12" i="24"/>
  <c r="AB12" i="20"/>
  <c r="AS4" i="13"/>
  <c r="AM15" i="13"/>
  <c r="AP15" i="13"/>
  <c r="AA5" i="24"/>
  <c r="AA5" i="17"/>
  <c r="AK5" i="17"/>
  <c r="AU5" i="17"/>
  <c r="AB6" i="24"/>
  <c r="AU6" i="24"/>
  <c r="AB7" i="18"/>
  <c r="AB11" i="13"/>
  <c r="AS11" i="13"/>
  <c r="AA4" i="24"/>
  <c r="AJ11" i="24"/>
  <c r="AS11" i="24"/>
  <c r="AC7" i="13"/>
  <c r="AK14" i="13"/>
  <c r="AB14" i="18"/>
  <c r="AT9" i="18"/>
  <c r="AN15" i="18"/>
  <c r="AT4" i="18"/>
  <c r="AR15" i="18"/>
  <c r="AB15" i="10"/>
  <c r="AK8" i="24"/>
  <c r="AU8" i="24"/>
  <c r="AJ5" i="20"/>
  <c r="AT5" i="13"/>
  <c r="AL5" i="13"/>
  <c r="AK5" i="13"/>
  <c r="AT15" i="15"/>
  <c r="AT4" i="13"/>
  <c r="AN15" i="13"/>
  <c r="AU13" i="18"/>
  <c r="AM15" i="20"/>
  <c r="AU10" i="17"/>
  <c r="AT8" i="24"/>
  <c r="AS8" i="13"/>
  <c r="AL7" i="24"/>
  <c r="AC15" i="19"/>
  <c r="AK14" i="24"/>
  <c r="AU15" i="22"/>
  <c r="AK15" i="16"/>
  <c r="AB15" i="23"/>
  <c r="AK6" i="18"/>
  <c r="AA15" i="23"/>
  <c r="AL8" i="13"/>
  <c r="AS7" i="17"/>
  <c r="AA7" i="24"/>
  <c r="AJ13" i="20"/>
  <c r="AU12" i="17"/>
  <c r="AC15" i="15"/>
  <c r="AS14" i="20"/>
  <c r="AK6" i="13"/>
  <c r="AB11" i="18"/>
  <c r="AU15" i="14"/>
  <c r="AU13" i="13"/>
  <c r="AD15" i="17"/>
  <c r="AJ4" i="17"/>
  <c r="AN15" i="17"/>
  <c r="AT4" i="17"/>
  <c r="AH15" i="17"/>
  <c r="AL14" i="24"/>
  <c r="AL9" i="20"/>
  <c r="AA11" i="20"/>
  <c r="AA13" i="24"/>
  <c r="AA14" i="17"/>
  <c r="AU8" i="20"/>
  <c r="AC12" i="18"/>
  <c r="AA12" i="18"/>
  <c r="AL12" i="13"/>
  <c r="AT12" i="20"/>
  <c r="AA4" i="13"/>
  <c r="AC5" i="17"/>
  <c r="AC15" i="17" s="1"/>
  <c r="AK5" i="18"/>
  <c r="AN15" i="20"/>
  <c r="AJ7" i="18"/>
  <c r="AE15" i="20"/>
  <c r="AJ11" i="13"/>
  <c r="AK11" i="17"/>
  <c r="AT11" i="17"/>
  <c r="AB11" i="17"/>
  <c r="AC4" i="24"/>
  <c r="AU11" i="24"/>
  <c r="AL10" i="20"/>
  <c r="AK15" i="21"/>
  <c r="AT14" i="13"/>
  <c r="AS14" i="13"/>
  <c r="AJ14" i="18"/>
  <c r="AJ9" i="18"/>
  <c r="AB8" i="17"/>
  <c r="AJ4" i="18"/>
  <c r="AD15" i="18"/>
  <c r="AG15" i="18"/>
  <c r="AA4" i="18"/>
  <c r="AK5" i="20"/>
  <c r="AJ15" i="16"/>
  <c r="AA7" i="20"/>
  <c r="AL7" i="20"/>
  <c r="AS5" i="13"/>
  <c r="M34" i="31" l="1"/>
  <c r="M39" i="31" s="1"/>
  <c r="H34" i="31"/>
  <c r="N34" i="31"/>
  <c r="K34" i="31"/>
  <c r="M18" i="31"/>
  <c r="K18" i="31"/>
  <c r="N18" i="31"/>
  <c r="H8" i="30"/>
  <c r="P8" i="30" s="1"/>
  <c r="H16" i="30"/>
  <c r="P16" i="30" s="1"/>
  <c r="G7" i="30"/>
  <c r="O7" i="30" s="1"/>
  <c r="G21" i="30"/>
  <c r="O21" i="30" s="1"/>
  <c r="H9" i="30"/>
  <c r="P9" i="30" s="1"/>
  <c r="H17" i="30"/>
  <c r="P17" i="30" s="1"/>
  <c r="G8" i="30"/>
  <c r="O8" i="30" s="1"/>
  <c r="G22" i="30"/>
  <c r="O22" i="30" s="1"/>
  <c r="H10" i="30"/>
  <c r="P10" i="30" s="1"/>
  <c r="H18" i="30"/>
  <c r="P18" i="30" s="1"/>
  <c r="G9" i="30"/>
  <c r="O9" i="30" s="1"/>
  <c r="G23" i="30"/>
  <c r="O23" i="30" s="1"/>
  <c r="H11" i="30"/>
  <c r="P11" i="30" s="1"/>
  <c r="H19" i="30"/>
  <c r="P19" i="30" s="1"/>
  <c r="G11" i="30"/>
  <c r="O11" i="30" s="1"/>
  <c r="G24" i="30"/>
  <c r="O24" i="30" s="1"/>
  <c r="H7" i="30"/>
  <c r="P7" i="30" s="1"/>
  <c r="H23" i="30"/>
  <c r="P23" i="30" s="1"/>
  <c r="H12" i="30"/>
  <c r="P12" i="30" s="1"/>
  <c r="H20" i="30"/>
  <c r="P20" i="30" s="1"/>
  <c r="G12" i="30"/>
  <c r="O12" i="30" s="1"/>
  <c r="H6" i="30"/>
  <c r="P6" i="30" s="1"/>
  <c r="H15" i="30"/>
  <c r="P15" i="30" s="1"/>
  <c r="G17" i="30"/>
  <c r="O17" i="30" s="1"/>
  <c r="H24" i="30"/>
  <c r="P24" i="30" s="1"/>
  <c r="H13" i="30"/>
  <c r="P13" i="30" s="1"/>
  <c r="H21" i="30"/>
  <c r="P21" i="30" s="1"/>
  <c r="G13" i="30"/>
  <c r="O13" i="30" s="1"/>
  <c r="G6" i="30"/>
  <c r="O6" i="30" s="1"/>
  <c r="H25" i="30"/>
  <c r="P25" i="30" s="1"/>
  <c r="H14" i="30"/>
  <c r="P14" i="30" s="1"/>
  <c r="H22" i="30"/>
  <c r="P22" i="30" s="1"/>
  <c r="G15" i="30"/>
  <c r="O15" i="30" s="1"/>
  <c r="J11" i="30"/>
  <c r="R11" i="30" s="1"/>
  <c r="J19" i="30"/>
  <c r="R19" i="30" s="1"/>
  <c r="I7" i="30"/>
  <c r="Q7" i="30" s="1"/>
  <c r="I21" i="30"/>
  <c r="Q21" i="30" s="1"/>
  <c r="J12" i="30"/>
  <c r="R12" i="30" s="1"/>
  <c r="J20" i="30"/>
  <c r="R20" i="30" s="1"/>
  <c r="I8" i="30"/>
  <c r="Q8" i="30" s="1"/>
  <c r="I22" i="30"/>
  <c r="Q22" i="30" s="1"/>
  <c r="J13" i="30"/>
  <c r="R13" i="30" s="1"/>
  <c r="J21" i="30"/>
  <c r="R21" i="30" s="1"/>
  <c r="I9" i="30"/>
  <c r="Q9" i="30" s="1"/>
  <c r="I23" i="30"/>
  <c r="Q23" i="30" s="1"/>
  <c r="J14" i="30"/>
  <c r="R14" i="30" s="1"/>
  <c r="J22" i="30"/>
  <c r="R22" i="30" s="1"/>
  <c r="I11" i="30"/>
  <c r="Q11" i="30" s="1"/>
  <c r="I24" i="30"/>
  <c r="Q24" i="30" s="1"/>
  <c r="J10" i="30"/>
  <c r="R10" i="30" s="1"/>
  <c r="J6" i="30"/>
  <c r="R6" i="30" s="1"/>
  <c r="J7" i="30"/>
  <c r="R7" i="30" s="1"/>
  <c r="J15" i="30"/>
  <c r="R15" i="30" s="1"/>
  <c r="J23" i="30"/>
  <c r="R23" i="30" s="1"/>
  <c r="I12" i="30"/>
  <c r="Q12" i="30" s="1"/>
  <c r="I6" i="30"/>
  <c r="Q6" i="30" s="1"/>
  <c r="J18" i="30"/>
  <c r="R18" i="30" s="1"/>
  <c r="I17" i="30"/>
  <c r="Q17" i="30" s="1"/>
  <c r="J8" i="30"/>
  <c r="R8" i="30" s="1"/>
  <c r="J16" i="30"/>
  <c r="R16" i="30" s="1"/>
  <c r="J24" i="30"/>
  <c r="R24" i="30" s="1"/>
  <c r="I13" i="30"/>
  <c r="Q13" i="30" s="1"/>
  <c r="J9" i="30"/>
  <c r="R9" i="30" s="1"/>
  <c r="J17" i="30"/>
  <c r="R17" i="30" s="1"/>
  <c r="J25" i="30"/>
  <c r="R25" i="30" s="1"/>
  <c r="I15" i="30"/>
  <c r="Q15" i="30" s="1"/>
  <c r="E24" i="30"/>
  <c r="M24" i="30" s="1"/>
  <c r="E9" i="30"/>
  <c r="M9" i="30" s="1"/>
  <c r="E13" i="30"/>
  <c r="M13" i="30" s="1"/>
  <c r="E23" i="30"/>
  <c r="M23" i="30" s="1"/>
  <c r="E8" i="30"/>
  <c r="M8" i="30" s="1"/>
  <c r="E17" i="30"/>
  <c r="M17" i="30" s="1"/>
  <c r="E12" i="30"/>
  <c r="M12" i="30" s="1"/>
  <c r="E22" i="30"/>
  <c r="M22" i="30" s="1"/>
  <c r="E7" i="30"/>
  <c r="M7" i="30" s="1"/>
  <c r="E11" i="30"/>
  <c r="M11" i="30" s="1"/>
  <c r="E21" i="30"/>
  <c r="M21" i="30" s="1"/>
  <c r="E15" i="30"/>
  <c r="M15" i="30" s="1"/>
  <c r="E6" i="30"/>
  <c r="M6" i="30" s="1"/>
  <c r="F19" i="30"/>
  <c r="N19" i="30" s="1"/>
  <c r="F13" i="30"/>
  <c r="N13" i="30" s="1"/>
  <c r="F23" i="30"/>
  <c r="N23" i="30" s="1"/>
  <c r="F18" i="30"/>
  <c r="N18" i="30" s="1"/>
  <c r="F8" i="30"/>
  <c r="N8" i="30" s="1"/>
  <c r="F17" i="30"/>
  <c r="N17" i="30" s="1"/>
  <c r="F12" i="30"/>
  <c r="N12" i="30" s="1"/>
  <c r="F24" i="30"/>
  <c r="N24" i="30" s="1"/>
  <c r="F22" i="30"/>
  <c r="N22" i="30" s="1"/>
  <c r="F7" i="30"/>
  <c r="N7" i="30" s="1"/>
  <c r="F20" i="30"/>
  <c r="N20" i="30" s="1"/>
  <c r="F16" i="30"/>
  <c r="N16" i="30" s="1"/>
  <c r="F11" i="30"/>
  <c r="N11" i="30" s="1"/>
  <c r="F21" i="30"/>
  <c r="N21" i="30" s="1"/>
  <c r="F15" i="30"/>
  <c r="N15" i="30" s="1"/>
  <c r="F6" i="30"/>
  <c r="N6" i="30" s="1"/>
  <c r="F14" i="30"/>
  <c r="N14" i="30" s="1"/>
  <c r="F25" i="30"/>
  <c r="N25" i="30" s="1"/>
  <c r="F10" i="30"/>
  <c r="N10" i="30" s="1"/>
  <c r="F9" i="30"/>
  <c r="N9" i="30" s="1"/>
  <c r="J18" i="31"/>
  <c r="J34" i="31"/>
  <c r="J39" i="31" s="1"/>
  <c r="K48" i="31" s="1"/>
  <c r="H18" i="31"/>
  <c r="M48" i="31"/>
  <c r="M47" i="31"/>
  <c r="M44" i="31"/>
  <c r="M45" i="31"/>
  <c r="M49" i="31" s="1"/>
  <c r="M46" i="31"/>
  <c r="K39" i="31"/>
  <c r="N39" i="31"/>
  <c r="H39" i="31"/>
  <c r="I25" i="31"/>
  <c r="I34" i="31" s="1"/>
  <c r="I39" i="31" s="1"/>
  <c r="I18" i="31"/>
  <c r="G25" i="31"/>
  <c r="G34" i="31" s="1"/>
  <c r="G39" i="31" s="1"/>
  <c r="G18" i="31"/>
  <c r="L25" i="31"/>
  <c r="L34" i="31" s="1"/>
  <c r="L39" i="31" s="1"/>
  <c r="L18" i="31"/>
  <c r="F25" i="31"/>
  <c r="F34" i="31" s="1"/>
  <c r="F39" i="31" s="1"/>
  <c r="F18" i="31"/>
  <c r="AT15" i="17"/>
  <c r="AB15" i="17"/>
  <c r="AA15" i="17"/>
  <c r="AS15" i="24"/>
  <c r="AB15" i="24"/>
  <c r="AK15" i="24"/>
  <c r="AJ15" i="24"/>
  <c r="AC15" i="24"/>
  <c r="AU15" i="24"/>
  <c r="AB15" i="18"/>
  <c r="AJ15" i="18"/>
  <c r="AC15" i="20"/>
  <c r="AL15" i="20"/>
  <c r="AU15" i="20"/>
  <c r="AJ15" i="20"/>
  <c r="AT15" i="20"/>
  <c r="AA15" i="20"/>
  <c r="AS15" i="20"/>
  <c r="AK15" i="20"/>
  <c r="AU15" i="13"/>
  <c r="AB15" i="13"/>
  <c r="AS15" i="17"/>
  <c r="AU15" i="18"/>
  <c r="AC15" i="18"/>
  <c r="AJ15" i="17"/>
  <c r="AT15" i="18"/>
  <c r="AA15" i="24"/>
  <c r="AS15" i="13"/>
  <c r="AK15" i="17"/>
  <c r="AU15" i="17"/>
  <c r="AT15" i="24"/>
  <c r="AJ15" i="13"/>
  <c r="AB15" i="20"/>
  <c r="AL15" i="18"/>
  <c r="AA15" i="13"/>
  <c r="AA15" i="18"/>
  <c r="AT15" i="13"/>
  <c r="AL15" i="17"/>
  <c r="AL15" i="13"/>
  <c r="AL15" i="24"/>
  <c r="AK15" i="13"/>
  <c r="AC15" i="13"/>
  <c r="AK15" i="18"/>
  <c r="AS15" i="18"/>
  <c r="K44" i="31" l="1"/>
  <c r="K46" i="31"/>
  <c r="K47" i="31"/>
  <c r="K52" i="31"/>
  <c r="K51" i="31"/>
  <c r="K50" i="31"/>
  <c r="F53" i="30"/>
  <c r="L53" i="30"/>
  <c r="J53" i="30"/>
  <c r="H53" i="30"/>
  <c r="D53" i="30"/>
  <c r="G43" i="30"/>
  <c r="I43" i="30"/>
  <c r="M43" i="30"/>
  <c r="K43" i="30"/>
  <c r="E43" i="30"/>
  <c r="K44" i="30"/>
  <c r="I44" i="30"/>
  <c r="M44" i="30"/>
  <c r="G44" i="30"/>
  <c r="E44" i="30"/>
  <c r="D40" i="30"/>
  <c r="J40" i="30"/>
  <c r="H40" i="30"/>
  <c r="L40" i="30"/>
  <c r="F40" i="30"/>
  <c r="F37" i="30"/>
  <c r="L37" i="30"/>
  <c r="J37" i="30"/>
  <c r="H37" i="30"/>
  <c r="D37" i="30"/>
  <c r="M51" i="30"/>
  <c r="K51" i="30"/>
  <c r="I51" i="30"/>
  <c r="G51" i="30"/>
  <c r="E51" i="30"/>
  <c r="E54" i="30"/>
  <c r="I54" i="30"/>
  <c r="G54" i="30"/>
  <c r="K54" i="30"/>
  <c r="M54" i="30"/>
  <c r="K35" i="30"/>
  <c r="E35" i="30"/>
  <c r="I35" i="30"/>
  <c r="G35" i="30"/>
  <c r="M35" i="30"/>
  <c r="E48" i="30"/>
  <c r="M48" i="30"/>
  <c r="K48" i="30"/>
  <c r="I48" i="30"/>
  <c r="G48" i="30"/>
  <c r="M46" i="30"/>
  <c r="K46" i="30"/>
  <c r="I46" i="30"/>
  <c r="E46" i="30"/>
  <c r="G46" i="30"/>
  <c r="F35" i="30"/>
  <c r="L35" i="30"/>
  <c r="J35" i="30"/>
  <c r="H35" i="30"/>
  <c r="D35" i="30"/>
  <c r="F41" i="30"/>
  <c r="L41" i="30"/>
  <c r="J41" i="30"/>
  <c r="H41" i="30"/>
  <c r="D41" i="30"/>
  <c r="G40" i="30"/>
  <c r="M40" i="30"/>
  <c r="K40" i="30"/>
  <c r="I40" i="30"/>
  <c r="E40" i="30"/>
  <c r="E38" i="30"/>
  <c r="I38" i="30"/>
  <c r="M38" i="30"/>
  <c r="K38" i="30"/>
  <c r="G38" i="30"/>
  <c r="F51" i="30"/>
  <c r="L51" i="30"/>
  <c r="J51" i="30"/>
  <c r="H51" i="30"/>
  <c r="D51" i="30"/>
  <c r="K45" i="31"/>
  <c r="F42" i="30"/>
  <c r="D42" i="30"/>
  <c r="L42" i="30"/>
  <c r="J42" i="30"/>
  <c r="H42" i="30"/>
  <c r="I49" i="30"/>
  <c r="M49" i="30"/>
  <c r="K49" i="30"/>
  <c r="G49" i="30"/>
  <c r="E49" i="30"/>
  <c r="F52" i="30"/>
  <c r="L52" i="30"/>
  <c r="J52" i="30"/>
  <c r="H52" i="30"/>
  <c r="D52" i="30"/>
  <c r="H50" i="30"/>
  <c r="J50" i="30"/>
  <c r="L50" i="30"/>
  <c r="D50" i="30"/>
  <c r="F50" i="30"/>
  <c r="E50" i="30"/>
  <c r="K50" i="30"/>
  <c r="I50" i="30"/>
  <c r="G50" i="30"/>
  <c r="M50" i="30"/>
  <c r="G41" i="30"/>
  <c r="M41" i="30"/>
  <c r="K41" i="30"/>
  <c r="I41" i="30"/>
  <c r="E41" i="30"/>
  <c r="F38" i="30"/>
  <c r="L38" i="30"/>
  <c r="J38" i="30"/>
  <c r="H38" i="30"/>
  <c r="D38" i="30"/>
  <c r="F36" i="30"/>
  <c r="L36" i="30"/>
  <c r="J36" i="30"/>
  <c r="H36" i="30"/>
  <c r="D36" i="30"/>
  <c r="G42" i="30"/>
  <c r="M42" i="30"/>
  <c r="K42" i="30"/>
  <c r="I42" i="30"/>
  <c r="E42" i="30"/>
  <c r="G52" i="30"/>
  <c r="E52" i="30"/>
  <c r="M52" i="30"/>
  <c r="K52" i="30"/>
  <c r="I52" i="30"/>
  <c r="M47" i="30"/>
  <c r="K47" i="30"/>
  <c r="I47" i="30"/>
  <c r="E47" i="30"/>
  <c r="G47" i="30"/>
  <c r="G45" i="30"/>
  <c r="M45" i="30"/>
  <c r="K45" i="30"/>
  <c r="I45" i="30"/>
  <c r="E45" i="30"/>
  <c r="L46" i="30"/>
  <c r="J46" i="30"/>
  <c r="H46" i="30"/>
  <c r="F46" i="30"/>
  <c r="D46" i="30"/>
  <c r="K49" i="31"/>
  <c r="D44" i="30"/>
  <c r="H44" i="30"/>
  <c r="J44" i="30"/>
  <c r="L44" i="30"/>
  <c r="F44" i="30"/>
  <c r="E53" i="30"/>
  <c r="I53" i="30"/>
  <c r="M53" i="30"/>
  <c r="K53" i="30"/>
  <c r="G53" i="30"/>
  <c r="G36" i="30"/>
  <c r="M36" i="30"/>
  <c r="E36" i="30"/>
  <c r="K36" i="30"/>
  <c r="I36" i="30"/>
  <c r="I39" i="30"/>
  <c r="K39" i="30"/>
  <c r="M39" i="30"/>
  <c r="E39" i="30"/>
  <c r="G39" i="30"/>
  <c r="M37" i="30"/>
  <c r="K37" i="30"/>
  <c r="I37" i="30"/>
  <c r="E37" i="30"/>
  <c r="G37" i="30"/>
  <c r="H47" i="31"/>
  <c r="H44" i="31"/>
  <c r="H48" i="31" s="1"/>
  <c r="H45" i="31"/>
  <c r="H46" i="31"/>
  <c r="H50" i="31" l="1"/>
  <c r="H49" i="31"/>
  <c r="H51" i="31"/>
  <c r="H52" i="31"/>
</calcChain>
</file>

<file path=xl/sharedStrings.xml><?xml version="1.0" encoding="utf-8"?>
<sst xmlns="http://schemas.openxmlformats.org/spreadsheetml/2006/main" count="1724" uniqueCount="282">
  <si>
    <t>Netflix</t>
  </si>
  <si>
    <t>Increase (based on 20% increase)</t>
  </si>
  <si>
    <t>Min</t>
  </si>
  <si>
    <t>Median</t>
  </si>
  <si>
    <t>Max</t>
  </si>
  <si>
    <t>Water (L/month)</t>
  </si>
  <si>
    <t>Platform</t>
  </si>
  <si>
    <t>Youtube</t>
  </si>
  <si>
    <t>Skype</t>
  </si>
  <si>
    <t>--</t>
  </si>
  <si>
    <t>Source</t>
  </si>
  <si>
    <t>https://ispspeedindex.netflix.com/global/ ; https://www.digitaltrends.com/home-theater/how-much-data-does-netflix-use/</t>
  </si>
  <si>
    <t>Hulu</t>
  </si>
  <si>
    <t>https://help.hulu.com/s/article/speed-recommendations?language=en_US</t>
  </si>
  <si>
    <t>Amazon Video</t>
  </si>
  <si>
    <t>https://www.finder.com.au/amazon-prime-video-data-usage</t>
  </si>
  <si>
    <t>https://www.whistleout.ca/CellPhones/Guides/How-Much-Data-Does-Spotify-Use-Canada</t>
  </si>
  <si>
    <t>https://www.whistleout.com.au/Broadband/Guides/How-much-data-does-Zoom-use</t>
  </si>
  <si>
    <t>https://support.google.com/hangouts/forum/AAAAfpFnBZ8XNEcxalCEBc/?hl=en-GB</t>
  </si>
  <si>
    <t>https://thecellguide.com/data-usage-of-facetime-on-apple-iphone-everything-you-need-to-know-47714</t>
  </si>
  <si>
    <t>https://9to5google.com/2017/07/23/justin-uberti-google-duo-cellular-data-usage-video-calling/</t>
  </si>
  <si>
    <t>https://help.webex.com/en-us/WBX22158/What-are-the-Minimum-Bandwidth-Requirements-for-Sending-and-Receiving-Video-in-Cisco-Webex-Meetings</t>
  </si>
  <si>
    <t>Social Media</t>
  </si>
  <si>
    <t xml:space="preserve">Facebook </t>
  </si>
  <si>
    <t>https://www.wirefly.com/guides/how-much-data-does-facebook-app-use</t>
  </si>
  <si>
    <t>https://www.wirefly.com/guides/how-much-data-does-instagram-use</t>
  </si>
  <si>
    <t>https://www.whistleout.com.au/MobilePhones/Guides/Mobile-broadband-usage-guide</t>
  </si>
  <si>
    <t>https://www.canstarblue.com.au/apps/twitter-data-usage/</t>
  </si>
  <si>
    <t>https://trembit.com/blog/how-much-does-it-cost-to-maintain-tiktok-servers/</t>
  </si>
  <si>
    <t>Messaging</t>
  </si>
  <si>
    <t>https://newsbeezer.com/venezulaeng/how-many-megabytes-of-data-whatsapp-uses-audios-calls-messages/</t>
  </si>
  <si>
    <t>https://help.wechat.com/cgi-bin/micromsg-bin/oshelpcenter?opcode=2&amp;id=1208117b2mai141024jfybfz&amp;lang=en&amp;plat=2&amp;Channel=helpcenter</t>
  </si>
  <si>
    <t>https://www.whistleout.com.au/Broadband/Guides/how-much-data-do-I-need-for-online-gaming</t>
  </si>
  <si>
    <t>https://www.makeuseof.com/tag/how-much-data-does-youtube-use/</t>
  </si>
  <si>
    <t>https://www.amaysim.com.au/blog/stuff-made-simple/whered-my-data-go-a-data-guide-to-common-internet-activities</t>
  </si>
  <si>
    <t>%</t>
  </si>
  <si>
    <t>Carbon foortprint (g of CO2eq/kWh)</t>
  </si>
  <si>
    <t>Water foortprint of elec (m^3/GJ)</t>
  </si>
  <si>
    <t>Water foortprint of cooling (m^3/TJ)</t>
  </si>
  <si>
    <t>Water foortprint of elec-total (m^3/GJ)</t>
  </si>
  <si>
    <t>Land foortprint (m^2/MWh)</t>
  </si>
  <si>
    <t>Carbon foortprint (g of CO2eq/GB)- Data centers</t>
  </si>
  <si>
    <t>Carbon foortprint (g of CO2eq/GB)- Transmission</t>
  </si>
  <si>
    <t>Carbon foortprint (g of CO2eq/GB)- Total</t>
  </si>
  <si>
    <t>Water foortprint (lit/GB)- Data centers</t>
  </si>
  <si>
    <t>Water foortprint (lit/GB)- Transmission</t>
  </si>
  <si>
    <t>Water foortprint (lit/GB)- Total</t>
  </si>
  <si>
    <t>Land foortprint (cm^2/GB)- Data centers</t>
  </si>
  <si>
    <t>Land foortprint (cm^2/GB)- Transmission</t>
  </si>
  <si>
    <t>Land foortprint (cm^2/GB)- Total</t>
  </si>
  <si>
    <t>CO2e (g/month)</t>
  </si>
  <si>
    <t>Land (cm^2/Month)</t>
  </si>
  <si>
    <t>TWh</t>
  </si>
  <si>
    <t>Median (truncated lognormal)</t>
  </si>
  <si>
    <t>Median (truncated log-normal)</t>
  </si>
  <si>
    <t>data centers</t>
  </si>
  <si>
    <t>transmission</t>
  </si>
  <si>
    <t>Coal</t>
  </si>
  <si>
    <t>Oil</t>
  </si>
  <si>
    <t>Natural Gas</t>
  </si>
  <si>
    <t>Nuclear</t>
  </si>
  <si>
    <t>Hydro</t>
  </si>
  <si>
    <t>Bioenergy</t>
  </si>
  <si>
    <t>Wind: Onshore</t>
  </si>
  <si>
    <t>Wind: Offshore</t>
  </si>
  <si>
    <t>Solar PV</t>
  </si>
  <si>
    <t>Geothermal</t>
  </si>
  <si>
    <t>CSP</t>
  </si>
  <si>
    <t>Constants</t>
  </si>
  <si>
    <t>Global use/month (EB)</t>
  </si>
  <si>
    <t>COVID % increase</t>
  </si>
  <si>
    <t>EB to GB factor</t>
  </si>
  <si>
    <t>Vehicle miles driven</t>
  </si>
  <si>
    <t>Gallons of Gasoline consumed</t>
  </si>
  <si>
    <t>Home's electricity for one year</t>
  </si>
  <si>
    <t>Barrels of OIl</t>
  </si>
  <si>
    <t>Tanker trucks of gas</t>
  </si>
  <si>
    <t># trees planted to sequester</t>
  </si>
  <si>
    <t>Olympic Swimming pools</t>
  </si>
  <si>
    <t>Aircraft Carriers (displacement)</t>
  </si>
  <si>
    <t>Bioenergy(biomass=wood+waste)</t>
  </si>
  <si>
    <t>Bioenergy (biofuels+waste)</t>
  </si>
  <si>
    <t>Tide</t>
  </si>
  <si>
    <t>Bioenergy (biofuels)</t>
  </si>
  <si>
    <t>Bioenergy(biofuels)</t>
  </si>
  <si>
    <t>Bioenergy(biofuels+waste)</t>
  </si>
  <si>
    <t>Bioenergy(biomass)</t>
  </si>
  <si>
    <t>https://www.energy-charts.de/energy.htm?source=all-sources&amp;period=annual&amp;year=2019</t>
  </si>
  <si>
    <t>Hydro (pumped storage+water)</t>
  </si>
  <si>
    <t>Bioenergy(biomass+biogas)</t>
  </si>
  <si>
    <t>https://stat.gov.pl/en/topics/environment-energy/energy/energy-statistics-in-2017-and-2018,4,14.html</t>
  </si>
  <si>
    <t>Other srouces</t>
  </si>
  <si>
    <t>max</t>
  </si>
  <si>
    <t>File Contents</t>
  </si>
  <si>
    <t>Tab</t>
  </si>
  <si>
    <t>Description</t>
  </si>
  <si>
    <t>Global Footprints</t>
  </si>
  <si>
    <t>Brazil Footprints</t>
  </si>
  <si>
    <t>Carbon, water, and land footprints of internet use for Brazil, given their specific energy mix.</t>
  </si>
  <si>
    <t>Carbon, water, and land footprints of internet use, given the global energy mix.</t>
  </si>
  <si>
    <t>China Footprints</t>
  </si>
  <si>
    <t>France Footprints</t>
  </si>
  <si>
    <t>Germany Footprints</t>
  </si>
  <si>
    <t>India Footprints</t>
  </si>
  <si>
    <t>Iran Footprints</t>
  </si>
  <si>
    <t>Italy Footprints</t>
  </si>
  <si>
    <t>Japan Footprints</t>
  </si>
  <si>
    <t>Mexico Footprints</t>
  </si>
  <si>
    <t>Pakistan Footprints</t>
  </si>
  <si>
    <t>South Africa Footprints</t>
  </si>
  <si>
    <t>United Kingdom Footprints</t>
  </si>
  <si>
    <t>Poland Footprints</t>
  </si>
  <si>
    <t>Russia Footprints</t>
  </si>
  <si>
    <t>United States Footprints</t>
  </si>
  <si>
    <t>Carbon, water, and land footprints of internet use for China, given their specific energy mix.</t>
  </si>
  <si>
    <t>Carbon, water, and land footprints of internet use for France, given their specific energy mix.</t>
  </si>
  <si>
    <t>Carbon, water, and land footprints of internet use for Germany, given their specific energy mix.</t>
  </si>
  <si>
    <t>Carbon, water, and land footprints of internet use for Iran, given their specific energy mix.</t>
  </si>
  <si>
    <t>Carbon, water, and land footprints of internet use for Italy, given their specific energy mix.</t>
  </si>
  <si>
    <t>Carbon, water, and land footprints of internet use for Japan, given their specific energy mix.</t>
  </si>
  <si>
    <t>Carbon, water, and land footprints of internet use for Mexico, given their specific energy mix.</t>
  </si>
  <si>
    <t>Carbon, water, and land footprints of internet use for Pakistan, given their specific energy mix.</t>
  </si>
  <si>
    <t>Carbon, water, and land footprints of internet use for Poland, given their specific energy mix.</t>
  </si>
  <si>
    <t>Carbon, water, and land footprints of internet use for Russia, given their specific energy mix.</t>
  </si>
  <si>
    <t>Carbon, water, and land footprints of internet use for South Africa, given their specific energy mix.</t>
  </si>
  <si>
    <t>Carbon, water, and land footprints of internet use for the United Kingdom, given their specific energy mix.</t>
  </si>
  <si>
    <t>Carbon, water, and land footprints of internet use for the United States, given their specific energy mix.</t>
  </si>
  <si>
    <t>COVID-19 Increases</t>
  </si>
  <si>
    <t>Application-based Footprints</t>
  </si>
  <si>
    <t xml:space="preserve">Internet use was defined as the storage and transmission of data [1]. </t>
  </si>
  <si>
    <t>This analysis did not take the various end-use devices (e.g., smartphones, laptops, tablets, etc.) into account, which are often considered to be separate from the internet network [1].</t>
  </si>
  <si>
    <r>
      <t>Aslan, J., Mayers, K., Koomey, J. G., &amp; France, C. (2018). Electricity intensity of Internet data transmission: Untangling the estimates. </t>
    </r>
    <r>
      <rPr>
        <i/>
        <sz val="10"/>
        <color rgb="FF222222"/>
        <rFont val="Arial"/>
        <family val="2"/>
      </rPr>
      <t>Journal of Industrial Ecology</t>
    </r>
    <r>
      <rPr>
        <sz val="10"/>
        <color rgb="FF222222"/>
        <rFont val="Arial"/>
        <family val="2"/>
      </rPr>
      <t>, </t>
    </r>
    <r>
      <rPr>
        <i/>
        <sz val="10"/>
        <color rgb="FF222222"/>
        <rFont val="Arial"/>
        <family val="2"/>
      </rPr>
      <t>22</t>
    </r>
    <r>
      <rPr>
        <sz val="10"/>
        <color rgb="FF222222"/>
        <rFont val="Arial"/>
        <family val="2"/>
      </rPr>
      <t>(4), 785-798.</t>
    </r>
  </si>
  <si>
    <t>https://www.nature.org/en-us/get-involved/how-to-help/carbon-footprint-calculator/</t>
  </si>
  <si>
    <t xml:space="preserve">Carbon, water, and land footprints of various internet-based applications, including streaming services, videoconferencing, social media, online gaming, and web browsing. </t>
  </si>
  <si>
    <t>Assumptions and Sources of Uncertainty</t>
  </si>
  <si>
    <r>
      <t>Giljum, S., Lutter, S., Bruckner, M., &amp; Aparcana, S. (2013). State of play of national consumption-based indicators. </t>
    </r>
    <r>
      <rPr>
        <i/>
        <sz val="10"/>
        <color rgb="FF222222"/>
        <rFont val="Arial"/>
        <family val="2"/>
      </rPr>
      <t>A review and evaluation of available methods and data to calculate footprint-type (consumption-based) indicators for materials, water, land and carbon. Report for DG Environment of the European Commission. Sustainable Europe Research Institute (SERI), Vienna</t>
    </r>
    <r>
      <rPr>
        <sz val="10"/>
        <color rgb="FF222222"/>
        <rFont val="Arial"/>
        <family val="2"/>
      </rPr>
      <t>.</t>
    </r>
  </si>
  <si>
    <t>C. Kang, D. Alba, A. Satariano,The New York Times(2020).</t>
  </si>
  <si>
    <t>Model inputs were obtained from various sources within the scientific literature and public agency reports.</t>
  </si>
  <si>
    <t>Carbon, water, and land footprints of internet use for India, given their specific energy mix.</t>
  </si>
  <si>
    <t>Definitions</t>
  </si>
  <si>
    <t>Energy Mix</t>
  </si>
  <si>
    <t>Data</t>
  </si>
  <si>
    <t>IEA, World Energy Outlook 2019,Tech. rep., International Energy Agency (2019).</t>
  </si>
  <si>
    <t>International Energy Agency [6]</t>
  </si>
  <si>
    <t>U. R. Fritsche,et al., Energy and Land Use,Tech. rep., International Renewable EnergyAgency (2017)</t>
  </si>
  <si>
    <t>International Energy Agency [6], US Energy Information Administration [7]</t>
  </si>
  <si>
    <t>International Energy Agency [6], US Energy Information Administration [7], UK Department for Business, Energy and Industrial Strategy [8]</t>
  </si>
  <si>
    <t>W. Evans, UK Energy Statistics, Q3 2019,Tech. rep., UK Department for Business, Energyand Industrial Strategy (2019)</t>
  </si>
  <si>
    <t>US Energy Information Administration, Short-term energy outlook (steo) march 2020,Tech. rep.(2020).</t>
  </si>
  <si>
    <t>Data Center Electricity Usage</t>
  </si>
  <si>
    <t>World electricity generation in 2018 [6]</t>
  </si>
  <si>
    <t>Electricity usage (kWh/GB) [1]</t>
  </si>
  <si>
    <t>Water foortprint (L/GB)- Data centers</t>
  </si>
  <si>
    <t>Water foortprint (L/GB)- Transmission</t>
  </si>
  <si>
    <t>Water foortprint (L/GB)- Total</t>
  </si>
  <si>
    <t>Carbon, Water, and Land Footprints of Energy Sources</t>
  </si>
  <si>
    <t>Brazil electricity generation in 2017 [6]</t>
  </si>
  <si>
    <t>China electricity generation in 2017 [6]</t>
  </si>
  <si>
    <t>International Energy Agency [6]*</t>
  </si>
  <si>
    <t>* Note the IEA separates the People's Republic of China from Hong Kong, thus Hong Kong is not included in these calculations</t>
  </si>
  <si>
    <t>France electricity generation in 2018 [6]</t>
  </si>
  <si>
    <t>Germany electricity generation in 2019 [12]</t>
  </si>
  <si>
    <t>International Energy Agency [6],  Fraunhofer Institute for Solar Energy Systems ISE [12]</t>
  </si>
  <si>
    <t>TOTAL</t>
  </si>
  <si>
    <t>India electricity generation in 2017 [6]</t>
  </si>
  <si>
    <t>Iran electricity generation in 2017 [6]</t>
  </si>
  <si>
    <t>Italy electricity generation in 2018 [6]</t>
  </si>
  <si>
    <t>Japan electricity generation in 2018 [6]</t>
  </si>
  <si>
    <t>Mexico electricity generation in 2018 [6]</t>
  </si>
  <si>
    <t>Pakistan electricity generation in 2017 [6]</t>
  </si>
  <si>
    <t>Poland electricity generation in 2018 [6,13]</t>
  </si>
  <si>
    <t>International Energy Agency [6], Poland National Census of Population and Housing [13]</t>
  </si>
  <si>
    <t>Russia electricity generation in 2017 [6]</t>
  </si>
  <si>
    <t>South Africa electricity generation in 2017 [6]</t>
  </si>
  <si>
    <t>International Energy Agency [6], UK Department for Business, Energy and Industrial Strategy [8]</t>
  </si>
  <si>
    <t>UK electricity generation in 2019 [8]</t>
  </si>
  <si>
    <t>US electricity generation in 2019 [7]</t>
  </si>
  <si>
    <t>Absolute Usage (based on 254 EB/month globally)</t>
  </si>
  <si>
    <t>This file contains the input values, results, and data sources for the internet environmental footprint analysis. Specific tabs are defined below.</t>
  </si>
  <si>
    <t>Global increase in the carbon, water, and land footprints of internet use due to the COVID-19 pandemic.</t>
  </si>
  <si>
    <t>References</t>
  </si>
  <si>
    <t>Compilation of references/sources considered in this analysis (data sources are also listed below tables in each tab).</t>
  </si>
  <si>
    <t>Carbon footprint [2] is the emissions caused by the storage and transmission of data, which include a number of greenhouse gases. Carbon footprint is presented here as the equivalent CO2 emissions.</t>
  </si>
  <si>
    <t xml:space="preserve">Water footprint [3] is a measure of the amount of freshwater (consumed and impacted) by store and transmit of data. </t>
  </si>
  <si>
    <r>
      <t>Madani, K., Khatami, S. Water for Energy: Inconsistent Assessment Standards and Inability to Judge Properly. </t>
    </r>
    <r>
      <rPr>
        <i/>
        <sz val="10"/>
        <color rgb="FF333333"/>
        <rFont val="Arial"/>
        <family val="2"/>
        <scheme val="major"/>
      </rPr>
      <t>Curr Sustainable Renewable Energy Rep</t>
    </r>
    <r>
      <rPr>
        <sz val="10"/>
        <color rgb="FF333333"/>
        <rFont val="Arial"/>
        <family val="2"/>
        <scheme val="major"/>
      </rPr>
      <t> </t>
    </r>
    <r>
      <rPr>
        <b/>
        <sz val="10"/>
        <color rgb="FF333333"/>
        <rFont val="Arial"/>
        <family val="2"/>
        <scheme val="major"/>
      </rPr>
      <t>2, </t>
    </r>
    <r>
      <rPr>
        <sz val="10"/>
        <color rgb="FF333333"/>
        <rFont val="Arial"/>
        <family val="2"/>
        <scheme val="major"/>
      </rPr>
      <t>10–16 (2015)</t>
    </r>
  </si>
  <si>
    <t>Land footprint [4] is amount of land needed to store and transmit data.</t>
  </si>
  <si>
    <r>
      <t>Mahlooji, Maral, et al. "The importance of considering resource availability restrictions in energy planning: What is the footprint of electricity generation in the Middle East and North Africa (MENA)?." </t>
    </r>
    <r>
      <rPr>
        <i/>
        <sz val="10"/>
        <color rgb="FF222222"/>
        <rFont val="Arial"/>
        <family val="2"/>
      </rPr>
      <t>Science of The Total Environment</t>
    </r>
    <r>
      <rPr>
        <sz val="10"/>
        <color rgb="FF222222"/>
        <rFont val="Arial"/>
        <family val="2"/>
      </rPr>
      <t> 717 (2020): 135035.</t>
    </r>
  </si>
  <si>
    <t xml:space="preserve">In the case of the water and land footprints for electricity use (columns G-I and P-R in the footprint tabs), only minimum and maximum values were available in the literature. Following Mahlooji et al. (2020) [14] and Ristic et al. (2019) [10], to estimate the median values, we applied a truncated lognormal distribution. </t>
  </si>
  <si>
    <t>The energy mix considered in this study was based on the average portfolio in a given country or globally. Regional differences in energy mix within the same country (e.g., increased use of renewables in various parts of the United States) are not considered, potentially leading to overestimation of the environmental footprints in places where internet providers are increasing the share of renewable energies in their supply portfolios.</t>
  </si>
  <si>
    <t>The electricity used for data storage and transmission was assumed to be constant across the entire globe based on the value estimated by [1]. Thus, our analysis may undersestimate the environmental footprint of internet use, especially in countries with developing economies, which are likely to consume more electricity for data storage and transmission than the values estimated by [1].</t>
  </si>
  <si>
    <t xml:space="preserve">We assumed a 20% increase in global internet use due to the COVID-19 pandemic [5]. This value likely differs from country to country, but there is a lack of publicly available data detailing the increase. </t>
  </si>
  <si>
    <t>Total footprint increase assuming remote work started in March 2020 and continues through December 2021</t>
  </si>
  <si>
    <t>metric tons CO2e</t>
  </si>
  <si>
    <t>min</t>
  </si>
  <si>
    <t>median</t>
  </si>
  <si>
    <t>L water</t>
  </si>
  <si>
    <t>km^2 land</t>
  </si>
  <si>
    <t>What does the increase mean? (using median values)</t>
  </si>
  <si>
    <t>Inputs to this tab are from the 'Global Footprints' tab. Specifically the calculated carbon, water, and land footprints (per GB) are used.</t>
  </si>
  <si>
    <t>carbon footprint increase as…</t>
  </si>
  <si>
    <t>grams</t>
  </si>
  <si>
    <t>kilograms</t>
  </si>
  <si>
    <t>metric tons</t>
  </si>
  <si>
    <t>water footprint increase as…</t>
  </si>
  <si>
    <t>kg beef (15415 L/kg beef)</t>
  </si>
  <si>
    <t>kg tomatoes (200 L/kg tomatoes)</t>
  </si>
  <si>
    <t>kg bananas (1056 L/kg bananas)</t>
  </si>
  <si>
    <t>kg apples (833 L/kg apple)</t>
  </si>
  <si>
    <t>kg oranges (533 L/kg oranges)</t>
  </si>
  <si>
    <t>L beer (296 L water/L beer)</t>
  </si>
  <si>
    <t>land footprint as…</t>
  </si>
  <si>
    <t>cm^2</t>
  </si>
  <si>
    <t>m^2</t>
  </si>
  <si>
    <t>km^2</t>
  </si>
  <si>
    <t>mi^2</t>
  </si>
  <si>
    <t>acres</t>
  </si>
  <si>
    <t>football fields</t>
  </si>
  <si>
    <t>Footprints for specific applications</t>
  </si>
  <si>
    <t>Data Usage</t>
  </si>
  <si>
    <t>Carbon Footprint (g CO2e/hr)</t>
  </si>
  <si>
    <t>Water Footprint (L/hr)</t>
  </si>
  <si>
    <t>Land Footprint (cm^2/hr)</t>
  </si>
  <si>
    <t>Netflix [15]</t>
  </si>
  <si>
    <t>Hulu [16]</t>
  </si>
  <si>
    <t>Amazon Video [17]</t>
  </si>
  <si>
    <t>Youtube [18]</t>
  </si>
  <si>
    <t>Spotify [19]</t>
  </si>
  <si>
    <t>Skype [20]</t>
  </si>
  <si>
    <t>Zoom [21]</t>
  </si>
  <si>
    <t>Webex [22]</t>
  </si>
  <si>
    <t>FaceTime [23]</t>
  </si>
  <si>
    <t>Google Hangout [24]</t>
  </si>
  <si>
    <t>Google Duo [25]</t>
  </si>
  <si>
    <t>Facebook [26]</t>
  </si>
  <si>
    <t>Twitter [27]</t>
  </si>
  <si>
    <t>Instagram [28]</t>
  </si>
  <si>
    <t>min*</t>
  </si>
  <si>
    <t>* Some applications only had a single data usage value, assumed to be the maximum</t>
  </si>
  <si>
    <t>Snapchat [29]</t>
  </si>
  <si>
    <t>TikTok [30]</t>
  </si>
  <si>
    <t>WhatsApp [31]</t>
  </si>
  <si>
    <t>WeChat [32]</t>
  </si>
  <si>
    <t>Online Gaming [33]</t>
  </si>
  <si>
    <t>Web Surfing [34]</t>
  </si>
  <si>
    <t>https://support.skype.com/en/faq/FA1417/how-much-bandwidth-does-skype-need</t>
  </si>
  <si>
    <t>Data was collected from number of sources, listed on the 'References' tab.</t>
  </si>
  <si>
    <t>Monthly Footprints</t>
  </si>
  <si>
    <t>Carbon Footprint (g CO2e)</t>
  </si>
  <si>
    <t>Water Footprint (L)</t>
  </si>
  <si>
    <t>Land Footprint (cm^2)</t>
  </si>
  <si>
    <t>Spotfiy</t>
  </si>
  <si>
    <t>Streaming Service</t>
  </si>
  <si>
    <t>4 hours of streaming a day for 30 days</t>
  </si>
  <si>
    <t>Videoconferencing</t>
  </si>
  <si>
    <t>15 1-hour videoconferencing meetings a week for 4 weeks</t>
  </si>
  <si>
    <t>2 hours of app use a day for 30 days</t>
  </si>
  <si>
    <t>1 hour of messaging a day for 30 days</t>
  </si>
  <si>
    <t>Miscellaneous</t>
  </si>
  <si>
    <t>4 hours of miscellaneous web use a day for 30 days</t>
  </si>
  <si>
    <t>ASSUMPTIONS</t>
  </si>
  <si>
    <t xml:space="preserve">Web Surfing </t>
  </si>
  <si>
    <t xml:space="preserve">Online Gaming </t>
  </si>
  <si>
    <t xml:space="preserve">WeChat </t>
  </si>
  <si>
    <t xml:space="preserve">WhatsApp </t>
  </si>
  <si>
    <t xml:space="preserve">TikTok </t>
  </si>
  <si>
    <t xml:space="preserve">Snapchat </t>
  </si>
  <si>
    <t xml:space="preserve">Instagram </t>
  </si>
  <si>
    <t xml:space="preserve">Twitter </t>
  </si>
  <si>
    <t xml:space="preserve">Google Duo </t>
  </si>
  <si>
    <t xml:space="preserve">Google Hangout </t>
  </si>
  <si>
    <t xml:space="preserve">FaceTime </t>
  </si>
  <si>
    <t xml:space="preserve">Webex </t>
  </si>
  <si>
    <t xml:space="preserve">Zoom </t>
  </si>
  <si>
    <t>kg potatoes (287 L/kg potatoes)</t>
  </si>
  <si>
    <t>Application-Based Monthly Water Footprints as…</t>
  </si>
  <si>
    <t xml:space="preserve">This file serves as the supplementary material to a manuscript currently under review:  </t>
  </si>
  <si>
    <t xml:space="preserve">Renee Obringer, Debora Maia-Silva, Benjamin Rachunok, Maryam Arbabzadeh, Roshanak Nateghi and Kaveh Madani. The overlooked environmental footprint of increased internet use. </t>
  </si>
  <si>
    <t xml:space="preserve">Sources and References </t>
  </si>
  <si>
    <t>B. Ristic, M. Mahlooji, L. Gaudard, K. Madani, Resources, Conservation and Recycling143, 282 (2019).</t>
  </si>
  <si>
    <t>B. Ristic, K. Madani, Z. Makuch,Sustainability 7, 11260 (2015).</t>
  </si>
  <si>
    <t>Ristic et al. [9,10], International Renewable Energy Agency [11]</t>
  </si>
  <si>
    <t>Aslan et al.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</si>
</sst>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0"/>
      <color rgb="FF000000"/>
      <name val="Arial"/>
    </font>
    <font>
      <sz val="10"/>
      <color theme="1"/>
      <name val="Arial"/>
      <family val="2"/>
    </font>
    <font>
      <sz val="10"/>
      <color rgb="FF000000"/>
      <name val="Arial"/>
      <family val="2"/>
    </font>
    <font>
      <sz val="11"/>
      <color rgb="FF000000"/>
      <name val="Arial"/>
      <family val="2"/>
    </font>
    <font>
      <sz val="10"/>
      <name val="Arial"/>
      <family val="2"/>
    </font>
    <font>
      <sz val="12"/>
      <color rgb="FF000000"/>
      <name val="Calibri"/>
      <family val="2"/>
    </font>
    <font>
      <sz val="12"/>
      <color rgb="FF000000"/>
      <name val="Arial"/>
      <family val="2"/>
    </font>
    <font>
      <sz val="11"/>
      <color rgb="FF000000"/>
      <name val="Inconsolata"/>
    </font>
    <font>
      <sz val="8"/>
      <color rgb="FF93A1A1"/>
      <name val="DejaVu Sans"/>
    </font>
    <font>
      <sz val="8"/>
      <color rgb="FF93A1A1"/>
      <name val="Arial"/>
      <family val="2"/>
    </font>
    <font>
      <sz val="8"/>
      <color rgb="FFFFFFFF"/>
      <name val="Arial"/>
      <family val="2"/>
    </font>
    <font>
      <i/>
      <sz val="8"/>
      <color rgb="FFB0B0B0"/>
      <name val="Arial"/>
      <family val="2"/>
    </font>
    <font>
      <sz val="10"/>
      <color theme="1"/>
      <name val="Arial"/>
      <family val="2"/>
    </font>
    <font>
      <sz val="11"/>
      <color rgb="FF000000"/>
      <name val="Arial"/>
      <family val="2"/>
    </font>
    <font>
      <b/>
      <sz val="11"/>
      <color rgb="FF000000"/>
      <name val="Arial"/>
      <family val="2"/>
    </font>
    <font>
      <b/>
      <sz val="14"/>
      <color rgb="FF000000"/>
      <name val="Arial"/>
      <family val="2"/>
    </font>
    <font>
      <sz val="10"/>
      <color rgb="FF000000"/>
      <name val="Arial"/>
      <family val="2"/>
    </font>
    <font>
      <b/>
      <sz val="10"/>
      <color rgb="FF000000"/>
      <name val="Arial"/>
      <family val="2"/>
    </font>
    <font>
      <sz val="12"/>
      <color rgb="FF000000"/>
      <name val="Calibri"/>
      <family val="2"/>
    </font>
    <font>
      <sz val="10"/>
      <color rgb="FF222222"/>
      <name val="Arial"/>
      <family val="2"/>
    </font>
    <font>
      <i/>
      <sz val="10"/>
      <color rgb="FF222222"/>
      <name val="Arial"/>
      <family val="2"/>
    </font>
    <font>
      <sz val="10"/>
      <color rgb="FF333333"/>
      <name val="Arial"/>
      <family val="2"/>
      <scheme val="major"/>
    </font>
    <font>
      <i/>
      <sz val="10"/>
      <color rgb="FF333333"/>
      <name val="Arial"/>
      <family val="2"/>
      <scheme val="major"/>
    </font>
    <font>
      <b/>
      <sz val="10"/>
      <color rgb="FF333333"/>
      <name val="Arial"/>
      <family val="2"/>
      <scheme val="major"/>
    </font>
    <font>
      <b/>
      <sz val="12"/>
      <color rgb="FF000000"/>
      <name val="Arial"/>
      <family val="2"/>
    </font>
    <font>
      <b/>
      <sz val="10"/>
      <color theme="1"/>
      <name val="Arial"/>
      <family val="2"/>
    </font>
    <font>
      <b/>
      <sz val="12"/>
      <color theme="1"/>
      <name val="Arial"/>
      <family val="2"/>
    </font>
    <font>
      <sz val="10"/>
      <color rgb="FF000000"/>
      <name val="Arial"/>
      <family val="2"/>
      <scheme val="major"/>
    </font>
    <font>
      <sz val="10"/>
      <color theme="1"/>
      <name val="Arial"/>
      <family val="2"/>
      <scheme val="major"/>
    </font>
    <font>
      <b/>
      <sz val="12"/>
      <color rgb="FF000000"/>
      <name val="Arial"/>
      <family val="2"/>
      <scheme val="major"/>
    </font>
    <font>
      <b/>
      <sz val="10"/>
      <color rgb="FF000000"/>
      <name val="Arial"/>
      <family val="2"/>
      <scheme val="major"/>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264">
    <xf numFmtId="0" fontId="0"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applyAlignment="1"/>
    <xf numFmtId="0" fontId="1" fillId="0" borderId="0" xfId="0" applyFont="1"/>
    <xf numFmtId="4" fontId="1" fillId="0" borderId="0" xfId="0" applyNumberFormat="1" applyFont="1"/>
    <xf numFmtId="4" fontId="1" fillId="0" borderId="0" xfId="0" applyNumberFormat="1" applyFont="1" applyAlignment="1"/>
    <xf numFmtId="0" fontId="1" fillId="0" borderId="0" xfId="0" applyFont="1" applyAlignment="1">
      <alignment horizontal="center"/>
    </xf>
    <xf numFmtId="0" fontId="1" fillId="2" borderId="8" xfId="0" applyFont="1" applyFill="1" applyBorder="1" applyAlignment="1"/>
    <xf numFmtId="0" fontId="1" fillId="2" borderId="0" xfId="0" applyFont="1" applyFill="1" applyAlignment="1"/>
    <xf numFmtId="0" fontId="1" fillId="2" borderId="9" xfId="0" applyFont="1" applyFill="1" applyBorder="1" applyAlignment="1"/>
    <xf numFmtId="0" fontId="1" fillId="4" borderId="8" xfId="0" applyFont="1" applyFill="1" applyBorder="1" applyAlignment="1"/>
    <xf numFmtId="0" fontId="1" fillId="4" borderId="0" xfId="0" applyFont="1" applyFill="1" applyAlignment="1"/>
    <xf numFmtId="0" fontId="1" fillId="4" borderId="9" xfId="0" applyFont="1" applyFill="1" applyBorder="1" applyAlignment="1"/>
    <xf numFmtId="0" fontId="1" fillId="5" borderId="8" xfId="0" applyFont="1" applyFill="1" applyBorder="1" applyAlignment="1"/>
    <xf numFmtId="0" fontId="1" fillId="5" borderId="0" xfId="0" applyFont="1" applyFill="1" applyAlignment="1"/>
    <xf numFmtId="0" fontId="1" fillId="5" borderId="9" xfId="0" applyFont="1" applyFill="1" applyBorder="1" applyAlignment="1"/>
    <xf numFmtId="0" fontId="7" fillId="3" borderId="8" xfId="0" applyFont="1" applyFill="1" applyBorder="1" applyAlignment="1"/>
    <xf numFmtId="0" fontId="7" fillId="3" borderId="9" xfId="0" applyFont="1" applyFill="1" applyBorder="1" applyAlignment="1"/>
    <xf numFmtId="0" fontId="5" fillId="0" borderId="0" xfId="0" applyFont="1" applyAlignment="1"/>
    <xf numFmtId="0" fontId="1" fillId="4" borderId="0" xfId="0" applyFont="1" applyFill="1"/>
    <xf numFmtId="0" fontId="1" fillId="4" borderId="0" xfId="0" applyFont="1" applyFill="1"/>
    <xf numFmtId="0" fontId="1" fillId="4" borderId="9" xfId="0" applyFont="1" applyFill="1" applyBorder="1"/>
    <xf numFmtId="0" fontId="2" fillId="5" borderId="0" xfId="0" applyFont="1" applyFill="1" applyAlignment="1">
      <alignment horizontal="right"/>
    </xf>
    <xf numFmtId="0" fontId="2" fillId="5" borderId="9" xfId="0" applyFont="1" applyFill="1" applyBorder="1" applyAlignment="1">
      <alignment horizontal="right"/>
    </xf>
    <xf numFmtId="0" fontId="1" fillId="0" borderId="8" xfId="0" applyFont="1" applyBorder="1" applyAlignment="1"/>
    <xf numFmtId="0" fontId="1" fillId="0" borderId="9" xfId="0" applyFont="1" applyBorder="1" applyAlignment="1"/>
    <xf numFmtId="0" fontId="1" fillId="2" borderId="8" xfId="0" applyFont="1" applyFill="1" applyBorder="1"/>
    <xf numFmtId="0" fontId="1" fillId="2" borderId="0" xfId="0" applyFont="1" applyFill="1"/>
    <xf numFmtId="0" fontId="1" fillId="2" borderId="9" xfId="0" applyFont="1" applyFill="1" applyBorder="1"/>
    <xf numFmtId="0" fontId="1" fillId="4" borderId="8" xfId="0" applyFont="1" applyFill="1" applyBorder="1"/>
    <xf numFmtId="0" fontId="1" fillId="5" borderId="8" xfId="0" applyFont="1" applyFill="1" applyBorder="1"/>
    <xf numFmtId="0" fontId="1" fillId="5" borderId="0" xfId="0" applyFont="1" applyFill="1"/>
    <xf numFmtId="0" fontId="1" fillId="5" borderId="9" xfId="0" applyFont="1" applyFill="1" applyBorder="1"/>
    <xf numFmtId="0" fontId="1" fillId="5" borderId="0" xfId="0" applyFont="1" applyFill="1" applyAlignment="1">
      <alignment horizontal="right"/>
    </xf>
    <xf numFmtId="0" fontId="1" fillId="5" borderId="9" xfId="0" applyFont="1" applyFill="1" applyBorder="1" applyAlignment="1">
      <alignment horizontal="right"/>
    </xf>
    <xf numFmtId="0" fontId="2" fillId="2" borderId="9" xfId="0" applyFont="1" applyFill="1" applyBorder="1" applyAlignment="1">
      <alignment horizontal="right"/>
    </xf>
    <xf numFmtId="0" fontId="3" fillId="5" borderId="0" xfId="0" applyFont="1" applyFill="1" applyAlignment="1">
      <alignment horizontal="right"/>
    </xf>
    <xf numFmtId="0" fontId="3" fillId="5" borderId="9" xfId="0" applyFont="1" applyFill="1" applyBorder="1" applyAlignment="1">
      <alignment horizontal="right"/>
    </xf>
    <xf numFmtId="0" fontId="1" fillId="2" borderId="10" xfId="0" applyFont="1" applyFill="1" applyBorder="1" applyAlignment="1"/>
    <xf numFmtId="0" fontId="1" fillId="2" borderId="11" xfId="0" applyFont="1" applyFill="1" applyBorder="1" applyAlignment="1"/>
    <xf numFmtId="0" fontId="1" fillId="2" borderId="12" xfId="0" applyFont="1" applyFill="1" applyBorder="1" applyAlignment="1"/>
    <xf numFmtId="0" fontId="1" fillId="4" borderId="10" xfId="0" applyFont="1" applyFill="1" applyBorder="1" applyAlignment="1"/>
    <xf numFmtId="0" fontId="1" fillId="4" borderId="11" xfId="0" applyFont="1" applyFill="1" applyBorder="1"/>
    <xf numFmtId="0" fontId="1" fillId="4" borderId="11" xfId="0" applyFont="1" applyFill="1" applyBorder="1" applyAlignment="1"/>
    <xf numFmtId="0" fontId="1" fillId="4" borderId="11" xfId="0" applyFont="1" applyFill="1" applyBorder="1"/>
    <xf numFmtId="0" fontId="1" fillId="4" borderId="12" xfId="0" applyFont="1" applyFill="1" applyBorder="1"/>
    <xf numFmtId="0" fontId="1" fillId="5" borderId="10" xfId="0" applyFont="1" applyFill="1" applyBorder="1" applyAlignment="1"/>
    <xf numFmtId="0" fontId="1" fillId="5" borderId="11" xfId="0" applyFont="1" applyFill="1" applyBorder="1" applyAlignment="1"/>
    <xf numFmtId="0" fontId="1" fillId="5" borderId="12" xfId="0" applyFont="1" applyFill="1" applyBorder="1" applyAlignment="1"/>
    <xf numFmtId="0" fontId="1" fillId="0" borderId="10" xfId="0" applyFont="1" applyBorder="1" applyAlignment="1"/>
    <xf numFmtId="0" fontId="1" fillId="0" borderId="12" xfId="0" applyFont="1" applyBorder="1" applyAlignment="1"/>
    <xf numFmtId="0" fontId="1" fillId="2" borderId="10" xfId="0" applyFont="1" applyFill="1" applyBorder="1"/>
    <xf numFmtId="0" fontId="1" fillId="2" borderId="11" xfId="0" applyFont="1" applyFill="1" applyBorder="1"/>
    <xf numFmtId="0" fontId="1" fillId="2" borderId="12" xfId="0" applyFont="1" applyFill="1" applyBorder="1"/>
    <xf numFmtId="0" fontId="1" fillId="4" borderId="10" xfId="0" applyFont="1" applyFill="1" applyBorder="1"/>
    <xf numFmtId="0" fontId="1" fillId="5" borderId="10" xfId="0" applyFont="1" applyFill="1" applyBorder="1"/>
    <xf numFmtId="0" fontId="1" fillId="5" borderId="11" xfId="0" applyFont="1" applyFill="1" applyBorder="1"/>
    <xf numFmtId="0" fontId="1" fillId="5" borderId="12" xfId="0" applyFont="1" applyFill="1" applyBorder="1"/>
    <xf numFmtId="0" fontId="8" fillId="0" borderId="0" xfId="0" applyFont="1" applyAlignment="1">
      <alignment horizontal="right"/>
    </xf>
    <xf numFmtId="4" fontId="1" fillId="0" borderId="0" xfId="0" applyNumberFormat="1" applyFont="1" applyAlignment="1">
      <alignment horizontal="right"/>
    </xf>
    <xf numFmtId="0" fontId="9" fillId="0" borderId="0" xfId="0" applyFont="1" applyAlignment="1">
      <alignment horizontal="right"/>
    </xf>
    <xf numFmtId="0" fontId="9" fillId="0" borderId="0" xfId="0" applyFont="1" applyAlignment="1"/>
    <xf numFmtId="0" fontId="1" fillId="0" borderId="13" xfId="0" applyFont="1" applyBorder="1" applyAlignment="1"/>
    <xf numFmtId="0" fontId="1" fillId="0" borderId="0" xfId="0" applyFont="1" applyAlignment="1"/>
    <xf numFmtId="0" fontId="10" fillId="0" borderId="0" xfId="0" applyFont="1" applyAlignment="1">
      <alignment horizontal="right"/>
    </xf>
    <xf numFmtId="0" fontId="11" fillId="0" borderId="0" xfId="0" applyFont="1" applyAlignment="1">
      <alignment horizontal="right"/>
    </xf>
    <xf numFmtId="3" fontId="1" fillId="0" borderId="0" xfId="0" applyNumberFormat="1" applyFont="1" applyAlignment="1"/>
    <xf numFmtId="3" fontId="1" fillId="0" borderId="0" xfId="0" applyNumberFormat="1" applyFont="1"/>
    <xf numFmtId="0" fontId="13" fillId="0" borderId="0" xfId="0" applyFont="1" applyAlignment="1"/>
    <xf numFmtId="0" fontId="15" fillId="0" borderId="0" xfId="0" applyFont="1" applyAlignment="1"/>
    <xf numFmtId="0" fontId="16" fillId="0" borderId="0" xfId="0" applyFont="1" applyAlignment="1"/>
    <xf numFmtId="0" fontId="0" fillId="0" borderId="13" xfId="0" applyFont="1" applyBorder="1" applyAlignment="1">
      <alignment horizontal="center"/>
    </xf>
    <xf numFmtId="0" fontId="16" fillId="0" borderId="13" xfId="0" applyFont="1" applyBorder="1" applyAlignment="1"/>
    <xf numFmtId="0" fontId="0" fillId="0" borderId="13" xfId="0" applyFont="1" applyBorder="1" applyAlignment="1"/>
    <xf numFmtId="0" fontId="13" fillId="0" borderId="0" xfId="0" applyFont="1" applyAlignment="1">
      <alignment horizontal="left"/>
    </xf>
    <xf numFmtId="0" fontId="14" fillId="0" borderId="0" xfId="0" applyFont="1" applyAlignment="1">
      <alignment horizontal="center"/>
    </xf>
    <xf numFmtId="0" fontId="13" fillId="0" borderId="0" xfId="0" applyFont="1" applyAlignment="1">
      <alignment horizontal="left" vertical="center"/>
    </xf>
    <xf numFmtId="0" fontId="16" fillId="0" borderId="0" xfId="0" applyFont="1" applyAlignment="1">
      <alignment horizontal="left"/>
    </xf>
    <xf numFmtId="0" fontId="16" fillId="0" borderId="0" xfId="0" applyFont="1" applyAlignment="1">
      <alignment horizontal="left" vertical="center" wrapText="1"/>
    </xf>
    <xf numFmtId="0" fontId="15" fillId="0" borderId="0" xfId="0" applyFont="1" applyAlignment="1">
      <alignment horizontal="left"/>
    </xf>
    <xf numFmtId="0" fontId="12" fillId="0" borderId="0" xfId="0" applyFont="1" applyAlignment="1"/>
    <xf numFmtId="0" fontId="16" fillId="0" borderId="0" xfId="0" applyFont="1" applyAlignment="1">
      <alignment vertical="center"/>
    </xf>
    <xf numFmtId="0" fontId="16" fillId="0" borderId="0" xfId="0" applyFont="1" applyAlignment="1">
      <alignment vertical="center" wrapText="1"/>
    </xf>
    <xf numFmtId="0" fontId="17" fillId="0" borderId="0" xfId="0" applyFont="1" applyAlignment="1">
      <alignment horizontal="center"/>
    </xf>
    <xf numFmtId="0" fontId="1" fillId="0" borderId="0" xfId="0" applyFont="1" applyFill="1" applyAlignment="1"/>
    <xf numFmtId="0" fontId="12" fillId="0" borderId="0" xfId="0" applyFont="1" applyFill="1" applyAlignment="1"/>
    <xf numFmtId="0" fontId="21" fillId="0" borderId="0" xfId="0" applyFont="1" applyAlignment="1"/>
    <xf numFmtId="0" fontId="1" fillId="0" borderId="1" xfId="0" applyFont="1" applyFill="1" applyBorder="1" applyAlignment="1"/>
    <xf numFmtId="11" fontId="1" fillId="0" borderId="8" xfId="0" applyNumberFormat="1" applyFont="1" applyFill="1" applyBorder="1"/>
    <xf numFmtId="0" fontId="1" fillId="0" borderId="19" xfId="0" applyFont="1" applyFill="1" applyBorder="1" applyAlignment="1"/>
    <xf numFmtId="0" fontId="1" fillId="0" borderId="20" xfId="0" applyFont="1" applyFill="1" applyBorder="1" applyAlignment="1"/>
    <xf numFmtId="11" fontId="1" fillId="0" borderId="21" xfId="0" applyNumberFormat="1" applyFont="1" applyFill="1" applyBorder="1"/>
    <xf numFmtId="11" fontId="1" fillId="0" borderId="22" xfId="0" applyNumberFormat="1" applyFont="1" applyFill="1" applyBorder="1"/>
    <xf numFmtId="11" fontId="1" fillId="0" borderId="23" xfId="0" applyNumberFormat="1" applyFont="1" applyFill="1" applyBorder="1"/>
    <xf numFmtId="11" fontId="1" fillId="0" borderId="24" xfId="0" applyNumberFormat="1" applyFont="1" applyFill="1" applyBorder="1"/>
    <xf numFmtId="11" fontId="1" fillId="0" borderId="25" xfId="0" applyNumberFormat="1" applyFont="1" applyFill="1" applyBorder="1"/>
    <xf numFmtId="11" fontId="1" fillId="0" borderId="13" xfId="0" applyNumberFormat="1" applyFont="1" applyFill="1" applyBorder="1"/>
    <xf numFmtId="11" fontId="1" fillId="0" borderId="26" xfId="0" applyNumberFormat="1" applyFont="1" applyFill="1" applyBorder="1"/>
    <xf numFmtId="11" fontId="1" fillId="0" borderId="27" xfId="0" applyNumberFormat="1" applyFont="1" applyFill="1" applyBorder="1"/>
    <xf numFmtId="11" fontId="1" fillId="0" borderId="28" xfId="0" applyNumberFormat="1" applyFont="1" applyFill="1" applyBorder="1"/>
    <xf numFmtId="11" fontId="1" fillId="0" borderId="29" xfId="0" applyNumberFormat="1" applyFont="1" applyFill="1" applyBorder="1"/>
    <xf numFmtId="0" fontId="1" fillId="0" borderId="0" xfId="0" applyFont="1" applyFill="1"/>
    <xf numFmtId="0" fontId="1" fillId="0" borderId="21" xfId="0" applyFont="1" applyFill="1" applyBorder="1" applyAlignment="1"/>
    <xf numFmtId="0" fontId="1" fillId="0" borderId="26" xfId="0" applyFont="1" applyFill="1" applyBorder="1" applyAlignment="1"/>
    <xf numFmtId="11" fontId="1" fillId="0" borderId="26" xfId="0" applyNumberFormat="1" applyFont="1" applyFill="1" applyBorder="1" applyAlignment="1"/>
    <xf numFmtId="0" fontId="1" fillId="0" borderId="23" xfId="0" applyFont="1" applyFill="1" applyBorder="1" applyAlignment="1"/>
    <xf numFmtId="11" fontId="1" fillId="0" borderId="25" xfId="0" applyNumberFormat="1" applyFont="1" applyFill="1" applyBorder="1" applyAlignment="1"/>
    <xf numFmtId="0" fontId="16" fillId="0" borderId="21" xfId="0" applyFont="1" applyBorder="1" applyAlignment="1"/>
    <xf numFmtId="0" fontId="16" fillId="0" borderId="26" xfId="0" applyFont="1" applyBorder="1" applyAlignment="1"/>
    <xf numFmtId="3" fontId="1" fillId="0" borderId="23" xfId="0" applyNumberFormat="1" applyFont="1" applyBorder="1"/>
    <xf numFmtId="3" fontId="1" fillId="0" borderId="24" xfId="0" applyNumberFormat="1" applyFont="1" applyBorder="1"/>
    <xf numFmtId="4" fontId="1" fillId="0" borderId="24" xfId="0" applyNumberFormat="1" applyFont="1" applyBorder="1" applyAlignment="1">
      <alignment horizontal="right"/>
    </xf>
    <xf numFmtId="4" fontId="1" fillId="0" borderId="25" xfId="0" applyNumberFormat="1" applyFont="1" applyBorder="1" applyAlignment="1">
      <alignment horizontal="right"/>
    </xf>
    <xf numFmtId="3" fontId="25" fillId="6" borderId="24" xfId="0" applyNumberFormat="1" applyFont="1" applyFill="1" applyBorder="1"/>
    <xf numFmtId="4" fontId="25" fillId="6" borderId="24" xfId="0" applyNumberFormat="1" applyFont="1" applyFill="1" applyBorder="1" applyAlignment="1">
      <alignment horizontal="right"/>
    </xf>
    <xf numFmtId="3" fontId="0" fillId="0" borderId="13" xfId="0" applyNumberFormat="1" applyFont="1" applyFill="1" applyBorder="1" applyAlignment="1">
      <alignment horizontal="right"/>
    </xf>
    <xf numFmtId="3" fontId="1" fillId="0" borderId="13" xfId="0" applyNumberFormat="1" applyFont="1" applyFill="1" applyBorder="1"/>
    <xf numFmtId="0" fontId="0" fillId="0" borderId="26" xfId="0" applyFont="1" applyBorder="1" applyAlignment="1"/>
    <xf numFmtId="0" fontId="12" fillId="0" borderId="13" xfId="0" applyFont="1" applyFill="1" applyBorder="1" applyAlignment="1"/>
    <xf numFmtId="3" fontId="1" fillId="0" borderId="24" xfId="0" applyNumberFormat="1" applyFont="1" applyFill="1" applyBorder="1"/>
    <xf numFmtId="0" fontId="0" fillId="0" borderId="24" xfId="0" applyFont="1" applyBorder="1" applyAlignment="1"/>
    <xf numFmtId="0" fontId="0" fillId="0" borderId="25" xfId="0" applyFont="1" applyBorder="1" applyAlignment="1"/>
    <xf numFmtId="3" fontId="1" fillId="0" borderId="13" xfId="0" applyNumberFormat="1" applyFont="1" applyFill="1" applyBorder="1" applyAlignment="1">
      <alignment horizontal="right"/>
    </xf>
    <xf numFmtId="3" fontId="1" fillId="0" borderId="24" xfId="0" applyNumberFormat="1" applyFont="1" applyFill="1" applyBorder="1" applyAlignment="1">
      <alignment horizontal="right"/>
    </xf>
    <xf numFmtId="0" fontId="0" fillId="0" borderId="0" xfId="0" applyFont="1" applyFill="1" applyAlignment="1"/>
    <xf numFmtId="0" fontId="27" fillId="0" borderId="13" xfId="0" applyFont="1" applyFill="1" applyBorder="1" applyAlignment="1"/>
    <xf numFmtId="0" fontId="16" fillId="0" borderId="0" xfId="0" applyFont="1" applyFill="1" applyAlignment="1"/>
    <xf numFmtId="164" fontId="28" fillId="0" borderId="13" xfId="0" applyNumberFormat="1" applyFont="1" applyFill="1" applyBorder="1" applyAlignment="1">
      <alignment horizontal="left"/>
    </xf>
    <xf numFmtId="164" fontId="27" fillId="0" borderId="13" xfId="0" applyNumberFormat="1" applyFont="1" applyFill="1" applyBorder="1" applyAlignment="1">
      <alignment horizontal="left" wrapText="1"/>
    </xf>
    <xf numFmtId="165" fontId="27" fillId="0" borderId="13" xfId="0" applyNumberFormat="1" applyFont="1" applyFill="1" applyBorder="1" applyAlignment="1">
      <alignment horizontal="left" wrapText="1"/>
    </xf>
    <xf numFmtId="2" fontId="28" fillId="0" borderId="13" xfId="0" applyNumberFormat="1" applyFont="1" applyFill="1" applyBorder="1" applyAlignment="1">
      <alignment horizontal="left"/>
    </xf>
    <xf numFmtId="2" fontId="27" fillId="0" borderId="13" xfId="0" applyNumberFormat="1" applyFont="1" applyFill="1" applyBorder="1" applyAlignment="1">
      <alignment horizontal="left" wrapText="1"/>
    </xf>
    <xf numFmtId="165" fontId="27" fillId="0" borderId="13" xfId="0" applyNumberFormat="1" applyFont="1" applyFill="1" applyBorder="1" applyAlignment="1"/>
    <xf numFmtId="165" fontId="27" fillId="0" borderId="13" xfId="0" quotePrefix="1" applyNumberFormat="1" applyFont="1" applyFill="1" applyBorder="1" applyAlignment="1"/>
    <xf numFmtId="165" fontId="16" fillId="0" borderId="13" xfId="0" applyNumberFormat="1" applyFont="1" applyBorder="1" applyAlignment="1"/>
    <xf numFmtId="0" fontId="28" fillId="0" borderId="21" xfId="0" applyFont="1" applyFill="1" applyBorder="1" applyAlignment="1"/>
    <xf numFmtId="165" fontId="1" fillId="0" borderId="13" xfId="0" applyNumberFormat="1" applyFont="1" applyBorder="1"/>
    <xf numFmtId="165" fontId="0" fillId="0" borderId="13" xfId="0" applyNumberFormat="1" applyFont="1" applyBorder="1" applyAlignment="1"/>
    <xf numFmtId="165" fontId="0" fillId="0" borderId="26" xfId="0" applyNumberFormat="1" applyFont="1" applyBorder="1" applyAlignment="1"/>
    <xf numFmtId="0" fontId="27" fillId="0" borderId="21" xfId="0" applyFont="1" applyFill="1" applyBorder="1" applyAlignment="1">
      <alignment horizontal="left" wrapText="1"/>
    </xf>
    <xf numFmtId="165" fontId="16" fillId="0" borderId="13" xfId="0" quotePrefix="1" applyNumberFormat="1" applyFont="1" applyBorder="1" applyAlignment="1"/>
    <xf numFmtId="0" fontId="27" fillId="0" borderId="23" xfId="0" applyFont="1" applyFill="1" applyBorder="1" applyAlignment="1">
      <alignment horizontal="left" wrapText="1"/>
    </xf>
    <xf numFmtId="164" fontId="27" fillId="0" borderId="24" xfId="0" applyNumberFormat="1" applyFont="1" applyFill="1" applyBorder="1" applyAlignment="1">
      <alignment horizontal="left" wrapText="1"/>
    </xf>
    <xf numFmtId="2" fontId="27" fillId="0" borderId="24" xfId="0" applyNumberFormat="1" applyFont="1" applyFill="1" applyBorder="1" applyAlignment="1">
      <alignment horizontal="left" wrapText="1"/>
    </xf>
    <xf numFmtId="165" fontId="16" fillId="0" borderId="24" xfId="0" applyNumberFormat="1" applyFont="1" applyBorder="1" applyAlignment="1"/>
    <xf numFmtId="165" fontId="1" fillId="0" borderId="24" xfId="0" applyNumberFormat="1" applyFont="1" applyBorder="1"/>
    <xf numFmtId="165" fontId="27" fillId="0" borderId="24" xfId="0" applyNumberFormat="1" applyFont="1" applyFill="1" applyBorder="1" applyAlignment="1"/>
    <xf numFmtId="165" fontId="0" fillId="0" borderId="25" xfId="0" applyNumberFormat="1" applyFont="1" applyBorder="1" applyAlignment="1"/>
    <xf numFmtId="0" fontId="5" fillId="0" borderId="0" xfId="0" applyFont="1" applyFill="1" applyAlignment="1">
      <alignment horizontal="left" wrapText="1"/>
    </xf>
    <xf numFmtId="4" fontId="6" fillId="0" borderId="0" xfId="0" applyNumberFormat="1" applyFont="1" applyFill="1" applyAlignment="1">
      <alignment horizontal="left" wrapText="1"/>
    </xf>
    <xf numFmtId="0" fontId="24" fillId="0" borderId="0" xfId="0" applyFont="1" applyFill="1" applyAlignment="1"/>
    <xf numFmtId="0" fontId="24" fillId="0" borderId="13" xfId="0" applyFont="1" applyFill="1" applyBorder="1" applyAlignment="1"/>
    <xf numFmtId="0" fontId="27" fillId="8" borderId="21" xfId="0" applyFont="1" applyFill="1" applyBorder="1" applyAlignment="1">
      <alignment horizontal="left" wrapText="1"/>
    </xf>
    <xf numFmtId="0" fontId="27" fillId="9" borderId="21" xfId="0" applyFont="1" applyFill="1" applyBorder="1" applyAlignment="1">
      <alignment horizontal="left" wrapText="1"/>
    </xf>
    <xf numFmtId="0" fontId="27" fillId="6" borderId="21" xfId="0" applyFont="1" applyFill="1" applyBorder="1" applyAlignment="1">
      <alignment horizontal="left" wrapText="1"/>
    </xf>
    <xf numFmtId="0" fontId="27" fillId="10" borderId="21" xfId="0" applyFont="1" applyFill="1" applyBorder="1" applyAlignment="1">
      <alignment horizontal="left" wrapText="1"/>
    </xf>
    <xf numFmtId="0" fontId="27" fillId="10" borderId="23" xfId="0" applyFont="1" applyFill="1" applyBorder="1" applyAlignment="1">
      <alignment horizontal="left" wrapText="1"/>
    </xf>
    <xf numFmtId="0" fontId="16" fillId="7" borderId="21" xfId="0" applyFont="1" applyFill="1" applyBorder="1" applyAlignment="1"/>
    <xf numFmtId="0" fontId="16" fillId="8" borderId="21" xfId="0" applyFont="1" applyFill="1" applyBorder="1" applyAlignment="1"/>
    <xf numFmtId="0" fontId="16" fillId="9" borderId="21" xfId="0" applyFont="1" applyFill="1" applyBorder="1" applyAlignment="1"/>
    <xf numFmtId="0" fontId="16" fillId="6" borderId="21" xfId="0" applyFont="1" applyFill="1" applyBorder="1" applyAlignment="1"/>
    <xf numFmtId="0" fontId="16" fillId="10" borderId="23" xfId="0" applyFont="1" applyFill="1" applyBorder="1" applyAlignment="1"/>
    <xf numFmtId="0" fontId="16" fillId="0" borderId="13" xfId="0" applyFont="1" applyFill="1" applyBorder="1" applyAlignment="1"/>
    <xf numFmtId="0" fontId="0" fillId="0" borderId="13" xfId="0" applyFont="1" applyFill="1" applyBorder="1" applyAlignment="1"/>
    <xf numFmtId="0" fontId="1" fillId="0" borderId="13" xfId="0" applyFont="1" applyFill="1" applyBorder="1" applyAlignment="1"/>
    <xf numFmtId="0" fontId="1" fillId="0" borderId="13" xfId="0" applyFont="1" applyFill="1" applyBorder="1"/>
    <xf numFmtId="0" fontId="16" fillId="0" borderId="26" xfId="0" applyFont="1" applyFill="1" applyBorder="1" applyAlignment="1"/>
    <xf numFmtId="165" fontId="0" fillId="0" borderId="13" xfId="0" applyNumberFormat="1" applyFont="1" applyFill="1" applyBorder="1" applyAlignment="1"/>
    <xf numFmtId="165" fontId="0" fillId="0" borderId="26" xfId="0" applyNumberFormat="1" applyFont="1" applyFill="1" applyBorder="1" applyAlignment="1"/>
    <xf numFmtId="2" fontId="5" fillId="0" borderId="13" xfId="0" applyNumberFormat="1" applyFont="1" applyFill="1" applyBorder="1" applyAlignment="1">
      <alignment horizontal="left" wrapText="1"/>
    </xf>
    <xf numFmtId="2" fontId="5" fillId="0" borderId="26" xfId="0" applyNumberFormat="1" applyFont="1" applyFill="1" applyBorder="1" applyAlignment="1">
      <alignment horizontal="left" wrapText="1"/>
    </xf>
    <xf numFmtId="2" fontId="18" fillId="0" borderId="13" xfId="0" quotePrefix="1" applyNumberFormat="1" applyFont="1" applyFill="1" applyBorder="1" applyAlignment="1">
      <alignment horizontal="left" wrapText="1"/>
    </xf>
    <xf numFmtId="2" fontId="18" fillId="0" borderId="24" xfId="0" quotePrefix="1" applyNumberFormat="1" applyFont="1" applyFill="1" applyBorder="1" applyAlignment="1">
      <alignment horizontal="left" wrapText="1"/>
    </xf>
    <xf numFmtId="2" fontId="5" fillId="0" borderId="24" xfId="0" applyNumberFormat="1" applyFont="1" applyFill="1" applyBorder="1" applyAlignment="1">
      <alignment horizontal="left" wrapText="1"/>
    </xf>
    <xf numFmtId="2" fontId="5" fillId="0" borderId="25" xfId="0" applyNumberFormat="1" applyFont="1" applyFill="1" applyBorder="1" applyAlignment="1">
      <alignment horizontal="left" wrapText="1"/>
    </xf>
    <xf numFmtId="2" fontId="0" fillId="0" borderId="13" xfId="0" applyNumberFormat="1" applyFont="1" applyFill="1" applyBorder="1" applyAlignment="1">
      <alignment horizontal="left"/>
    </xf>
    <xf numFmtId="2" fontId="0" fillId="0" borderId="26" xfId="0" applyNumberFormat="1" applyFont="1" applyFill="1" applyBorder="1" applyAlignment="1">
      <alignment horizontal="left"/>
    </xf>
    <xf numFmtId="2" fontId="16" fillId="0" borderId="13" xfId="0" quotePrefix="1" applyNumberFormat="1" applyFont="1" applyFill="1" applyBorder="1" applyAlignment="1">
      <alignment horizontal="left"/>
    </xf>
    <xf numFmtId="0" fontId="16" fillId="0" borderId="21" xfId="0" applyFont="1" applyFill="1" applyBorder="1" applyAlignment="1"/>
    <xf numFmtId="165" fontId="16" fillId="0" borderId="13" xfId="0" quotePrefix="1" applyNumberFormat="1" applyFont="1" applyFill="1" applyBorder="1" applyAlignment="1">
      <alignment horizontal="left"/>
    </xf>
    <xf numFmtId="165" fontId="16" fillId="0" borderId="13" xfId="0" applyNumberFormat="1" applyFont="1" applyBorder="1" applyAlignment="1">
      <alignment horizontal="left"/>
    </xf>
    <xf numFmtId="165" fontId="16" fillId="0" borderId="24" xfId="0" quotePrefix="1" applyNumberFormat="1" applyFont="1" applyFill="1" applyBorder="1" applyAlignment="1">
      <alignment horizontal="left"/>
    </xf>
    <xf numFmtId="165" fontId="0" fillId="0" borderId="24" xfId="0" applyNumberFormat="1" applyFont="1" applyFill="1" applyBorder="1" applyAlignment="1"/>
    <xf numFmtId="165" fontId="16" fillId="0" borderId="24" xfId="0" applyNumberFormat="1" applyFont="1" applyBorder="1" applyAlignment="1">
      <alignment horizontal="left"/>
    </xf>
    <xf numFmtId="165" fontId="0" fillId="0" borderId="25" xfId="0" applyNumberFormat="1" applyFont="1" applyFill="1" applyBorder="1" applyAlignment="1"/>
    <xf numFmtId="0" fontId="16" fillId="0" borderId="0" xfId="0" applyFont="1" applyAlignment="1">
      <alignment horizontal="left"/>
    </xf>
    <xf numFmtId="0" fontId="16" fillId="0" borderId="0" xfId="0" applyFont="1" applyAlignment="1">
      <alignment horizontal="left" vertical="center" wrapText="1"/>
    </xf>
    <xf numFmtId="0" fontId="13" fillId="0" borderId="0" xfId="0" applyFont="1" applyAlignment="1">
      <alignment horizontal="left"/>
    </xf>
    <xf numFmtId="0" fontId="13" fillId="0" borderId="0" xfId="0" applyFont="1" applyAlignment="1">
      <alignment horizontal="left" vertical="center" wrapText="1"/>
    </xf>
    <xf numFmtId="0" fontId="13" fillId="0" borderId="0" xfId="0" applyFont="1" applyAlignment="1">
      <alignment horizontal="left" wrapText="1"/>
    </xf>
    <xf numFmtId="0" fontId="14" fillId="0" borderId="0" xfId="0" applyFont="1" applyAlignment="1">
      <alignment horizontal="center"/>
    </xf>
    <xf numFmtId="0" fontId="13" fillId="0" borderId="0" xfId="0" applyFont="1" applyAlignment="1">
      <alignment horizontal="left" vertical="center"/>
    </xf>
    <xf numFmtId="0" fontId="12" fillId="0" borderId="0" xfId="0" applyFont="1" applyAlignment="1">
      <alignment horizontal="center"/>
    </xf>
    <xf numFmtId="0" fontId="17" fillId="0" borderId="0" xfId="0" applyFont="1" applyAlignment="1">
      <alignment horizontal="center"/>
    </xf>
    <xf numFmtId="0" fontId="1" fillId="0" borderId="0" xfId="0" applyFont="1" applyAlignment="1">
      <alignment horizontal="right"/>
    </xf>
    <xf numFmtId="0" fontId="0" fillId="0" borderId="0" xfId="0" applyFont="1" applyAlignment="1"/>
    <xf numFmtId="0" fontId="12" fillId="4" borderId="2" xfId="0" applyFont="1" applyFill="1" applyBorder="1" applyAlignment="1">
      <alignment horizontal="center"/>
    </xf>
    <xf numFmtId="0" fontId="4" fillId="0" borderId="3" xfId="0" applyFont="1" applyBorder="1"/>
    <xf numFmtId="0" fontId="4" fillId="0" borderId="4" xfId="0" applyFont="1" applyBorder="1"/>
    <xf numFmtId="0" fontId="1" fillId="5" borderId="2" xfId="0" applyFont="1" applyFill="1" applyBorder="1" applyAlignment="1">
      <alignment horizontal="center"/>
    </xf>
    <xf numFmtId="0" fontId="1" fillId="2" borderId="2"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2" fillId="0" borderId="2" xfId="0" applyFont="1" applyBorder="1" applyAlignment="1">
      <alignment horizontal="center"/>
    </xf>
    <xf numFmtId="0" fontId="1" fillId="0" borderId="0" xfId="0" applyFont="1" applyAlignment="1">
      <alignment horizontal="center"/>
    </xf>
    <xf numFmtId="0" fontId="26" fillId="0" borderId="30" xfId="0" applyFont="1" applyFill="1" applyBorder="1" applyAlignment="1">
      <alignment horizontal="center"/>
    </xf>
    <xf numFmtId="0" fontId="26" fillId="0" borderId="31" xfId="0" applyFont="1" applyFill="1" applyBorder="1" applyAlignment="1">
      <alignment horizontal="center"/>
    </xf>
    <xf numFmtId="0" fontId="24" fillId="0" borderId="30"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16" fillId="0" borderId="21" xfId="0" applyFont="1" applyBorder="1" applyAlignment="1">
      <alignment horizontal="center"/>
    </xf>
    <xf numFmtId="0" fontId="0" fillId="0" borderId="13" xfId="0" applyFont="1" applyBorder="1" applyAlignment="1">
      <alignment horizontal="center"/>
    </xf>
    <xf numFmtId="0" fontId="16" fillId="0" borderId="13" xfId="0" applyFont="1" applyBorder="1" applyAlignment="1">
      <alignment horizontal="center"/>
    </xf>
    <xf numFmtId="0" fontId="0" fillId="0" borderId="26" xfId="0" applyFont="1" applyBorder="1" applyAlignment="1">
      <alignment horizontal="center"/>
    </xf>
    <xf numFmtId="0" fontId="1" fillId="0" borderId="21" xfId="0" applyFont="1" applyFill="1" applyBorder="1" applyAlignment="1">
      <alignment horizontal="left"/>
    </xf>
    <xf numFmtId="0" fontId="1" fillId="0" borderId="13" xfId="0" applyFont="1" applyFill="1" applyBorder="1" applyAlignment="1">
      <alignment horizontal="left"/>
    </xf>
    <xf numFmtId="0" fontId="16" fillId="0" borderId="21" xfId="0" applyFont="1" applyBorder="1" applyAlignment="1">
      <alignment horizontal="left"/>
    </xf>
    <xf numFmtId="0" fontId="16" fillId="0" borderId="13" xfId="0" applyFont="1" applyBorder="1" applyAlignment="1">
      <alignment horizontal="left"/>
    </xf>
    <xf numFmtId="0" fontId="12" fillId="0" borderId="13" xfId="0" applyFont="1" applyFill="1" applyBorder="1" applyAlignment="1">
      <alignment horizontal="left"/>
    </xf>
    <xf numFmtId="0" fontId="1" fillId="0" borderId="23" xfId="0" applyFont="1" applyFill="1" applyBorder="1" applyAlignment="1">
      <alignment horizontal="left"/>
    </xf>
    <xf numFmtId="0" fontId="1" fillId="0" borderId="24" xfId="0" applyFont="1" applyFill="1" applyBorder="1" applyAlignment="1">
      <alignment horizontal="left"/>
    </xf>
    <xf numFmtId="0" fontId="1" fillId="0" borderId="5" xfId="0" applyFont="1" applyFill="1" applyBorder="1" applyAlignment="1">
      <alignment horizontal="center"/>
    </xf>
    <xf numFmtId="0" fontId="4" fillId="0" borderId="6" xfId="0" applyFont="1" applyFill="1" applyBorder="1"/>
    <xf numFmtId="0" fontId="4" fillId="0" borderId="7" xfId="0" applyFont="1" applyFill="1" applyBorder="1"/>
    <xf numFmtId="0" fontId="1" fillId="0" borderId="3" xfId="0" applyFont="1" applyFill="1" applyBorder="1" applyAlignment="1">
      <alignment horizontal="center"/>
    </xf>
    <xf numFmtId="0" fontId="4" fillId="0" borderId="3" xfId="0" applyFont="1" applyFill="1" applyBorder="1"/>
    <xf numFmtId="0" fontId="4" fillId="0" borderId="18" xfId="0" applyFont="1" applyFill="1" applyBorder="1"/>
    <xf numFmtId="0" fontId="1" fillId="0" borderId="17" xfId="0" applyFont="1" applyFill="1" applyBorder="1" applyAlignment="1">
      <alignment horizontal="center"/>
    </xf>
    <xf numFmtId="0" fontId="24" fillId="0" borderId="14" xfId="0" applyFont="1" applyFill="1" applyBorder="1" applyAlignment="1">
      <alignment horizontal="center"/>
    </xf>
    <xf numFmtId="0" fontId="24" fillId="0" borderId="15" xfId="0" applyFont="1" applyFill="1" applyBorder="1" applyAlignment="1">
      <alignment horizontal="center"/>
    </xf>
    <xf numFmtId="0" fontId="24" fillId="0" borderId="16" xfId="0" applyFont="1" applyFill="1" applyBorder="1" applyAlignment="1">
      <alignment horizontal="center"/>
    </xf>
    <xf numFmtId="0" fontId="24" fillId="0" borderId="30" xfId="0" applyFont="1" applyFill="1" applyBorder="1" applyAlignment="1">
      <alignment horizontal="center"/>
    </xf>
    <xf numFmtId="0" fontId="24" fillId="0" borderId="32" xfId="0" applyFont="1" applyFill="1" applyBorder="1" applyAlignment="1">
      <alignment horizontal="center"/>
    </xf>
    <xf numFmtId="0" fontId="24" fillId="0" borderId="31" xfId="0" applyFont="1" applyFill="1" applyBorder="1" applyAlignment="1">
      <alignment horizontal="center"/>
    </xf>
    <xf numFmtId="0" fontId="16" fillId="0" borderId="21" xfId="0" applyFont="1" applyFill="1" applyBorder="1" applyAlignment="1">
      <alignment horizontal="center" vertical="center"/>
    </xf>
    <xf numFmtId="0" fontId="1" fillId="0" borderId="26" xfId="0" applyFont="1" applyFill="1" applyBorder="1" applyAlignment="1">
      <alignment horizontal="left"/>
    </xf>
    <xf numFmtId="0" fontId="16" fillId="0" borderId="13" xfId="0" applyFont="1" applyFill="1" applyBorder="1" applyAlignment="1"/>
    <xf numFmtId="0" fontId="16" fillId="0" borderId="26" xfId="0" applyFont="1" applyFill="1" applyBorder="1" applyAlignment="1"/>
    <xf numFmtId="0" fontId="16" fillId="0" borderId="24" xfId="0" applyFont="1" applyFill="1" applyBorder="1" applyAlignment="1"/>
    <xf numFmtId="0" fontId="16" fillId="0" borderId="25" xfId="0" applyFont="1" applyFill="1" applyBorder="1" applyAlignment="1"/>
    <xf numFmtId="0" fontId="30" fillId="0" borderId="30" xfId="0" applyFont="1" applyFill="1" applyBorder="1" applyAlignment="1">
      <alignment horizontal="center" wrapText="1"/>
    </xf>
    <xf numFmtId="0" fontId="30" fillId="0" borderId="32" xfId="0" applyFont="1" applyFill="1" applyBorder="1" applyAlignment="1">
      <alignment horizontal="center" wrapText="1"/>
    </xf>
    <xf numFmtId="0" fontId="30" fillId="0" borderId="31" xfId="0" applyFont="1" applyFill="1" applyBorder="1" applyAlignment="1">
      <alignment horizontal="center" wrapText="1"/>
    </xf>
    <xf numFmtId="0" fontId="16" fillId="0" borderId="26" xfId="0" applyFont="1" applyBorder="1" applyAlignment="1">
      <alignment horizontal="center"/>
    </xf>
    <xf numFmtId="0" fontId="27" fillId="0" borderId="13" xfId="0" applyFont="1" applyFill="1" applyBorder="1" applyAlignment="1">
      <alignment horizontal="center"/>
    </xf>
    <xf numFmtId="0" fontId="29" fillId="0" borderId="30" xfId="0" applyFont="1" applyFill="1" applyBorder="1" applyAlignment="1">
      <alignment horizontal="center"/>
    </xf>
    <xf numFmtId="0" fontId="29" fillId="0" borderId="32" xfId="0" applyFont="1" applyFill="1" applyBorder="1" applyAlignment="1">
      <alignment horizontal="center"/>
    </xf>
    <xf numFmtId="0" fontId="29" fillId="0" borderId="31" xfId="0" applyFont="1" applyFill="1" applyBorder="1" applyAlignment="1">
      <alignment horizontal="center"/>
    </xf>
    <xf numFmtId="0" fontId="16" fillId="0" borderId="0" xfId="0" applyFont="1" applyFill="1" applyAlignment="1">
      <alignment horizontal="left"/>
    </xf>
    <xf numFmtId="0" fontId="27" fillId="0" borderId="21" xfId="0" applyFont="1" applyFill="1" applyBorder="1" applyAlignment="1">
      <alignment horizontal="center" vertical="center"/>
    </xf>
    <xf numFmtId="0" fontId="3" fillId="0" borderId="0" xfId="0" applyFont="1" applyAlignment="1"/>
    <xf numFmtId="0" fontId="3" fillId="0" borderId="0" xfId="0" applyFont="1" applyAlignment="1">
      <alignment horizontal="left"/>
    </xf>
    <xf numFmtId="0" fontId="2" fillId="0" borderId="13" xfId="0" applyFont="1" applyBorder="1" applyAlignment="1">
      <alignment horizontal="left" vertical="center" wrapText="1"/>
    </xf>
    <xf numFmtId="0" fontId="24" fillId="0" borderId="0" xfId="0" applyFont="1" applyAlignment="1">
      <alignment horizontal="center"/>
    </xf>
    <xf numFmtId="0" fontId="19" fillId="0" borderId="0" xfId="0" applyFont="1" applyAlignment="1">
      <alignment horizontal="left"/>
    </xf>
    <xf numFmtId="0" fontId="0" fillId="0" borderId="0" xfId="0" applyFont="1" applyAlignment="1">
      <alignment horizontal="left"/>
    </xf>
    <xf numFmtId="0" fontId="19" fillId="0" borderId="0" xfId="0" applyFont="1" applyAlignment="1">
      <alignment horizontal="left" vertical="center" wrapText="1"/>
    </xf>
    <xf numFmtId="0" fontId="0" fillId="0" borderId="0" xfId="0" applyFont="1" applyAlignment="1">
      <alignment vertical="center"/>
    </xf>
    <xf numFmtId="0" fontId="2" fillId="0" borderId="0" xfId="0" applyFont="1" applyAlignment="1">
      <alignment horizontal="left"/>
    </xf>
    <xf numFmtId="0" fontId="1" fillId="0" borderId="0" xfId="0" applyFont="1" applyAlignment="1">
      <alignment horizontal="left"/>
    </xf>
    <xf numFmtId="0" fontId="0" fillId="0" borderId="13" xfId="0" applyFill="1" applyBorder="1" applyAlignment="1">
      <alignment horizontal="left"/>
    </xf>
    <xf numFmtId="0" fontId="0" fillId="0" borderId="13" xfId="0" applyBorder="1" applyAlignment="1">
      <alignment horizontal="left"/>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91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907B-72D9-B048-A89C-5D157FFDEFDC}">
  <dimension ref="A2:O46"/>
  <sheetViews>
    <sheetView tabSelected="1" topLeftCell="A31" workbookViewId="0">
      <selection activeCell="G54" sqref="G54"/>
    </sheetView>
  </sheetViews>
  <sheetFormatPr baseColWidth="10" defaultRowHeight="14"/>
  <cols>
    <col min="1" max="1" width="2" style="69" customWidth="1"/>
    <col min="2" max="2" width="11.6640625" style="69" customWidth="1"/>
    <col min="3" max="3" width="12.6640625" style="69" customWidth="1"/>
    <col min="4" max="14" width="10.83203125" style="69"/>
    <col min="15" max="15" width="12.6640625" style="69" customWidth="1"/>
    <col min="16" max="16384" width="10.83203125" style="69"/>
  </cols>
  <sheetData>
    <row r="2" spans="1:12">
      <c r="B2" s="252" t="s">
        <v>275</v>
      </c>
      <c r="C2" s="252"/>
      <c r="D2" s="252"/>
      <c r="E2" s="252"/>
      <c r="F2" s="252"/>
      <c r="G2" s="252"/>
      <c r="H2" s="252"/>
      <c r="I2" s="252"/>
      <c r="J2" s="252"/>
      <c r="K2" s="252"/>
      <c r="L2" s="252"/>
    </row>
    <row r="3" spans="1:12" ht="28" customHeight="1">
      <c r="A3" s="251"/>
      <c r="B3" s="253" t="s">
        <v>276</v>
      </c>
      <c r="C3" s="253"/>
      <c r="D3" s="253"/>
      <c r="E3" s="253"/>
      <c r="F3" s="253"/>
      <c r="G3" s="253"/>
      <c r="H3" s="253"/>
      <c r="I3" s="253"/>
      <c r="J3" s="253"/>
      <c r="K3" s="253"/>
      <c r="L3" s="253"/>
    </row>
    <row r="4" spans="1:12">
      <c r="A4" s="251"/>
    </row>
    <row r="5" spans="1:12" ht="18">
      <c r="B5" s="70" t="s">
        <v>93</v>
      </c>
      <c r="C5" s="70"/>
    </row>
    <row r="6" spans="1:12" ht="7" customHeight="1"/>
    <row r="7" spans="1:12">
      <c r="B7" s="69" t="s">
        <v>178</v>
      </c>
    </row>
    <row r="9" spans="1:12">
      <c r="B9" s="76" t="s">
        <v>94</v>
      </c>
      <c r="C9" s="76"/>
      <c r="D9" s="191" t="s">
        <v>95</v>
      </c>
      <c r="E9" s="191"/>
      <c r="F9" s="191"/>
      <c r="G9" s="191"/>
      <c r="H9" s="191"/>
      <c r="I9" s="191"/>
      <c r="J9" s="191"/>
      <c r="K9" s="191"/>
    </row>
    <row r="10" spans="1:12">
      <c r="B10" s="75" t="s">
        <v>96</v>
      </c>
      <c r="C10" s="75"/>
      <c r="D10" s="188" t="s">
        <v>99</v>
      </c>
      <c r="E10" s="188"/>
      <c r="F10" s="188"/>
      <c r="G10" s="188"/>
      <c r="H10" s="188"/>
      <c r="I10" s="188"/>
      <c r="J10" s="188"/>
      <c r="K10" s="188"/>
    </row>
    <row r="11" spans="1:12">
      <c r="B11" s="75" t="s">
        <v>97</v>
      </c>
      <c r="C11" s="75"/>
      <c r="D11" s="188" t="s">
        <v>98</v>
      </c>
      <c r="E11" s="188"/>
      <c r="F11" s="188"/>
      <c r="G11" s="188"/>
      <c r="H11" s="188"/>
      <c r="I11" s="188"/>
      <c r="J11" s="188"/>
      <c r="K11" s="188"/>
    </row>
    <row r="12" spans="1:12">
      <c r="B12" s="75" t="s">
        <v>100</v>
      </c>
      <c r="C12" s="75"/>
      <c r="D12" s="188" t="s">
        <v>114</v>
      </c>
      <c r="E12" s="188"/>
      <c r="F12" s="188"/>
      <c r="G12" s="188"/>
      <c r="H12" s="188"/>
      <c r="I12" s="188"/>
      <c r="J12" s="188"/>
      <c r="K12" s="188"/>
    </row>
    <row r="13" spans="1:12">
      <c r="B13" s="75" t="s">
        <v>101</v>
      </c>
      <c r="C13" s="75"/>
      <c r="D13" s="188" t="s">
        <v>115</v>
      </c>
      <c r="E13" s="188"/>
      <c r="F13" s="188"/>
      <c r="G13" s="188"/>
      <c r="H13" s="188"/>
      <c r="I13" s="188"/>
      <c r="J13" s="188"/>
      <c r="K13" s="188"/>
    </row>
    <row r="14" spans="1:12">
      <c r="B14" s="75" t="s">
        <v>102</v>
      </c>
      <c r="C14" s="75"/>
      <c r="D14" s="188" t="s">
        <v>116</v>
      </c>
      <c r="E14" s="188"/>
      <c r="F14" s="188"/>
      <c r="G14" s="188"/>
      <c r="H14" s="188"/>
      <c r="I14" s="188"/>
      <c r="J14" s="188"/>
      <c r="K14" s="188"/>
    </row>
    <row r="15" spans="1:12">
      <c r="B15" s="75" t="s">
        <v>103</v>
      </c>
      <c r="C15" s="75"/>
      <c r="D15" s="188" t="s">
        <v>138</v>
      </c>
      <c r="E15" s="188"/>
      <c r="F15" s="188"/>
      <c r="G15" s="188"/>
      <c r="H15" s="188"/>
      <c r="I15" s="188"/>
      <c r="J15" s="188"/>
      <c r="K15" s="188"/>
    </row>
    <row r="16" spans="1:12">
      <c r="B16" s="75" t="s">
        <v>104</v>
      </c>
      <c r="C16" s="75"/>
      <c r="D16" s="188" t="s">
        <v>117</v>
      </c>
      <c r="E16" s="188"/>
      <c r="F16" s="188"/>
      <c r="G16" s="188"/>
      <c r="H16" s="188"/>
      <c r="I16" s="188"/>
      <c r="J16" s="188"/>
      <c r="K16" s="188"/>
    </row>
    <row r="17" spans="2:11">
      <c r="B17" s="75" t="s">
        <v>105</v>
      </c>
      <c r="C17" s="75"/>
      <c r="D17" s="188" t="s">
        <v>118</v>
      </c>
      <c r="E17" s="188"/>
      <c r="F17" s="188"/>
      <c r="G17" s="188"/>
      <c r="H17" s="188"/>
      <c r="I17" s="188"/>
      <c r="J17" s="188"/>
      <c r="K17" s="188"/>
    </row>
    <row r="18" spans="2:11">
      <c r="B18" s="75" t="s">
        <v>106</v>
      </c>
      <c r="C18" s="75"/>
      <c r="D18" s="188" t="s">
        <v>119</v>
      </c>
      <c r="E18" s="188"/>
      <c r="F18" s="188"/>
      <c r="G18" s="188"/>
      <c r="H18" s="188"/>
      <c r="I18" s="188"/>
      <c r="J18" s="188"/>
      <c r="K18" s="188"/>
    </row>
    <row r="19" spans="2:11">
      <c r="B19" s="75" t="s">
        <v>107</v>
      </c>
      <c r="C19" s="75"/>
      <c r="D19" s="188" t="s">
        <v>120</v>
      </c>
      <c r="E19" s="188"/>
      <c r="F19" s="188"/>
      <c r="G19" s="188"/>
      <c r="H19" s="188"/>
      <c r="I19" s="188"/>
      <c r="J19" s="188"/>
      <c r="K19" s="188"/>
    </row>
    <row r="20" spans="2:11">
      <c r="B20" s="75" t="s">
        <v>108</v>
      </c>
      <c r="C20" s="75"/>
      <c r="D20" s="188" t="s">
        <v>121</v>
      </c>
      <c r="E20" s="188"/>
      <c r="F20" s="188"/>
      <c r="G20" s="188"/>
      <c r="H20" s="188"/>
      <c r="I20" s="188"/>
      <c r="J20" s="188"/>
      <c r="K20" s="188"/>
    </row>
    <row r="21" spans="2:11">
      <c r="B21" s="75" t="s">
        <v>111</v>
      </c>
      <c r="C21" s="75"/>
      <c r="D21" s="188" t="s">
        <v>122</v>
      </c>
      <c r="E21" s="188"/>
      <c r="F21" s="188"/>
      <c r="G21" s="188"/>
      <c r="H21" s="188"/>
      <c r="I21" s="188"/>
      <c r="J21" s="188"/>
      <c r="K21" s="188"/>
    </row>
    <row r="22" spans="2:11">
      <c r="B22" s="75" t="s">
        <v>112</v>
      </c>
      <c r="C22" s="75"/>
      <c r="D22" s="188" t="s">
        <v>123</v>
      </c>
      <c r="E22" s="188"/>
      <c r="F22" s="188"/>
      <c r="G22" s="188"/>
      <c r="H22" s="188"/>
      <c r="I22" s="188"/>
      <c r="J22" s="188"/>
      <c r="K22" s="188"/>
    </row>
    <row r="23" spans="2:11">
      <c r="B23" s="75" t="s">
        <v>109</v>
      </c>
      <c r="C23" s="75"/>
      <c r="D23" s="188" t="s">
        <v>124</v>
      </c>
      <c r="E23" s="188"/>
      <c r="F23" s="188"/>
      <c r="G23" s="188"/>
      <c r="H23" s="188"/>
      <c r="I23" s="188"/>
      <c r="J23" s="188"/>
      <c r="K23" s="188"/>
    </row>
    <row r="24" spans="2:11">
      <c r="B24" s="75" t="s">
        <v>110</v>
      </c>
      <c r="C24" s="75"/>
      <c r="D24" s="188" t="s">
        <v>125</v>
      </c>
      <c r="E24" s="188"/>
      <c r="F24" s="188"/>
      <c r="G24" s="188"/>
      <c r="H24" s="188"/>
      <c r="I24" s="188"/>
      <c r="J24" s="188"/>
      <c r="K24" s="188"/>
    </row>
    <row r="25" spans="2:11">
      <c r="B25" s="75" t="s">
        <v>113</v>
      </c>
      <c r="C25" s="75"/>
      <c r="D25" s="188" t="s">
        <v>126</v>
      </c>
      <c r="E25" s="188"/>
      <c r="F25" s="188"/>
      <c r="G25" s="188"/>
      <c r="H25" s="188"/>
      <c r="I25" s="188"/>
      <c r="J25" s="188"/>
      <c r="K25" s="188"/>
    </row>
    <row r="26" spans="2:11">
      <c r="B26" s="75" t="s">
        <v>127</v>
      </c>
      <c r="C26" s="75"/>
      <c r="D26" s="188" t="s">
        <v>179</v>
      </c>
      <c r="E26" s="188"/>
      <c r="F26" s="188"/>
      <c r="G26" s="188"/>
      <c r="H26" s="188"/>
      <c r="I26" s="188"/>
      <c r="J26" s="188"/>
      <c r="K26" s="188"/>
    </row>
    <row r="27" spans="2:11" ht="30" customHeight="1">
      <c r="B27" s="77" t="s">
        <v>128</v>
      </c>
      <c r="C27" s="77"/>
      <c r="D27" s="190" t="s">
        <v>133</v>
      </c>
      <c r="E27" s="190"/>
      <c r="F27" s="190"/>
      <c r="G27" s="190"/>
      <c r="H27" s="190"/>
      <c r="I27" s="190"/>
      <c r="J27" s="190"/>
      <c r="K27" s="190"/>
    </row>
    <row r="28" spans="2:11" ht="28" customHeight="1">
      <c r="B28" s="192" t="s">
        <v>180</v>
      </c>
      <c r="C28" s="192"/>
      <c r="D28" s="190" t="s">
        <v>181</v>
      </c>
      <c r="E28" s="190"/>
      <c r="F28" s="190"/>
      <c r="G28" s="190"/>
      <c r="H28" s="190"/>
      <c r="I28" s="190"/>
      <c r="J28" s="190"/>
      <c r="K28" s="190"/>
    </row>
    <row r="31" spans="2:11" ht="18">
      <c r="B31" s="70" t="s">
        <v>139</v>
      </c>
      <c r="C31" s="70"/>
    </row>
    <row r="32" spans="2:11" ht="7" customHeight="1"/>
    <row r="33" spans="2:15">
      <c r="B33" s="188" t="s">
        <v>129</v>
      </c>
      <c r="C33" s="188"/>
      <c r="D33" s="188"/>
      <c r="E33" s="188"/>
      <c r="F33" s="188"/>
      <c r="G33" s="188"/>
      <c r="H33" s="188"/>
      <c r="I33" s="188"/>
      <c r="J33" s="188"/>
      <c r="K33" s="188"/>
    </row>
    <row r="34" spans="2:15" ht="28" customHeight="1">
      <c r="B34" s="189" t="s">
        <v>182</v>
      </c>
      <c r="C34" s="189"/>
      <c r="D34" s="189"/>
      <c r="E34" s="189"/>
      <c r="F34" s="189"/>
      <c r="G34" s="189"/>
      <c r="H34" s="189"/>
      <c r="I34" s="189"/>
      <c r="J34" s="189"/>
      <c r="K34" s="189"/>
    </row>
    <row r="35" spans="2:15">
      <c r="B35" s="188" t="s">
        <v>183</v>
      </c>
      <c r="C35" s="188"/>
      <c r="D35" s="188"/>
      <c r="E35" s="188"/>
      <c r="F35" s="188"/>
      <c r="G35" s="188"/>
      <c r="H35" s="188"/>
      <c r="I35" s="188"/>
      <c r="J35" s="188"/>
      <c r="K35" s="188"/>
    </row>
    <row r="36" spans="2:15">
      <c r="B36" s="188" t="s">
        <v>185</v>
      </c>
      <c r="C36" s="188"/>
      <c r="D36" s="188"/>
      <c r="E36" s="188"/>
      <c r="F36" s="188"/>
      <c r="G36" s="188"/>
      <c r="H36" s="188"/>
      <c r="I36" s="188"/>
      <c r="J36" s="188"/>
      <c r="K36" s="188"/>
    </row>
    <row r="39" spans="2:15" ht="18">
      <c r="B39" s="70" t="s">
        <v>134</v>
      </c>
      <c r="C39" s="70"/>
    </row>
    <row r="40" spans="2:15" ht="7" customHeight="1">
      <c r="B40" s="70"/>
      <c r="C40" s="70"/>
    </row>
    <row r="41" spans="2:15" ht="15" customHeight="1">
      <c r="B41" s="186" t="s">
        <v>137</v>
      </c>
      <c r="C41" s="186"/>
      <c r="D41" s="186"/>
      <c r="E41" s="186"/>
      <c r="F41" s="186"/>
      <c r="G41" s="186"/>
      <c r="H41" s="186"/>
      <c r="I41" s="186"/>
      <c r="J41" s="186"/>
      <c r="K41" s="186"/>
      <c r="L41" s="80"/>
      <c r="M41" s="80"/>
      <c r="N41" s="80"/>
      <c r="O41" s="80"/>
    </row>
    <row r="42" spans="2:15" ht="28" customHeight="1">
      <c r="B42" s="187" t="s">
        <v>130</v>
      </c>
      <c r="C42" s="187"/>
      <c r="D42" s="187"/>
      <c r="E42" s="187"/>
      <c r="F42" s="187"/>
      <c r="G42" s="187"/>
      <c r="H42" s="187"/>
      <c r="I42" s="187"/>
      <c r="J42" s="187"/>
      <c r="K42" s="187"/>
      <c r="L42" s="78"/>
      <c r="M42" s="78"/>
      <c r="N42" s="78"/>
      <c r="O42" s="78"/>
    </row>
    <row r="43" spans="2:15" ht="39" customHeight="1">
      <c r="B43" s="187" t="s">
        <v>187</v>
      </c>
      <c r="C43" s="187"/>
      <c r="D43" s="187"/>
      <c r="E43" s="187"/>
      <c r="F43" s="187"/>
      <c r="G43" s="187"/>
      <c r="H43" s="187"/>
      <c r="I43" s="187"/>
      <c r="J43" s="187"/>
      <c r="K43" s="187"/>
      <c r="L43" s="79"/>
      <c r="M43" s="79"/>
      <c r="N43" s="79"/>
      <c r="O43" s="79"/>
    </row>
    <row r="44" spans="2:15" ht="56" customHeight="1">
      <c r="B44" s="187" t="s">
        <v>188</v>
      </c>
      <c r="C44" s="187"/>
      <c r="D44" s="187"/>
      <c r="E44" s="187"/>
      <c r="F44" s="187"/>
      <c r="G44" s="187"/>
      <c r="H44" s="187"/>
      <c r="I44" s="187"/>
      <c r="J44" s="187"/>
      <c r="K44" s="187"/>
      <c r="L44" s="79"/>
      <c r="M44" s="79"/>
      <c r="N44" s="79"/>
      <c r="O44" s="79"/>
    </row>
    <row r="45" spans="2:15" ht="47" customHeight="1">
      <c r="B45" s="187" t="s">
        <v>189</v>
      </c>
      <c r="C45" s="187"/>
      <c r="D45" s="187"/>
      <c r="E45" s="187"/>
      <c r="F45" s="187"/>
      <c r="G45" s="187"/>
      <c r="H45" s="187"/>
      <c r="I45" s="187"/>
      <c r="J45" s="187"/>
      <c r="K45" s="187"/>
      <c r="L45" s="79"/>
      <c r="M45" s="79"/>
      <c r="N45" s="79"/>
      <c r="O45" s="79"/>
    </row>
    <row r="46" spans="2:15" ht="30" customHeight="1">
      <c r="B46" s="187" t="s">
        <v>190</v>
      </c>
      <c r="C46" s="187"/>
      <c r="D46" s="187"/>
      <c r="E46" s="187"/>
      <c r="F46" s="187"/>
      <c r="G46" s="187"/>
      <c r="H46" s="187"/>
      <c r="I46" s="187"/>
      <c r="J46" s="187"/>
      <c r="K46" s="187"/>
    </row>
  </sheetData>
  <mergeCells count="33">
    <mergeCell ref="B41:K41"/>
    <mergeCell ref="B42:K42"/>
    <mergeCell ref="B43:K43"/>
    <mergeCell ref="B44:K44"/>
    <mergeCell ref="B45:K45"/>
    <mergeCell ref="B2:L2"/>
    <mergeCell ref="B3:L3"/>
    <mergeCell ref="B28:C28"/>
    <mergeCell ref="B33:K33"/>
    <mergeCell ref="B34:K34"/>
    <mergeCell ref="D22:K22"/>
    <mergeCell ref="D9:K9"/>
    <mergeCell ref="D10:K10"/>
    <mergeCell ref="D11:K11"/>
    <mergeCell ref="D12:K12"/>
    <mergeCell ref="D13:K13"/>
    <mergeCell ref="D14:K14"/>
    <mergeCell ref="D15:K15"/>
    <mergeCell ref="D16:K16"/>
    <mergeCell ref="D17:K17"/>
    <mergeCell ref="D18:K18"/>
    <mergeCell ref="D19:K19"/>
    <mergeCell ref="D20:K20"/>
    <mergeCell ref="D21:K21"/>
    <mergeCell ref="B35:K35"/>
    <mergeCell ref="B36:K36"/>
    <mergeCell ref="D23:K23"/>
    <mergeCell ref="D24:K24"/>
    <mergeCell ref="D25:K25"/>
    <mergeCell ref="D26:K26"/>
    <mergeCell ref="D27:K27"/>
    <mergeCell ref="D28:K28"/>
    <mergeCell ref="B46:K4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167</v>
      </c>
      <c r="B2" s="193"/>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320.298</v>
      </c>
      <c r="C4" s="1">
        <f t="shared" ref="C4:C14" si="0">B4/$B$15</f>
        <v>0.31835476252951983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2.355825242718447</v>
      </c>
      <c r="V4" s="28">
        <f t="shared" ref="V4:V14" si="4">$S4*$C4*$E4</f>
        <v>2.6105090527420627</v>
      </c>
      <c r="W4" s="29">
        <f t="shared" ref="W4:W14" si="5">$S4*$C4*$F4</f>
        <v>2.8970283390186307</v>
      </c>
      <c r="X4" s="27">
        <f t="shared" ref="X4:X14" si="6">$T4*$C4*$D4</f>
        <v>14.134951456310681</v>
      </c>
      <c r="Y4" s="28">
        <f t="shared" ref="Y4:Y14" si="7">$T4*$C4*$E4</f>
        <v>15.663054316452376</v>
      </c>
      <c r="Z4" s="29">
        <f t="shared" ref="Z4:Z14" si="8">$T4*$C4*$F4</f>
        <v>17.382170034111784</v>
      </c>
      <c r="AA4" s="27">
        <f t="shared" ref="AA4:AC4" si="9">U4+X4</f>
        <v>16.490776699029126</v>
      </c>
      <c r="AB4" s="28">
        <f t="shared" si="9"/>
        <v>18.273563369194438</v>
      </c>
      <c r="AC4" s="29">
        <f t="shared" si="9"/>
        <v>20.279198373130413</v>
      </c>
      <c r="AD4" s="30">
        <f t="shared" ref="AD4:AD14" si="10">($S4*$C4*$M4*3.6*10^(-3))*1000</f>
        <v>9.0540094463395439E-4</v>
      </c>
      <c r="AE4" s="21">
        <f t="shared" ref="AE4:AE14" si="11">($S4*$C4*$N4*3.6*10^(-3))*1000</f>
        <v>1.3157639788509451E-2</v>
      </c>
      <c r="AF4" s="22">
        <f t="shared" ref="AF4:AF14" si="12">($S4*$C4*$O4*3.6*10^(-3))*1000</f>
        <v>4.1877658882183158E-2</v>
      </c>
      <c r="AG4" s="30">
        <f t="shared" ref="AG4:AG14" si="13">($T4*$C4*$M4*3.6*10^(-3))*1000</f>
        <v>5.4324056678037259E-3</v>
      </c>
      <c r="AH4" s="21">
        <f t="shared" ref="AH4:AH14" si="14">($T4*$C4*$N4*3.6*10^(-3))*1000</f>
        <v>7.8945838731056692E-2</v>
      </c>
      <c r="AI4" s="22">
        <f t="shared" ref="AI4:AI14" si="15">($T4*$C4*O4*3.6*10^(-3))*1000</f>
        <v>0.25126595329309892</v>
      </c>
      <c r="AJ4" s="30">
        <f t="shared" ref="AJ4:AL4" si="16">AD4+AG4</f>
        <v>6.3378066124376801E-3</v>
      </c>
      <c r="AK4" s="21">
        <f t="shared" si="16"/>
        <v>9.2103478519566143E-2</v>
      </c>
      <c r="AL4" s="22">
        <f t="shared" si="16"/>
        <v>0.29314361217528206</v>
      </c>
      <c r="AM4" s="31">
        <f t="shared" ref="AM4:AM13" si="17">$S4*$C4*10^(-3)*$P4*10^4</f>
        <v>6.367095250590398E-3</v>
      </c>
      <c r="AN4" s="32">
        <f t="shared" ref="AN4:AN14" si="18">$S4*$C4*10^(-3)*$Q4*10^4</f>
        <v>0.15917738126475994</v>
      </c>
      <c r="AO4" s="33">
        <f t="shared" ref="AO4:AO13" si="19">$S4*$C4*10^(-3)*$R4*10^4</f>
        <v>0.47753214379427977</v>
      </c>
      <c r="AP4" s="31">
        <f t="shared" ref="AP4:AP13" si="20">$T4*$C4*10^(-3)*$P4*10^4</f>
        <v>3.8202571503542379E-2</v>
      </c>
      <c r="AQ4" s="32">
        <f t="shared" ref="AQ4:AQ14" si="21">$T4*$C4*10^(-3)*$Q4*10^4</f>
        <v>0.95506428758855955</v>
      </c>
      <c r="AR4" s="33">
        <f t="shared" ref="AR4:AR13" si="22">$T4*$C4*10^(-3)*$R4*10^4</f>
        <v>2.8651928627656784</v>
      </c>
      <c r="AS4" s="31">
        <f t="shared" ref="AS4:AU4" si="23">AM4+AP4</f>
        <v>4.4569666754132778E-2</v>
      </c>
      <c r="AT4" s="32">
        <f t="shared" si="23"/>
        <v>1.1142416688533194</v>
      </c>
      <c r="AU4" s="33">
        <f t="shared" si="23"/>
        <v>3.3427250065599581</v>
      </c>
    </row>
    <row r="5" spans="1:47" ht="16">
      <c r="A5" s="19" t="s">
        <v>58</v>
      </c>
      <c r="B5" s="1">
        <v>52.454999999999998</v>
      </c>
      <c r="C5" s="1">
        <f t="shared" si="0"/>
        <v>5.2136757233844616E-2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0.34253849502635914</v>
      </c>
      <c r="V5" s="28">
        <f t="shared" si="4"/>
        <v>0.35192311132845117</v>
      </c>
      <c r="W5" s="29">
        <f t="shared" si="5"/>
        <v>0.45150431764509441</v>
      </c>
      <c r="X5" s="27">
        <f t="shared" si="6"/>
        <v>2.0552309701581546</v>
      </c>
      <c r="Y5" s="28">
        <f t="shared" si="7"/>
        <v>2.1115386679707067</v>
      </c>
      <c r="Z5" s="29">
        <f t="shared" si="8"/>
        <v>2.7090259058705661</v>
      </c>
      <c r="AA5" s="27">
        <f t="shared" ref="AA5:AC5" si="25">U5+X5</f>
        <v>2.3977694651845138</v>
      </c>
      <c r="AB5" s="28">
        <f t="shared" si="25"/>
        <v>2.4634617792991578</v>
      </c>
      <c r="AC5" s="29">
        <f t="shared" si="25"/>
        <v>3.1605302235156607</v>
      </c>
      <c r="AD5" s="30">
        <f t="shared" si="10"/>
        <v>4.0166157772953895E-4</v>
      </c>
      <c r="AE5" s="21">
        <f t="shared" si="11"/>
        <v>1.5390770735430931E-3</v>
      </c>
      <c r="AF5" s="22">
        <f t="shared" si="12"/>
        <v>5.150277426588106E-3</v>
      </c>
      <c r="AG5" s="30">
        <f t="shared" si="13"/>
        <v>2.4099694663772334E-3</v>
      </c>
      <c r="AH5" s="21">
        <f t="shared" si="14"/>
        <v>9.2344624412585563E-3</v>
      </c>
      <c r="AI5" s="22">
        <f t="shared" si="15"/>
        <v>3.0901664559528638E-2</v>
      </c>
      <c r="AJ5" s="30">
        <f t="shared" ref="AJ5:AL5" si="26">AD5+AG5</f>
        <v>2.8116310441067723E-3</v>
      </c>
      <c r="AK5" s="21">
        <f t="shared" si="26"/>
        <v>1.077353951480165E-2</v>
      </c>
      <c r="AL5" s="22">
        <f t="shared" si="26"/>
        <v>3.6051941986116741E-2</v>
      </c>
      <c r="AM5" s="31">
        <f t="shared" si="17"/>
        <v>5.2136757233844629E-4</v>
      </c>
      <c r="AN5" s="32">
        <f t="shared" si="18"/>
        <v>2.0854702893537851E-3</v>
      </c>
      <c r="AO5" s="33">
        <f t="shared" si="19"/>
        <v>3.1282054340306771E-3</v>
      </c>
      <c r="AP5" s="31">
        <f t="shared" si="20"/>
        <v>3.1282054340306771E-3</v>
      </c>
      <c r="AQ5" s="32">
        <f t="shared" si="21"/>
        <v>1.2512821736122708E-2</v>
      </c>
      <c r="AR5" s="33">
        <f t="shared" si="22"/>
        <v>1.8769232604184057E-2</v>
      </c>
      <c r="AS5" s="31">
        <f t="shared" ref="AS5:AU5" si="27">AM5+AP5</f>
        <v>3.6495730063691233E-3</v>
      </c>
      <c r="AT5" s="32">
        <f t="shared" si="27"/>
        <v>1.4598292025476493E-2</v>
      </c>
      <c r="AU5" s="33">
        <f t="shared" si="27"/>
        <v>2.1897438038214735E-2</v>
      </c>
    </row>
    <row r="6" spans="1:47" ht="16">
      <c r="A6" s="19" t="s">
        <v>59</v>
      </c>
      <c r="B6" s="1">
        <v>360.37599999999998</v>
      </c>
      <c r="C6" s="1">
        <f t="shared" si="0"/>
        <v>0.35818961061679511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1.4685774035288599</v>
      </c>
      <c r="V6" s="28">
        <f t="shared" si="4"/>
        <v>1.7551290920222959</v>
      </c>
      <c r="W6" s="29">
        <f t="shared" si="5"/>
        <v>2.3282324690091682</v>
      </c>
      <c r="X6" s="27">
        <f t="shared" si="6"/>
        <v>8.8114644211731594</v>
      </c>
      <c r="Y6" s="28">
        <f t="shared" si="7"/>
        <v>10.530774552133776</v>
      </c>
      <c r="Z6" s="29">
        <f t="shared" si="8"/>
        <v>13.969394814055009</v>
      </c>
      <c r="AA6" s="27">
        <f t="shared" ref="AA6:AC6" si="29">U6+X6</f>
        <v>10.280041824702019</v>
      </c>
      <c r="AB6" s="28">
        <f t="shared" si="29"/>
        <v>12.285903644156072</v>
      </c>
      <c r="AC6" s="29">
        <f t="shared" si="29"/>
        <v>16.297627283064177</v>
      </c>
      <c r="AD6" s="30">
        <f t="shared" si="10"/>
        <v>9.8000677464755125E-4</v>
      </c>
      <c r="AE6" s="21">
        <f t="shared" si="11"/>
        <v>7.5047887216430917E-3</v>
      </c>
      <c r="AF6" s="22">
        <f t="shared" si="12"/>
        <v>3.6028143794279724E-2</v>
      </c>
      <c r="AG6" s="30">
        <f t="shared" si="13"/>
        <v>5.8800406478853092E-3</v>
      </c>
      <c r="AH6" s="21">
        <f t="shared" si="14"/>
        <v>4.5028732329858559E-2</v>
      </c>
      <c r="AI6" s="22">
        <f t="shared" si="15"/>
        <v>0.21616886276567832</v>
      </c>
      <c r="AJ6" s="30">
        <f t="shared" ref="AJ6:AL6" si="30">AD6+AG6</f>
        <v>6.8600474225328605E-3</v>
      </c>
      <c r="AK6" s="21">
        <f t="shared" si="30"/>
        <v>5.253352105150165E-2</v>
      </c>
      <c r="AL6" s="22">
        <f t="shared" si="30"/>
        <v>0.25219700655995803</v>
      </c>
      <c r="AM6" s="31">
        <f t="shared" si="17"/>
        <v>3.5818961061679514E-3</v>
      </c>
      <c r="AN6" s="32">
        <f t="shared" si="18"/>
        <v>7.1637922123359028E-3</v>
      </c>
      <c r="AO6" s="33">
        <f t="shared" si="19"/>
        <v>3.5818961061679512E-2</v>
      </c>
      <c r="AP6" s="31">
        <f t="shared" si="20"/>
        <v>2.1491376637007707E-2</v>
      </c>
      <c r="AQ6" s="32">
        <f t="shared" si="21"/>
        <v>4.2982753274015413E-2</v>
      </c>
      <c r="AR6" s="33">
        <f t="shared" si="22"/>
        <v>0.21491376637007706</v>
      </c>
      <c r="AS6" s="31">
        <f t="shared" ref="AS6:AU6" si="31">AM6+AP6</f>
        <v>2.5073272743175657E-2</v>
      </c>
      <c r="AT6" s="32">
        <f t="shared" si="31"/>
        <v>5.0146545486351314E-2</v>
      </c>
      <c r="AU6" s="33">
        <f t="shared" si="31"/>
        <v>0.25073272743175656</v>
      </c>
    </row>
    <row r="7" spans="1:47" ht="16">
      <c r="A7" s="19" t="s">
        <v>60</v>
      </c>
      <c r="B7" s="1">
        <v>64.929000000000002</v>
      </c>
      <c r="C7" s="1">
        <f t="shared" si="0"/>
        <v>6.4535077884592451E-2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2.3877978817299209E-3</v>
      </c>
      <c r="V7" s="28">
        <f t="shared" si="4"/>
        <v>7.7442093461510941E-3</v>
      </c>
      <c r="W7" s="29">
        <f t="shared" si="5"/>
        <v>7.0988585673051705E-2</v>
      </c>
      <c r="X7" s="27">
        <f t="shared" si="6"/>
        <v>1.4326787290379525E-2</v>
      </c>
      <c r="Y7" s="28">
        <f t="shared" si="7"/>
        <v>4.6465256076906561E-2</v>
      </c>
      <c r="Z7" s="29">
        <f t="shared" si="8"/>
        <v>0.4259315140383102</v>
      </c>
      <c r="AA7" s="27">
        <f t="shared" ref="AA7:AC7" si="33">U7+X7</f>
        <v>1.6714585172109445E-2</v>
      </c>
      <c r="AB7" s="28">
        <f t="shared" si="33"/>
        <v>5.4209465423057657E-2</v>
      </c>
      <c r="AC7" s="29">
        <f t="shared" si="33"/>
        <v>0.49692009971136192</v>
      </c>
      <c r="AD7" s="30">
        <f t="shared" si="10"/>
        <v>4.1818730469215909E-5</v>
      </c>
      <c r="AE7" s="21">
        <f t="shared" si="11"/>
        <v>5.757320608915389E-4</v>
      </c>
      <c r="AF7" s="22">
        <f t="shared" si="12"/>
        <v>6.9790814627513674E-3</v>
      </c>
      <c r="AG7" s="30">
        <f t="shared" si="13"/>
        <v>2.5091238281529547E-4</v>
      </c>
      <c r="AH7" s="21">
        <f t="shared" si="14"/>
        <v>3.4543923653492336E-3</v>
      </c>
      <c r="AI7" s="22">
        <f t="shared" si="15"/>
        <v>4.1874488776508192E-2</v>
      </c>
      <c r="AJ7" s="30">
        <f t="shared" ref="AJ7:AL7" si="34">AD7+AG7</f>
        <v>2.927311132845114E-4</v>
      </c>
      <c r="AK7" s="21">
        <f t="shared" si="34"/>
        <v>4.0301244262407722E-3</v>
      </c>
      <c r="AL7" s="22">
        <f t="shared" si="34"/>
        <v>4.8853570239259562E-2</v>
      </c>
      <c r="AM7" s="31">
        <f t="shared" si="17"/>
        <v>6.4535077884592454E-4</v>
      </c>
      <c r="AN7" s="32">
        <f t="shared" si="18"/>
        <v>6.4535077884592454E-4</v>
      </c>
      <c r="AO7" s="33">
        <f t="shared" si="19"/>
        <v>6.4535077884592456E-3</v>
      </c>
      <c r="AP7" s="31">
        <f t="shared" si="20"/>
        <v>3.8721046730755475E-3</v>
      </c>
      <c r="AQ7" s="32">
        <f t="shared" si="21"/>
        <v>3.8721046730755475E-3</v>
      </c>
      <c r="AR7" s="33">
        <f t="shared" si="22"/>
        <v>3.8721046730755472E-2</v>
      </c>
      <c r="AS7" s="31">
        <f t="shared" ref="AS7:AU7" si="35">AM7+AP7</f>
        <v>4.5174554519214717E-3</v>
      </c>
      <c r="AT7" s="32">
        <f t="shared" si="35"/>
        <v>4.5174554519214717E-3</v>
      </c>
      <c r="AU7" s="33">
        <f t="shared" si="35"/>
        <v>4.5174554519214719E-2</v>
      </c>
    </row>
    <row r="8" spans="1:47" ht="16">
      <c r="A8" s="19" t="s">
        <v>61</v>
      </c>
      <c r="B8" s="1">
        <v>90.67</v>
      </c>
      <c r="C8" s="1">
        <f t="shared" si="0"/>
        <v>9.0119908081073133E-2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9.0119908081073136E-4</v>
      </c>
      <c r="V8" s="28">
        <f t="shared" si="4"/>
        <v>2.1628777939457552E-2</v>
      </c>
      <c r="W8" s="29">
        <f t="shared" si="5"/>
        <v>1.982637977783609</v>
      </c>
      <c r="X8" s="27">
        <f t="shared" si="6"/>
        <v>5.4071944848643879E-3</v>
      </c>
      <c r="Y8" s="28">
        <f t="shared" si="7"/>
        <v>0.1297726676367453</v>
      </c>
      <c r="Z8" s="29">
        <f t="shared" si="8"/>
        <v>11.895827866701653</v>
      </c>
      <c r="AA8" s="27">
        <f t="shared" ref="AA8:AC8" si="37">U8+X8</f>
        <v>6.3083935656751194E-3</v>
      </c>
      <c r="AB8" s="28">
        <f t="shared" si="37"/>
        <v>0.15140144557620286</v>
      </c>
      <c r="AC8" s="29">
        <f t="shared" si="37"/>
        <v>13.878465844485262</v>
      </c>
      <c r="AD8" s="30">
        <f t="shared" si="10"/>
        <v>9.7329500727558985E-4</v>
      </c>
      <c r="AE8" s="21">
        <f t="shared" si="11"/>
        <v>3.0189232845273195E-2</v>
      </c>
      <c r="AF8" s="22">
        <f t="shared" si="12"/>
        <v>2.7627108554185256</v>
      </c>
      <c r="AG8" s="30">
        <f t="shared" si="13"/>
        <v>5.8397700436535393E-3</v>
      </c>
      <c r="AH8" s="21">
        <f t="shared" si="14"/>
        <v>0.18113539707163917</v>
      </c>
      <c r="AI8" s="22">
        <f t="shared" si="15"/>
        <v>16.576265132511153</v>
      </c>
      <c r="AJ8" s="30">
        <f t="shared" ref="AJ8:AL8" si="38">AD8+AG8</f>
        <v>6.8130650509291291E-3</v>
      </c>
      <c r="AK8" s="21">
        <f t="shared" si="38"/>
        <v>0.21132462991691237</v>
      </c>
      <c r="AL8" s="22">
        <f t="shared" si="38"/>
        <v>19.338975987929679</v>
      </c>
      <c r="AM8" s="31">
        <f t="shared" si="17"/>
        <v>2.9739569666754131E-2</v>
      </c>
      <c r="AN8" s="32">
        <f t="shared" si="18"/>
        <v>9.0119908081073133E-2</v>
      </c>
      <c r="AO8" s="33">
        <f t="shared" si="19"/>
        <v>0.15230264465701357</v>
      </c>
      <c r="AP8" s="31">
        <f t="shared" si="20"/>
        <v>0.17843741800052482</v>
      </c>
      <c r="AQ8" s="32">
        <f t="shared" si="21"/>
        <v>0.54071944848643883</v>
      </c>
      <c r="AR8" s="33">
        <f t="shared" si="22"/>
        <v>0.91381586794208147</v>
      </c>
      <c r="AS8" s="31">
        <f t="shared" ref="AS8:AU8" si="39">AM8+AP8</f>
        <v>0.20817698766727893</v>
      </c>
      <c r="AT8" s="32">
        <f t="shared" si="39"/>
        <v>0.630839356567512</v>
      </c>
      <c r="AU8" s="33">
        <f t="shared" si="39"/>
        <v>1.0661185125990951</v>
      </c>
    </row>
    <row r="9" spans="1:47" ht="16">
      <c r="A9" s="19" t="s">
        <v>85</v>
      </c>
      <c r="B9" s="4">
        <f>20.686+19.009</f>
        <v>39.695</v>
      </c>
      <c r="C9" s="1">
        <f t="shared" si="0"/>
        <v>3.9454171735725137E-2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5.1290423256442681E-2</v>
      </c>
      <c r="V9" s="28">
        <f t="shared" si="4"/>
        <v>9.0744594992167818E-2</v>
      </c>
      <c r="W9" s="29">
        <f t="shared" si="5"/>
        <v>0.1657075212900456</v>
      </c>
      <c r="X9" s="27">
        <f t="shared" si="6"/>
        <v>0.30774253953865605</v>
      </c>
      <c r="Y9" s="28">
        <f t="shared" si="7"/>
        <v>0.54446756995300682</v>
      </c>
      <c r="Z9" s="29">
        <f t="shared" si="8"/>
        <v>0.9942451277402734</v>
      </c>
      <c r="AA9" s="27">
        <f t="shared" ref="AA9:AC9" si="41">U9+X9</f>
        <v>0.35903296279509872</v>
      </c>
      <c r="AB9" s="28">
        <f t="shared" si="41"/>
        <v>0.63521216494517463</v>
      </c>
      <c r="AC9" s="29">
        <f t="shared" si="41"/>
        <v>1.1599526490303189</v>
      </c>
      <c r="AD9" s="30">
        <f t="shared" si="10"/>
        <v>2.8407003649722099E-2</v>
      </c>
      <c r="AE9" s="21">
        <f t="shared" si="11"/>
        <v>5.0124745671039743E-2</v>
      </c>
      <c r="AF9" s="22">
        <f t="shared" si="12"/>
        <v>9.3109635862694135E-2</v>
      </c>
      <c r="AG9" s="30">
        <f t="shared" si="13"/>
        <v>0.1704420218983326</v>
      </c>
      <c r="AH9" s="21">
        <f t="shared" si="14"/>
        <v>0.30074847402623844</v>
      </c>
      <c r="AI9" s="22">
        <f t="shared" si="15"/>
        <v>0.55865781517616475</v>
      </c>
      <c r="AJ9" s="30">
        <f t="shared" ref="AJ9:AL9" si="42">AD9+AG9</f>
        <v>0.1988490255480547</v>
      </c>
      <c r="AK9" s="21">
        <f t="shared" si="42"/>
        <v>0.35087321969727819</v>
      </c>
      <c r="AL9" s="22">
        <f t="shared" si="42"/>
        <v>0.65176745103885891</v>
      </c>
      <c r="AM9" s="31">
        <f t="shared" si="17"/>
        <v>5.1290423256442681E-2</v>
      </c>
      <c r="AN9" s="32">
        <f t="shared" si="18"/>
        <v>1.972708586786257</v>
      </c>
      <c r="AO9" s="33">
        <f t="shared" si="19"/>
        <v>3.1957879105937366</v>
      </c>
      <c r="AP9" s="31">
        <f t="shared" si="20"/>
        <v>0.30774253953865605</v>
      </c>
      <c r="AQ9" s="32">
        <f t="shared" si="21"/>
        <v>11.836251520717541</v>
      </c>
      <c r="AR9" s="33">
        <f t="shared" si="22"/>
        <v>19.174727463562416</v>
      </c>
      <c r="AS9" s="31">
        <f t="shared" ref="AS9:AU9" si="43">AM9+AP9</f>
        <v>0.35903296279509872</v>
      </c>
      <c r="AT9" s="32">
        <f t="shared" si="43"/>
        <v>13.808960107503799</v>
      </c>
      <c r="AU9" s="33">
        <f t="shared" si="43"/>
        <v>22.370515374156152</v>
      </c>
    </row>
    <row r="10" spans="1:47" ht="15.75" customHeight="1">
      <c r="A10" s="1" t="s">
        <v>63</v>
      </c>
      <c r="B10" s="1">
        <v>7.6319999999999997</v>
      </c>
      <c r="C10" s="1">
        <f t="shared" si="0"/>
        <v>7.5856969060852557E-3</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5.3099878342596795E-4</v>
      </c>
      <c r="V10" s="28">
        <f t="shared" si="4"/>
        <v>8.3442665966937813E-4</v>
      </c>
      <c r="W10" s="29">
        <f t="shared" si="5"/>
        <v>4.2479902674077436E-3</v>
      </c>
      <c r="X10" s="27">
        <f t="shared" si="6"/>
        <v>3.1859927005558073E-3</v>
      </c>
      <c r="Y10" s="28">
        <f t="shared" si="7"/>
        <v>5.0065599580162686E-3</v>
      </c>
      <c r="Z10" s="29">
        <f t="shared" si="8"/>
        <v>2.5487941604446458E-2</v>
      </c>
      <c r="AA10" s="27">
        <f t="shared" ref="AA10:AC10" si="45">U10+X10</f>
        <v>3.716991483981775E-3</v>
      </c>
      <c r="AB10" s="28">
        <f t="shared" si="45"/>
        <v>5.8409866176856468E-3</v>
      </c>
      <c r="AC10" s="29">
        <f t="shared" si="45"/>
        <v>2.97359318718542E-2</v>
      </c>
      <c r="AD10" s="30">
        <f t="shared" si="10"/>
        <v>5.4617017723813854E-8</v>
      </c>
      <c r="AE10" s="21">
        <f t="shared" si="11"/>
        <v>3.2300950147887695E-5</v>
      </c>
      <c r="AF10" s="22">
        <f t="shared" si="12"/>
        <v>4.2470192982037649E-4</v>
      </c>
      <c r="AG10" s="30">
        <f t="shared" si="13"/>
        <v>3.2770210634288309E-7</v>
      </c>
      <c r="AH10" s="21">
        <f t="shared" si="14"/>
        <v>1.9380570088732617E-4</v>
      </c>
      <c r="AI10" s="22">
        <f t="shared" si="15"/>
        <v>2.548211578922259E-3</v>
      </c>
      <c r="AJ10" s="30">
        <f t="shared" ref="AJ10:AL10" si="46">AD10+AG10</f>
        <v>3.8231912406669696E-7</v>
      </c>
      <c r="AK10" s="21">
        <f t="shared" si="46"/>
        <v>2.2610665103521386E-4</v>
      </c>
      <c r="AL10" s="22">
        <f t="shared" si="46"/>
        <v>2.9729135087426355E-3</v>
      </c>
      <c r="AM10" s="31">
        <f t="shared" si="17"/>
        <v>2.2757090718255766E-4</v>
      </c>
      <c r="AN10" s="32">
        <f t="shared" si="18"/>
        <v>7.5856969060852561E-4</v>
      </c>
      <c r="AO10" s="33">
        <f t="shared" si="19"/>
        <v>9.8614059779108328E-4</v>
      </c>
      <c r="AP10" s="31">
        <f t="shared" si="20"/>
        <v>1.365425443095346E-3</v>
      </c>
      <c r="AQ10" s="32">
        <f t="shared" si="21"/>
        <v>4.5514181436511533E-3</v>
      </c>
      <c r="AR10" s="33">
        <f t="shared" si="22"/>
        <v>5.9168435867465001E-3</v>
      </c>
      <c r="AS10" s="31">
        <f t="shared" ref="AS10:AU10" si="47">AM10+AP10</f>
        <v>1.5929963502779036E-3</v>
      </c>
      <c r="AT10" s="32">
        <f t="shared" si="47"/>
        <v>5.3099878342596791E-3</v>
      </c>
      <c r="AU10" s="33">
        <f t="shared" si="47"/>
        <v>6.9029841845375832E-3</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67.608999999999995</v>
      </c>
      <c r="C12" s="1">
        <f t="shared" si="0"/>
        <v>6.7198818412410641E-2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1.2095787314233917E-2</v>
      </c>
      <c r="V12" s="28">
        <f t="shared" si="4"/>
        <v>3.2255432837957107E-2</v>
      </c>
      <c r="W12" s="29">
        <f t="shared" si="5"/>
        <v>0.12095787314233916</v>
      </c>
      <c r="X12" s="27">
        <f t="shared" si="6"/>
        <v>7.2574723885403494E-2</v>
      </c>
      <c r="Y12" s="28">
        <f t="shared" si="7"/>
        <v>0.19353259702774264</v>
      </c>
      <c r="Z12" s="29">
        <f t="shared" si="8"/>
        <v>0.72574723885403492</v>
      </c>
      <c r="AA12" s="27">
        <f t="shared" ref="AA12:AC12" si="53">U12+X12</f>
        <v>8.4670511199637408E-2</v>
      </c>
      <c r="AB12" s="28">
        <f t="shared" si="53"/>
        <v>0.22578802986569974</v>
      </c>
      <c r="AC12" s="29">
        <f t="shared" si="53"/>
        <v>0.8467051119963741</v>
      </c>
      <c r="AD12" s="30">
        <f t="shared" si="10"/>
        <v>1.5482607762219415E-5</v>
      </c>
      <c r="AE12" s="21">
        <f t="shared" si="11"/>
        <v>4.3381765192289427E-4</v>
      </c>
      <c r="AF12" s="22">
        <f t="shared" si="12"/>
        <v>4.4923754085064767E-3</v>
      </c>
      <c r="AG12" s="30">
        <f t="shared" si="13"/>
        <v>9.2895646573316464E-5</v>
      </c>
      <c r="AH12" s="21">
        <f t="shared" si="14"/>
        <v>2.6029059115373664E-3</v>
      </c>
      <c r="AI12" s="22">
        <f t="shared" si="15"/>
        <v>2.6954252451038857E-2</v>
      </c>
      <c r="AJ12" s="30">
        <f t="shared" ref="AJ12:AL12" si="54">AD12+AG12</f>
        <v>1.0837825433553588E-4</v>
      </c>
      <c r="AK12" s="21">
        <f t="shared" si="54"/>
        <v>3.0367235634602605E-3</v>
      </c>
      <c r="AL12" s="22">
        <f t="shared" si="54"/>
        <v>3.1446627859545336E-2</v>
      </c>
      <c r="AM12" s="31">
        <f t="shared" si="17"/>
        <v>2.0159645523723196E-3</v>
      </c>
      <c r="AN12" s="32">
        <f t="shared" si="18"/>
        <v>6.7198818412410655E-2</v>
      </c>
      <c r="AO12" s="33">
        <f t="shared" si="19"/>
        <v>0.10079822761861597</v>
      </c>
      <c r="AP12" s="31">
        <f t="shared" si="20"/>
        <v>1.2095787314233917E-2</v>
      </c>
      <c r="AQ12" s="32">
        <f t="shared" si="21"/>
        <v>0.40319291047446387</v>
      </c>
      <c r="AR12" s="33">
        <f t="shared" si="22"/>
        <v>0.60478936571169573</v>
      </c>
      <c r="AS12" s="31">
        <f t="shared" ref="AS12:AU12" si="55">AM12+AP12</f>
        <v>1.4111751866606237E-2</v>
      </c>
      <c r="AT12" s="32">
        <f t="shared" si="55"/>
        <v>0.47039172888687453</v>
      </c>
      <c r="AU12" s="33">
        <f t="shared" si="55"/>
        <v>0.70558759333031174</v>
      </c>
    </row>
    <row r="13" spans="1:47" ht="15.75" customHeight="1">
      <c r="A13" s="1" t="s">
        <v>66</v>
      </c>
      <c r="B13" s="1">
        <v>2.44</v>
      </c>
      <c r="C13" s="1">
        <f t="shared" si="0"/>
        <v>2.4251965999538818E-3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1.4551179599723291E-4</v>
      </c>
      <c r="V13" s="28">
        <f t="shared" si="4"/>
        <v>9.2157470798247515E-4</v>
      </c>
      <c r="W13" s="29">
        <f t="shared" si="5"/>
        <v>1.9159053139635666E-3</v>
      </c>
      <c r="X13" s="27">
        <f t="shared" si="6"/>
        <v>8.7307077598339743E-4</v>
      </c>
      <c r="Y13" s="28">
        <f t="shared" si="7"/>
        <v>5.5294482478948507E-3</v>
      </c>
      <c r="Z13" s="29">
        <f t="shared" si="8"/>
        <v>1.1495431883781401E-2</v>
      </c>
      <c r="AA13" s="27">
        <f t="shared" ref="AA13:AC13" si="57">U13+X13</f>
        <v>1.0185825719806303E-3</v>
      </c>
      <c r="AB13" s="28">
        <f t="shared" si="57"/>
        <v>6.4510229558773259E-3</v>
      </c>
      <c r="AC13" s="29">
        <f t="shared" si="57"/>
        <v>1.3411337197744967E-2</v>
      </c>
      <c r="AD13" s="30">
        <f t="shared" si="10"/>
        <v>6.3734166646788022E-7</v>
      </c>
      <c r="AE13" s="21">
        <f t="shared" si="11"/>
        <v>3.9708335283223209E-5</v>
      </c>
      <c r="AF13" s="22">
        <f t="shared" si="12"/>
        <v>2.0194127048495984E-4</v>
      </c>
      <c r="AG13" s="30">
        <f t="shared" si="13"/>
        <v>3.8240499988072813E-6</v>
      </c>
      <c r="AH13" s="21">
        <f t="shared" si="14"/>
        <v>2.3825001169933927E-4</v>
      </c>
      <c r="AI13" s="22">
        <f t="shared" si="15"/>
        <v>1.2116476229097593E-3</v>
      </c>
      <c r="AJ13" s="30">
        <f t="shared" ref="AJ13:AL13" si="58">AD13+AG13</f>
        <v>4.4613916652751619E-6</v>
      </c>
      <c r="AK13" s="21">
        <f t="shared" si="58"/>
        <v>2.779583469825625E-4</v>
      </c>
      <c r="AL13" s="22">
        <f t="shared" si="58"/>
        <v>1.4135888933947192E-3</v>
      </c>
      <c r="AM13" s="31">
        <f t="shared" si="17"/>
        <v>7.2755897998616457E-5</v>
      </c>
      <c r="AN13" s="32">
        <f t="shared" si="18"/>
        <v>6.0629914998847046E-4</v>
      </c>
      <c r="AO13" s="33">
        <f t="shared" si="19"/>
        <v>1.2368502659764796E-3</v>
      </c>
      <c r="AP13" s="31">
        <f t="shared" si="20"/>
        <v>4.3653538799169877E-4</v>
      </c>
      <c r="AQ13" s="32">
        <f t="shared" si="21"/>
        <v>3.6377948999308228E-3</v>
      </c>
      <c r="AR13" s="33">
        <f t="shared" si="22"/>
        <v>7.4211015958588781E-3</v>
      </c>
      <c r="AS13" s="31">
        <f t="shared" ref="AS13:AU13" si="59">AM13+AP13</f>
        <v>5.0929128599031524E-4</v>
      </c>
      <c r="AT13" s="32">
        <f t="shared" si="59"/>
        <v>4.244094049919293E-3</v>
      </c>
      <c r="AU13" s="33">
        <f t="shared" si="59"/>
        <v>8.6579518618353571E-3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1006.1039999999999</v>
      </c>
      <c r="G15" s="7"/>
      <c r="AA15" s="4">
        <f t="shared" ref="AA15:AU15" si="64">SUM(AA4:AA14)</f>
        <v>29.640050015704141</v>
      </c>
      <c r="AB15" s="4">
        <f t="shared" si="64"/>
        <v>34.101831908033361</v>
      </c>
      <c r="AC15" s="4">
        <f t="shared" si="64"/>
        <v>56.16254685400316</v>
      </c>
      <c r="AD15" s="4">
        <f t="shared" si="64"/>
        <v>3.1725361250924358E-2</v>
      </c>
      <c r="AE15" s="4">
        <f t="shared" si="64"/>
        <v>0.10359704309825411</v>
      </c>
      <c r="AF15" s="4">
        <f t="shared" si="64"/>
        <v>2.9509746714558336</v>
      </c>
      <c r="AG15" s="4">
        <f t="shared" si="64"/>
        <v>0.19035216750554615</v>
      </c>
      <c r="AH15" s="4">
        <f t="shared" si="64"/>
        <v>0.62158225858952465</v>
      </c>
      <c r="AI15" s="4">
        <f t="shared" si="64"/>
        <v>17.705848028735002</v>
      </c>
      <c r="AJ15" s="4">
        <f t="shared" si="64"/>
        <v>0.22207752875647052</v>
      </c>
      <c r="AK15" s="4">
        <f t="shared" si="64"/>
        <v>0.72517930168777878</v>
      </c>
      <c r="AL15" s="4">
        <f t="shared" si="64"/>
        <v>20.656822700190837</v>
      </c>
      <c r="AM15" s="4">
        <f t="shared" si="64"/>
        <v>9.4461993988693024E-2</v>
      </c>
      <c r="AN15" s="4">
        <f t="shared" si="64"/>
        <v>2.3004641766656335</v>
      </c>
      <c r="AO15" s="4">
        <f t="shared" si="64"/>
        <v>3.9740445918115825</v>
      </c>
      <c r="AP15" s="4">
        <f t="shared" si="64"/>
        <v>0.56677196393215812</v>
      </c>
      <c r="AQ15" s="4">
        <f t="shared" si="64"/>
        <v>13.802785059993798</v>
      </c>
      <c r="AR15" s="4">
        <f t="shared" si="64"/>
        <v>23.844267550869496</v>
      </c>
      <c r="AS15" s="4">
        <f t="shared" si="64"/>
        <v>0.66123395792085105</v>
      </c>
      <c r="AT15" s="4">
        <f t="shared" si="64"/>
        <v>16.103249236659433</v>
      </c>
      <c r="AU15" s="4">
        <f t="shared" si="64"/>
        <v>27.818312142681076</v>
      </c>
    </row>
    <row r="16" spans="1:47" ht="15.75" customHeight="1">
      <c r="B16" s="68"/>
      <c r="G16" s="7"/>
      <c r="AG16" s="195"/>
      <c r="AH16" s="196"/>
      <c r="AI16" s="196"/>
      <c r="AP16" s="195"/>
      <c r="AQ16" s="196"/>
      <c r="AR16" s="196"/>
    </row>
    <row r="17" spans="2:18" ht="15.75" customHeight="1">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5.75" customHeight="1">
      <c r="B19" s="82" t="s">
        <v>140</v>
      </c>
      <c r="C19" s="187" t="s">
        <v>143</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168</v>
      </c>
      <c r="B2" s="205"/>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29.143999999999998</v>
      </c>
      <c r="C4" s="1">
        <f t="shared" ref="C4:C14" si="0">B4/$B$15</f>
        <v>8.5477806390304847E-2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0.63253576728825589</v>
      </c>
      <c r="V4" s="28">
        <f t="shared" ref="V4:V14" si="4">$S4*$C4*$E4</f>
        <v>0.70091801240049978</v>
      </c>
      <c r="W4" s="29">
        <f t="shared" ref="W4:W14" si="5">$S4*$C4*$F4</f>
        <v>0.77784803815177417</v>
      </c>
      <c r="X4" s="27">
        <f t="shared" ref="X4:X14" si="6">$T4*$C4*$D4</f>
        <v>3.7952146037295349</v>
      </c>
      <c r="Y4" s="28">
        <f t="shared" ref="Y4:Y14" si="7">$T4*$C4*$E4</f>
        <v>4.2055080744029985</v>
      </c>
      <c r="Z4" s="29">
        <f t="shared" ref="Z4:Z14" si="8">$T4*$C4*$F4</f>
        <v>4.6670882289106439</v>
      </c>
      <c r="AA4" s="27">
        <f t="shared" ref="AA4:AC4" si="9">U4+X4</f>
        <v>4.4277503710177903</v>
      </c>
      <c r="AB4" s="28">
        <f t="shared" si="9"/>
        <v>4.9064260868034983</v>
      </c>
      <c r="AC4" s="29">
        <f t="shared" si="9"/>
        <v>5.4449362670624177</v>
      </c>
      <c r="AD4" s="30">
        <f t="shared" ref="AD4:AD14" si="10">($S4*$C4*$M4*3.6*10^(-3))*1000</f>
        <v>2.4309888137402701E-4</v>
      </c>
      <c r="AE4" s="21">
        <f t="shared" ref="AE4:AE14" si="11">($S4*$C4*$N4*3.6*10^(-3))*1000</f>
        <v>3.5328077942333109E-3</v>
      </c>
      <c r="AF4" s="22">
        <f t="shared" ref="AF4:AF14" si="12">($S4*$C4*$O4*3.6*10^(-3))*1000</f>
        <v>1.1244092563806261E-2</v>
      </c>
      <c r="AG4" s="30">
        <f t="shared" ref="AG4:AG14" si="13">($T4*$C4*$M4*3.6*10^(-3))*1000</f>
        <v>1.4585932882441618E-3</v>
      </c>
      <c r="AH4" s="21">
        <f t="shared" ref="AH4:AH14" si="14">($T4*$C4*$N4*3.6*10^(-3))*1000</f>
        <v>2.1196846765399863E-2</v>
      </c>
      <c r="AI4" s="22">
        <f t="shared" ref="AI4:AI14" si="15">($T4*$C4*O4*3.6*10^(-3))*1000</f>
        <v>6.7464555382837563E-2</v>
      </c>
      <c r="AJ4" s="30">
        <f t="shared" ref="AJ4:AL4" si="16">AD4+AG4</f>
        <v>1.7016921696181887E-3</v>
      </c>
      <c r="AK4" s="21">
        <f t="shared" si="16"/>
        <v>2.4729654559633173E-2</v>
      </c>
      <c r="AL4" s="22">
        <f t="shared" si="16"/>
        <v>7.8708647946643825E-2</v>
      </c>
      <c r="AM4" s="31">
        <f t="shared" ref="AM4:AM13" si="17">$S4*$C4*10^(-3)*$P4*10^4</f>
        <v>1.7095561278060972E-3</v>
      </c>
      <c r="AN4" s="32">
        <f t="shared" ref="AN4:AN14" si="18">$S4*$C4*10^(-3)*$Q4*10^4</f>
        <v>4.2738903195152424E-2</v>
      </c>
      <c r="AO4" s="33">
        <f t="shared" ref="AO4:AO13" si="19">$S4*$C4*10^(-3)*$R4*10^4</f>
        <v>0.12821670958545728</v>
      </c>
      <c r="AP4" s="31">
        <f t="shared" ref="AP4:AP13" si="20">$T4*$C4*10^(-3)*$P4*10^4</f>
        <v>1.0257336766836581E-2</v>
      </c>
      <c r="AQ4" s="32">
        <f t="shared" ref="AQ4:AQ14" si="21">$T4*$C4*10^(-3)*$Q4*10^4</f>
        <v>0.2564334191709145</v>
      </c>
      <c r="AR4" s="33">
        <f t="shared" ref="AR4:AR13" si="22">$T4*$C4*10^(-3)*$R4*10^4</f>
        <v>0.76930025751274345</v>
      </c>
      <c r="AS4" s="31">
        <f t="shared" ref="AS4:AU4" si="23">AM4+AP4</f>
        <v>1.1966892894642677E-2</v>
      </c>
      <c r="AT4" s="32">
        <f t="shared" si="23"/>
        <v>0.29917232236606695</v>
      </c>
      <c r="AU4" s="33">
        <f t="shared" si="23"/>
        <v>0.89751696709820072</v>
      </c>
    </row>
    <row r="5" spans="1:47" ht="16">
      <c r="A5" s="19" t="s">
        <v>58</v>
      </c>
      <c r="B5" s="1">
        <v>35.957999999999998</v>
      </c>
      <c r="C5" s="1">
        <f t="shared" si="0"/>
        <v>0.10546290701971527</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0.69289129911952929</v>
      </c>
      <c r="V5" s="28">
        <f t="shared" si="4"/>
        <v>0.71187462238307797</v>
      </c>
      <c r="W5" s="29">
        <f t="shared" si="5"/>
        <v>0.91330877479073413</v>
      </c>
      <c r="X5" s="27">
        <f t="shared" si="6"/>
        <v>4.1573477947171753</v>
      </c>
      <c r="Y5" s="28">
        <f t="shared" si="7"/>
        <v>4.271247734298468</v>
      </c>
      <c r="Z5" s="29">
        <f t="shared" si="8"/>
        <v>5.479852648744405</v>
      </c>
      <c r="AA5" s="27">
        <f t="shared" ref="AA5:AC5" si="25">U5+X5</f>
        <v>4.8502390938367048</v>
      </c>
      <c r="AB5" s="28">
        <f t="shared" si="25"/>
        <v>4.9831223566815463</v>
      </c>
      <c r="AC5" s="29">
        <f t="shared" si="25"/>
        <v>6.3931614235351395</v>
      </c>
      <c r="AD5" s="30">
        <f t="shared" si="10"/>
        <v>8.1248623567988637E-4</v>
      </c>
      <c r="AE5" s="21">
        <f t="shared" si="11"/>
        <v>3.1132650152219943E-3</v>
      </c>
      <c r="AF5" s="22">
        <f t="shared" si="12"/>
        <v>1.0418047807035551E-2</v>
      </c>
      <c r="AG5" s="30">
        <f t="shared" si="13"/>
        <v>4.874917414079318E-3</v>
      </c>
      <c r="AH5" s="21">
        <f t="shared" si="14"/>
        <v>1.8679590091331966E-2</v>
      </c>
      <c r="AI5" s="22">
        <f t="shared" si="15"/>
        <v>6.2508286842213323E-2</v>
      </c>
      <c r="AJ5" s="30">
        <f t="shared" ref="AJ5:AL5" si="26">AD5+AG5</f>
        <v>5.6874036497592045E-3</v>
      </c>
      <c r="AK5" s="21">
        <f t="shared" si="26"/>
        <v>2.179285510655396E-2</v>
      </c>
      <c r="AL5" s="22">
        <f t="shared" si="26"/>
        <v>7.2926334649248872E-2</v>
      </c>
      <c r="AM5" s="31">
        <f t="shared" si="17"/>
        <v>1.0546290701971528E-3</v>
      </c>
      <c r="AN5" s="32">
        <f t="shared" si="18"/>
        <v>4.2185162807886114E-3</v>
      </c>
      <c r="AO5" s="33">
        <f t="shared" si="19"/>
        <v>6.3277744211829154E-3</v>
      </c>
      <c r="AP5" s="31">
        <f t="shared" si="20"/>
        <v>6.3277744211829154E-3</v>
      </c>
      <c r="AQ5" s="32">
        <f t="shared" si="21"/>
        <v>2.5311097684731661E-2</v>
      </c>
      <c r="AR5" s="33">
        <f t="shared" si="22"/>
        <v>3.796664652709749E-2</v>
      </c>
      <c r="AS5" s="31">
        <f t="shared" ref="AS5:AU5" si="27">AM5+AP5</f>
        <v>7.3824034913800678E-3</v>
      </c>
      <c r="AT5" s="32">
        <f t="shared" si="27"/>
        <v>2.9529613965520271E-2</v>
      </c>
      <c r="AU5" s="33">
        <f t="shared" si="27"/>
        <v>4.4294420948280407E-2</v>
      </c>
    </row>
    <row r="6" spans="1:47" ht="16">
      <c r="A6" s="19" t="s">
        <v>59</v>
      </c>
      <c r="B6" s="1">
        <v>205.64099999999999</v>
      </c>
      <c r="C6" s="1">
        <f t="shared" si="0"/>
        <v>0.60313414712835156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2.4728500032262413</v>
      </c>
      <c r="V6" s="28">
        <f t="shared" si="4"/>
        <v>2.9553573209289228</v>
      </c>
      <c r="W6" s="29">
        <f t="shared" si="5"/>
        <v>3.9203719563342854</v>
      </c>
      <c r="X6" s="27">
        <f t="shared" si="6"/>
        <v>14.837100019357448</v>
      </c>
      <c r="Y6" s="28">
        <f t="shared" si="7"/>
        <v>17.732143925573538</v>
      </c>
      <c r="Z6" s="29">
        <f t="shared" si="8"/>
        <v>23.522231738005711</v>
      </c>
      <c r="AA6" s="27">
        <f t="shared" ref="AA6:AC6" si="29">U6+X6</f>
        <v>17.309950022583688</v>
      </c>
      <c r="AB6" s="28">
        <f t="shared" si="29"/>
        <v>20.68750124650246</v>
      </c>
      <c r="AC6" s="29">
        <f t="shared" si="29"/>
        <v>27.442603694339997</v>
      </c>
      <c r="AD6" s="30">
        <f t="shared" si="10"/>
        <v>1.6501750265431703E-3</v>
      </c>
      <c r="AE6" s="21">
        <f t="shared" si="11"/>
        <v>1.2636866650633224E-2</v>
      </c>
      <c r="AF6" s="22">
        <f t="shared" si="12"/>
        <v>6.0665645054758119E-2</v>
      </c>
      <c r="AG6" s="30">
        <f t="shared" si="13"/>
        <v>9.9010501592590189E-3</v>
      </c>
      <c r="AH6" s="21">
        <f t="shared" si="14"/>
        <v>7.5821199903799347E-2</v>
      </c>
      <c r="AI6" s="22">
        <f t="shared" si="15"/>
        <v>0.3639938703285488</v>
      </c>
      <c r="AJ6" s="30">
        <f t="shared" ref="AJ6:AL6" si="30">AD6+AG6</f>
        <v>1.155122518580219E-2</v>
      </c>
      <c r="AK6" s="21">
        <f t="shared" si="30"/>
        <v>8.8458066554432571E-2</v>
      </c>
      <c r="AL6" s="22">
        <f t="shared" si="30"/>
        <v>0.42465951538330693</v>
      </c>
      <c r="AM6" s="31">
        <f t="shared" si="17"/>
        <v>6.0313414712835165E-3</v>
      </c>
      <c r="AN6" s="32">
        <f t="shared" si="18"/>
        <v>1.2062682942567033E-2</v>
      </c>
      <c r="AO6" s="33">
        <f t="shared" si="19"/>
        <v>6.0313414712835162E-2</v>
      </c>
      <c r="AP6" s="31">
        <f t="shared" si="20"/>
        <v>3.6188048827701103E-2</v>
      </c>
      <c r="AQ6" s="32">
        <f t="shared" si="21"/>
        <v>7.2376097655402205E-2</v>
      </c>
      <c r="AR6" s="33">
        <f t="shared" si="22"/>
        <v>0.36188048827701097</v>
      </c>
      <c r="AS6" s="31">
        <f t="shared" ref="AS6:AU6" si="31">AM6+AP6</f>
        <v>4.2219390298984617E-2</v>
      </c>
      <c r="AT6" s="32">
        <f t="shared" si="31"/>
        <v>8.4438780597969235E-2</v>
      </c>
      <c r="AU6" s="33">
        <f t="shared" si="31"/>
        <v>0.42219390298984616</v>
      </c>
    </row>
    <row r="7" spans="1:47" ht="16">
      <c r="A7" s="19" t="s">
        <v>60</v>
      </c>
      <c r="B7" s="1">
        <v>13.675000000000001</v>
      </c>
      <c r="C7" s="1">
        <f t="shared" si="0"/>
        <v>4.010804976624413E-2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1.483997841351033E-3</v>
      </c>
      <c r="V7" s="28">
        <f t="shared" si="4"/>
        <v>4.812965971949296E-3</v>
      </c>
      <c r="W7" s="29">
        <f t="shared" si="5"/>
        <v>4.4118854742868543E-2</v>
      </c>
      <c r="X7" s="27">
        <f t="shared" si="6"/>
        <v>8.9039870481061965E-3</v>
      </c>
      <c r="Y7" s="28">
        <f t="shared" si="7"/>
        <v>2.8877795831695773E-2</v>
      </c>
      <c r="Z7" s="29">
        <f t="shared" si="8"/>
        <v>0.26471312845721123</v>
      </c>
      <c r="AA7" s="27">
        <f t="shared" ref="AA7:AC7" si="33">U7+X7</f>
        <v>1.038798488945723E-2</v>
      </c>
      <c r="AB7" s="28">
        <f t="shared" si="33"/>
        <v>3.3690761803645067E-2</v>
      </c>
      <c r="AC7" s="29">
        <f t="shared" si="33"/>
        <v>0.30883198320007976</v>
      </c>
      <c r="AD7" s="30">
        <f t="shared" si="10"/>
        <v>2.59900162485262E-5</v>
      </c>
      <c r="AE7" s="21">
        <f t="shared" si="11"/>
        <v>3.5781300506918824E-4</v>
      </c>
      <c r="AF7" s="22">
        <f t="shared" si="12"/>
        <v>4.3374449339207057E-3</v>
      </c>
      <c r="AG7" s="30">
        <f t="shared" si="13"/>
        <v>1.5594009749115716E-4</v>
      </c>
      <c r="AH7" s="21">
        <f t="shared" si="14"/>
        <v>2.1468780304151293E-3</v>
      </c>
      <c r="AI7" s="22">
        <f t="shared" si="15"/>
        <v>2.6024669603524231E-2</v>
      </c>
      <c r="AJ7" s="30">
        <f t="shared" ref="AJ7:AL7" si="34">AD7+AG7</f>
        <v>1.8193011373968335E-4</v>
      </c>
      <c r="AK7" s="21">
        <f t="shared" si="34"/>
        <v>2.5046910354843176E-3</v>
      </c>
      <c r="AL7" s="22">
        <f t="shared" si="34"/>
        <v>3.0362114537444938E-2</v>
      </c>
      <c r="AM7" s="31">
        <f t="shared" si="17"/>
        <v>4.0108049766244132E-4</v>
      </c>
      <c r="AN7" s="32">
        <f t="shared" si="18"/>
        <v>4.0108049766244132E-4</v>
      </c>
      <c r="AO7" s="33">
        <f t="shared" si="19"/>
        <v>4.010804976624413E-3</v>
      </c>
      <c r="AP7" s="31">
        <f t="shared" si="20"/>
        <v>2.4064829859746476E-3</v>
      </c>
      <c r="AQ7" s="32">
        <f t="shared" si="21"/>
        <v>2.4064829859746476E-3</v>
      </c>
      <c r="AR7" s="33">
        <f t="shared" si="22"/>
        <v>2.4064829859746475E-2</v>
      </c>
      <c r="AS7" s="31">
        <f t="shared" ref="AS7:AU7" si="35">AM7+AP7</f>
        <v>2.807563483637089E-3</v>
      </c>
      <c r="AT7" s="32">
        <f t="shared" si="35"/>
        <v>2.807563483637089E-3</v>
      </c>
      <c r="AU7" s="33">
        <f t="shared" si="35"/>
        <v>2.8075634836370888E-2</v>
      </c>
    </row>
    <row r="8" spans="1:47" ht="16">
      <c r="A8" s="19" t="s">
        <v>61</v>
      </c>
      <c r="B8" s="1">
        <v>32.526000000000003</v>
      </c>
      <c r="C8" s="1">
        <f t="shared" si="0"/>
        <v>9.5397033030848746E-2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9.5397033030848743E-4</v>
      </c>
      <c r="V8" s="28">
        <f t="shared" si="4"/>
        <v>2.2895287927403699E-2</v>
      </c>
      <c r="W8" s="29">
        <f t="shared" si="5"/>
        <v>2.0987347266786722</v>
      </c>
      <c r="X8" s="27">
        <f t="shared" si="6"/>
        <v>5.7238219818509248E-3</v>
      </c>
      <c r="Y8" s="28">
        <f t="shared" si="7"/>
        <v>0.1373717275644222</v>
      </c>
      <c r="Z8" s="29">
        <f t="shared" si="8"/>
        <v>12.592408360072035</v>
      </c>
      <c r="AA8" s="27">
        <f t="shared" ref="AA8:AC8" si="37">U8+X8</f>
        <v>6.6777923121594121E-3</v>
      </c>
      <c r="AB8" s="28">
        <f t="shared" si="37"/>
        <v>0.1602670154918259</v>
      </c>
      <c r="AC8" s="29">
        <f t="shared" si="37"/>
        <v>14.691143086750706</v>
      </c>
      <c r="AD8" s="30">
        <f t="shared" si="10"/>
        <v>1.0302879567331664E-3</v>
      </c>
      <c r="AE8" s="21">
        <f t="shared" si="11"/>
        <v>3.1957014873180471E-2</v>
      </c>
      <c r="AF8" s="22">
        <f t="shared" si="12"/>
        <v>2.9244861023598494</v>
      </c>
      <c r="AG8" s="30">
        <f t="shared" si="13"/>
        <v>6.1817277403989988E-3</v>
      </c>
      <c r="AH8" s="21">
        <f t="shared" si="14"/>
        <v>0.19174208923908281</v>
      </c>
      <c r="AI8" s="22">
        <f t="shared" si="15"/>
        <v>17.546916614159095</v>
      </c>
      <c r="AJ8" s="30">
        <f t="shared" ref="AJ8:AL8" si="38">AD8+AG8</f>
        <v>7.2120156971321649E-3</v>
      </c>
      <c r="AK8" s="21">
        <f t="shared" si="38"/>
        <v>0.22369910411226329</v>
      </c>
      <c r="AL8" s="22">
        <f t="shared" si="38"/>
        <v>20.471402716518945</v>
      </c>
      <c r="AM8" s="31">
        <f t="shared" si="17"/>
        <v>3.1481020900180082E-2</v>
      </c>
      <c r="AN8" s="32">
        <f t="shared" si="18"/>
        <v>9.539703303084876E-2</v>
      </c>
      <c r="AO8" s="33">
        <f t="shared" si="19"/>
        <v>0.16122098582213437</v>
      </c>
      <c r="AP8" s="31">
        <f t="shared" si="20"/>
        <v>0.18888612540108052</v>
      </c>
      <c r="AQ8" s="32">
        <f t="shared" si="21"/>
        <v>0.57238219818509251</v>
      </c>
      <c r="AR8" s="33">
        <f t="shared" si="22"/>
        <v>0.96732591493280629</v>
      </c>
      <c r="AS8" s="31">
        <f t="shared" ref="AS8:AU8" si="39">AM8+AP8</f>
        <v>0.22036714630126059</v>
      </c>
      <c r="AT8" s="32">
        <f t="shared" si="39"/>
        <v>0.66777923121594129</v>
      </c>
      <c r="AU8" s="33">
        <f t="shared" si="39"/>
        <v>1.1285469007549407</v>
      </c>
    </row>
    <row r="9" spans="1:47" ht="16">
      <c r="A9" s="19" t="s">
        <v>84</v>
      </c>
      <c r="B9" s="4">
        <f>1.887+0.484</f>
        <v>2.371</v>
      </c>
      <c r="C9" s="1">
        <f t="shared" si="0"/>
        <v>6.9540172574599508E-3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9.0402224346979362E-3</v>
      </c>
      <c r="V9" s="28">
        <f t="shared" si="4"/>
        <v>1.5994239692157887E-2</v>
      </c>
      <c r="W9" s="29">
        <f t="shared" si="5"/>
        <v>2.9206872481331796E-2</v>
      </c>
      <c r="X9" s="27">
        <f t="shared" si="6"/>
        <v>5.4241334608187614E-2</v>
      </c>
      <c r="Y9" s="28">
        <f t="shared" si="7"/>
        <v>9.5965438152947308E-2</v>
      </c>
      <c r="Z9" s="29">
        <f t="shared" si="8"/>
        <v>0.17524123488799073</v>
      </c>
      <c r="AA9" s="27">
        <f t="shared" ref="AA9:AC9" si="41">U9+X9</f>
        <v>6.3281557042885545E-2</v>
      </c>
      <c r="AB9" s="28">
        <f t="shared" si="41"/>
        <v>0.11195967784510519</v>
      </c>
      <c r="AC9" s="29">
        <f t="shared" si="41"/>
        <v>0.20444810736932253</v>
      </c>
      <c r="AD9" s="30">
        <f t="shared" si="10"/>
        <v>5.0068924253711651E-3</v>
      </c>
      <c r="AE9" s="21">
        <f t="shared" si="11"/>
        <v>8.8347652754443232E-3</v>
      </c>
      <c r="AF9" s="22">
        <f t="shared" si="12"/>
        <v>1.6411091302639066E-2</v>
      </c>
      <c r="AG9" s="30">
        <f t="shared" si="13"/>
        <v>3.0041354552226986E-2</v>
      </c>
      <c r="AH9" s="21">
        <f t="shared" si="14"/>
        <v>5.3008591652665936E-2</v>
      </c>
      <c r="AI9" s="22">
        <f t="shared" si="15"/>
        <v>9.8466547815834402E-2</v>
      </c>
      <c r="AJ9" s="30">
        <f t="shared" ref="AJ9:AL9" si="42">AD9+AG9</f>
        <v>3.5048246977598153E-2</v>
      </c>
      <c r="AK9" s="21">
        <f t="shared" si="42"/>
        <v>6.1843356928110257E-2</v>
      </c>
      <c r="AL9" s="22">
        <f t="shared" si="42"/>
        <v>0.11487763911847347</v>
      </c>
      <c r="AM9" s="31">
        <f t="shared" si="17"/>
        <v>9.0402224346979362E-3</v>
      </c>
      <c r="AN9" s="32">
        <f t="shared" si="18"/>
        <v>0.34770086287299756</v>
      </c>
      <c r="AO9" s="33">
        <f t="shared" si="19"/>
        <v>0.56327539785425595</v>
      </c>
      <c r="AP9" s="31">
        <f t="shared" si="20"/>
        <v>5.4241334608187614E-2</v>
      </c>
      <c r="AQ9" s="32">
        <f t="shared" si="21"/>
        <v>2.0862051772379848</v>
      </c>
      <c r="AR9" s="33">
        <f t="shared" si="22"/>
        <v>3.3796523871255362</v>
      </c>
      <c r="AS9" s="31">
        <f t="shared" ref="AS9:AU9" si="43">AM9+AP9</f>
        <v>6.3281557042885545E-2</v>
      </c>
      <c r="AT9" s="32">
        <f t="shared" si="43"/>
        <v>2.4339060401109824</v>
      </c>
      <c r="AU9" s="33">
        <f t="shared" si="43"/>
        <v>3.9429277849797923</v>
      </c>
    </row>
    <row r="10" spans="1:47" ht="15.75" customHeight="1">
      <c r="A10" s="1" t="s">
        <v>63</v>
      </c>
      <c r="B10" s="1">
        <v>13.074</v>
      </c>
      <c r="C10" s="1">
        <f t="shared" si="0"/>
        <v>3.8345348639405898E-2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2.6841744047584131E-3</v>
      </c>
      <c r="V10" s="28">
        <f t="shared" si="4"/>
        <v>4.2179883503346491E-3</v>
      </c>
      <c r="W10" s="29">
        <f t="shared" si="5"/>
        <v>2.1473395238067305E-2</v>
      </c>
      <c r="X10" s="27">
        <f t="shared" si="6"/>
        <v>1.6105046428550478E-2</v>
      </c>
      <c r="Y10" s="28">
        <f t="shared" si="7"/>
        <v>2.5307930102007891E-2</v>
      </c>
      <c r="Z10" s="29">
        <f t="shared" si="8"/>
        <v>0.12884037142840382</v>
      </c>
      <c r="AA10" s="27">
        <f t="shared" ref="AA10:AC10" si="45">U10+X10</f>
        <v>1.8789220833308889E-2</v>
      </c>
      <c r="AB10" s="28">
        <f t="shared" si="45"/>
        <v>2.952591845234254E-2</v>
      </c>
      <c r="AC10" s="29">
        <f t="shared" si="45"/>
        <v>0.15031376666647112</v>
      </c>
      <c r="AD10" s="30">
        <f t="shared" si="10"/>
        <v>2.7608651020372251E-7</v>
      </c>
      <c r="AE10" s="21">
        <f t="shared" si="11"/>
        <v>1.6327981596670754E-4</v>
      </c>
      <c r="AF10" s="22">
        <f t="shared" si="12"/>
        <v>2.1468487033441462E-3</v>
      </c>
      <c r="AG10" s="30">
        <f t="shared" si="13"/>
        <v>1.6565190612223349E-6</v>
      </c>
      <c r="AH10" s="21">
        <f t="shared" si="14"/>
        <v>9.7967889580024528E-4</v>
      </c>
      <c r="AI10" s="22">
        <f t="shared" si="15"/>
        <v>1.2881092220064876E-2</v>
      </c>
      <c r="AJ10" s="30">
        <f t="shared" ref="AJ10:AL10" si="46">AD10+AG10</f>
        <v>1.9326055714260575E-6</v>
      </c>
      <c r="AK10" s="21">
        <f t="shared" si="46"/>
        <v>1.1429587117669528E-3</v>
      </c>
      <c r="AL10" s="22">
        <f t="shared" si="46"/>
        <v>1.5027940923409023E-2</v>
      </c>
      <c r="AM10" s="31">
        <f t="shared" si="17"/>
        <v>1.1503604591821769E-3</v>
      </c>
      <c r="AN10" s="32">
        <f t="shared" si="18"/>
        <v>3.8345348639405902E-3</v>
      </c>
      <c r="AO10" s="33">
        <f t="shared" si="19"/>
        <v>4.9848953231227669E-3</v>
      </c>
      <c r="AP10" s="31">
        <f t="shared" si="20"/>
        <v>6.9021627550930609E-3</v>
      </c>
      <c r="AQ10" s="32">
        <f t="shared" si="21"/>
        <v>2.3007209183643539E-2</v>
      </c>
      <c r="AR10" s="33">
        <f t="shared" si="22"/>
        <v>2.9909371938736599E-2</v>
      </c>
      <c r="AS10" s="31">
        <f t="shared" ref="AS10:AU10" si="47">AM10+AP10</f>
        <v>8.0525232142752371E-3</v>
      </c>
      <c r="AT10" s="32">
        <f t="shared" si="47"/>
        <v>2.6841744047584128E-2</v>
      </c>
      <c r="AU10" s="33">
        <f t="shared" si="47"/>
        <v>3.4894267261859367E-2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3.1989999999999998</v>
      </c>
      <c r="C12" s="1">
        <f t="shared" si="0"/>
        <v>9.3824973456829944E-3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1.688849522222939E-3</v>
      </c>
      <c r="V12" s="28">
        <f t="shared" si="4"/>
        <v>4.5035987259278371E-3</v>
      </c>
      <c r="W12" s="29">
        <f t="shared" si="5"/>
        <v>1.6888495222229391E-2</v>
      </c>
      <c r="X12" s="27">
        <f t="shared" si="6"/>
        <v>1.0133097133337633E-2</v>
      </c>
      <c r="Y12" s="28">
        <f t="shared" si="7"/>
        <v>2.7021592355567024E-2</v>
      </c>
      <c r="Z12" s="29">
        <f t="shared" si="8"/>
        <v>0.10133097133337633</v>
      </c>
      <c r="AA12" s="27">
        <f t="shared" ref="AA12:AC12" si="53">U12+X12</f>
        <v>1.1821946655560573E-2</v>
      </c>
      <c r="AB12" s="28">
        <f t="shared" si="53"/>
        <v>3.152519108149486E-2</v>
      </c>
      <c r="AC12" s="29">
        <f t="shared" si="53"/>
        <v>0.11821946655560572</v>
      </c>
      <c r="AD12" s="30">
        <f t="shared" si="10"/>
        <v>2.1617273884453621E-6</v>
      </c>
      <c r="AE12" s="21">
        <f t="shared" si="11"/>
        <v>6.0570900855680239E-5</v>
      </c>
      <c r="AF12" s="22">
        <f t="shared" si="12"/>
        <v>6.2723871255359958E-4</v>
      </c>
      <c r="AG12" s="30">
        <f t="shared" si="13"/>
        <v>1.2970364330672173E-5</v>
      </c>
      <c r="AH12" s="21">
        <f t="shared" si="14"/>
        <v>3.6342540513408146E-4</v>
      </c>
      <c r="AI12" s="22">
        <f t="shared" si="15"/>
        <v>3.7634322753215973E-3</v>
      </c>
      <c r="AJ12" s="30">
        <f t="shared" ref="AJ12:AL12" si="54">AD12+AG12</f>
        <v>1.5132091719117534E-5</v>
      </c>
      <c r="AK12" s="21">
        <f t="shared" si="54"/>
        <v>4.2399630598976168E-4</v>
      </c>
      <c r="AL12" s="22">
        <f t="shared" si="54"/>
        <v>4.3906709878751967E-3</v>
      </c>
      <c r="AM12" s="31">
        <f t="shared" si="17"/>
        <v>2.8147492037048987E-4</v>
      </c>
      <c r="AN12" s="32">
        <f t="shared" si="18"/>
        <v>9.3824973456829962E-3</v>
      </c>
      <c r="AO12" s="33">
        <f t="shared" si="19"/>
        <v>1.4073746018524493E-2</v>
      </c>
      <c r="AP12" s="31">
        <f t="shared" si="20"/>
        <v>1.688849522222939E-3</v>
      </c>
      <c r="AQ12" s="32">
        <f t="shared" si="21"/>
        <v>5.629498407409797E-2</v>
      </c>
      <c r="AR12" s="33">
        <f t="shared" si="22"/>
        <v>8.4442476111146941E-2</v>
      </c>
      <c r="AS12" s="31">
        <f t="shared" ref="AS12:AU12" si="55">AM12+AP12</f>
        <v>1.9703244425934288E-3</v>
      </c>
      <c r="AT12" s="32">
        <f t="shared" si="55"/>
        <v>6.567748141978097E-2</v>
      </c>
      <c r="AU12" s="33">
        <f t="shared" si="55"/>
        <v>9.8516222129671427E-2</v>
      </c>
    </row>
    <row r="13" spans="1:47" ht="15.75" customHeight="1">
      <c r="A13" s="1" t="s">
        <v>66</v>
      </c>
      <c r="B13" s="1">
        <v>5.3659999999999997</v>
      </c>
      <c r="C13" s="1">
        <f t="shared" si="0"/>
        <v>1.5738193421986544E-2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9.4429160531919265E-4</v>
      </c>
      <c r="V13" s="28">
        <f t="shared" si="4"/>
        <v>5.9805135003548875E-3</v>
      </c>
      <c r="W13" s="29">
        <f t="shared" si="5"/>
        <v>1.243317280336937E-2</v>
      </c>
      <c r="X13" s="27">
        <f t="shared" si="6"/>
        <v>5.6657496319151559E-3</v>
      </c>
      <c r="Y13" s="28">
        <f t="shared" si="7"/>
        <v>3.5883081002129322E-2</v>
      </c>
      <c r="Z13" s="29">
        <f t="shared" si="8"/>
        <v>7.4599036820216222E-2</v>
      </c>
      <c r="AA13" s="27">
        <f t="shared" ref="AA13:AC13" si="57">U13+X13</f>
        <v>6.610041237234349E-3</v>
      </c>
      <c r="AB13" s="28">
        <f t="shared" si="57"/>
        <v>4.1863594502484211E-2</v>
      </c>
      <c r="AC13" s="29">
        <f t="shared" si="57"/>
        <v>8.7032209623585599E-2</v>
      </c>
      <c r="AD13" s="30">
        <f t="shared" si="10"/>
        <v>4.1359972312980646E-6</v>
      </c>
      <c r="AE13" s="21">
        <f t="shared" si="11"/>
        <v>2.576852784489075E-4</v>
      </c>
      <c r="AF13" s="22">
        <f t="shared" si="12"/>
        <v>1.3104878898619759E-3</v>
      </c>
      <c r="AG13" s="30">
        <f t="shared" si="13"/>
        <v>2.4815983387788384E-5</v>
      </c>
      <c r="AH13" s="21">
        <f t="shared" si="14"/>
        <v>1.546111670693445E-3</v>
      </c>
      <c r="AI13" s="22">
        <f t="shared" si="15"/>
        <v>7.8629273391718543E-3</v>
      </c>
      <c r="AJ13" s="30">
        <f t="shared" ref="AJ13:AL13" si="58">AD13+AG13</f>
        <v>2.8951980619086449E-5</v>
      </c>
      <c r="AK13" s="21">
        <f t="shared" si="58"/>
        <v>1.8037969491423525E-3</v>
      </c>
      <c r="AL13" s="22">
        <f t="shared" si="58"/>
        <v>9.1734152290338308E-3</v>
      </c>
      <c r="AM13" s="31">
        <f t="shared" si="17"/>
        <v>4.7214580265959633E-4</v>
      </c>
      <c r="AN13" s="32">
        <f t="shared" si="18"/>
        <v>3.9345483554966369E-3</v>
      </c>
      <c r="AO13" s="33">
        <f t="shared" si="19"/>
        <v>8.0264786452131382E-3</v>
      </c>
      <c r="AP13" s="31">
        <f t="shared" si="20"/>
        <v>2.832874815957578E-3</v>
      </c>
      <c r="AQ13" s="32">
        <f t="shared" si="21"/>
        <v>2.3607290132979818E-2</v>
      </c>
      <c r="AR13" s="33">
        <f t="shared" si="22"/>
        <v>4.8158871871278826E-2</v>
      </c>
      <c r="AS13" s="31">
        <f t="shared" ref="AS13:AU13" si="59">AM13+AP13</f>
        <v>3.3050206186171745E-3</v>
      </c>
      <c r="AT13" s="32">
        <f t="shared" si="59"/>
        <v>2.7541838488476453E-2</v>
      </c>
      <c r="AU13" s="33">
        <f t="shared" si="59"/>
        <v>5.6185350516491962E-2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340.95400000000001</v>
      </c>
      <c r="G15" s="7"/>
      <c r="AA15" s="4">
        <f t="shared" ref="AA15:AC15" si="64">SUM(AA4:AA14)</f>
        <v>26.705508030408794</v>
      </c>
      <c r="AB15" s="4">
        <f t="shared" si="64"/>
        <v>30.985881849164404</v>
      </c>
      <c r="AC15" s="4">
        <f t="shared" si="64"/>
        <v>54.840690005103333</v>
      </c>
      <c r="AJ15" s="4">
        <f t="shared" ref="AJ15:AL15" si="65">SUM(AJ4:AJ14)</f>
        <v>6.1428530471559217E-2</v>
      </c>
      <c r="AK15" s="4">
        <f t="shared" si="65"/>
        <v>0.42639848026337668</v>
      </c>
      <c r="AL15" s="4">
        <f t="shared" si="65"/>
        <v>21.221528995294378</v>
      </c>
      <c r="AS15" s="4">
        <f t="shared" ref="AS15:AU15" si="66">SUM(AS4:AS14)</f>
        <v>0.36135282178827643</v>
      </c>
      <c r="AT15" s="4">
        <f t="shared" si="66"/>
        <v>3.6376946156959584</v>
      </c>
      <c r="AU15" s="4">
        <f t="shared" si="66"/>
        <v>6.6531514515154528</v>
      </c>
    </row>
    <row r="16" spans="1:47" ht="15.75" customHeight="1">
      <c r="B16" s="68"/>
      <c r="G16" s="7"/>
      <c r="AG16" s="195"/>
      <c r="AH16" s="196"/>
      <c r="AI16" s="196"/>
      <c r="AP16" s="195"/>
      <c r="AQ16" s="196"/>
      <c r="AR16" s="196"/>
    </row>
    <row r="17" spans="2:18" ht="15.75" customHeight="1">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5.75" customHeight="1">
      <c r="B19" s="82" t="s">
        <v>140</v>
      </c>
      <c r="C19" s="187" t="s">
        <v>143</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169</v>
      </c>
      <c r="B2" s="205"/>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10.911</v>
      </c>
      <c r="C4" s="1">
        <f t="shared" ref="C4:C14" si="0">B4/$B$15</f>
        <v>8.3114330766242361E-2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0.61504604767019355</v>
      </c>
      <c r="V4" s="28">
        <f t="shared" ref="V4:V14" si="4">$S4*$C4*$E4</f>
        <v>0.68153751228318737</v>
      </c>
      <c r="W4" s="29">
        <f t="shared" ref="W4:W14" si="5">$S4*$C4*$F4</f>
        <v>0.75634040997280549</v>
      </c>
      <c r="X4" s="27">
        <f t="shared" ref="X4:X14" si="6">$T4*$C4*$D4</f>
        <v>3.6902762860211609</v>
      </c>
      <c r="Y4" s="28">
        <f t="shared" ref="Y4:Y14" si="7">$T4*$C4*$E4</f>
        <v>4.089225073699124</v>
      </c>
      <c r="Z4" s="29">
        <f t="shared" ref="Z4:Z14" si="8">$T4*$C4*$F4</f>
        <v>4.5380424598368334</v>
      </c>
      <c r="AA4" s="27">
        <f t="shared" ref="AA4:AC4" si="9">U4+X4</f>
        <v>4.305322333691354</v>
      </c>
      <c r="AB4" s="28">
        <f t="shared" si="9"/>
        <v>4.7707625859823111</v>
      </c>
      <c r="AC4" s="29">
        <f t="shared" si="9"/>
        <v>5.2943828698096391</v>
      </c>
      <c r="AD4" s="30">
        <f t="shared" ref="AD4:AD14" si="10">($S4*$C4*$M4*3.6*10^(-3))*1000</f>
        <v>2.363771566991933E-4</v>
      </c>
      <c r="AE4" s="21">
        <f t="shared" ref="AE4:AE14" si="11">($S4*$C4*$N4*3.6*10^(-3))*1000</f>
        <v>3.4351250686373547E-3</v>
      </c>
      <c r="AF4" s="22">
        <f t="shared" ref="AF4:AF14" si="12">($S4*$C4*$O4*3.6*10^(-3))*1000</f>
        <v>1.0933191526314586E-2</v>
      </c>
      <c r="AG4" s="30">
        <f t="shared" ref="AG4:AG14" si="13">($T4*$C4*$M4*3.6*10^(-3))*1000</f>
        <v>1.4182629401951598E-3</v>
      </c>
      <c r="AH4" s="21">
        <f t="shared" ref="AH4:AH14" si="14">($T4*$C4*$N4*3.6*10^(-3))*1000</f>
        <v>2.0610750411824131E-2</v>
      </c>
      <c r="AI4" s="22">
        <f t="shared" ref="AI4:AI14" si="15">($T4*$C4*O4*3.6*10^(-3))*1000</f>
        <v>6.5599149157887518E-2</v>
      </c>
      <c r="AJ4" s="30">
        <f t="shared" ref="AJ4:AL4" si="16">AD4+AG4</f>
        <v>1.654640096894353E-3</v>
      </c>
      <c r="AK4" s="21">
        <f t="shared" si="16"/>
        <v>2.4045875480461484E-2</v>
      </c>
      <c r="AL4" s="22">
        <f t="shared" si="16"/>
        <v>7.6532340684202102E-2</v>
      </c>
      <c r="AM4" s="31">
        <f t="shared" ref="AM4:AM13" si="17">$S4*$C4*10^(-3)*$P4*10^4</f>
        <v>1.6622866153248473E-3</v>
      </c>
      <c r="AN4" s="32">
        <f t="shared" ref="AN4:AN14" si="18">$S4*$C4*10^(-3)*$Q4*10^4</f>
        <v>4.1557165383121188E-2</v>
      </c>
      <c r="AO4" s="33">
        <f t="shared" ref="AO4:AO13" si="19">$S4*$C4*10^(-3)*$R4*10^4</f>
        <v>0.12467149614936356</v>
      </c>
      <c r="AP4" s="31">
        <f t="shared" ref="AP4:AP13" si="20">$T4*$C4*10^(-3)*$P4*10^4</f>
        <v>9.9737196919490838E-3</v>
      </c>
      <c r="AQ4" s="32">
        <f t="shared" ref="AQ4:AQ14" si="21">$T4*$C4*10^(-3)*$Q4*10^4</f>
        <v>0.24934299229872711</v>
      </c>
      <c r="AR4" s="33">
        <f t="shared" ref="AR4:AR13" si="22">$T4*$C4*10^(-3)*$R4*10^4</f>
        <v>0.74802897689618131</v>
      </c>
      <c r="AS4" s="31">
        <f t="shared" ref="AS4:AU4" si="23">AM4+AP4</f>
        <v>1.1636006307273931E-2</v>
      </c>
      <c r="AT4" s="32">
        <f t="shared" si="23"/>
        <v>0.29090015768184829</v>
      </c>
      <c r="AU4" s="33">
        <f t="shared" si="23"/>
        <v>0.87270047304554488</v>
      </c>
    </row>
    <row r="5" spans="1:47" ht="16">
      <c r="A5" s="19" t="s">
        <v>58</v>
      </c>
      <c r="B5" s="1">
        <v>29.501000000000001</v>
      </c>
      <c r="C5" s="1">
        <f t="shared" si="0"/>
        <v>0.22472329501740593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1.4764320482643569</v>
      </c>
      <c r="V5" s="28">
        <f t="shared" si="4"/>
        <v>1.5168822413674901</v>
      </c>
      <c r="W5" s="29">
        <f t="shared" si="5"/>
        <v>1.9461037348507353</v>
      </c>
      <c r="X5" s="27">
        <f t="shared" si="6"/>
        <v>8.8585922895861415</v>
      </c>
      <c r="Y5" s="28">
        <f t="shared" si="7"/>
        <v>9.1012934482049399</v>
      </c>
      <c r="Z5" s="29">
        <f t="shared" si="8"/>
        <v>11.676622409104413</v>
      </c>
      <c r="AA5" s="27">
        <f t="shared" ref="AA5:AC5" si="25">U5+X5</f>
        <v>10.335024337850498</v>
      </c>
      <c r="AB5" s="28">
        <f t="shared" si="25"/>
        <v>10.61817568957243</v>
      </c>
      <c r="AC5" s="29">
        <f t="shared" si="25"/>
        <v>13.622726143955148</v>
      </c>
      <c r="AD5" s="30">
        <f t="shared" si="10"/>
        <v>1.7312682648140953E-3</v>
      </c>
      <c r="AE5" s="21">
        <f t="shared" si="11"/>
        <v>6.6338316689138225E-3</v>
      </c>
      <c r="AF5" s="22">
        <f t="shared" si="12"/>
        <v>2.2199065974999425E-2</v>
      </c>
      <c r="AG5" s="30">
        <f t="shared" si="13"/>
        <v>1.0387609588884572E-2</v>
      </c>
      <c r="AH5" s="21">
        <f t="shared" si="14"/>
        <v>3.9802990013482933E-2</v>
      </c>
      <c r="AI5" s="22">
        <f t="shared" si="15"/>
        <v>0.13319439584999657</v>
      </c>
      <c r="AJ5" s="30">
        <f t="shared" ref="AJ5:AL5" si="26">AD5+AG5</f>
        <v>1.2118877853698667E-2</v>
      </c>
      <c r="AK5" s="21">
        <f t="shared" si="26"/>
        <v>4.6436821682396753E-2</v>
      </c>
      <c r="AL5" s="22">
        <f t="shared" si="26"/>
        <v>0.155393461824996</v>
      </c>
      <c r="AM5" s="31">
        <f t="shared" si="17"/>
        <v>2.2472329501740597E-3</v>
      </c>
      <c r="AN5" s="32">
        <f t="shared" si="18"/>
        <v>8.9889318006962388E-3</v>
      </c>
      <c r="AO5" s="33">
        <f t="shared" si="19"/>
        <v>1.3483397701044357E-2</v>
      </c>
      <c r="AP5" s="31">
        <f t="shared" si="20"/>
        <v>1.3483397701044357E-2</v>
      </c>
      <c r="AQ5" s="32">
        <f t="shared" si="21"/>
        <v>5.393359080417743E-2</v>
      </c>
      <c r="AR5" s="33">
        <f t="shared" si="22"/>
        <v>8.0900386206266134E-2</v>
      </c>
      <c r="AS5" s="31">
        <f t="shared" ref="AS5:AU5" si="27">AM5+AP5</f>
        <v>1.5730630651218418E-2</v>
      </c>
      <c r="AT5" s="32">
        <f t="shared" si="27"/>
        <v>6.2922522604873674E-2</v>
      </c>
      <c r="AU5" s="33">
        <f t="shared" si="27"/>
        <v>9.438378390731049E-2</v>
      </c>
    </row>
    <row r="6" spans="1:47" ht="16">
      <c r="A6" s="19" t="s">
        <v>59</v>
      </c>
      <c r="B6" s="1">
        <v>49.203000000000003</v>
      </c>
      <c r="C6" s="1">
        <f t="shared" si="0"/>
        <v>0.37480289768961811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1.5366918805274343</v>
      </c>
      <c r="V6" s="28">
        <f t="shared" si="4"/>
        <v>1.8365341986791288</v>
      </c>
      <c r="W6" s="29">
        <f t="shared" si="5"/>
        <v>2.4362188349825176</v>
      </c>
      <c r="X6" s="27">
        <f t="shared" si="6"/>
        <v>9.2201512831646042</v>
      </c>
      <c r="Y6" s="28">
        <f t="shared" si="7"/>
        <v>11.019205192074772</v>
      </c>
      <c r="Z6" s="29">
        <f t="shared" si="8"/>
        <v>14.617313009895105</v>
      </c>
      <c r="AA6" s="27">
        <f t="shared" ref="AA6:AC6" si="29">U6+X6</f>
        <v>10.756843163692039</v>
      </c>
      <c r="AB6" s="28">
        <f t="shared" si="29"/>
        <v>12.8557393907539</v>
      </c>
      <c r="AC6" s="29">
        <f t="shared" si="29"/>
        <v>17.053531844877622</v>
      </c>
      <c r="AD6" s="30">
        <f t="shared" si="10"/>
        <v>1.0254607280787951E-3</v>
      </c>
      <c r="AE6" s="21">
        <f t="shared" si="11"/>
        <v>7.8528703123928803E-3</v>
      </c>
      <c r="AF6" s="22">
        <f t="shared" si="12"/>
        <v>3.7699174661212559E-2</v>
      </c>
      <c r="AG6" s="30">
        <f t="shared" si="13"/>
        <v>6.1527643684727703E-3</v>
      </c>
      <c r="AH6" s="21">
        <f t="shared" si="14"/>
        <v>4.7117221874357275E-2</v>
      </c>
      <c r="AI6" s="22">
        <f t="shared" si="15"/>
        <v>0.2261950479672753</v>
      </c>
      <c r="AJ6" s="30">
        <f t="shared" ref="AJ6:AL6" si="30">AD6+AG6</f>
        <v>7.1782250965515652E-3</v>
      </c>
      <c r="AK6" s="21">
        <f t="shared" si="30"/>
        <v>5.4970092186750155E-2</v>
      </c>
      <c r="AL6" s="22">
        <f t="shared" si="30"/>
        <v>0.26389422262848783</v>
      </c>
      <c r="AM6" s="31">
        <f t="shared" si="17"/>
        <v>3.7480289768961816E-3</v>
      </c>
      <c r="AN6" s="32">
        <f t="shared" si="18"/>
        <v>7.4960579537923632E-3</v>
      </c>
      <c r="AO6" s="33">
        <f t="shared" si="19"/>
        <v>3.7480289768961811E-2</v>
      </c>
      <c r="AP6" s="31">
        <f t="shared" si="20"/>
        <v>2.2488173861377088E-2</v>
      </c>
      <c r="AQ6" s="32">
        <f t="shared" si="21"/>
        <v>4.4976347722754176E-2</v>
      </c>
      <c r="AR6" s="33">
        <f t="shared" si="22"/>
        <v>0.22488173861377087</v>
      </c>
      <c r="AS6" s="31">
        <f t="shared" ref="AS6:AU6" si="31">AM6+AP6</f>
        <v>2.623620283827327E-2</v>
      </c>
      <c r="AT6" s="32">
        <f t="shared" si="31"/>
        <v>5.2472405676546541E-2</v>
      </c>
      <c r="AU6" s="33">
        <f t="shared" si="31"/>
        <v>0.2623620283827327</v>
      </c>
    </row>
    <row r="7" spans="1:47" ht="16">
      <c r="A7" s="19" t="s">
        <v>60</v>
      </c>
      <c r="B7" s="1">
        <v>9.8800000000000008</v>
      </c>
      <c r="C7" s="1">
        <f t="shared" si="0"/>
        <v>7.5260708273345675E-2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2.7846462061137901E-3</v>
      </c>
      <c r="V7" s="28">
        <f t="shared" si="4"/>
        <v>9.0312849928014804E-3</v>
      </c>
      <c r="W7" s="29">
        <f t="shared" si="5"/>
        <v>8.2786779100680247E-2</v>
      </c>
      <c r="X7" s="27">
        <f t="shared" si="6"/>
        <v>1.6707877236682739E-2</v>
      </c>
      <c r="Y7" s="28">
        <f t="shared" si="7"/>
        <v>5.4187709956808883E-2</v>
      </c>
      <c r="Z7" s="29">
        <f t="shared" si="8"/>
        <v>0.49672067460408142</v>
      </c>
      <c r="AA7" s="27">
        <f t="shared" ref="AA7:AC7" si="33">U7+X7</f>
        <v>1.949252344279653E-2</v>
      </c>
      <c r="AB7" s="28">
        <f t="shared" si="33"/>
        <v>6.3218994949610363E-2</v>
      </c>
      <c r="AC7" s="29">
        <f t="shared" si="33"/>
        <v>0.57950745370476164</v>
      </c>
      <c r="AD7" s="30">
        <f t="shared" si="10"/>
        <v>4.8768938961127998E-5</v>
      </c>
      <c r="AE7" s="21">
        <f t="shared" si="11"/>
        <v>6.7141784125304509E-4</v>
      </c>
      <c r="AF7" s="22">
        <f t="shared" si="12"/>
        <v>8.138994035512697E-3</v>
      </c>
      <c r="AG7" s="30">
        <f t="shared" si="13"/>
        <v>2.9261363376676791E-4</v>
      </c>
      <c r="AH7" s="21">
        <f t="shared" si="14"/>
        <v>4.0285070475182703E-3</v>
      </c>
      <c r="AI7" s="22">
        <f t="shared" si="15"/>
        <v>4.8833964213076168E-2</v>
      </c>
      <c r="AJ7" s="30">
        <f t="shared" ref="AJ7:AL7" si="34">AD7+AG7</f>
        <v>3.4138257272789592E-4</v>
      </c>
      <c r="AK7" s="21">
        <f t="shared" si="34"/>
        <v>4.6999248887713155E-3</v>
      </c>
      <c r="AL7" s="22">
        <f t="shared" si="34"/>
        <v>5.6972958248588862E-2</v>
      </c>
      <c r="AM7" s="31">
        <f t="shared" si="17"/>
        <v>7.5260708273345688E-4</v>
      </c>
      <c r="AN7" s="32">
        <f t="shared" si="18"/>
        <v>7.5260708273345688E-4</v>
      </c>
      <c r="AO7" s="33">
        <f t="shared" si="19"/>
        <v>7.5260708273345682E-3</v>
      </c>
      <c r="AP7" s="31">
        <f t="shared" si="20"/>
        <v>4.5156424964007402E-3</v>
      </c>
      <c r="AQ7" s="32">
        <f t="shared" si="21"/>
        <v>4.5156424964007402E-3</v>
      </c>
      <c r="AR7" s="33">
        <f t="shared" si="22"/>
        <v>4.5156424964007402E-2</v>
      </c>
      <c r="AS7" s="31">
        <f t="shared" ref="AS7:AU7" si="35">AM7+AP7</f>
        <v>5.2682495791341972E-3</v>
      </c>
      <c r="AT7" s="32">
        <f t="shared" si="35"/>
        <v>5.2682495791341972E-3</v>
      </c>
      <c r="AU7" s="33">
        <f t="shared" si="35"/>
        <v>5.2682495791341974E-2</v>
      </c>
    </row>
    <row r="8" spans="1:47" ht="16">
      <c r="A8" s="19" t="s">
        <v>61</v>
      </c>
      <c r="B8" s="1">
        <v>27.925000000000001</v>
      </c>
      <c r="C8" s="1">
        <f t="shared" si="0"/>
        <v>0.21271814560052407</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2.1271814560052406E-3</v>
      </c>
      <c r="V8" s="28">
        <f t="shared" si="4"/>
        <v>5.1052354944125772E-2</v>
      </c>
      <c r="W8" s="29">
        <f t="shared" si="5"/>
        <v>4.6797992032115294</v>
      </c>
      <c r="X8" s="27">
        <f t="shared" si="6"/>
        <v>1.2763088736031445E-2</v>
      </c>
      <c r="Y8" s="28">
        <f t="shared" si="7"/>
        <v>0.30631412966475469</v>
      </c>
      <c r="Z8" s="29">
        <f t="shared" si="8"/>
        <v>28.078795219269178</v>
      </c>
      <c r="AA8" s="27">
        <f t="shared" ref="AA8:AC8" si="37">U8+X8</f>
        <v>1.4890270192036686E-2</v>
      </c>
      <c r="AB8" s="28">
        <f t="shared" si="37"/>
        <v>0.35736648460888043</v>
      </c>
      <c r="AC8" s="29">
        <f t="shared" si="37"/>
        <v>32.758594422480705</v>
      </c>
      <c r="AD8" s="30">
        <f t="shared" si="10"/>
        <v>2.2973559724856598E-3</v>
      </c>
      <c r="AE8" s="21">
        <f t="shared" si="11"/>
        <v>7.1258368596778948E-2</v>
      </c>
      <c r="AF8" s="22">
        <f t="shared" si="12"/>
        <v>6.5210755593135117</v>
      </c>
      <c r="AG8" s="30">
        <f t="shared" si="13"/>
        <v>1.378413583491396E-2</v>
      </c>
      <c r="AH8" s="21">
        <f t="shared" si="14"/>
        <v>0.42755021158067374</v>
      </c>
      <c r="AI8" s="22">
        <f t="shared" si="15"/>
        <v>39.126453355881075</v>
      </c>
      <c r="AJ8" s="30">
        <f t="shared" ref="AJ8:AL8" si="38">AD8+AG8</f>
        <v>1.6081491807399619E-2</v>
      </c>
      <c r="AK8" s="21">
        <f t="shared" si="38"/>
        <v>0.49880858017745267</v>
      </c>
      <c r="AL8" s="22">
        <f t="shared" si="38"/>
        <v>45.647528915194584</v>
      </c>
      <c r="AM8" s="31">
        <f t="shared" si="17"/>
        <v>7.0196988048172954E-2</v>
      </c>
      <c r="AN8" s="32">
        <f t="shared" si="18"/>
        <v>0.21271814560052407</v>
      </c>
      <c r="AO8" s="33">
        <f t="shared" si="19"/>
        <v>0.35949366606488564</v>
      </c>
      <c r="AP8" s="31">
        <f t="shared" si="20"/>
        <v>0.42118192828903761</v>
      </c>
      <c r="AQ8" s="32">
        <f t="shared" si="21"/>
        <v>1.2763088736031445</v>
      </c>
      <c r="AR8" s="33">
        <f t="shared" si="22"/>
        <v>2.1569619963893141</v>
      </c>
      <c r="AS8" s="31">
        <f t="shared" ref="AS8:AU8" si="39">AM8+AP8</f>
        <v>0.49137891633721054</v>
      </c>
      <c r="AT8" s="32">
        <f t="shared" si="39"/>
        <v>1.4890270192036685</v>
      </c>
      <c r="AU8" s="33">
        <f t="shared" si="39"/>
        <v>2.5164556624541996</v>
      </c>
    </row>
    <row r="9" spans="1:47" ht="16">
      <c r="A9" s="19" t="s">
        <v>84</v>
      </c>
      <c r="B9" s="1">
        <v>0.98799999999999999</v>
      </c>
      <c r="C9" s="1">
        <f t="shared" si="0"/>
        <v>7.5260708273345665E-3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9.7838920755349366E-3</v>
      </c>
      <c r="V9" s="28">
        <f t="shared" si="4"/>
        <v>1.7309962902869503E-2</v>
      </c>
      <c r="W9" s="29">
        <f t="shared" si="5"/>
        <v>3.1609497474805175E-2</v>
      </c>
      <c r="X9" s="27">
        <f t="shared" si="6"/>
        <v>5.8703352453209616E-2</v>
      </c>
      <c r="Y9" s="28">
        <f t="shared" si="7"/>
        <v>0.10385977741721701</v>
      </c>
      <c r="Z9" s="29">
        <f t="shared" si="8"/>
        <v>0.18965698484883106</v>
      </c>
      <c r="AA9" s="27">
        <f t="shared" ref="AA9:AC9" si="41">U9+X9</f>
        <v>6.8487244528744551E-2</v>
      </c>
      <c r="AB9" s="28">
        <f t="shared" si="41"/>
        <v>0.12116974032008651</v>
      </c>
      <c r="AC9" s="29">
        <f t="shared" si="41"/>
        <v>0.22126648232363624</v>
      </c>
      <c r="AD9" s="30">
        <f t="shared" si="10"/>
        <v>5.4187709956808883E-3</v>
      </c>
      <c r="AE9" s="21">
        <f t="shared" si="11"/>
        <v>9.5615335343813505E-3</v>
      </c>
      <c r="AF9" s="22">
        <f t="shared" si="12"/>
        <v>1.7761105692543244E-2</v>
      </c>
      <c r="AG9" s="30">
        <f t="shared" si="13"/>
        <v>3.2512625974085323E-2</v>
      </c>
      <c r="AH9" s="21">
        <f t="shared" si="14"/>
        <v>5.7369201206288106E-2</v>
      </c>
      <c r="AI9" s="22">
        <f t="shared" si="15"/>
        <v>0.10656663415525948</v>
      </c>
      <c r="AJ9" s="30">
        <f t="shared" ref="AJ9:AL9" si="42">AD9+AG9</f>
        <v>3.7931396969766211E-2</v>
      </c>
      <c r="AK9" s="21">
        <f t="shared" si="42"/>
        <v>6.6930734740669462E-2</v>
      </c>
      <c r="AL9" s="22">
        <f t="shared" si="42"/>
        <v>0.12432773984780272</v>
      </c>
      <c r="AM9" s="31">
        <f t="shared" si="17"/>
        <v>9.7838920755349366E-3</v>
      </c>
      <c r="AN9" s="32">
        <f t="shared" si="18"/>
        <v>0.37630354136672833</v>
      </c>
      <c r="AO9" s="33">
        <f t="shared" si="19"/>
        <v>0.60961173701409987</v>
      </c>
      <c r="AP9" s="31">
        <f t="shared" si="20"/>
        <v>5.8703352453209616E-2</v>
      </c>
      <c r="AQ9" s="32">
        <f t="shared" si="21"/>
        <v>2.2578212482003699</v>
      </c>
      <c r="AR9" s="33">
        <f t="shared" si="22"/>
        <v>3.6576704220845988</v>
      </c>
      <c r="AS9" s="31">
        <f t="shared" ref="AS9:AU9" si="43">AM9+AP9</f>
        <v>6.8487244528744551E-2</v>
      </c>
      <c r="AT9" s="32">
        <f t="shared" si="43"/>
        <v>2.6341247895670983</v>
      </c>
      <c r="AU9" s="33">
        <f t="shared" si="43"/>
        <v>4.2672821590986985</v>
      </c>
    </row>
    <row r="10" spans="1:47" ht="15.75" customHeight="1">
      <c r="A10" s="1" t="s">
        <v>63</v>
      </c>
      <c r="B10" s="1">
        <v>2.101</v>
      </c>
      <c r="C10" s="1">
        <f t="shared" si="0"/>
        <v>1.6004326728977655E-2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1.1203028710284359E-3</v>
      </c>
      <c r="V10" s="28">
        <f t="shared" si="4"/>
        <v>1.7604759401875422E-3</v>
      </c>
      <c r="W10" s="29">
        <f t="shared" si="5"/>
        <v>8.9624229682274872E-3</v>
      </c>
      <c r="X10" s="27">
        <f t="shared" si="6"/>
        <v>6.7218172261706149E-3</v>
      </c>
      <c r="Y10" s="28">
        <f t="shared" si="7"/>
        <v>1.0562855641125253E-2</v>
      </c>
      <c r="Z10" s="29">
        <f t="shared" si="8"/>
        <v>5.377453780936492E-2</v>
      </c>
      <c r="AA10" s="27">
        <f t="shared" ref="AA10:AC10" si="45">U10+X10</f>
        <v>7.8421200971990502E-3</v>
      </c>
      <c r="AB10" s="28">
        <f t="shared" si="45"/>
        <v>1.2323331581312795E-2</v>
      </c>
      <c r="AC10" s="29">
        <f t="shared" si="45"/>
        <v>6.2736960777592402E-2</v>
      </c>
      <c r="AD10" s="30">
        <f t="shared" si="10"/>
        <v>1.1523115244863914E-7</v>
      </c>
      <c r="AE10" s="21">
        <f t="shared" si="11"/>
        <v>6.8148644247638201E-5</v>
      </c>
      <c r="AF10" s="22">
        <f t="shared" si="12"/>
        <v>8.9603744144061803E-4</v>
      </c>
      <c r="AG10" s="30">
        <f t="shared" si="13"/>
        <v>6.9138691469183473E-7</v>
      </c>
      <c r="AH10" s="21">
        <f t="shared" si="14"/>
        <v>4.0889186548582915E-4</v>
      </c>
      <c r="AI10" s="22">
        <f t="shared" si="15"/>
        <v>5.3762246486437071E-3</v>
      </c>
      <c r="AJ10" s="30">
        <f t="shared" ref="AJ10:AL10" si="46">AD10+AG10</f>
        <v>8.0661806714047388E-7</v>
      </c>
      <c r="AK10" s="21">
        <f t="shared" si="46"/>
        <v>4.7704050973346732E-4</v>
      </c>
      <c r="AL10" s="22">
        <f t="shared" si="46"/>
        <v>6.2722620900843252E-3</v>
      </c>
      <c r="AM10" s="31">
        <f t="shared" si="17"/>
        <v>4.8012980186932971E-4</v>
      </c>
      <c r="AN10" s="32">
        <f t="shared" si="18"/>
        <v>1.6004326728977659E-3</v>
      </c>
      <c r="AO10" s="33">
        <f t="shared" si="19"/>
        <v>2.0805624747670956E-3</v>
      </c>
      <c r="AP10" s="31">
        <f t="shared" si="20"/>
        <v>2.8807788112159777E-3</v>
      </c>
      <c r="AQ10" s="32">
        <f t="shared" si="21"/>
        <v>9.6025960373865935E-3</v>
      </c>
      <c r="AR10" s="33">
        <f t="shared" si="22"/>
        <v>1.2483374848602572E-2</v>
      </c>
      <c r="AS10" s="31">
        <f t="shared" ref="AS10:AU10" si="47">AM10+AP10</f>
        <v>3.3609086130853075E-3</v>
      </c>
      <c r="AT10" s="32">
        <f t="shared" si="47"/>
        <v>1.1203028710284359E-2</v>
      </c>
      <c r="AU10" s="33">
        <f t="shared" si="47"/>
        <v>1.4563937323369667E-2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0.76800000000000002</v>
      </c>
      <c r="C12" s="1">
        <f t="shared" si="0"/>
        <v>5.8502250965515659E-3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1.0530405173792819E-3</v>
      </c>
      <c r="V12" s="28">
        <f t="shared" si="4"/>
        <v>2.8081080463447515E-3</v>
      </c>
      <c r="W12" s="29">
        <f t="shared" si="5"/>
        <v>1.0530405173792818E-2</v>
      </c>
      <c r="X12" s="27">
        <f t="shared" si="6"/>
        <v>6.3182431042756908E-3</v>
      </c>
      <c r="Y12" s="28">
        <f t="shared" si="7"/>
        <v>1.684864827806851E-2</v>
      </c>
      <c r="Z12" s="29">
        <f t="shared" si="8"/>
        <v>6.3182431042756906E-2</v>
      </c>
      <c r="AA12" s="27">
        <f t="shared" ref="AA12:AC12" si="53">U12+X12</f>
        <v>7.3712836216549725E-3</v>
      </c>
      <c r="AB12" s="28">
        <f t="shared" si="53"/>
        <v>1.9656756324413261E-2</v>
      </c>
      <c r="AC12" s="29">
        <f t="shared" si="53"/>
        <v>7.3712836216549726E-2</v>
      </c>
      <c r="AD12" s="30">
        <f t="shared" si="10"/>
        <v>1.3478918622454811E-6</v>
      </c>
      <c r="AE12" s="21">
        <f t="shared" si="11"/>
        <v>3.7767493157850954E-5</v>
      </c>
      <c r="AF12" s="22">
        <f t="shared" si="12"/>
        <v>3.9109924815466528E-4</v>
      </c>
      <c r="AG12" s="30">
        <f t="shared" si="13"/>
        <v>8.0873511734728854E-6</v>
      </c>
      <c r="AH12" s="21">
        <f t="shared" si="14"/>
        <v>2.2660495894710576E-4</v>
      </c>
      <c r="AI12" s="22">
        <f t="shared" si="15"/>
        <v>2.3465954889279918E-3</v>
      </c>
      <c r="AJ12" s="30">
        <f t="shared" ref="AJ12:AL12" si="54">AD12+AG12</f>
        <v>9.4352430357183664E-6</v>
      </c>
      <c r="AK12" s="21">
        <f t="shared" si="54"/>
        <v>2.6437245210495674E-4</v>
      </c>
      <c r="AL12" s="22">
        <f t="shared" si="54"/>
        <v>2.7376947370826572E-3</v>
      </c>
      <c r="AM12" s="31">
        <f t="shared" si="17"/>
        <v>1.7550675289654697E-4</v>
      </c>
      <c r="AN12" s="32">
        <f t="shared" si="18"/>
        <v>5.8502250965515659E-3</v>
      </c>
      <c r="AO12" s="33">
        <f t="shared" si="19"/>
        <v>8.7753376448273489E-3</v>
      </c>
      <c r="AP12" s="31">
        <f t="shared" si="20"/>
        <v>1.0530405173792819E-3</v>
      </c>
      <c r="AQ12" s="32">
        <f t="shared" si="21"/>
        <v>3.5101350579309396E-2</v>
      </c>
      <c r="AR12" s="33">
        <f t="shared" si="22"/>
        <v>5.26520258689641E-2</v>
      </c>
      <c r="AS12" s="31">
        <f t="shared" ref="AS12:AU12" si="55">AM12+AP12</f>
        <v>1.2285472702758288E-3</v>
      </c>
      <c r="AT12" s="32">
        <f t="shared" si="55"/>
        <v>4.0951575675860961E-2</v>
      </c>
      <c r="AU12" s="33">
        <f t="shared" si="55"/>
        <v>6.1427363513791453E-2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131.27700000000002</v>
      </c>
      <c r="G15" s="7"/>
      <c r="AA15" s="4">
        <f t="shared" ref="AA15:AU15" si="64">SUM(AA4:AA14)</f>
        <v>25.515273277116322</v>
      </c>
      <c r="AB15" s="4">
        <f t="shared" si="64"/>
        <v>28.818412974092947</v>
      </c>
      <c r="AC15" s="4">
        <f t="shared" si="64"/>
        <v>69.666459014145673</v>
      </c>
      <c r="AD15" s="4">
        <f t="shared" si="64"/>
        <v>1.0759465179734454E-2</v>
      </c>
      <c r="AE15" s="4">
        <f t="shared" si="64"/>
        <v>9.9519063159762888E-2</v>
      </c>
      <c r="AF15" s="4">
        <f t="shared" si="64"/>
        <v>6.6190942278936893</v>
      </c>
      <c r="AG15" s="4">
        <f t="shared" si="64"/>
        <v>6.4556791078406714E-2</v>
      </c>
      <c r="AH15" s="4">
        <f t="shared" si="64"/>
        <v>0.59711437895857744</v>
      </c>
      <c r="AI15" s="4">
        <f t="shared" si="64"/>
        <v>39.714565367362141</v>
      </c>
      <c r="AJ15" s="4">
        <f t="shared" si="64"/>
        <v>7.5316256258141187E-2</v>
      </c>
      <c r="AK15" s="4">
        <f t="shared" si="64"/>
        <v>0.69663344211834033</v>
      </c>
      <c r="AL15" s="4">
        <f t="shared" si="64"/>
        <v>46.333659595255831</v>
      </c>
      <c r="AM15" s="4">
        <f t="shared" si="64"/>
        <v>8.9046672303602317E-2</v>
      </c>
      <c r="AN15" s="4">
        <f t="shared" si="64"/>
        <v>0.65526710695704504</v>
      </c>
      <c r="AO15" s="4">
        <f t="shared" si="64"/>
        <v>1.1631225576452844</v>
      </c>
      <c r="AP15" s="4">
        <f t="shared" si="64"/>
        <v>0.53428003382161371</v>
      </c>
      <c r="AQ15" s="4">
        <f t="shared" si="64"/>
        <v>3.9316026417422698</v>
      </c>
      <c r="AR15" s="4">
        <f t="shared" si="64"/>
        <v>6.978735345871705</v>
      </c>
      <c r="AS15" s="4">
        <f t="shared" si="64"/>
        <v>0.62332670612521612</v>
      </c>
      <c r="AT15" s="4">
        <f t="shared" si="64"/>
        <v>4.5868697486993151</v>
      </c>
      <c r="AU15" s="4">
        <f t="shared" si="64"/>
        <v>8.1418579035169891</v>
      </c>
    </row>
    <row r="16" spans="1:47" ht="15.75" customHeight="1">
      <c r="B16" s="68"/>
      <c r="G16" s="7"/>
      <c r="AG16" s="195"/>
      <c r="AH16" s="196"/>
      <c r="AI16" s="196"/>
      <c r="AP16" s="195"/>
      <c r="AQ16" s="196"/>
      <c r="AR16" s="196"/>
    </row>
    <row r="17" spans="2:18" ht="15.75" customHeight="1">
      <c r="H17" s="61"/>
      <c r="I17" s="61"/>
      <c r="J17" s="61"/>
      <c r="K17" s="61"/>
      <c r="L17" s="61"/>
      <c r="M17" s="61"/>
      <c r="N17" s="61"/>
      <c r="O17" s="61"/>
      <c r="P17" s="61"/>
      <c r="Q17" s="62"/>
      <c r="R17" s="61"/>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5.75" customHeight="1">
      <c r="B19" s="82" t="s">
        <v>140</v>
      </c>
      <c r="C19" s="187" t="s">
        <v>143</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U40"/>
  <sheetViews>
    <sheetView workbookViewId="0">
      <selection activeCell="C19" sqref="C19:G20"/>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170</v>
      </c>
      <c r="B2" s="205"/>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81.257+49.331</f>
        <v>130.58800000000002</v>
      </c>
      <c r="C4" s="1">
        <f t="shared" ref="C4:C14" si="0">B4/$B$15</f>
        <v>0.78122494885078786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5.7810646214958297</v>
      </c>
      <c r="V4" s="28">
        <f t="shared" ref="V4:V14" si="4">$S4*$C4*$E4</f>
        <v>6.4060445805764603</v>
      </c>
      <c r="W4" s="29">
        <f t="shared" ref="W4:W14" si="5">$S4*$C4*$F4</f>
        <v>7.1091470345421692</v>
      </c>
      <c r="X4" s="27">
        <f t="shared" ref="X4:X14" si="6">$T4*$C4*$D4</f>
        <v>34.686387728974978</v>
      </c>
      <c r="Y4" s="28">
        <f t="shared" ref="Y4:Y14" si="7">$T4*$C4*$E4</f>
        <v>38.436267483458757</v>
      </c>
      <c r="Z4" s="29">
        <f t="shared" ref="Z4:Z14" si="8">$T4*$C4*$F4</f>
        <v>42.65488220725301</v>
      </c>
      <c r="AA4" s="27">
        <f t="shared" ref="AA4:AC4" si="9">U4+X4</f>
        <v>40.467452350470808</v>
      </c>
      <c r="AB4" s="28">
        <f t="shared" si="9"/>
        <v>44.84231206403522</v>
      </c>
      <c r="AC4" s="29">
        <f t="shared" si="9"/>
        <v>49.764029241795178</v>
      </c>
      <c r="AD4" s="30">
        <f t="shared" ref="AD4:AD14" si="10">($S4*$C4*$M4*3.6*10^(-3))*1000</f>
        <v>2.2218037545316408E-3</v>
      </c>
      <c r="AE4" s="21">
        <f t="shared" ref="AE4:AE14" si="11">($S4*$C4*$N4*3.6*10^(-3))*1000</f>
        <v>3.2288119043993403E-2</v>
      </c>
      <c r="AF4" s="22">
        <f t="shared" ref="AF4:AF14" si="12">($S4*$C4*$O4*3.6*10^(-3))*1000</f>
        <v>0.10276545467162804</v>
      </c>
      <c r="AG4" s="30">
        <f t="shared" ref="AG4:AG14" si="13">($T4*$C4*$M4*3.6*10^(-3))*1000</f>
        <v>1.3330822527189845E-2</v>
      </c>
      <c r="AH4" s="21">
        <f t="shared" ref="AH4:AH14" si="14">($T4*$C4*$N4*3.6*10^(-3))*1000</f>
        <v>0.19372871426396043</v>
      </c>
      <c r="AI4" s="22">
        <f t="shared" ref="AI4:AI14" si="15">($T4*$C4*O4*3.6*10^(-3))*1000</f>
        <v>0.61659272802976817</v>
      </c>
      <c r="AJ4" s="30">
        <f t="shared" ref="AJ4:AL4" si="16">AD4+AG4</f>
        <v>1.5552626281721486E-2</v>
      </c>
      <c r="AK4" s="21">
        <f t="shared" si="16"/>
        <v>0.22601683330795383</v>
      </c>
      <c r="AL4" s="22">
        <f t="shared" si="16"/>
        <v>0.71935818270139618</v>
      </c>
      <c r="AM4" s="31">
        <f t="shared" ref="AM4:AM13" si="17">$S4*$C4*10^(-3)*$P4*10^4</f>
        <v>1.5624498977015759E-2</v>
      </c>
      <c r="AN4" s="32">
        <f t="shared" ref="AN4:AN14" si="18">$S4*$C4*10^(-3)*$Q4*10^4</f>
        <v>0.39061247442539399</v>
      </c>
      <c r="AO4" s="33">
        <f t="shared" ref="AO4:AO13" si="19">$S4*$C4*10^(-3)*$R4*10^4</f>
        <v>1.1718374232761817</v>
      </c>
      <c r="AP4" s="31">
        <f t="shared" ref="AP4:AP13" si="20">$T4*$C4*10^(-3)*$P4*10^4</f>
        <v>9.3746993862094535E-2</v>
      </c>
      <c r="AQ4" s="32">
        <f t="shared" ref="AQ4:AQ14" si="21">$T4*$C4*10^(-3)*$Q4*10^4</f>
        <v>2.3436748465523634</v>
      </c>
      <c r="AR4" s="33">
        <f t="shared" ref="AR4:AR13" si="22">$T4*$C4*10^(-3)*$R4*10^4</f>
        <v>7.0310245396570892</v>
      </c>
      <c r="AS4" s="31">
        <f t="shared" ref="AS4:AU4" si="23">AM4+AP4</f>
        <v>0.1093714928391103</v>
      </c>
      <c r="AT4" s="32">
        <f t="shared" si="23"/>
        <v>2.7342873209777574</v>
      </c>
      <c r="AU4" s="33">
        <f t="shared" si="23"/>
        <v>8.2028619629332713</v>
      </c>
    </row>
    <row r="5" spans="1:47" ht="16">
      <c r="A5" s="19" t="s">
        <v>58</v>
      </c>
      <c r="B5" s="1">
        <v>1.8640000000000001</v>
      </c>
      <c r="C5" s="1">
        <f t="shared" si="0"/>
        <v>1.1151126479139494E-2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7.3262900967946479E-2</v>
      </c>
      <c r="V5" s="28">
        <f t="shared" si="4"/>
        <v>7.5270103734191587E-2</v>
      </c>
      <c r="W5" s="29">
        <f t="shared" si="5"/>
        <v>9.6568755309348026E-2</v>
      </c>
      <c r="X5" s="27">
        <f t="shared" si="6"/>
        <v>0.4395774058076789</v>
      </c>
      <c r="Y5" s="28">
        <f t="shared" si="7"/>
        <v>0.45162062240514955</v>
      </c>
      <c r="Z5" s="29">
        <f t="shared" si="8"/>
        <v>0.5794125318560881</v>
      </c>
      <c r="AA5" s="27">
        <f t="shared" ref="AA5:AC5" si="25">U5+X5</f>
        <v>0.51284030677562542</v>
      </c>
      <c r="AB5" s="28">
        <f t="shared" si="25"/>
        <v>0.52689072613934118</v>
      </c>
      <c r="AC5" s="29">
        <f t="shared" si="25"/>
        <v>0.67598128716543615</v>
      </c>
      <c r="AD5" s="30">
        <f t="shared" si="10"/>
        <v>8.5908278395290671E-5</v>
      </c>
      <c r="AE5" s="21">
        <f t="shared" si="11"/>
        <v>3.2918125366419783E-4</v>
      </c>
      <c r="AF5" s="22">
        <f t="shared" si="12"/>
        <v>1.1015528781153159E-3</v>
      </c>
      <c r="AG5" s="30">
        <f t="shared" si="13"/>
        <v>5.1544967037174408E-4</v>
      </c>
      <c r="AH5" s="21">
        <f t="shared" si="14"/>
        <v>1.9750875219851872E-3</v>
      </c>
      <c r="AI5" s="22">
        <f t="shared" si="15"/>
        <v>6.6093172686918942E-3</v>
      </c>
      <c r="AJ5" s="30">
        <f t="shared" ref="AJ5:AL5" si="26">AD5+AG5</f>
        <v>6.0135794876703473E-4</v>
      </c>
      <c r="AK5" s="21">
        <f t="shared" si="26"/>
        <v>2.3042687756493849E-3</v>
      </c>
      <c r="AL5" s="22">
        <f t="shared" si="26"/>
        <v>7.7108701468072104E-3</v>
      </c>
      <c r="AM5" s="31">
        <f t="shared" si="17"/>
        <v>1.1151126479139494E-4</v>
      </c>
      <c r="AN5" s="32">
        <f t="shared" si="18"/>
        <v>4.4604505916557977E-4</v>
      </c>
      <c r="AO5" s="33">
        <f t="shared" si="19"/>
        <v>6.6906758874836958E-4</v>
      </c>
      <c r="AP5" s="31">
        <f t="shared" si="20"/>
        <v>6.690675887483698E-4</v>
      </c>
      <c r="AQ5" s="32">
        <f t="shared" si="21"/>
        <v>2.6762703549934792E-3</v>
      </c>
      <c r="AR5" s="33">
        <f t="shared" si="22"/>
        <v>4.0144055324902181E-3</v>
      </c>
      <c r="AS5" s="31">
        <f t="shared" ref="AS5:AU5" si="27">AM5+AP5</f>
        <v>7.8057885353976478E-4</v>
      </c>
      <c r="AT5" s="32">
        <f t="shared" si="27"/>
        <v>3.1223154141590591E-3</v>
      </c>
      <c r="AU5" s="33">
        <f t="shared" si="27"/>
        <v>4.6834731212385874E-3</v>
      </c>
    </row>
    <row r="6" spans="1:47" ht="16">
      <c r="A6" s="19" t="s">
        <v>59</v>
      </c>
      <c r="B6" s="1">
        <v>12.709</v>
      </c>
      <c r="C6" s="1">
        <f t="shared" si="0"/>
        <v>7.6029863961042818E-2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0.31172244224027557</v>
      </c>
      <c r="V6" s="28">
        <f t="shared" si="4"/>
        <v>0.37254633340910981</v>
      </c>
      <c r="W6" s="29">
        <f t="shared" si="5"/>
        <v>0.4941941157467783</v>
      </c>
      <c r="X6" s="27">
        <f t="shared" si="6"/>
        <v>1.8703346534416532</v>
      </c>
      <c r="Y6" s="28">
        <f t="shared" si="7"/>
        <v>2.2352780004546586</v>
      </c>
      <c r="Z6" s="29">
        <f t="shared" si="8"/>
        <v>2.9651646944806695</v>
      </c>
      <c r="AA6" s="27">
        <f t="shared" ref="AA6:AC6" si="29">U6+X6</f>
        <v>2.1820570956819285</v>
      </c>
      <c r="AB6" s="28">
        <f t="shared" si="29"/>
        <v>2.6078243338637686</v>
      </c>
      <c r="AC6" s="29">
        <f t="shared" si="29"/>
        <v>3.4593588102274477</v>
      </c>
      <c r="AD6" s="30">
        <f t="shared" si="10"/>
        <v>2.0801770779741317E-4</v>
      </c>
      <c r="AE6" s="21">
        <f t="shared" si="11"/>
        <v>1.5929777097117694E-3</v>
      </c>
      <c r="AF6" s="22">
        <f t="shared" si="12"/>
        <v>7.6473878366575326E-3</v>
      </c>
      <c r="AG6" s="30">
        <f t="shared" si="13"/>
        <v>1.2481062467844788E-3</v>
      </c>
      <c r="AH6" s="21">
        <f t="shared" si="14"/>
        <v>9.5578662582706166E-3</v>
      </c>
      <c r="AI6" s="22">
        <f t="shared" si="15"/>
        <v>4.5884327019945187E-2</v>
      </c>
      <c r="AJ6" s="30">
        <f t="shared" ref="AJ6:AL6" si="30">AD6+AG6</f>
        <v>1.456123954581892E-3</v>
      </c>
      <c r="AK6" s="21">
        <f t="shared" si="30"/>
        <v>1.1150843967982386E-2</v>
      </c>
      <c r="AL6" s="22">
        <f t="shared" si="30"/>
        <v>5.353171485660272E-2</v>
      </c>
      <c r="AM6" s="31">
        <f t="shared" si="17"/>
        <v>7.6029863961042817E-4</v>
      </c>
      <c r="AN6" s="32">
        <f t="shared" si="18"/>
        <v>1.5205972792208563E-3</v>
      </c>
      <c r="AO6" s="33">
        <f t="shared" si="19"/>
        <v>7.6029863961042813E-3</v>
      </c>
      <c r="AP6" s="31">
        <f t="shared" si="20"/>
        <v>4.5617918376625686E-3</v>
      </c>
      <c r="AQ6" s="32">
        <f t="shared" si="21"/>
        <v>9.1235836753251372E-3</v>
      </c>
      <c r="AR6" s="33">
        <f t="shared" si="22"/>
        <v>4.5617918376625689E-2</v>
      </c>
      <c r="AS6" s="31">
        <f t="shared" ref="AS6:AU6" si="31">AM6+AP6</f>
        <v>5.322090477272997E-3</v>
      </c>
      <c r="AT6" s="32">
        <f t="shared" si="31"/>
        <v>1.0644180954545994E-2</v>
      </c>
      <c r="AU6" s="33">
        <f t="shared" si="31"/>
        <v>5.322090477272997E-2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88</v>
      </c>
      <c r="B8" s="4">
        <f>0.417+1.97</f>
        <v>2.387</v>
      </c>
      <c r="C8" s="1">
        <f t="shared" si="0"/>
        <v>1.4279902846408784E-2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1.4279902846408784E-4</v>
      </c>
      <c r="V8" s="28">
        <f t="shared" si="4"/>
        <v>3.4271766831381082E-3</v>
      </c>
      <c r="W8" s="29">
        <f t="shared" si="5"/>
        <v>0.31415786262099327</v>
      </c>
      <c r="X8" s="27">
        <f t="shared" si="6"/>
        <v>8.5679417078452695E-4</v>
      </c>
      <c r="Y8" s="28">
        <f t="shared" si="7"/>
        <v>2.0563060098828648E-2</v>
      </c>
      <c r="Z8" s="29">
        <f t="shared" si="8"/>
        <v>1.8849471757259593</v>
      </c>
      <c r="AA8" s="27">
        <f t="shared" ref="AA8:AC8" si="37">U8+X8</f>
        <v>9.995931992486148E-4</v>
      </c>
      <c r="AB8" s="28">
        <f t="shared" si="37"/>
        <v>2.3990236781966757E-2</v>
      </c>
      <c r="AC8" s="29">
        <f t="shared" si="37"/>
        <v>2.1991050383469526</v>
      </c>
      <c r="AD8" s="30">
        <f t="shared" si="10"/>
        <v>1.5422295074121487E-4</v>
      </c>
      <c r="AE8" s="21">
        <f t="shared" si="11"/>
        <v>4.7836190828145463E-3</v>
      </c>
      <c r="AF8" s="22">
        <f t="shared" si="12"/>
        <v>0.4377639019849483</v>
      </c>
      <c r="AG8" s="30">
        <f t="shared" si="13"/>
        <v>9.2533770444728916E-4</v>
      </c>
      <c r="AH8" s="21">
        <f t="shared" si="14"/>
        <v>2.8701714496887278E-2</v>
      </c>
      <c r="AI8" s="22">
        <f t="shared" si="15"/>
        <v>2.6265834119096896</v>
      </c>
      <c r="AJ8" s="30">
        <f t="shared" ref="AJ8:AL8" si="38">AD8+AG8</f>
        <v>1.079560655188504E-3</v>
      </c>
      <c r="AK8" s="21">
        <f t="shared" si="38"/>
        <v>3.348533357970182E-2</v>
      </c>
      <c r="AL8" s="22">
        <f t="shared" si="38"/>
        <v>3.064347313894638</v>
      </c>
      <c r="AM8" s="31">
        <f t="shared" si="17"/>
        <v>4.7123679393148987E-3</v>
      </c>
      <c r="AN8" s="32">
        <f t="shared" si="18"/>
        <v>1.4279902846408786E-2</v>
      </c>
      <c r="AO8" s="33">
        <f t="shared" si="19"/>
        <v>2.4133035810430845E-2</v>
      </c>
      <c r="AP8" s="31">
        <f t="shared" si="20"/>
        <v>2.8274207635889389E-2</v>
      </c>
      <c r="AQ8" s="32">
        <f t="shared" si="21"/>
        <v>8.5679417078452696E-2</v>
      </c>
      <c r="AR8" s="33">
        <f t="shared" si="22"/>
        <v>0.14479821486258504</v>
      </c>
      <c r="AS8" s="31">
        <f t="shared" ref="AS8:AU8" si="39">AM8+AP8</f>
        <v>3.2986575575204291E-2</v>
      </c>
      <c r="AT8" s="32">
        <f t="shared" si="39"/>
        <v>9.9959319924861484E-2</v>
      </c>
      <c r="AU8" s="33">
        <f t="shared" si="39"/>
        <v>0.1689312506730159</v>
      </c>
    </row>
    <row r="9" spans="1:47" ht="16">
      <c r="A9" s="19" t="s">
        <v>89</v>
      </c>
      <c r="B9" s="1">
        <v>6.5110000000000001</v>
      </c>
      <c r="C9" s="1">
        <f t="shared" si="0"/>
        <v>3.895117194510582E-2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5.0636523528637567E-2</v>
      </c>
      <c r="V9" s="28">
        <f t="shared" si="4"/>
        <v>8.9587695473743387E-2</v>
      </c>
      <c r="W9" s="29">
        <f t="shared" si="5"/>
        <v>0.16359492216944443</v>
      </c>
      <c r="X9" s="27">
        <f t="shared" si="6"/>
        <v>0.3038191411718254</v>
      </c>
      <c r="Y9" s="28">
        <f t="shared" si="7"/>
        <v>0.53752617284246029</v>
      </c>
      <c r="Z9" s="29">
        <f t="shared" si="8"/>
        <v>0.98156953301666672</v>
      </c>
      <c r="AA9" s="27">
        <f t="shared" ref="AA9:AC9" si="41">U9+X9</f>
        <v>0.35445566470046297</v>
      </c>
      <c r="AB9" s="28">
        <f t="shared" si="41"/>
        <v>0.62711386831620364</v>
      </c>
      <c r="AC9" s="29">
        <f t="shared" si="41"/>
        <v>1.1451644551861111</v>
      </c>
      <c r="AD9" s="30">
        <f t="shared" si="10"/>
        <v>2.8044843800476189E-2</v>
      </c>
      <c r="AE9" s="21">
        <f t="shared" si="11"/>
        <v>4.9485707124082998E-2</v>
      </c>
      <c r="AF9" s="22">
        <f t="shared" si="12"/>
        <v>9.19225845248208E-2</v>
      </c>
      <c r="AG9" s="30">
        <f t="shared" si="13"/>
        <v>0.16826906280285714</v>
      </c>
      <c r="AH9" s="21">
        <f t="shared" si="14"/>
        <v>0.29691424274449801</v>
      </c>
      <c r="AI9" s="22">
        <f t="shared" si="15"/>
        <v>0.55153550714892485</v>
      </c>
      <c r="AJ9" s="30">
        <f t="shared" ref="AJ9:AL9" si="42">AD9+AG9</f>
        <v>0.19631390660333334</v>
      </c>
      <c r="AK9" s="21">
        <f t="shared" si="42"/>
        <v>0.34639994986858103</v>
      </c>
      <c r="AL9" s="22">
        <f t="shared" si="42"/>
        <v>0.64345809167374568</v>
      </c>
      <c r="AM9" s="31">
        <f t="shared" si="17"/>
        <v>5.0636523528637567E-2</v>
      </c>
      <c r="AN9" s="32">
        <f t="shared" si="18"/>
        <v>1.9475585972552911</v>
      </c>
      <c r="AO9" s="33">
        <f t="shared" si="19"/>
        <v>3.1550449275535715</v>
      </c>
      <c r="AP9" s="31">
        <f t="shared" si="20"/>
        <v>0.3038191411718254</v>
      </c>
      <c r="AQ9" s="32">
        <f t="shared" si="21"/>
        <v>11.685351583531746</v>
      </c>
      <c r="AR9" s="33">
        <f t="shared" si="22"/>
        <v>18.930269565321428</v>
      </c>
      <c r="AS9" s="31">
        <f t="shared" ref="AS9:AU9" si="43">AM9+AP9</f>
        <v>0.35445566470046297</v>
      </c>
      <c r="AT9" s="32">
        <f t="shared" si="43"/>
        <v>13.632910180787038</v>
      </c>
      <c r="AU9" s="33">
        <f t="shared" si="43"/>
        <v>22.085314492875</v>
      </c>
    </row>
    <row r="10" spans="1:47" ht="15.75" customHeight="1">
      <c r="A10" s="1" t="s">
        <v>63</v>
      </c>
      <c r="B10" s="1">
        <v>12.798999999999999</v>
      </c>
      <c r="C10" s="1">
        <f t="shared" si="0"/>
        <v>7.6568276720228742E-2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5.3597793704160124E-3</v>
      </c>
      <c r="V10" s="28">
        <f t="shared" si="4"/>
        <v>8.4225104392251626E-3</v>
      </c>
      <c r="W10" s="29">
        <f t="shared" si="5"/>
        <v>4.2878234963328099E-2</v>
      </c>
      <c r="X10" s="27">
        <f t="shared" si="6"/>
        <v>3.2158676222496074E-2</v>
      </c>
      <c r="Y10" s="28">
        <f t="shared" si="7"/>
        <v>5.0535062635350972E-2</v>
      </c>
      <c r="Z10" s="29">
        <f t="shared" si="8"/>
        <v>0.25726940977996859</v>
      </c>
      <c r="AA10" s="27">
        <f t="shared" ref="AA10:AC10" si="45">U10+X10</f>
        <v>3.7518455592912087E-2</v>
      </c>
      <c r="AB10" s="28">
        <f t="shared" si="45"/>
        <v>5.8957573074576136E-2</v>
      </c>
      <c r="AC10" s="29">
        <f t="shared" si="45"/>
        <v>0.30014764474329669</v>
      </c>
      <c r="AD10" s="30">
        <f t="shared" si="10"/>
        <v>5.5129159238564702E-7</v>
      </c>
      <c r="AE10" s="21">
        <f t="shared" si="11"/>
        <v>3.260383482057861E-4</v>
      </c>
      <c r="AF10" s="22">
        <f t="shared" si="12"/>
        <v>4.286843422390791E-3</v>
      </c>
      <c r="AG10" s="30">
        <f t="shared" si="13"/>
        <v>3.3077495543138817E-6</v>
      </c>
      <c r="AH10" s="21">
        <f t="shared" si="14"/>
        <v>1.956230089234717E-3</v>
      </c>
      <c r="AI10" s="22">
        <f t="shared" si="15"/>
        <v>2.5721060534344746E-2</v>
      </c>
      <c r="AJ10" s="30">
        <f t="shared" ref="AJ10:AL10" si="46">AD10+AG10</f>
        <v>3.8590411466995287E-6</v>
      </c>
      <c r="AK10" s="21">
        <f t="shared" si="46"/>
        <v>2.2822684374405031E-3</v>
      </c>
      <c r="AL10" s="22">
        <f t="shared" si="46"/>
        <v>3.0007903956735537E-2</v>
      </c>
      <c r="AM10" s="31">
        <f t="shared" si="17"/>
        <v>2.2970483016068622E-3</v>
      </c>
      <c r="AN10" s="32">
        <f t="shared" si="18"/>
        <v>7.6568276720228746E-3</v>
      </c>
      <c r="AO10" s="33">
        <f t="shared" si="19"/>
        <v>9.9538759736297385E-3</v>
      </c>
      <c r="AP10" s="31">
        <f t="shared" si="20"/>
        <v>1.3782289809641173E-2</v>
      </c>
      <c r="AQ10" s="32">
        <f t="shared" si="21"/>
        <v>4.5940966032137244E-2</v>
      </c>
      <c r="AR10" s="33">
        <f t="shared" si="22"/>
        <v>5.9723255841778421E-2</v>
      </c>
      <c r="AS10" s="31">
        <f t="shared" ref="AS10:AU10" si="47">AM10+AP10</f>
        <v>1.6079338111248037E-2</v>
      </c>
      <c r="AT10" s="32">
        <f t="shared" si="47"/>
        <v>5.3597793704160117E-2</v>
      </c>
      <c r="AU10" s="33">
        <f t="shared" si="47"/>
        <v>6.9677131815408161E-2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0.3</v>
      </c>
      <c r="C12" s="1">
        <f t="shared" si="0"/>
        <v>1.7947091972863993E-3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3.2304765551155186E-4</v>
      </c>
      <c r="V12" s="28">
        <f t="shared" si="4"/>
        <v>8.6146041469747166E-4</v>
      </c>
      <c r="W12" s="29">
        <f t="shared" si="5"/>
        <v>3.2304765551155186E-3</v>
      </c>
      <c r="X12" s="27">
        <f t="shared" si="6"/>
        <v>1.9382859330693111E-3</v>
      </c>
      <c r="Y12" s="28">
        <f t="shared" si="7"/>
        <v>5.1687624881848297E-3</v>
      </c>
      <c r="Z12" s="29">
        <f t="shared" si="8"/>
        <v>1.9382859330693111E-2</v>
      </c>
      <c r="AA12" s="27">
        <f t="shared" ref="AA12:AC12" si="53">U12+X12</f>
        <v>2.2613335885808628E-3</v>
      </c>
      <c r="AB12" s="28">
        <f t="shared" si="53"/>
        <v>6.0302229028823011E-3</v>
      </c>
      <c r="AC12" s="29">
        <f t="shared" si="53"/>
        <v>2.261333588580863E-2</v>
      </c>
      <c r="AD12" s="30">
        <f t="shared" si="10"/>
        <v>4.1350099905478642E-7</v>
      </c>
      <c r="AE12" s="21">
        <f t="shared" si="11"/>
        <v>1.1586163986886657E-5</v>
      </c>
      <c r="AF12" s="22">
        <f t="shared" si="12"/>
        <v>1.1997989925699038E-4</v>
      </c>
      <c r="AG12" s="30">
        <f t="shared" si="13"/>
        <v>2.4810059943287191E-6</v>
      </c>
      <c r="AH12" s="21">
        <f t="shared" si="14"/>
        <v>6.9516983921319951E-5</v>
      </c>
      <c r="AI12" s="22">
        <f t="shared" si="15"/>
        <v>7.1987939554194217E-4</v>
      </c>
      <c r="AJ12" s="30">
        <f t="shared" ref="AJ12:AL12" si="54">AD12+AG12</f>
        <v>2.8945069933835054E-6</v>
      </c>
      <c r="AK12" s="21">
        <f t="shared" si="54"/>
        <v>8.110314790820661E-5</v>
      </c>
      <c r="AL12" s="22">
        <f t="shared" si="54"/>
        <v>8.3985929479893254E-4</v>
      </c>
      <c r="AM12" s="31">
        <f t="shared" si="17"/>
        <v>5.3841275918591985E-5</v>
      </c>
      <c r="AN12" s="32">
        <f t="shared" si="18"/>
        <v>1.7947091972863993E-3</v>
      </c>
      <c r="AO12" s="33">
        <f t="shared" si="19"/>
        <v>2.6920637959295993E-3</v>
      </c>
      <c r="AP12" s="31">
        <f t="shared" si="20"/>
        <v>3.2304765551155186E-4</v>
      </c>
      <c r="AQ12" s="32">
        <f t="shared" si="21"/>
        <v>1.0768255183718397E-2</v>
      </c>
      <c r="AR12" s="33">
        <f t="shared" si="22"/>
        <v>1.6152382775577595E-2</v>
      </c>
      <c r="AS12" s="31">
        <f t="shared" ref="AS12:AU12" si="55">AM12+AP12</f>
        <v>3.7688893143014387E-4</v>
      </c>
      <c r="AT12" s="32">
        <f t="shared" si="55"/>
        <v>1.2562964381004797E-2</v>
      </c>
      <c r="AU12" s="33">
        <f t="shared" si="55"/>
        <v>1.8844446571507193E-2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167.15800000000004</v>
      </c>
      <c r="G15" s="7"/>
      <c r="AA15" s="4">
        <f t="shared" ref="AA15:AU15" si="64">SUM(AA4:AA14)</f>
        <v>43.55758480000955</v>
      </c>
      <c r="AB15" s="4">
        <f t="shared" si="64"/>
        <v>48.693119025113958</v>
      </c>
      <c r="AC15" s="4">
        <f t="shared" si="64"/>
        <v>57.56639981335023</v>
      </c>
      <c r="AD15" s="4">
        <f t="shared" si="64"/>
        <v>3.071576128453319E-2</v>
      </c>
      <c r="AE15" s="4">
        <f t="shared" si="64"/>
        <v>8.8817228726459585E-2</v>
      </c>
      <c r="AF15" s="4">
        <f t="shared" si="64"/>
        <v>0.64560770521781774</v>
      </c>
      <c r="AG15" s="4">
        <f t="shared" si="64"/>
        <v>0.18429456770719915</v>
      </c>
      <c r="AH15" s="4">
        <f t="shared" si="64"/>
        <v>0.53290337235875762</v>
      </c>
      <c r="AI15" s="4">
        <f t="shared" si="64"/>
        <v>3.873646231306906</v>
      </c>
      <c r="AJ15" s="4">
        <f t="shared" si="64"/>
        <v>0.21501032899173234</v>
      </c>
      <c r="AK15" s="4">
        <f t="shared" si="64"/>
        <v>0.62172060108521709</v>
      </c>
      <c r="AL15" s="4">
        <f t="shared" si="64"/>
        <v>4.5192539365247244</v>
      </c>
      <c r="AM15" s="4">
        <f t="shared" si="64"/>
        <v>7.4196089926895498E-2</v>
      </c>
      <c r="AN15" s="4">
        <f t="shared" si="64"/>
        <v>2.3638691537347896</v>
      </c>
      <c r="AO15" s="4">
        <f t="shared" si="64"/>
        <v>4.371933380394597</v>
      </c>
      <c r="AP15" s="4">
        <f t="shared" si="64"/>
        <v>0.44517653956137304</v>
      </c>
      <c r="AQ15" s="4">
        <f t="shared" si="64"/>
        <v>14.183214922408737</v>
      </c>
      <c r="AR15" s="4">
        <f t="shared" si="64"/>
        <v>26.231600282367573</v>
      </c>
      <c r="AS15" s="4">
        <f t="shared" si="64"/>
        <v>0.51937262948826857</v>
      </c>
      <c r="AT15" s="4">
        <f t="shared" si="64"/>
        <v>16.547084076143527</v>
      </c>
      <c r="AU15" s="4">
        <f t="shared" si="64"/>
        <v>30.603533662762167</v>
      </c>
    </row>
    <row r="16" spans="1:47" ht="15.75" customHeight="1">
      <c r="B16" s="68"/>
      <c r="G16" s="7"/>
      <c r="AG16" s="195"/>
      <c r="AH16" s="196"/>
      <c r="AI16" s="196"/>
      <c r="AP16" s="195"/>
      <c r="AQ16" s="196"/>
      <c r="AR16" s="196"/>
    </row>
    <row r="17" spans="2:18" ht="15.75" customHeight="1">
      <c r="B17" s="84" t="s">
        <v>141</v>
      </c>
      <c r="C17" s="194" t="s">
        <v>10</v>
      </c>
      <c r="D17" s="194"/>
      <c r="E17" s="194"/>
      <c r="F17" s="194"/>
      <c r="G17" s="194"/>
      <c r="H17" s="61"/>
      <c r="I17" s="61"/>
      <c r="J17" s="61"/>
      <c r="K17" s="61"/>
      <c r="L17" s="61"/>
      <c r="M17" s="61"/>
      <c r="N17" s="61"/>
      <c r="O17" s="61"/>
      <c r="P17" s="61"/>
      <c r="Q17" s="62"/>
      <c r="R17" s="61"/>
    </row>
    <row r="18" spans="2:18" ht="28" customHeight="1">
      <c r="B18" s="82" t="s">
        <v>140</v>
      </c>
      <c r="C18" s="187" t="s">
        <v>171</v>
      </c>
      <c r="D18" s="187"/>
      <c r="E18" s="187"/>
      <c r="F18" s="187"/>
      <c r="G18" s="187"/>
      <c r="H18" s="61"/>
      <c r="I18" s="61"/>
      <c r="J18" s="61"/>
      <c r="K18" s="61"/>
      <c r="L18" s="61"/>
      <c r="M18" s="61"/>
      <c r="N18" s="61"/>
      <c r="O18" s="61"/>
      <c r="P18" s="61"/>
      <c r="Q18" s="62"/>
      <c r="R18" s="61"/>
    </row>
    <row r="19" spans="2:18" ht="15.75" customHeight="1">
      <c r="B19" s="71" t="s">
        <v>149</v>
      </c>
      <c r="C19" s="259" t="s">
        <v>281</v>
      </c>
      <c r="D19" s="186"/>
      <c r="E19" s="186"/>
      <c r="F19" s="186"/>
      <c r="G19" s="186"/>
      <c r="H19" s="61"/>
      <c r="I19" s="61"/>
      <c r="J19" s="61"/>
      <c r="K19" s="61"/>
      <c r="L19" s="61"/>
      <c r="M19" s="61"/>
      <c r="N19" s="61"/>
      <c r="O19" s="61"/>
      <c r="P19" s="61"/>
      <c r="Q19" s="62"/>
      <c r="R19" s="61"/>
    </row>
    <row r="20" spans="2:18" ht="28" customHeight="1">
      <c r="B20" s="83" t="s">
        <v>155</v>
      </c>
      <c r="C20" s="263" t="s">
        <v>280</v>
      </c>
      <c r="D20" s="187"/>
      <c r="E20" s="187"/>
      <c r="F20" s="187"/>
      <c r="G20" s="187"/>
      <c r="H20" s="61"/>
      <c r="I20" s="61"/>
      <c r="J20" s="61"/>
      <c r="K20" s="61"/>
      <c r="L20" s="61"/>
      <c r="M20" s="61"/>
      <c r="N20" s="61"/>
      <c r="O20" s="61"/>
      <c r="P20" s="61"/>
      <c r="Q20" s="62"/>
      <c r="R20" s="61"/>
    </row>
    <row r="21" spans="2:18" ht="15.75" customHeight="1">
      <c r="G21" s="65">
        <v>6</v>
      </c>
      <c r="H21" s="61"/>
      <c r="I21" s="61"/>
      <c r="J21" s="61"/>
      <c r="K21" s="61"/>
      <c r="L21" s="61"/>
      <c r="M21" s="61"/>
      <c r="N21" s="61"/>
      <c r="O21" s="61"/>
      <c r="P21" s="61"/>
      <c r="Q21" s="62"/>
      <c r="R21" s="61"/>
    </row>
    <row r="22" spans="2:18" ht="15.75" customHeight="1">
      <c r="G22" s="65">
        <v>7</v>
      </c>
      <c r="H22" s="61"/>
      <c r="I22" s="61"/>
      <c r="J22" s="61"/>
      <c r="K22" s="61"/>
      <c r="L22" s="61"/>
      <c r="M22" s="61"/>
      <c r="N22" s="61"/>
      <c r="O22" s="61"/>
      <c r="P22" s="61"/>
      <c r="Q22" s="62"/>
      <c r="R22" s="61"/>
    </row>
    <row r="23" spans="2:18" ht="15.75" customHeight="1">
      <c r="G23" s="65">
        <v>8</v>
      </c>
      <c r="H23" s="61"/>
      <c r="I23" s="61"/>
      <c r="J23" s="61"/>
      <c r="K23" s="61"/>
      <c r="L23" s="61"/>
      <c r="M23" s="61"/>
      <c r="N23" s="61"/>
      <c r="O23" s="61"/>
      <c r="P23" s="61"/>
      <c r="Q23" s="62"/>
      <c r="R23" s="61"/>
    </row>
    <row r="24" spans="2:18" ht="15.75" customHeight="1">
      <c r="G24" s="65">
        <v>9</v>
      </c>
      <c r="H24" s="61"/>
      <c r="I24" s="61"/>
      <c r="J24" s="61"/>
      <c r="K24" s="61"/>
      <c r="L24" s="61"/>
      <c r="M24" s="61"/>
      <c r="N24" s="61"/>
      <c r="O24" s="61"/>
      <c r="P24" s="61"/>
      <c r="Q24" s="62"/>
      <c r="R24" s="61"/>
    </row>
    <row r="25" spans="2:18" ht="15.75" customHeight="1">
      <c r="G25" s="65">
        <v>10</v>
      </c>
      <c r="H25" s="61"/>
      <c r="I25" s="61"/>
      <c r="J25" s="61"/>
      <c r="K25" s="61"/>
      <c r="L25" s="61"/>
      <c r="M25" s="61"/>
      <c r="N25" s="61"/>
      <c r="O25" s="61"/>
      <c r="P25" s="61"/>
      <c r="Q25" s="62"/>
      <c r="R25" s="61"/>
    </row>
    <row r="26" spans="2:18" ht="15.75" customHeight="1">
      <c r="G26" s="65">
        <v>11</v>
      </c>
      <c r="H26" s="61"/>
      <c r="I26" s="61"/>
      <c r="J26" s="61"/>
      <c r="K26" s="61"/>
      <c r="L26" s="61"/>
      <c r="M26" s="61"/>
      <c r="N26" s="61"/>
      <c r="O26" s="61"/>
      <c r="P26" s="61"/>
      <c r="Q26" s="62"/>
      <c r="R26" s="61"/>
    </row>
    <row r="27" spans="2:18" ht="15.75" customHeight="1">
      <c r="P27" s="65">
        <v>10</v>
      </c>
      <c r="Q27" s="65"/>
      <c r="R27" s="61"/>
    </row>
    <row r="28" spans="2:18" ht="15.75" customHeight="1">
      <c r="Q28" s="65"/>
      <c r="R28" s="61"/>
    </row>
    <row r="29" spans="2:18" ht="15.75" customHeight="1">
      <c r="P29" s="65"/>
      <c r="Q29" s="66"/>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sheetData>
  <mergeCells count="22">
    <mergeCell ref="C20:G20"/>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7:G17"/>
    <mergeCell ref="C18:G18"/>
    <mergeCell ref="C19:G19"/>
    <mergeCell ref="AP16:AR16"/>
    <mergeCell ref="AJ2:AL2"/>
    <mergeCell ref="AM2:AO2"/>
    <mergeCell ref="AP2:AR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U42"/>
  <sheetViews>
    <sheetView workbookViewId="0">
      <selection activeCell="D26" sqref="D26"/>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172</v>
      </c>
      <c r="B2" s="205"/>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174.56800000000001</v>
      </c>
      <c r="C4" s="1">
        <f t="shared" ref="C4:C14" si="0">B4/$B$15</f>
        <v>0.15952641395463171</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1.1804954632642746</v>
      </c>
      <c r="V4" s="28">
        <f t="shared" ref="V4:V14" si="4">$S4*$C4*$E4</f>
        <v>1.30811659442798</v>
      </c>
      <c r="W4" s="29">
        <f t="shared" ref="W4:W14" si="5">$S4*$C4*$F4</f>
        <v>1.4516903669871486</v>
      </c>
      <c r="X4" s="27">
        <f t="shared" ref="X4:X14" si="6">$T4*$C4*$D4</f>
        <v>7.0829727795856483</v>
      </c>
      <c r="Y4" s="28">
        <f t="shared" ref="Y4:Y14" si="7">$T4*$C4*$E4</f>
        <v>7.8486995665678805</v>
      </c>
      <c r="Z4" s="29">
        <f t="shared" ref="Z4:Z14" si="8">$T4*$C4*$F4</f>
        <v>8.710142201922892</v>
      </c>
      <c r="AA4" s="27">
        <f t="shared" ref="AA4:AC4" si="9">U4+X4</f>
        <v>8.2634682428499229</v>
      </c>
      <c r="AB4" s="28">
        <f t="shared" si="9"/>
        <v>9.1568161609958612</v>
      </c>
      <c r="AC4" s="29">
        <f t="shared" si="9"/>
        <v>10.161832568910041</v>
      </c>
      <c r="AD4" s="30">
        <f t="shared" ref="AD4:AD14" si="10">($S4*$C4*$M4*3.6*10^(-3))*1000</f>
        <v>4.5369312128697262E-4</v>
      </c>
      <c r="AE4" s="21">
        <f t="shared" ref="AE4:AE14" si="11">($S4*$C4*$N4*3.6*10^(-3))*1000</f>
        <v>6.5932454563894256E-3</v>
      </c>
      <c r="AF4" s="22">
        <f t="shared" ref="AF4:AF14" si="12">($S4*$C4*$O4*3.6*10^(-3))*1000</f>
        <v>2.0984742597248075E-2</v>
      </c>
      <c r="AG4" s="30">
        <f t="shared" ref="AG4:AG14" si="13">($T4*$C4*$M4*3.6*10^(-3))*1000</f>
        <v>2.7221587277218356E-3</v>
      </c>
      <c r="AH4" s="21">
        <f t="shared" ref="AH4:AH14" si="14">($T4*$C4*$N4*3.6*10^(-3))*1000</f>
        <v>3.9559472738336557E-2</v>
      </c>
      <c r="AI4" s="22">
        <f t="shared" ref="AI4:AI14" si="15">($T4*$C4*O4*3.6*10^(-3))*1000</f>
        <v>0.12590845558348845</v>
      </c>
      <c r="AJ4" s="30">
        <f t="shared" ref="AJ4:AL4" si="16">AD4+AG4</f>
        <v>3.1758518490088081E-3</v>
      </c>
      <c r="AK4" s="21">
        <f t="shared" si="16"/>
        <v>4.6152718194725981E-2</v>
      </c>
      <c r="AL4" s="22">
        <f t="shared" si="16"/>
        <v>0.14689319818073654</v>
      </c>
      <c r="AM4" s="31">
        <f t="shared" ref="AM4:AM13" si="17">$S4*$C4*10^(-3)*$P4*10^4</f>
        <v>3.1905282790926346E-3</v>
      </c>
      <c r="AN4" s="32">
        <f t="shared" ref="AN4:AN14" si="18">$S4*$C4*10^(-3)*$Q4*10^4</f>
        <v>7.9763206977315856E-2</v>
      </c>
      <c r="AO4" s="33">
        <f t="shared" ref="AO4:AO13" si="19">$S4*$C4*10^(-3)*$R4*10^4</f>
        <v>0.23928962093194758</v>
      </c>
      <c r="AP4" s="31">
        <f t="shared" ref="AP4:AP13" si="20">$T4*$C4*10^(-3)*$P4*10^4</f>
        <v>1.9143169674555802E-2</v>
      </c>
      <c r="AQ4" s="32">
        <f t="shared" ref="AQ4:AQ14" si="21">$T4*$C4*10^(-3)*$Q4*10^4</f>
        <v>0.47857924186389511</v>
      </c>
      <c r="AR4" s="33">
        <f t="shared" ref="AR4:AR13" si="22">$T4*$C4*10^(-3)*$R4*10^4</f>
        <v>1.4357377255916852</v>
      </c>
      <c r="AS4" s="31">
        <f t="shared" ref="AS4:AU4" si="23">AM4+AP4</f>
        <v>2.2333697953648438E-2</v>
      </c>
      <c r="AT4" s="32">
        <f t="shared" si="23"/>
        <v>0.55834244884121098</v>
      </c>
      <c r="AU4" s="33">
        <f t="shared" si="23"/>
        <v>1.6750273465236327</v>
      </c>
    </row>
    <row r="5" spans="1:47" ht="16">
      <c r="A5" s="19" t="s">
        <v>58</v>
      </c>
      <c r="B5" s="1">
        <v>6.976</v>
      </c>
      <c r="C5" s="1">
        <f t="shared" si="0"/>
        <v>6.3749155844571208E-3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4.1883195389883283E-2</v>
      </c>
      <c r="V5" s="28">
        <f t="shared" si="4"/>
        <v>4.3030680195085561E-2</v>
      </c>
      <c r="W5" s="29">
        <f t="shared" si="5"/>
        <v>5.5206768961398665E-2</v>
      </c>
      <c r="X5" s="27">
        <f t="shared" si="6"/>
        <v>0.25129917233929971</v>
      </c>
      <c r="Y5" s="28">
        <f t="shared" si="7"/>
        <v>0.25818408117051339</v>
      </c>
      <c r="Z5" s="29">
        <f t="shared" si="8"/>
        <v>0.33124061376839198</v>
      </c>
      <c r="AA5" s="27">
        <f t="shared" ref="AA5:AC5" si="25">U5+X5</f>
        <v>0.29318236772918299</v>
      </c>
      <c r="AB5" s="28">
        <f t="shared" si="25"/>
        <v>0.30121476136559894</v>
      </c>
      <c r="AC5" s="29">
        <f t="shared" si="25"/>
        <v>0.38644738272979062</v>
      </c>
      <c r="AD5" s="30">
        <f t="shared" si="10"/>
        <v>4.9112349662657654E-5</v>
      </c>
      <c r="AE5" s="21">
        <f t="shared" si="11"/>
        <v>1.8818750805317419E-4</v>
      </c>
      <c r="AF5" s="22">
        <f t="shared" si="12"/>
        <v>6.297396610950121E-4</v>
      </c>
      <c r="AG5" s="30">
        <f t="shared" si="13"/>
        <v>2.9467409797594591E-4</v>
      </c>
      <c r="AH5" s="21">
        <f t="shared" si="14"/>
        <v>1.1291250483190453E-3</v>
      </c>
      <c r="AI5" s="22">
        <f t="shared" si="15"/>
        <v>3.7784379665700731E-3</v>
      </c>
      <c r="AJ5" s="30">
        <f t="shared" ref="AJ5:AL5" si="26">AD5+AG5</f>
        <v>3.4378644763860354E-4</v>
      </c>
      <c r="AK5" s="21">
        <f t="shared" si="26"/>
        <v>1.3173125563722195E-3</v>
      </c>
      <c r="AL5" s="22">
        <f t="shared" si="26"/>
        <v>4.4081776276650849E-3</v>
      </c>
      <c r="AM5" s="31">
        <f t="shared" si="17"/>
        <v>6.3749155844571218E-5</v>
      </c>
      <c r="AN5" s="32">
        <f t="shared" si="18"/>
        <v>2.5499662337828487E-4</v>
      </c>
      <c r="AO5" s="33">
        <f t="shared" si="19"/>
        <v>3.8249493506742723E-4</v>
      </c>
      <c r="AP5" s="31">
        <f t="shared" si="20"/>
        <v>3.8249493506742728E-4</v>
      </c>
      <c r="AQ5" s="32">
        <f t="shared" si="21"/>
        <v>1.5299797402697091E-3</v>
      </c>
      <c r="AR5" s="33">
        <f t="shared" si="22"/>
        <v>2.2949696104045633E-3</v>
      </c>
      <c r="AS5" s="31">
        <f t="shared" ref="AS5:AU5" si="27">AM5+AP5</f>
        <v>4.4624409091199852E-4</v>
      </c>
      <c r="AT5" s="32">
        <f t="shared" si="27"/>
        <v>1.7849763636479941E-3</v>
      </c>
      <c r="AU5" s="33">
        <f t="shared" si="27"/>
        <v>2.6774645454719906E-3</v>
      </c>
    </row>
    <row r="6" spans="1:47" ht="16">
      <c r="A6" s="19" t="s">
        <v>59</v>
      </c>
      <c r="B6" s="1">
        <v>518.66</v>
      </c>
      <c r="C6" s="1">
        <f t="shared" si="0"/>
        <v>0.47396985622628013</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1.9432764105277485</v>
      </c>
      <c r="V6" s="28">
        <f t="shared" si="4"/>
        <v>2.3224522955087727</v>
      </c>
      <c r="W6" s="29">
        <f t="shared" si="5"/>
        <v>3.0808040654708209</v>
      </c>
      <c r="X6" s="27">
        <f t="shared" si="6"/>
        <v>11.65965846316649</v>
      </c>
      <c r="Y6" s="28">
        <f t="shared" si="7"/>
        <v>13.934713773052636</v>
      </c>
      <c r="Z6" s="29">
        <f t="shared" si="8"/>
        <v>18.484824392824923</v>
      </c>
      <c r="AA6" s="27">
        <f t="shared" ref="AA6:AC6" si="29">U6+X6</f>
        <v>13.602934873694238</v>
      </c>
      <c r="AB6" s="28">
        <f t="shared" si="29"/>
        <v>16.257166068561407</v>
      </c>
      <c r="AC6" s="29">
        <f t="shared" si="29"/>
        <v>21.565628458295745</v>
      </c>
      <c r="AD6" s="30">
        <f t="shared" si="10"/>
        <v>1.2967815266351024E-3</v>
      </c>
      <c r="AE6" s="21">
        <f t="shared" si="11"/>
        <v>9.9306164276530221E-3</v>
      </c>
      <c r="AF6" s="22">
        <f t="shared" si="12"/>
        <v>4.7673784018664164E-2</v>
      </c>
      <c r="AG6" s="30">
        <f t="shared" si="13"/>
        <v>7.7806891598106139E-3</v>
      </c>
      <c r="AH6" s="21">
        <f t="shared" si="14"/>
        <v>5.9583698565918136E-2</v>
      </c>
      <c r="AI6" s="22">
        <f t="shared" si="15"/>
        <v>0.28604270411198496</v>
      </c>
      <c r="AJ6" s="30">
        <f t="shared" ref="AJ6:AL6" si="30">AD6+AG6</f>
        <v>9.0774706864457169E-3</v>
      </c>
      <c r="AK6" s="21">
        <f t="shared" si="30"/>
        <v>6.9514314993571164E-2</v>
      </c>
      <c r="AL6" s="22">
        <f t="shared" si="30"/>
        <v>0.33371648813064914</v>
      </c>
      <c r="AM6" s="31">
        <f t="shared" si="17"/>
        <v>4.7396985622628011E-3</v>
      </c>
      <c r="AN6" s="32">
        <f t="shared" si="18"/>
        <v>9.4793971245256022E-3</v>
      </c>
      <c r="AO6" s="33">
        <f t="shared" si="19"/>
        <v>4.7396985622628014E-2</v>
      </c>
      <c r="AP6" s="31">
        <f t="shared" si="20"/>
        <v>2.843819137357681E-2</v>
      </c>
      <c r="AQ6" s="32">
        <f t="shared" si="21"/>
        <v>5.687638274715362E-2</v>
      </c>
      <c r="AR6" s="33">
        <f t="shared" si="22"/>
        <v>0.2843819137357681</v>
      </c>
      <c r="AS6" s="31">
        <f t="shared" ref="AS6:AU6" si="31">AM6+AP6</f>
        <v>3.3177889935839609E-2</v>
      </c>
      <c r="AT6" s="32">
        <f t="shared" si="31"/>
        <v>6.6355779871679219E-2</v>
      </c>
      <c r="AU6" s="33">
        <f t="shared" si="31"/>
        <v>0.33177889935839611</v>
      </c>
    </row>
    <row r="7" spans="1:47" ht="16">
      <c r="A7" s="19" t="s">
        <v>60</v>
      </c>
      <c r="B7" s="1">
        <v>203.143</v>
      </c>
      <c r="C7" s="1">
        <f t="shared" si="0"/>
        <v>0.18563925982989865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6.868652613706251E-3</v>
      </c>
      <c r="V7" s="28">
        <f t="shared" si="4"/>
        <v>2.2276711179587839E-2</v>
      </c>
      <c r="W7" s="29">
        <f t="shared" si="5"/>
        <v>0.20420318581288854</v>
      </c>
      <c r="X7" s="27">
        <f t="shared" si="6"/>
        <v>4.1211915682237504E-2</v>
      </c>
      <c r="Y7" s="28">
        <f t="shared" si="7"/>
        <v>0.13366026707752704</v>
      </c>
      <c r="Z7" s="29">
        <f t="shared" si="8"/>
        <v>1.225219114877331</v>
      </c>
      <c r="AA7" s="27">
        <f t="shared" ref="AA7:AC7" si="33">U7+X7</f>
        <v>4.8080568295943753E-2</v>
      </c>
      <c r="AB7" s="28">
        <f t="shared" si="33"/>
        <v>0.15593697825711489</v>
      </c>
      <c r="AC7" s="29">
        <f t="shared" si="33"/>
        <v>1.4294223006902196</v>
      </c>
      <c r="AD7" s="30">
        <f t="shared" si="10"/>
        <v>1.2029424036977432E-4</v>
      </c>
      <c r="AE7" s="21">
        <f t="shared" si="11"/>
        <v>1.6561299241844461E-3</v>
      </c>
      <c r="AF7" s="22">
        <f t="shared" si="12"/>
        <v>2.0075772115044563E-2</v>
      </c>
      <c r="AG7" s="30">
        <f t="shared" si="13"/>
        <v>7.217654422186459E-4</v>
      </c>
      <c r="AH7" s="21">
        <f t="shared" si="14"/>
        <v>9.9367795451066766E-3</v>
      </c>
      <c r="AI7" s="22">
        <f t="shared" si="15"/>
        <v>0.12045463269026735</v>
      </c>
      <c r="AJ7" s="30">
        <f t="shared" ref="AJ7:AL7" si="34">AD7+AG7</f>
        <v>8.4205968258842018E-4</v>
      </c>
      <c r="AK7" s="21">
        <f t="shared" si="34"/>
        <v>1.1592909469291122E-2</v>
      </c>
      <c r="AL7" s="22">
        <f t="shared" si="34"/>
        <v>0.14053040480531193</v>
      </c>
      <c r="AM7" s="31">
        <f t="shared" si="17"/>
        <v>1.8563925982989869E-3</v>
      </c>
      <c r="AN7" s="32">
        <f t="shared" si="18"/>
        <v>1.8563925982989869E-3</v>
      </c>
      <c r="AO7" s="33">
        <f t="shared" si="19"/>
        <v>1.8563925982989869E-2</v>
      </c>
      <c r="AP7" s="31">
        <f t="shared" si="20"/>
        <v>1.1138355589793921E-2</v>
      </c>
      <c r="AQ7" s="32">
        <f t="shared" si="21"/>
        <v>1.1138355589793921E-2</v>
      </c>
      <c r="AR7" s="33">
        <f t="shared" si="22"/>
        <v>0.1113835558979392</v>
      </c>
      <c r="AS7" s="31">
        <f t="shared" ref="AS7:AU7" si="35">AM7+AP7</f>
        <v>1.2994748188092908E-2</v>
      </c>
      <c r="AT7" s="32">
        <f t="shared" si="35"/>
        <v>1.2994748188092908E-2</v>
      </c>
      <c r="AU7" s="33">
        <f t="shared" si="35"/>
        <v>0.12994748188092908</v>
      </c>
    </row>
    <row r="8" spans="1:47" ht="16">
      <c r="A8" s="19" t="s">
        <v>61</v>
      </c>
      <c r="B8" s="1">
        <v>187.131</v>
      </c>
      <c r="C8" s="1">
        <f t="shared" si="0"/>
        <v>0.17100692778598703</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1.7100692778598704E-3</v>
      </c>
      <c r="V8" s="28">
        <f t="shared" si="4"/>
        <v>4.1041662668636889E-2</v>
      </c>
      <c r="W8" s="29">
        <f t="shared" si="5"/>
        <v>3.7621524112917148</v>
      </c>
      <c r="X8" s="27">
        <f t="shared" si="6"/>
        <v>1.0260415667159222E-2</v>
      </c>
      <c r="Y8" s="28">
        <f t="shared" si="7"/>
        <v>0.24624997601182133</v>
      </c>
      <c r="Z8" s="29">
        <f t="shared" si="8"/>
        <v>22.572914467750287</v>
      </c>
      <c r="AA8" s="27">
        <f t="shared" ref="AA8:AC8" si="37">U8+X8</f>
        <v>1.1970484945019092E-2</v>
      </c>
      <c r="AB8" s="28">
        <f t="shared" si="37"/>
        <v>0.28729163868045821</v>
      </c>
      <c r="AC8" s="29">
        <f t="shared" si="37"/>
        <v>26.335066879042003</v>
      </c>
      <c r="AD8" s="30">
        <f t="shared" si="10"/>
        <v>1.8468748200886598E-3</v>
      </c>
      <c r="AE8" s="21">
        <f t="shared" si="11"/>
        <v>5.7285544015886737E-2</v>
      </c>
      <c r="AF8" s="22">
        <f t="shared" si="12"/>
        <v>5.2423788018192621</v>
      </c>
      <c r="AG8" s="30">
        <f t="shared" si="13"/>
        <v>1.1081248920531962E-2</v>
      </c>
      <c r="AH8" s="21">
        <f t="shared" si="14"/>
        <v>0.34371326409532038</v>
      </c>
      <c r="AI8" s="22">
        <f t="shared" si="15"/>
        <v>31.454272810915576</v>
      </c>
      <c r="AJ8" s="30">
        <f t="shared" ref="AJ8:AL8" si="38">AD8+AG8</f>
        <v>1.2928123740620622E-2</v>
      </c>
      <c r="AK8" s="21">
        <f t="shared" si="38"/>
        <v>0.40099880811120714</v>
      </c>
      <c r="AL8" s="22">
        <f t="shared" si="38"/>
        <v>36.69665161273484</v>
      </c>
      <c r="AM8" s="31">
        <f t="shared" si="17"/>
        <v>5.6432286169375713E-2</v>
      </c>
      <c r="AN8" s="32">
        <f t="shared" si="18"/>
        <v>0.17100692778598706</v>
      </c>
      <c r="AO8" s="33">
        <f t="shared" si="19"/>
        <v>0.28900170795831809</v>
      </c>
      <c r="AP8" s="31">
        <f t="shared" si="20"/>
        <v>0.33859371701625435</v>
      </c>
      <c r="AQ8" s="32">
        <f t="shared" si="21"/>
        <v>1.0260415667159222</v>
      </c>
      <c r="AR8" s="33">
        <f t="shared" si="22"/>
        <v>1.7340102477499084</v>
      </c>
      <c r="AS8" s="31">
        <f t="shared" ref="AS8:AU8" si="39">AM8+AP8</f>
        <v>0.39502600318563008</v>
      </c>
      <c r="AT8" s="32">
        <f t="shared" si="39"/>
        <v>1.1970484945019093</v>
      </c>
      <c r="AU8" s="33">
        <f t="shared" si="39"/>
        <v>2.0230119557082267</v>
      </c>
    </row>
    <row r="9" spans="1:47" ht="16">
      <c r="A9" s="19" t="s">
        <v>85</v>
      </c>
      <c r="B9" s="4">
        <f>2.594+0.084</f>
        <v>2.6779999999999999</v>
      </c>
      <c r="C9" s="1">
        <f t="shared" si="0"/>
        <v>2.4472511374965841E-3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3.1814264787455595E-3</v>
      </c>
      <c r="V9" s="28">
        <f t="shared" si="4"/>
        <v>5.6286776162421436E-3</v>
      </c>
      <c r="W9" s="29">
        <f t="shared" si="5"/>
        <v>1.0278454777485653E-2</v>
      </c>
      <c r="X9" s="27">
        <f t="shared" si="6"/>
        <v>1.9088558872473353E-2</v>
      </c>
      <c r="Y9" s="28">
        <f t="shared" si="7"/>
        <v>3.3772065697452856E-2</v>
      </c>
      <c r="Z9" s="29">
        <f t="shared" si="8"/>
        <v>6.167072866491391E-2</v>
      </c>
      <c r="AA9" s="27">
        <f t="shared" ref="AA9:AC9" si="41">U9+X9</f>
        <v>2.2269985351218911E-2</v>
      </c>
      <c r="AB9" s="28">
        <f t="shared" si="41"/>
        <v>3.9400743313695002E-2</v>
      </c>
      <c r="AC9" s="29">
        <f t="shared" si="41"/>
        <v>7.1949183442399561E-2</v>
      </c>
      <c r="AD9" s="30">
        <f t="shared" si="10"/>
        <v>1.7620208189975412E-3</v>
      </c>
      <c r="AE9" s="21">
        <f t="shared" si="11"/>
        <v>3.1091221907240084E-3</v>
      </c>
      <c r="AF9" s="22">
        <f t="shared" si="12"/>
        <v>5.7753756384282392E-3</v>
      </c>
      <c r="AG9" s="30">
        <f t="shared" si="13"/>
        <v>1.0572124913985242E-2</v>
      </c>
      <c r="AH9" s="21">
        <f t="shared" si="14"/>
        <v>1.8654733144344047E-2</v>
      </c>
      <c r="AI9" s="22">
        <f t="shared" si="15"/>
        <v>3.4652253830569441E-2</v>
      </c>
      <c r="AJ9" s="30">
        <f t="shared" ref="AJ9:AL9" si="42">AD9+AG9</f>
        <v>1.2334145732982783E-2</v>
      </c>
      <c r="AK9" s="21">
        <f t="shared" si="42"/>
        <v>2.1763855335068055E-2</v>
      </c>
      <c r="AL9" s="22">
        <f t="shared" si="42"/>
        <v>4.0427629468997681E-2</v>
      </c>
      <c r="AM9" s="31">
        <f t="shared" si="17"/>
        <v>3.1814264787455595E-3</v>
      </c>
      <c r="AN9" s="32">
        <f t="shared" si="18"/>
        <v>0.12236255687482922</v>
      </c>
      <c r="AO9" s="33">
        <f t="shared" si="19"/>
        <v>0.19822734213722332</v>
      </c>
      <c r="AP9" s="31">
        <f t="shared" si="20"/>
        <v>1.9088558872473356E-2</v>
      </c>
      <c r="AQ9" s="32">
        <f t="shared" si="21"/>
        <v>0.7341753412489751</v>
      </c>
      <c r="AR9" s="33">
        <f t="shared" si="22"/>
        <v>1.1893640528233398</v>
      </c>
      <c r="AS9" s="31">
        <f t="shared" ref="AS9:AU9" si="43">AM9+AP9</f>
        <v>2.2269985351218914E-2</v>
      </c>
      <c r="AT9" s="32">
        <f t="shared" si="43"/>
        <v>0.85653789812380432</v>
      </c>
      <c r="AU9" s="33">
        <f t="shared" si="43"/>
        <v>1.3875913949605632</v>
      </c>
    </row>
    <row r="10" spans="1:47" ht="15.75" customHeight="1">
      <c r="A10" s="1" t="s">
        <v>63</v>
      </c>
      <c r="B10" s="1">
        <v>0.14000000000000001</v>
      </c>
      <c r="C10" s="1">
        <f t="shared" si="0"/>
        <v>1.2793695266972435E-4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8.9555866868807038E-6</v>
      </c>
      <c r="V10" s="28">
        <f t="shared" si="4"/>
        <v>1.4073064793669677E-5</v>
      </c>
      <c r="W10" s="29">
        <f t="shared" si="5"/>
        <v>7.1644693495045631E-5</v>
      </c>
      <c r="X10" s="27">
        <f t="shared" si="6"/>
        <v>5.3733520121284226E-5</v>
      </c>
      <c r="Y10" s="28">
        <f t="shared" si="7"/>
        <v>8.4438388762018068E-5</v>
      </c>
      <c r="Z10" s="29">
        <f t="shared" si="8"/>
        <v>4.2986816097027381E-4</v>
      </c>
      <c r="AA10" s="27">
        <f t="shared" ref="AA10:AC10" si="45">U10+X10</f>
        <v>6.2689106808164929E-5</v>
      </c>
      <c r="AB10" s="28">
        <f t="shared" si="45"/>
        <v>9.8511453555687751E-5</v>
      </c>
      <c r="AC10" s="29">
        <f t="shared" si="45"/>
        <v>5.0151285446531943E-4</v>
      </c>
      <c r="AD10" s="30">
        <f t="shared" si="10"/>
        <v>9.2114605922201543E-10</v>
      </c>
      <c r="AE10" s="21">
        <f t="shared" si="11"/>
        <v>5.4477329919975427E-7</v>
      </c>
      <c r="AF10" s="22">
        <f t="shared" si="12"/>
        <v>7.1628317565103923E-6</v>
      </c>
      <c r="AG10" s="30">
        <f t="shared" si="13"/>
        <v>5.5268763553320913E-9</v>
      </c>
      <c r="AH10" s="21">
        <f t="shared" si="14"/>
        <v>3.2686397951985263E-6</v>
      </c>
      <c r="AI10" s="22">
        <f t="shared" si="15"/>
        <v>4.2976990539062357E-5</v>
      </c>
      <c r="AJ10" s="30">
        <f t="shared" ref="AJ10:AL10" si="46">AD10+AG10</f>
        <v>6.448022414554107E-9</v>
      </c>
      <c r="AK10" s="21">
        <f t="shared" si="46"/>
        <v>3.8134130943982804E-6</v>
      </c>
      <c r="AL10" s="22">
        <f t="shared" si="46"/>
        <v>5.0139822295572747E-5</v>
      </c>
      <c r="AM10" s="31">
        <f t="shared" si="17"/>
        <v>3.8381085800917302E-6</v>
      </c>
      <c r="AN10" s="32">
        <f t="shared" si="18"/>
        <v>1.2793695266972434E-5</v>
      </c>
      <c r="AO10" s="33">
        <f t="shared" si="19"/>
        <v>1.6631803847064166E-5</v>
      </c>
      <c r="AP10" s="31">
        <f t="shared" si="20"/>
        <v>2.3028651480550381E-5</v>
      </c>
      <c r="AQ10" s="32">
        <f t="shared" si="21"/>
        <v>7.6762171601834611E-5</v>
      </c>
      <c r="AR10" s="33">
        <f t="shared" si="22"/>
        <v>9.9790823082384996E-5</v>
      </c>
      <c r="AS10" s="31">
        <f t="shared" ref="AS10:AU10" si="47">AM10+AP10</f>
        <v>2.6866760060642113E-5</v>
      </c>
      <c r="AT10" s="32">
        <f t="shared" si="47"/>
        <v>8.9555866868807048E-5</v>
      </c>
      <c r="AU10" s="33">
        <f t="shared" si="47"/>
        <v>1.1642262692944917E-4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0.55800000000000005</v>
      </c>
      <c r="C12" s="1">
        <f t="shared" si="0"/>
        <v>5.0992013992647272E-4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9.1785625186765086E-5</v>
      </c>
      <c r="V12" s="28">
        <f t="shared" si="4"/>
        <v>2.4476166716470691E-4</v>
      </c>
      <c r="W12" s="29">
        <f t="shared" si="5"/>
        <v>9.1785625186765096E-4</v>
      </c>
      <c r="X12" s="27">
        <f t="shared" si="6"/>
        <v>5.5071375112059051E-4</v>
      </c>
      <c r="Y12" s="28">
        <f t="shared" si="7"/>
        <v>1.4685700029882414E-3</v>
      </c>
      <c r="Z12" s="29">
        <f t="shared" si="8"/>
        <v>5.5071375112059054E-3</v>
      </c>
      <c r="AA12" s="27">
        <f t="shared" ref="AA12:AC12" si="53">U12+X12</f>
        <v>6.4249937630735565E-4</v>
      </c>
      <c r="AB12" s="28">
        <f t="shared" si="53"/>
        <v>1.7133316701529483E-3</v>
      </c>
      <c r="AC12" s="29">
        <f t="shared" si="53"/>
        <v>6.4249937630735561E-3</v>
      </c>
      <c r="AD12" s="30">
        <f t="shared" si="10"/>
        <v>1.1748560023905933E-7</v>
      </c>
      <c r="AE12" s="21">
        <f t="shared" si="11"/>
        <v>3.2919084441854027E-6</v>
      </c>
      <c r="AF12" s="22">
        <f t="shared" si="12"/>
        <v>3.4089181194364558E-5</v>
      </c>
      <c r="AG12" s="30">
        <f t="shared" si="13"/>
        <v>7.0491360143435597E-7</v>
      </c>
      <c r="AH12" s="21">
        <f t="shared" si="14"/>
        <v>1.9751450665112417E-5</v>
      </c>
      <c r="AI12" s="22">
        <f t="shared" si="15"/>
        <v>2.0453508716618735E-4</v>
      </c>
      <c r="AJ12" s="30">
        <f t="shared" ref="AJ12:AL12" si="54">AD12+AG12</f>
        <v>8.2239920167341525E-7</v>
      </c>
      <c r="AK12" s="21">
        <f t="shared" si="54"/>
        <v>2.3043359109297819E-5</v>
      </c>
      <c r="AL12" s="22">
        <f t="shared" si="54"/>
        <v>2.386242683605519E-4</v>
      </c>
      <c r="AM12" s="31">
        <f t="shared" si="17"/>
        <v>1.5297604197794182E-5</v>
      </c>
      <c r="AN12" s="32">
        <f t="shared" si="18"/>
        <v>5.0992013992647283E-4</v>
      </c>
      <c r="AO12" s="33">
        <f t="shared" si="19"/>
        <v>7.6488020988970914E-4</v>
      </c>
      <c r="AP12" s="31">
        <f t="shared" si="20"/>
        <v>9.1785625186765086E-5</v>
      </c>
      <c r="AQ12" s="32">
        <f t="shared" si="21"/>
        <v>3.0595208395588365E-3</v>
      </c>
      <c r="AR12" s="33">
        <f t="shared" si="22"/>
        <v>4.5892812593382546E-3</v>
      </c>
      <c r="AS12" s="31">
        <f t="shared" ref="AS12:AU12" si="55">AM12+AP12</f>
        <v>1.0708322938455927E-4</v>
      </c>
      <c r="AT12" s="32">
        <f t="shared" si="55"/>
        <v>3.5694409794853094E-3</v>
      </c>
      <c r="AU12" s="33">
        <f t="shared" si="55"/>
        <v>5.3541614692279634E-3</v>
      </c>
    </row>
    <row r="13" spans="1:47" ht="15.75" customHeight="1">
      <c r="A13" s="1" t="s">
        <v>66</v>
      </c>
      <c r="B13" s="1">
        <v>0.435</v>
      </c>
      <c r="C13" s="1">
        <f t="shared" si="0"/>
        <v>3.9751838865235777E-4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2.385110331914147E-5</v>
      </c>
      <c r="V13" s="28">
        <f t="shared" si="4"/>
        <v>1.5105698768789596E-4</v>
      </c>
      <c r="W13" s="29">
        <f t="shared" si="5"/>
        <v>3.1403952703536268E-4</v>
      </c>
      <c r="X13" s="27">
        <f t="shared" si="6"/>
        <v>1.4310661991484881E-4</v>
      </c>
      <c r="Y13" s="28">
        <f t="shared" si="7"/>
        <v>9.063419261273757E-4</v>
      </c>
      <c r="Z13" s="29">
        <f t="shared" si="8"/>
        <v>1.8842371622121757E-3</v>
      </c>
      <c r="AA13" s="27">
        <f t="shared" ref="AA13:AC13" si="57">U13+X13</f>
        <v>1.6695772323399027E-4</v>
      </c>
      <c r="AB13" s="28">
        <f t="shared" si="57"/>
        <v>1.0573989138152717E-3</v>
      </c>
      <c r="AC13" s="29">
        <f t="shared" si="57"/>
        <v>2.1982766892475383E-3</v>
      </c>
      <c r="AD13" s="30">
        <f t="shared" si="10"/>
        <v>1.0446783253783964E-7</v>
      </c>
      <c r="AE13" s="21">
        <f t="shared" si="11"/>
        <v>6.5086655070168843E-6</v>
      </c>
      <c r="AF13" s="22">
        <f t="shared" si="12"/>
        <v>3.3100561186304537E-5</v>
      </c>
      <c r="AG13" s="30">
        <f t="shared" si="13"/>
        <v>6.268069952270377E-7</v>
      </c>
      <c r="AH13" s="21">
        <f t="shared" si="14"/>
        <v>3.9051993042101304E-5</v>
      </c>
      <c r="AI13" s="22">
        <f t="shared" si="15"/>
        <v>1.9860336711782718E-4</v>
      </c>
      <c r="AJ13" s="30">
        <f t="shared" ref="AJ13:AL13" si="58">AD13+AG13</f>
        <v>7.3127482776487737E-7</v>
      </c>
      <c r="AK13" s="21">
        <f t="shared" si="58"/>
        <v>4.5560658549118189E-5</v>
      </c>
      <c r="AL13" s="22">
        <f t="shared" si="58"/>
        <v>2.3170392830413171E-4</v>
      </c>
      <c r="AM13" s="31">
        <f t="shared" si="17"/>
        <v>1.1925551659570735E-5</v>
      </c>
      <c r="AN13" s="32">
        <f t="shared" si="18"/>
        <v>9.9379597163089457E-5</v>
      </c>
      <c r="AO13" s="33">
        <f t="shared" si="19"/>
        <v>2.0273437821270246E-4</v>
      </c>
      <c r="AP13" s="31">
        <f t="shared" si="20"/>
        <v>7.1553309957424403E-5</v>
      </c>
      <c r="AQ13" s="32">
        <f t="shared" si="21"/>
        <v>5.9627758297853663E-4</v>
      </c>
      <c r="AR13" s="33">
        <f t="shared" si="22"/>
        <v>1.2164062692762148E-3</v>
      </c>
      <c r="AS13" s="31">
        <f t="shared" ref="AS13:AU13" si="59">AM13+AP13</f>
        <v>8.3478861616995134E-5</v>
      </c>
      <c r="AT13" s="32">
        <f t="shared" si="59"/>
        <v>6.9565718014162614E-4</v>
      </c>
      <c r="AU13" s="33">
        <f t="shared" si="59"/>
        <v>1.4191406474889172E-3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1094.2890000000002</v>
      </c>
      <c r="G15" s="7"/>
      <c r="AA15" s="4">
        <f t="shared" ref="AA15:AU15" si="64">SUM(AA4:AA14)</f>
        <v>22.242778669071878</v>
      </c>
      <c r="AB15" s="4">
        <f t="shared" si="64"/>
        <v>26.200695593211659</v>
      </c>
      <c r="AC15" s="4">
        <f t="shared" si="64"/>
        <v>59.959471556416986</v>
      </c>
      <c r="AD15" s="4">
        <f t="shared" si="64"/>
        <v>5.528999751619545E-3</v>
      </c>
      <c r="AE15" s="4">
        <f t="shared" si="64"/>
        <v>7.8773190870141202E-2</v>
      </c>
      <c r="AF15" s="4">
        <f t="shared" si="64"/>
        <v>5.3375925684238794</v>
      </c>
      <c r="AG15" s="4">
        <f t="shared" si="64"/>
        <v>3.3173998509717258E-2</v>
      </c>
      <c r="AH15" s="4">
        <f t="shared" si="64"/>
        <v>0.47263914522084732</v>
      </c>
      <c r="AI15" s="4">
        <f t="shared" si="64"/>
        <v>32.025555410543284</v>
      </c>
      <c r="AJ15" s="4">
        <f t="shared" si="64"/>
        <v>3.8702998261336809E-2</v>
      </c>
      <c r="AK15" s="4">
        <f t="shared" si="64"/>
        <v>0.5514123360909885</v>
      </c>
      <c r="AL15" s="4">
        <f t="shared" si="64"/>
        <v>37.363147978967163</v>
      </c>
      <c r="AM15" s="4">
        <f t="shared" si="64"/>
        <v>6.9495142508057731E-2</v>
      </c>
      <c r="AN15" s="4">
        <f t="shared" si="64"/>
        <v>0.38534557141669157</v>
      </c>
      <c r="AO15" s="4">
        <f t="shared" si="64"/>
        <v>0.79384632396012378</v>
      </c>
      <c r="AP15" s="4">
        <f t="shared" si="64"/>
        <v>0.41697085504834641</v>
      </c>
      <c r="AQ15" s="4">
        <f t="shared" si="64"/>
        <v>2.312073428500149</v>
      </c>
      <c r="AR15" s="4">
        <f t="shared" si="64"/>
        <v>4.7630779437607424</v>
      </c>
      <c r="AS15" s="4">
        <f t="shared" si="64"/>
        <v>0.48646599755640413</v>
      </c>
      <c r="AT15" s="4">
        <f t="shared" si="64"/>
        <v>2.6974189999168408</v>
      </c>
      <c r="AU15" s="4">
        <f t="shared" si="64"/>
        <v>5.5569242677208655</v>
      </c>
    </row>
    <row r="16" spans="1:47" ht="15.75" customHeight="1">
      <c r="B16" s="68"/>
      <c r="G16" s="7"/>
      <c r="AG16" s="195"/>
      <c r="AH16" s="196"/>
      <c r="AI16" s="196"/>
      <c r="AP16" s="195"/>
      <c r="AQ16" s="196"/>
      <c r="AR16" s="196"/>
    </row>
    <row r="17" spans="2:18" ht="15.75" customHeight="1">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5.75" customHeight="1">
      <c r="B19" s="82" t="s">
        <v>140</v>
      </c>
      <c r="C19" s="187" t="s">
        <v>143</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81" t="s">
        <v>173</v>
      </c>
      <c r="B2" s="1"/>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226.71</v>
      </c>
      <c r="C4" s="1">
        <f t="shared" ref="C4:C14" si="0">B4/$B$15</f>
        <v>0.88859536006710238</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6.5756056644965577</v>
      </c>
      <c r="V4" s="28">
        <f t="shared" ref="V4:V14" si="4">$S4*$C4*$E4</f>
        <v>7.2864819525502398</v>
      </c>
      <c r="W4" s="29">
        <f t="shared" ref="W4:W14" si="5">$S4*$C4*$F4</f>
        <v>8.0862177766106313</v>
      </c>
      <c r="X4" s="27">
        <f t="shared" ref="X4:X14" si="6">$T4*$C4*$D4</f>
        <v>39.453633986979341</v>
      </c>
      <c r="Y4" s="28">
        <f t="shared" ref="Y4:Y14" si="7">$T4*$C4*$E4</f>
        <v>43.718891715301432</v>
      </c>
      <c r="Z4" s="29">
        <f t="shared" ref="Z4:Z14" si="8">$T4*$C4*$F4</f>
        <v>48.517306659663788</v>
      </c>
      <c r="AA4" s="27">
        <f t="shared" ref="AA4:AC4" si="9">U4+X4</f>
        <v>46.029239651475898</v>
      </c>
      <c r="AB4" s="28">
        <f t="shared" si="9"/>
        <v>51.005373667851671</v>
      </c>
      <c r="AC4" s="29">
        <f t="shared" si="9"/>
        <v>56.603524436274419</v>
      </c>
      <c r="AD4" s="30">
        <f t="shared" ref="AD4:AD14" si="10">($S4*$C4*$M4*3.6*10^(-3))*1000</f>
        <v>2.5271652040308392E-3</v>
      </c>
      <c r="AE4" s="21">
        <f t="shared" ref="AE4:AE14" si="11">($S4*$C4*$N4*3.6*10^(-3))*1000</f>
        <v>3.6725750771263076E-2</v>
      </c>
      <c r="AF4" s="22">
        <f t="shared" ref="AF4:AF14" si="12">($S4*$C4*$O4*3.6*10^(-3))*1000</f>
        <v>0.11688938804466692</v>
      </c>
      <c r="AG4" s="30">
        <f t="shared" ref="AG4:AG14" si="13">($T4*$C4*$M4*3.6*10^(-3))*1000</f>
        <v>1.5162991224185034E-2</v>
      </c>
      <c r="AH4" s="21">
        <f t="shared" ref="AH4:AH14" si="14">($T4*$C4*$N4*3.6*10^(-3))*1000</f>
        <v>0.22035450462757847</v>
      </c>
      <c r="AI4" s="22">
        <f t="shared" ref="AI4:AI14" si="15">($T4*$C4*O4*3.6*10^(-3))*1000</f>
        <v>0.70133632826800152</v>
      </c>
      <c r="AJ4" s="30">
        <f t="shared" ref="AJ4:AL4" si="16">AD4+AG4</f>
        <v>1.7690156428215875E-2</v>
      </c>
      <c r="AK4" s="21">
        <f t="shared" si="16"/>
        <v>0.25708025539884155</v>
      </c>
      <c r="AL4" s="22">
        <f t="shared" si="16"/>
        <v>0.81822571631266849</v>
      </c>
      <c r="AM4" s="31">
        <f t="shared" ref="AM4:AM13" si="17">$S4*$C4*10^(-3)*$P4*10^4</f>
        <v>1.7771907201342047E-2</v>
      </c>
      <c r="AN4" s="32">
        <f t="shared" ref="AN4:AN14" si="18">$S4*$C4*10^(-3)*$Q4*10^4</f>
        <v>0.44429768003355119</v>
      </c>
      <c r="AO4" s="33">
        <f t="shared" ref="AO4:AO13" si="19">$S4*$C4*10^(-3)*$R4*10^4</f>
        <v>1.3328930401006536</v>
      </c>
      <c r="AP4" s="31">
        <f t="shared" ref="AP4:AP13" si="20">$T4*$C4*10^(-3)*$P4*10^4</f>
        <v>0.10663144320805228</v>
      </c>
      <c r="AQ4" s="32">
        <f t="shared" ref="AQ4:AQ14" si="21">$T4*$C4*10^(-3)*$Q4*10^4</f>
        <v>2.6657860802013071</v>
      </c>
      <c r="AR4" s="33">
        <f t="shared" ref="AR4:AR13" si="22">$T4*$C4*10^(-3)*$R4*10^4</f>
        <v>7.997358240603921</v>
      </c>
      <c r="AS4" s="31">
        <f t="shared" ref="AS4:AU4" si="23">AM4+AP4</f>
        <v>0.12440335040939432</v>
      </c>
      <c r="AT4" s="32">
        <f t="shared" si="23"/>
        <v>3.1100837602348586</v>
      </c>
      <c r="AU4" s="33">
        <f t="shared" si="23"/>
        <v>9.3302512807045748</v>
      </c>
    </row>
    <row r="5" spans="1:47" ht="16">
      <c r="A5" s="19" t="s">
        <v>58</v>
      </c>
      <c r="B5" s="1">
        <v>0.183</v>
      </c>
      <c r="C5" s="1">
        <f t="shared" si="0"/>
        <v>7.1727295175457513E-4</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4.7124832930275588E-3</v>
      </c>
      <c r="V5" s="28">
        <f t="shared" si="4"/>
        <v>4.8415924243433821E-3</v>
      </c>
      <c r="W5" s="29">
        <f t="shared" si="5"/>
        <v>6.2115837621946205E-3</v>
      </c>
      <c r="X5" s="27">
        <f t="shared" si="6"/>
        <v>2.8274899758165349E-2</v>
      </c>
      <c r="Y5" s="28">
        <f t="shared" si="7"/>
        <v>2.9049554546060289E-2</v>
      </c>
      <c r="Z5" s="29">
        <f t="shared" si="8"/>
        <v>3.7269502573167718E-2</v>
      </c>
      <c r="AA5" s="27">
        <f t="shared" ref="AA5:AC5" si="25">U5+X5</f>
        <v>3.2987383051192906E-2</v>
      </c>
      <c r="AB5" s="28">
        <f t="shared" si="25"/>
        <v>3.3891146970403671E-2</v>
      </c>
      <c r="AC5" s="29">
        <f t="shared" si="25"/>
        <v>4.3481086335362337E-2</v>
      </c>
      <c r="AD5" s="30">
        <f t="shared" si="10"/>
        <v>5.5258708203172464E-6</v>
      </c>
      <c r="AE5" s="21">
        <f t="shared" si="11"/>
        <v>2.1173897535795057E-5</v>
      </c>
      <c r="AF5" s="22">
        <f t="shared" si="12"/>
        <v>7.0855091266123943E-5</v>
      </c>
      <c r="AG5" s="30">
        <f t="shared" si="13"/>
        <v>3.315522492190348E-5</v>
      </c>
      <c r="AH5" s="21">
        <f t="shared" si="14"/>
        <v>1.2704338521477034E-4</v>
      </c>
      <c r="AI5" s="22">
        <f t="shared" si="15"/>
        <v>4.2513054759674363E-4</v>
      </c>
      <c r="AJ5" s="30">
        <f t="shared" ref="AJ5:AL5" si="26">AD5+AG5</f>
        <v>3.8681095742220729E-5</v>
      </c>
      <c r="AK5" s="21">
        <f t="shared" si="26"/>
        <v>1.4821728275056539E-4</v>
      </c>
      <c r="AL5" s="22">
        <f t="shared" si="26"/>
        <v>4.9598563886286756E-4</v>
      </c>
      <c r="AM5" s="31">
        <f t="shared" si="17"/>
        <v>7.1727295175457511E-6</v>
      </c>
      <c r="AN5" s="32">
        <f t="shared" si="18"/>
        <v>2.8690918070183005E-5</v>
      </c>
      <c r="AO5" s="33">
        <f t="shared" si="19"/>
        <v>4.3036377105274503E-5</v>
      </c>
      <c r="AP5" s="31">
        <f t="shared" si="20"/>
        <v>4.3036377105274503E-5</v>
      </c>
      <c r="AQ5" s="32">
        <f t="shared" si="21"/>
        <v>1.7214550842109801E-4</v>
      </c>
      <c r="AR5" s="33">
        <f t="shared" si="22"/>
        <v>2.5821826263164701E-4</v>
      </c>
      <c r="AS5" s="31">
        <f t="shared" ref="AS5:AU5" si="27">AM5+AP5</f>
        <v>5.0209106622820253E-5</v>
      </c>
      <c r="AT5" s="32">
        <f t="shared" si="27"/>
        <v>2.0083642649128101E-4</v>
      </c>
      <c r="AU5" s="33">
        <f t="shared" si="27"/>
        <v>3.0125463973692152E-4</v>
      </c>
    </row>
    <row r="6" spans="1:47" ht="16">
      <c r="A6" s="19" t="s">
        <v>59</v>
      </c>
      <c r="B6" s="1">
        <v>0</v>
      </c>
      <c r="C6" s="1">
        <f t="shared" si="0"/>
        <v>0</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v>
      </c>
      <c r="V6" s="28">
        <f t="shared" si="4"/>
        <v>0</v>
      </c>
      <c r="W6" s="29">
        <f t="shared" si="5"/>
        <v>0</v>
      </c>
      <c r="X6" s="27">
        <f t="shared" si="6"/>
        <v>0</v>
      </c>
      <c r="Y6" s="28">
        <f t="shared" si="7"/>
        <v>0</v>
      </c>
      <c r="Z6" s="29">
        <f t="shared" si="8"/>
        <v>0</v>
      </c>
      <c r="AA6" s="27">
        <f t="shared" ref="AA6:AC6" si="29">U6+X6</f>
        <v>0</v>
      </c>
      <c r="AB6" s="28">
        <f t="shared" si="29"/>
        <v>0</v>
      </c>
      <c r="AC6" s="29">
        <f t="shared" si="29"/>
        <v>0</v>
      </c>
      <c r="AD6" s="30">
        <f t="shared" si="10"/>
        <v>0</v>
      </c>
      <c r="AE6" s="21">
        <f t="shared" si="11"/>
        <v>0</v>
      </c>
      <c r="AF6" s="22">
        <f t="shared" si="12"/>
        <v>0</v>
      </c>
      <c r="AG6" s="30">
        <f t="shared" si="13"/>
        <v>0</v>
      </c>
      <c r="AH6" s="21">
        <f t="shared" si="14"/>
        <v>0</v>
      </c>
      <c r="AI6" s="22">
        <f t="shared" si="15"/>
        <v>0</v>
      </c>
      <c r="AJ6" s="30">
        <f t="shared" ref="AJ6:AL6" si="30">AD6+AG6</f>
        <v>0</v>
      </c>
      <c r="AK6" s="21">
        <f t="shared" si="30"/>
        <v>0</v>
      </c>
      <c r="AL6" s="22">
        <f t="shared" si="30"/>
        <v>0</v>
      </c>
      <c r="AM6" s="31">
        <f t="shared" si="17"/>
        <v>0</v>
      </c>
      <c r="AN6" s="32">
        <f t="shared" si="18"/>
        <v>0</v>
      </c>
      <c r="AO6" s="33">
        <f t="shared" si="19"/>
        <v>0</v>
      </c>
      <c r="AP6" s="31">
        <f t="shared" si="20"/>
        <v>0</v>
      </c>
      <c r="AQ6" s="32">
        <f t="shared" si="21"/>
        <v>0</v>
      </c>
      <c r="AR6" s="33">
        <f t="shared" si="22"/>
        <v>0</v>
      </c>
      <c r="AS6" s="31">
        <f t="shared" ref="AS6:AU6" si="31">AM6+AP6</f>
        <v>0</v>
      </c>
      <c r="AT6" s="32">
        <f t="shared" si="31"/>
        <v>0</v>
      </c>
      <c r="AU6" s="33">
        <f t="shared" si="31"/>
        <v>0</v>
      </c>
    </row>
    <row r="7" spans="1:47" ht="16">
      <c r="A7" s="19" t="s">
        <v>60</v>
      </c>
      <c r="B7" s="1">
        <v>14.193</v>
      </c>
      <c r="C7" s="1">
        <f t="shared" si="0"/>
        <v>5.5629808766408113E-2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2.0583029243571005E-3</v>
      </c>
      <c r="V7" s="28">
        <f t="shared" si="4"/>
        <v>6.6755770519689745E-3</v>
      </c>
      <c r="W7" s="29">
        <f t="shared" si="5"/>
        <v>6.1192789643048931E-2</v>
      </c>
      <c r="X7" s="27">
        <f t="shared" si="6"/>
        <v>1.2349817546142602E-2</v>
      </c>
      <c r="Y7" s="28">
        <f t="shared" si="7"/>
        <v>4.0053462311813844E-2</v>
      </c>
      <c r="Z7" s="29">
        <f t="shared" si="8"/>
        <v>0.36715673785829356</v>
      </c>
      <c r="AA7" s="27">
        <f t="shared" ref="AA7:AC7" si="33">U7+X7</f>
        <v>1.4408120470499703E-2</v>
      </c>
      <c r="AB7" s="28">
        <f t="shared" si="33"/>
        <v>4.6729039363782816E-2</v>
      </c>
      <c r="AC7" s="29">
        <f t="shared" si="33"/>
        <v>0.42834952750134248</v>
      </c>
      <c r="AD7" s="30">
        <f t="shared" si="10"/>
        <v>3.6048116080632456E-5</v>
      </c>
      <c r="AE7" s="21">
        <f t="shared" si="11"/>
        <v>4.9628613612834728E-4</v>
      </c>
      <c r="AF7" s="22">
        <f t="shared" si="12"/>
        <v>6.0160300392344398E-3</v>
      </c>
      <c r="AG7" s="30">
        <f t="shared" si="13"/>
        <v>2.1628869648379474E-4</v>
      </c>
      <c r="AH7" s="21">
        <f t="shared" si="14"/>
        <v>2.9777168167700835E-3</v>
      </c>
      <c r="AI7" s="22">
        <f t="shared" si="15"/>
        <v>3.6096180235406637E-2</v>
      </c>
      <c r="AJ7" s="30">
        <f t="shared" ref="AJ7:AL7" si="34">AD7+AG7</f>
        <v>2.5233681256442718E-4</v>
      </c>
      <c r="AK7" s="21">
        <f t="shared" si="34"/>
        <v>3.4740029528984306E-3</v>
      </c>
      <c r="AL7" s="22">
        <f t="shared" si="34"/>
        <v>4.2112210274641078E-2</v>
      </c>
      <c r="AM7" s="31">
        <f t="shared" si="17"/>
        <v>5.5629808766408117E-4</v>
      </c>
      <c r="AN7" s="32">
        <f t="shared" si="18"/>
        <v>5.5629808766408117E-4</v>
      </c>
      <c r="AO7" s="33">
        <f t="shared" si="19"/>
        <v>5.5629808766408115E-3</v>
      </c>
      <c r="AP7" s="31">
        <f t="shared" si="20"/>
        <v>3.3377885259844873E-3</v>
      </c>
      <c r="AQ7" s="32">
        <f t="shared" si="21"/>
        <v>3.3377885259844873E-3</v>
      </c>
      <c r="AR7" s="33">
        <f t="shared" si="22"/>
        <v>3.3377885259844864E-2</v>
      </c>
      <c r="AS7" s="31">
        <f t="shared" ref="AS7:AU7" si="35">AM7+AP7</f>
        <v>3.8940866136485683E-3</v>
      </c>
      <c r="AT7" s="32">
        <f t="shared" si="35"/>
        <v>3.8940866136485683E-3</v>
      </c>
      <c r="AU7" s="33">
        <f t="shared" si="35"/>
        <v>3.8940866136485675E-2</v>
      </c>
    </row>
    <row r="8" spans="1:47" ht="16">
      <c r="A8" s="19" t="s">
        <v>61</v>
      </c>
      <c r="B8" s="1">
        <v>5.35</v>
      </c>
      <c r="C8" s="1">
        <f t="shared" si="0"/>
        <v>2.0969455146923371E-2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2.0969455146923371E-4</v>
      </c>
      <c r="V8" s="28">
        <f t="shared" si="4"/>
        <v>5.0326692352616088E-3</v>
      </c>
      <c r="W8" s="29">
        <f t="shared" si="5"/>
        <v>0.46132801323231415</v>
      </c>
      <c r="X8" s="27">
        <f t="shared" si="6"/>
        <v>1.2581673088154022E-3</v>
      </c>
      <c r="Y8" s="28">
        <f t="shared" si="7"/>
        <v>3.0196015411569653E-2</v>
      </c>
      <c r="Z8" s="29">
        <f t="shared" si="8"/>
        <v>2.767968079393885</v>
      </c>
      <c r="AA8" s="27">
        <f t="shared" ref="AA8:AC8" si="37">U8+X8</f>
        <v>1.4678618602846358E-3</v>
      </c>
      <c r="AB8" s="28">
        <f t="shared" si="37"/>
        <v>3.5228684646831265E-2</v>
      </c>
      <c r="AC8" s="29">
        <f t="shared" si="37"/>
        <v>3.2292960926261993</v>
      </c>
      <c r="AD8" s="30">
        <f t="shared" si="10"/>
        <v>2.2647011558677243E-4</v>
      </c>
      <c r="AE8" s="21">
        <f t="shared" si="11"/>
        <v>7.0245495978477918E-3</v>
      </c>
      <c r="AF8" s="22">
        <f t="shared" si="12"/>
        <v>0.64283844269459467</v>
      </c>
      <c r="AG8" s="30">
        <f t="shared" si="13"/>
        <v>1.3588206935206345E-3</v>
      </c>
      <c r="AH8" s="21">
        <f t="shared" si="14"/>
        <v>4.2147297587086741E-2</v>
      </c>
      <c r="AI8" s="22">
        <f t="shared" si="15"/>
        <v>3.8570306561675678</v>
      </c>
      <c r="AJ8" s="30">
        <f t="shared" ref="AJ8:AL8" si="38">AD8+AG8</f>
        <v>1.585290809107407E-3</v>
      </c>
      <c r="AK8" s="21">
        <f t="shared" si="38"/>
        <v>4.9171847184934531E-2</v>
      </c>
      <c r="AL8" s="22">
        <f t="shared" si="38"/>
        <v>4.4998690988621624</v>
      </c>
      <c r="AM8" s="31">
        <f t="shared" si="17"/>
        <v>6.9199201984847117E-3</v>
      </c>
      <c r="AN8" s="32">
        <f t="shared" si="18"/>
        <v>2.0969455146923371E-2</v>
      </c>
      <c r="AO8" s="33">
        <f t="shared" si="19"/>
        <v>3.5438379198300493E-2</v>
      </c>
      <c r="AP8" s="31">
        <f t="shared" si="20"/>
        <v>4.1519521190908272E-2</v>
      </c>
      <c r="AQ8" s="32">
        <f t="shared" si="21"/>
        <v>0.12581673088154025</v>
      </c>
      <c r="AR8" s="33">
        <f t="shared" si="22"/>
        <v>0.21263027518980296</v>
      </c>
      <c r="AS8" s="31">
        <f t="shared" ref="AS8:AU8" si="39">AM8+AP8</f>
        <v>4.8439441389392983E-2</v>
      </c>
      <c r="AT8" s="32">
        <f t="shared" si="39"/>
        <v>0.14678618602846361</v>
      </c>
      <c r="AU8" s="33">
        <f t="shared" si="39"/>
        <v>0.24806865438810344</v>
      </c>
    </row>
    <row r="9" spans="1:47" ht="16">
      <c r="A9" s="19" t="s">
        <v>84</v>
      </c>
      <c r="B9" s="1">
        <v>0.29699999999999999</v>
      </c>
      <c r="C9" s="1">
        <f t="shared" si="0"/>
        <v>1.1640987249787367E-3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1.5133283424723577E-3</v>
      </c>
      <c r="V9" s="28">
        <f t="shared" si="4"/>
        <v>2.6774270674510942E-3</v>
      </c>
      <c r="W9" s="29">
        <f t="shared" si="5"/>
        <v>4.8892146449106945E-3</v>
      </c>
      <c r="X9" s="27">
        <f t="shared" si="6"/>
        <v>9.0799700548341456E-3</v>
      </c>
      <c r="Y9" s="28">
        <f t="shared" si="7"/>
        <v>1.6064562404706564E-2</v>
      </c>
      <c r="Z9" s="29">
        <f t="shared" si="8"/>
        <v>2.9335287869464162E-2</v>
      </c>
      <c r="AA9" s="27">
        <f t="shared" ref="AA9:AC9" si="41">U9+X9</f>
        <v>1.0593298397306503E-2</v>
      </c>
      <c r="AB9" s="28">
        <f t="shared" si="41"/>
        <v>1.8741989472157657E-2</v>
      </c>
      <c r="AC9" s="29">
        <f t="shared" si="41"/>
        <v>3.4224502514374859E-2</v>
      </c>
      <c r="AD9" s="30">
        <f t="shared" si="10"/>
        <v>8.3815108198469039E-4</v>
      </c>
      <c r="AE9" s="21">
        <f t="shared" si="11"/>
        <v>1.4789349252187103E-3</v>
      </c>
      <c r="AF9" s="22">
        <f t="shared" si="12"/>
        <v>2.74720780142122E-3</v>
      </c>
      <c r="AG9" s="30">
        <f t="shared" si="13"/>
        <v>5.0289064919081423E-3</v>
      </c>
      <c r="AH9" s="21">
        <f t="shared" si="14"/>
        <v>8.8736095513122625E-3</v>
      </c>
      <c r="AI9" s="22">
        <f t="shared" si="15"/>
        <v>1.6483246808527318E-2</v>
      </c>
      <c r="AJ9" s="30">
        <f t="shared" ref="AJ9:AL9" si="42">AD9+AG9</f>
        <v>5.8670575738928327E-3</v>
      </c>
      <c r="AK9" s="21">
        <f t="shared" si="42"/>
        <v>1.0352544476530973E-2</v>
      </c>
      <c r="AL9" s="22">
        <f t="shared" si="42"/>
        <v>1.9230454609948537E-2</v>
      </c>
      <c r="AM9" s="31">
        <f t="shared" si="17"/>
        <v>1.5133283424723577E-3</v>
      </c>
      <c r="AN9" s="32">
        <f t="shared" si="18"/>
        <v>5.8204936248936835E-2</v>
      </c>
      <c r="AO9" s="33">
        <f t="shared" si="19"/>
        <v>9.4291996723277663E-2</v>
      </c>
      <c r="AP9" s="31">
        <f t="shared" si="20"/>
        <v>9.0799700548341456E-3</v>
      </c>
      <c r="AQ9" s="32">
        <f t="shared" si="21"/>
        <v>0.34922961749362097</v>
      </c>
      <c r="AR9" s="33">
        <f t="shared" si="22"/>
        <v>0.56575198033966601</v>
      </c>
      <c r="AS9" s="31">
        <f t="shared" ref="AS9:AU9" si="43">AM9+AP9</f>
        <v>1.0593298397306503E-2</v>
      </c>
      <c r="AT9" s="32">
        <f t="shared" si="43"/>
        <v>0.40743455374255783</v>
      </c>
      <c r="AU9" s="33">
        <f t="shared" si="43"/>
        <v>0.66004397706294371</v>
      </c>
    </row>
    <row r="10" spans="1:47" ht="15.75" customHeight="1">
      <c r="A10" s="1" t="s">
        <v>63</v>
      </c>
      <c r="B10" s="1">
        <v>5.09</v>
      </c>
      <c r="C10" s="1">
        <f t="shared" si="0"/>
        <v>1.995037882202616E-2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1.3965265175418312E-3</v>
      </c>
      <c r="V10" s="28">
        <f t="shared" si="4"/>
        <v>2.1945416704228773E-3</v>
      </c>
      <c r="W10" s="29">
        <f t="shared" si="5"/>
        <v>1.1172212140334649E-2</v>
      </c>
      <c r="X10" s="27">
        <f t="shared" si="6"/>
        <v>8.3791591052509874E-3</v>
      </c>
      <c r="Y10" s="28">
        <f t="shared" si="7"/>
        <v>1.3167250022537266E-2</v>
      </c>
      <c r="Z10" s="29">
        <f t="shared" si="8"/>
        <v>6.7033272842007899E-2</v>
      </c>
      <c r="AA10" s="27">
        <f t="shared" ref="AA10:AC10" si="45">U10+X10</f>
        <v>9.7756856227928183E-3</v>
      </c>
      <c r="AB10" s="28">
        <f t="shared" si="45"/>
        <v>1.5361791692960144E-2</v>
      </c>
      <c r="AC10" s="29">
        <f t="shared" si="45"/>
        <v>7.8205484982342546E-2</v>
      </c>
      <c r="AD10" s="30">
        <f t="shared" si="10"/>
        <v>1.4364272751858835E-7</v>
      </c>
      <c r="AE10" s="21">
        <f t="shared" si="11"/>
        <v>8.4951481681899276E-5</v>
      </c>
      <c r="AF10" s="22">
        <f t="shared" si="12"/>
        <v>1.1169658491845431E-3</v>
      </c>
      <c r="AG10" s="30">
        <f t="shared" si="13"/>
        <v>8.6185636511153006E-7</v>
      </c>
      <c r="AH10" s="21">
        <f t="shared" si="14"/>
        <v>5.0970889009139555E-4</v>
      </c>
      <c r="AI10" s="22">
        <f t="shared" si="15"/>
        <v>6.7017950951072597E-3</v>
      </c>
      <c r="AJ10" s="30">
        <f t="shared" ref="AJ10:AL10" si="46">AD10+AG10</f>
        <v>1.0054990926301184E-6</v>
      </c>
      <c r="AK10" s="21">
        <f t="shared" si="46"/>
        <v>5.9466037177329477E-4</v>
      </c>
      <c r="AL10" s="22">
        <f t="shared" si="46"/>
        <v>7.818760944291802E-3</v>
      </c>
      <c r="AM10" s="31">
        <f t="shared" si="17"/>
        <v>5.9851136466078478E-4</v>
      </c>
      <c r="AN10" s="32">
        <f t="shared" si="18"/>
        <v>1.9950378822026159E-3</v>
      </c>
      <c r="AO10" s="33">
        <f t="shared" si="19"/>
        <v>2.5935492468634014E-3</v>
      </c>
      <c r="AP10" s="31">
        <f t="shared" si="20"/>
        <v>3.5910681879647091E-3</v>
      </c>
      <c r="AQ10" s="32">
        <f t="shared" si="21"/>
        <v>1.1970227293215696E-2</v>
      </c>
      <c r="AR10" s="33">
        <f t="shared" si="22"/>
        <v>1.5561295481180404E-2</v>
      </c>
      <c r="AS10" s="31">
        <f t="shared" ref="AS10:AU10" si="47">AM10+AP10</f>
        <v>4.1895795526254937E-3</v>
      </c>
      <c r="AT10" s="32">
        <f t="shared" si="47"/>
        <v>1.3965265175418313E-2</v>
      </c>
      <c r="AU10" s="33">
        <f t="shared" si="47"/>
        <v>1.8154844728043806E-2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2.6339999999999999</v>
      </c>
      <c r="C12" s="1">
        <f t="shared" si="0"/>
        <v>1.0324027076074048E-2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1.8583248736933288E-3</v>
      </c>
      <c r="V12" s="28">
        <f t="shared" si="4"/>
        <v>4.9555329965155432E-3</v>
      </c>
      <c r="W12" s="29">
        <f t="shared" si="5"/>
        <v>1.8583248736933285E-2</v>
      </c>
      <c r="X12" s="27">
        <f t="shared" si="6"/>
        <v>1.114994924215997E-2</v>
      </c>
      <c r="Y12" s="28">
        <f t="shared" si="7"/>
        <v>2.9733197979093254E-2</v>
      </c>
      <c r="Z12" s="29">
        <f t="shared" si="8"/>
        <v>0.11149949242159971</v>
      </c>
      <c r="AA12" s="27">
        <f t="shared" ref="AA12:AC12" si="53">U12+X12</f>
        <v>1.3008274115853299E-2</v>
      </c>
      <c r="AB12" s="28">
        <f t="shared" si="53"/>
        <v>3.4688730975608796E-2</v>
      </c>
      <c r="AC12" s="29">
        <f t="shared" si="53"/>
        <v>0.13008274115853299</v>
      </c>
      <c r="AD12" s="30">
        <f t="shared" si="10"/>
        <v>2.3786558383274607E-6</v>
      </c>
      <c r="AE12" s="21">
        <f t="shared" si="11"/>
        <v>6.6649165719611351E-5</v>
      </c>
      <c r="AF12" s="22">
        <f t="shared" si="12"/>
        <v>6.9018185808970226E-4</v>
      </c>
      <c r="AG12" s="30">
        <f t="shared" si="13"/>
        <v>1.4271935029964763E-5</v>
      </c>
      <c r="AH12" s="21">
        <f t="shared" si="14"/>
        <v>3.9989499431766805E-4</v>
      </c>
      <c r="AI12" s="22">
        <f t="shared" si="15"/>
        <v>4.1410911485382125E-3</v>
      </c>
      <c r="AJ12" s="30">
        <f t="shared" ref="AJ12:AL12" si="54">AD12+AG12</f>
        <v>1.6650590868292223E-5</v>
      </c>
      <c r="AK12" s="21">
        <f t="shared" si="54"/>
        <v>4.6654416003727938E-4</v>
      </c>
      <c r="AL12" s="22">
        <f t="shared" si="54"/>
        <v>4.8312730066279149E-3</v>
      </c>
      <c r="AM12" s="31">
        <f t="shared" si="17"/>
        <v>3.0972081228222145E-4</v>
      </c>
      <c r="AN12" s="32">
        <f t="shared" si="18"/>
        <v>1.0324027076074048E-2</v>
      </c>
      <c r="AO12" s="33">
        <f t="shared" si="19"/>
        <v>1.5486040614111074E-2</v>
      </c>
      <c r="AP12" s="31">
        <f t="shared" si="20"/>
        <v>1.8583248736933286E-3</v>
      </c>
      <c r="AQ12" s="32">
        <f t="shared" si="21"/>
        <v>6.1944162456444282E-2</v>
      </c>
      <c r="AR12" s="33">
        <f t="shared" si="22"/>
        <v>9.2916243684666416E-2</v>
      </c>
      <c r="AS12" s="31">
        <f t="shared" ref="AS12:AU12" si="55">AM12+AP12</f>
        <v>2.1680456859755502E-3</v>
      </c>
      <c r="AT12" s="32">
        <f t="shared" si="55"/>
        <v>7.2268189532518332E-2</v>
      </c>
      <c r="AU12" s="33">
        <f t="shared" si="55"/>
        <v>0.10840228429877749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0.67600000000000005</v>
      </c>
      <c r="C14" s="1">
        <f t="shared" si="0"/>
        <v>2.6495984447327476E-3</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2.3316466313648179E-4</v>
      </c>
      <c r="V14" s="53">
        <f t="shared" si="4"/>
        <v>7.1539158007784189E-4</v>
      </c>
      <c r="W14" s="54">
        <f t="shared" si="5"/>
        <v>1.6692470201816309E-3</v>
      </c>
      <c r="X14" s="52">
        <f t="shared" si="6"/>
        <v>1.3989879788188909E-3</v>
      </c>
      <c r="Y14" s="53">
        <f t="shared" si="7"/>
        <v>4.2923494804670516E-3</v>
      </c>
      <c r="Z14" s="54">
        <f t="shared" si="8"/>
        <v>1.0015482121089787E-2</v>
      </c>
      <c r="AA14" s="52">
        <f t="shared" ref="AA14:AC14" si="61">U14+X14</f>
        <v>1.6321526419553728E-3</v>
      </c>
      <c r="AB14" s="53">
        <f t="shared" si="61"/>
        <v>5.0077410605448933E-3</v>
      </c>
      <c r="AC14" s="54">
        <f t="shared" si="61"/>
        <v>1.1684729141271418E-2</v>
      </c>
      <c r="AD14" s="55">
        <f t="shared" si="10"/>
        <v>1.1255494193224712E-5</v>
      </c>
      <c r="AE14" s="45">
        <f t="shared" si="11"/>
        <v>8.8556502225026171E-5</v>
      </c>
      <c r="AF14" s="46">
        <f t="shared" si="12"/>
        <v>3.5616962133475495E-4</v>
      </c>
      <c r="AG14" s="55">
        <f t="shared" si="13"/>
        <v>6.7532965159348266E-5</v>
      </c>
      <c r="AH14" s="45">
        <f t="shared" si="14"/>
        <v>5.3133901335015706E-4</v>
      </c>
      <c r="AI14" s="46">
        <f t="shared" si="15"/>
        <v>2.1370177280085295E-3</v>
      </c>
      <c r="AJ14" s="55">
        <f t="shared" ref="AJ14:AL14" si="62">AD14+AG14</f>
        <v>7.8788459352572979E-5</v>
      </c>
      <c r="AK14" s="45">
        <f t="shared" si="62"/>
        <v>6.1989551557518321E-4</v>
      </c>
      <c r="AL14" s="46">
        <f t="shared" si="62"/>
        <v>2.4931873493432843E-3</v>
      </c>
      <c r="AM14" s="56">
        <f>$S14*$C14*10^(-3)*$P14</f>
        <v>2.066686786891543E-7</v>
      </c>
      <c r="AN14" s="57">
        <f t="shared" si="18"/>
        <v>3.9743976670991209E-3</v>
      </c>
      <c r="AO14" s="58">
        <f>$S14*$C14*10^(-3)*$R14</f>
        <v>5.1137249983342035E-7</v>
      </c>
      <c r="AP14" s="56">
        <f>$T14*$C14*10^(-3)*$P14</f>
        <v>1.2400120721349259E-6</v>
      </c>
      <c r="AQ14" s="57">
        <f t="shared" si="21"/>
        <v>2.3846386002594731E-2</v>
      </c>
      <c r="AR14" s="58">
        <f>$T14*$C14*10^(-3)*$R14</f>
        <v>3.0682349990005223E-6</v>
      </c>
      <c r="AS14" s="56">
        <f t="shared" ref="AS14:AU14" si="63">AM14+AP14</f>
        <v>1.4466807508240802E-6</v>
      </c>
      <c r="AT14" s="57">
        <f t="shared" si="63"/>
        <v>2.7820783669693851E-2</v>
      </c>
      <c r="AU14" s="58">
        <f t="shared" si="63"/>
        <v>3.5796074988339428E-6</v>
      </c>
    </row>
    <row r="15" spans="1:47" ht="15.75" customHeight="1">
      <c r="A15" s="81" t="s">
        <v>163</v>
      </c>
      <c r="B15" s="68">
        <f>SUM(B4:B14)</f>
        <v>255.13299999999998</v>
      </c>
      <c r="G15" s="7"/>
      <c r="AA15" s="4">
        <f t="shared" ref="AA15:AC15" si="64">SUM(AA4:AA14)</f>
        <v>46.113112427635777</v>
      </c>
      <c r="AB15" s="4">
        <f t="shared" si="64"/>
        <v>51.19502279203396</v>
      </c>
      <c r="AC15" s="4">
        <f t="shared" si="64"/>
        <v>60.558848600533842</v>
      </c>
      <c r="AJ15" s="4">
        <f t="shared" ref="AJ15:AL15" si="65">SUM(AJ4:AJ14)</f>
        <v>2.5529967268836256E-2</v>
      </c>
      <c r="AK15" s="4">
        <f t="shared" si="65"/>
        <v>0.32190796734334182</v>
      </c>
      <c r="AL15" s="4">
        <f t="shared" si="65"/>
        <v>5.3950766869985465</v>
      </c>
      <c r="AS15" s="4">
        <f t="shared" ref="AS15:AU15" si="66">SUM(AS4:AS14)</f>
        <v>0.19373945783571708</v>
      </c>
      <c r="AT15" s="4">
        <f t="shared" si="66"/>
        <v>3.7824536614236499</v>
      </c>
      <c r="AU15" s="4">
        <f t="shared" si="66"/>
        <v>10.404166741566165</v>
      </c>
    </row>
    <row r="16" spans="1:47" ht="15.75" customHeight="1">
      <c r="B16" s="68"/>
      <c r="G16" s="7"/>
      <c r="AG16" s="195"/>
      <c r="AH16" s="196"/>
      <c r="AI16" s="196"/>
      <c r="AP16" s="195"/>
      <c r="AQ16" s="196"/>
      <c r="AR16" s="196"/>
    </row>
    <row r="17" spans="2:18" ht="15.75" customHeight="1">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5.75" customHeight="1">
      <c r="B19" s="82" t="s">
        <v>140</v>
      </c>
      <c r="C19" s="187" t="s">
        <v>143</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1">
    <mergeCell ref="D2:F2"/>
    <mergeCell ref="G2:I2"/>
    <mergeCell ref="J2:L2"/>
    <mergeCell ref="M2:O2"/>
    <mergeCell ref="P2:R2"/>
    <mergeCell ref="AS2:AU2"/>
    <mergeCell ref="C18:G18"/>
    <mergeCell ref="C19:G19"/>
    <mergeCell ref="C20:G20"/>
    <mergeCell ref="C21:G21"/>
    <mergeCell ref="S2:T2"/>
    <mergeCell ref="U2:W2"/>
    <mergeCell ref="AG2:AI2"/>
    <mergeCell ref="AG16:AI16"/>
    <mergeCell ref="AP16:AR16"/>
    <mergeCell ref="X2:Z2"/>
    <mergeCell ref="AA2:AC2"/>
    <mergeCell ref="AD2:AF2"/>
    <mergeCell ref="AJ2:AL2"/>
    <mergeCell ref="AM2:AO2"/>
    <mergeCell ref="AP2:A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U39"/>
  <sheetViews>
    <sheetView workbookViewId="0">
      <selection activeCell="C19" sqref="C19:G20"/>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175</v>
      </c>
      <c r="B2" s="193"/>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0.69</v>
      </c>
      <c r="C4" s="1">
        <f t="shared" ref="C4:C14" si="0">B4/$B$15</f>
        <v>2.2345283202176236E-3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1.6535509569610415E-2</v>
      </c>
      <c r="V4" s="28">
        <f t="shared" ref="V4:V14" si="4">$S4*$C4*$E4</f>
        <v>1.8323132225784512E-2</v>
      </c>
      <c r="W4" s="29">
        <f t="shared" ref="W4:W14" si="5">$S4*$C4*$F4</f>
        <v>2.0334207713980375E-2</v>
      </c>
      <c r="X4" s="27">
        <f t="shared" ref="X4:X14" si="6">$T4*$C4*$D4</f>
        <v>9.9213057417662495E-2</v>
      </c>
      <c r="Y4" s="28">
        <f t="shared" ref="Y4:Y14" si="7">$T4*$C4*$E4</f>
        <v>0.10993879335470709</v>
      </c>
      <c r="Z4" s="29">
        <f t="shared" ref="Z4:Z14" si="8">$T4*$C4*$F4</f>
        <v>0.12200524628388225</v>
      </c>
      <c r="AA4" s="27">
        <f t="shared" ref="AA4:AC4" si="9">U4+X4</f>
        <v>0.11574856698727291</v>
      </c>
      <c r="AB4" s="28">
        <f t="shared" si="9"/>
        <v>0.1282619255804916</v>
      </c>
      <c r="AC4" s="29">
        <f t="shared" si="9"/>
        <v>0.14233945399786263</v>
      </c>
      <c r="AD4" s="30">
        <f t="shared" ref="AD4:AD14" si="10">($S4*$C4*$M4*3.6*10^(-3))*1000</f>
        <v>6.3549985426989218E-6</v>
      </c>
      <c r="AE4" s="21">
        <f t="shared" ref="AE4:AE14" si="11">($S4*$C4*$N4*3.6*10^(-3))*1000</f>
        <v>9.2353318357913167E-5</v>
      </c>
      <c r="AF4" s="22">
        <f t="shared" ref="AF4:AF14" si="12">($S4*$C4*$O4*3.6*10^(-3))*1000</f>
        <v>2.9393879335470706E-4</v>
      </c>
      <c r="AG4" s="30">
        <f t="shared" ref="AG4:AG14" si="13">($T4*$C4*$M4*3.6*10^(-3))*1000</f>
        <v>3.8129991256193529E-5</v>
      </c>
      <c r="AH4" s="21">
        <f t="shared" ref="AH4:AH14" si="14">($T4*$C4*$N4*3.6*10^(-3))*1000</f>
        <v>5.5411991014747903E-4</v>
      </c>
      <c r="AI4" s="22">
        <f t="shared" ref="AI4:AI14" si="15">($T4*$C4*O4*3.6*10^(-3))*1000</f>
        <v>1.7636327601282427E-3</v>
      </c>
      <c r="AJ4" s="30">
        <f t="shared" ref="AJ4:AL4" si="16">AD4+AG4</f>
        <v>4.4484989798892448E-5</v>
      </c>
      <c r="AK4" s="21">
        <f t="shared" si="16"/>
        <v>6.4647322850539218E-4</v>
      </c>
      <c r="AL4" s="22">
        <f t="shared" si="16"/>
        <v>2.0575715534829498E-3</v>
      </c>
      <c r="AM4" s="31">
        <f t="shared" ref="AM4:AM13" si="17">$S4*$C4*10^(-3)*$P4*10^4</f>
        <v>4.4690566404352478E-5</v>
      </c>
      <c r="AN4" s="32">
        <f t="shared" ref="AN4:AN14" si="18">$S4*$C4*10^(-3)*$Q4*10^4</f>
        <v>1.1172641601088118E-3</v>
      </c>
      <c r="AO4" s="33">
        <f t="shared" ref="AO4:AO13" si="19">$S4*$C4*10^(-3)*$R4*10^4</f>
        <v>3.3517924803264354E-3</v>
      </c>
      <c r="AP4" s="31">
        <f t="shared" ref="AP4:AP13" si="20">$T4*$C4*10^(-3)*$P4*10^4</f>
        <v>2.6814339842611489E-4</v>
      </c>
      <c r="AQ4" s="32">
        <f t="shared" ref="AQ4:AQ14" si="21">$T4*$C4*10^(-3)*$Q4*10^4</f>
        <v>6.7035849606528718E-3</v>
      </c>
      <c r="AR4" s="33">
        <f t="shared" ref="AR4:AR13" si="22">$T4*$C4*10^(-3)*$R4*10^4</f>
        <v>2.0110754881958612E-2</v>
      </c>
      <c r="AS4" s="31">
        <f t="shared" ref="AS4:AU4" si="23">AM4+AP4</f>
        <v>3.1283396483046736E-4</v>
      </c>
      <c r="AT4" s="32">
        <f t="shared" si="23"/>
        <v>7.8208491207616831E-3</v>
      </c>
      <c r="AU4" s="33">
        <f t="shared" si="23"/>
        <v>2.3462547362285046E-2</v>
      </c>
    </row>
    <row r="5" spans="1:47" ht="16">
      <c r="A5" s="19" t="s">
        <v>58</v>
      </c>
      <c r="B5" s="1">
        <v>0</v>
      </c>
      <c r="C5" s="1">
        <f t="shared" si="0"/>
        <v>0</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v>
      </c>
      <c r="V5" s="28">
        <f t="shared" si="4"/>
        <v>0</v>
      </c>
      <c r="W5" s="29">
        <f t="shared" si="5"/>
        <v>0</v>
      </c>
      <c r="X5" s="27">
        <f t="shared" si="6"/>
        <v>0</v>
      </c>
      <c r="Y5" s="28">
        <f t="shared" si="7"/>
        <v>0</v>
      </c>
      <c r="Z5" s="29">
        <f t="shared" si="8"/>
        <v>0</v>
      </c>
      <c r="AA5" s="27">
        <f t="shared" ref="AA5:AC5" si="25">U5+X5</f>
        <v>0</v>
      </c>
      <c r="AB5" s="28">
        <f t="shared" si="25"/>
        <v>0</v>
      </c>
      <c r="AC5" s="29">
        <f t="shared" si="25"/>
        <v>0</v>
      </c>
      <c r="AD5" s="30">
        <f t="shared" si="10"/>
        <v>0</v>
      </c>
      <c r="AE5" s="21">
        <f t="shared" si="11"/>
        <v>0</v>
      </c>
      <c r="AF5" s="22">
        <f t="shared" si="12"/>
        <v>0</v>
      </c>
      <c r="AG5" s="30">
        <f t="shared" si="13"/>
        <v>0</v>
      </c>
      <c r="AH5" s="21">
        <f t="shared" si="14"/>
        <v>0</v>
      </c>
      <c r="AI5" s="22">
        <f t="shared" si="15"/>
        <v>0</v>
      </c>
      <c r="AJ5" s="30">
        <f t="shared" ref="AJ5:AL5" si="26">AD5+AG5</f>
        <v>0</v>
      </c>
      <c r="AK5" s="21">
        <f t="shared" si="26"/>
        <v>0</v>
      </c>
      <c r="AL5" s="22">
        <f t="shared" si="26"/>
        <v>0</v>
      </c>
      <c r="AM5" s="31">
        <f t="shared" si="17"/>
        <v>0</v>
      </c>
      <c r="AN5" s="32">
        <f t="shared" si="18"/>
        <v>0</v>
      </c>
      <c r="AO5" s="33">
        <f t="shared" si="19"/>
        <v>0</v>
      </c>
      <c r="AP5" s="31">
        <f t="shared" si="20"/>
        <v>0</v>
      </c>
      <c r="AQ5" s="32">
        <f t="shared" si="21"/>
        <v>0</v>
      </c>
      <c r="AR5" s="33">
        <f t="shared" si="22"/>
        <v>0</v>
      </c>
      <c r="AS5" s="31">
        <f t="shared" ref="AS5:AU5" si="27">AM5+AP5</f>
        <v>0</v>
      </c>
      <c r="AT5" s="32">
        <f t="shared" si="27"/>
        <v>0</v>
      </c>
      <c r="AU5" s="33">
        <f t="shared" si="27"/>
        <v>0</v>
      </c>
    </row>
    <row r="6" spans="1:47" ht="16">
      <c r="A6" s="19" t="s">
        <v>59</v>
      </c>
      <c r="B6" s="1">
        <v>132.5</v>
      </c>
      <c r="C6" s="1">
        <f t="shared" si="0"/>
        <v>0.42909420641860169</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1.7592862463162668</v>
      </c>
      <c r="V6" s="28">
        <f t="shared" si="4"/>
        <v>2.1025616114511481</v>
      </c>
      <c r="W6" s="29">
        <f t="shared" si="5"/>
        <v>2.7891123417209109</v>
      </c>
      <c r="X6" s="27">
        <f t="shared" si="6"/>
        <v>10.5557174778976</v>
      </c>
      <c r="Y6" s="28">
        <f t="shared" si="7"/>
        <v>12.615369668706888</v>
      </c>
      <c r="Z6" s="29">
        <f t="shared" si="8"/>
        <v>16.734674050325463</v>
      </c>
      <c r="AA6" s="27">
        <f t="shared" ref="AA6:AC6" si="29">U6+X6</f>
        <v>12.315003724213867</v>
      </c>
      <c r="AB6" s="28">
        <f t="shared" si="29"/>
        <v>14.717931280158037</v>
      </c>
      <c r="AC6" s="29">
        <f t="shared" si="29"/>
        <v>19.523786392046375</v>
      </c>
      <c r="AD6" s="30">
        <f t="shared" si="10"/>
        <v>1.1740017487612941E-3</v>
      </c>
      <c r="AE6" s="21">
        <f t="shared" si="11"/>
        <v>8.9903818128825447E-3</v>
      </c>
      <c r="AF6" s="22">
        <f t="shared" si="12"/>
        <v>4.3160011658408631E-2</v>
      </c>
      <c r="AG6" s="30">
        <f t="shared" si="13"/>
        <v>7.0440104925677659E-3</v>
      </c>
      <c r="AH6" s="21">
        <f t="shared" si="14"/>
        <v>5.3942290877295254E-2</v>
      </c>
      <c r="AI6" s="22">
        <f t="shared" si="15"/>
        <v>0.25896006995045184</v>
      </c>
      <c r="AJ6" s="30">
        <f t="shared" ref="AJ6:AL6" si="30">AD6+AG6</f>
        <v>8.2180122413290594E-3</v>
      </c>
      <c r="AK6" s="21">
        <f t="shared" si="30"/>
        <v>6.2932672690177799E-2</v>
      </c>
      <c r="AL6" s="22">
        <f t="shared" si="30"/>
        <v>0.3021200816088605</v>
      </c>
      <c r="AM6" s="31">
        <f t="shared" si="17"/>
        <v>4.2909420641860175E-3</v>
      </c>
      <c r="AN6" s="32">
        <f t="shared" si="18"/>
        <v>8.5818841283720349E-3</v>
      </c>
      <c r="AO6" s="33">
        <f t="shared" si="19"/>
        <v>4.2909420641860166E-2</v>
      </c>
      <c r="AP6" s="31">
        <f t="shared" si="20"/>
        <v>2.5745652385116103E-2</v>
      </c>
      <c r="AQ6" s="32">
        <f t="shared" si="21"/>
        <v>5.1491304770232206E-2</v>
      </c>
      <c r="AR6" s="33">
        <f t="shared" si="22"/>
        <v>0.25745652385116102</v>
      </c>
      <c r="AS6" s="31">
        <f t="shared" ref="AS6:AU6" si="31">AM6+AP6</f>
        <v>3.003659444930212E-2</v>
      </c>
      <c r="AT6" s="32">
        <f t="shared" si="31"/>
        <v>6.0073188898604239E-2</v>
      </c>
      <c r="AU6" s="33">
        <f t="shared" si="31"/>
        <v>0.30036594449302118</v>
      </c>
    </row>
    <row r="7" spans="1:47" ht="16">
      <c r="A7" s="19" t="s">
        <v>60</v>
      </c>
      <c r="B7" s="1">
        <v>56.2</v>
      </c>
      <c r="C7" s="1">
        <f t="shared" si="0"/>
        <v>0.18200071245830501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6.7340263609572864E-3</v>
      </c>
      <c r="V7" s="28">
        <f t="shared" si="4"/>
        <v>2.1840085494996601E-2</v>
      </c>
      <c r="W7" s="29">
        <f t="shared" si="5"/>
        <v>0.20020078370413552</v>
      </c>
      <c r="X7" s="27">
        <f t="shared" si="6"/>
        <v>4.0404158165743713E-2</v>
      </c>
      <c r="Y7" s="28">
        <f t="shared" si="7"/>
        <v>0.13104051296997959</v>
      </c>
      <c r="Z7" s="29">
        <f t="shared" si="8"/>
        <v>1.2012047022248131</v>
      </c>
      <c r="AA7" s="27">
        <f t="shared" ref="AA7:AC7" si="33">U7+X7</f>
        <v>4.7138184526701002E-2</v>
      </c>
      <c r="AB7" s="28">
        <f t="shared" si="33"/>
        <v>0.1528805984649762</v>
      </c>
      <c r="AC7" s="29">
        <f t="shared" si="33"/>
        <v>1.4014054859289486</v>
      </c>
      <c r="AD7" s="30">
        <f t="shared" si="10"/>
        <v>1.1793646167298167E-4</v>
      </c>
      <c r="AE7" s="21">
        <f t="shared" si="11"/>
        <v>1.6236696181684642E-3</v>
      </c>
      <c r="AF7" s="22">
        <f t="shared" si="12"/>
        <v>1.9682285048090938E-2</v>
      </c>
      <c r="AG7" s="30">
        <f t="shared" si="13"/>
        <v>7.0761877003788982E-4</v>
      </c>
      <c r="AH7" s="21">
        <f t="shared" si="14"/>
        <v>9.7420177090107845E-3</v>
      </c>
      <c r="AI7" s="22">
        <f t="shared" si="15"/>
        <v>0.11809371028854562</v>
      </c>
      <c r="AJ7" s="30">
        <f t="shared" ref="AJ7:AL7" si="34">AD7+AG7</f>
        <v>8.2555523171087147E-4</v>
      </c>
      <c r="AK7" s="21">
        <f t="shared" si="34"/>
        <v>1.1365687327179248E-2</v>
      </c>
      <c r="AL7" s="22">
        <f t="shared" si="34"/>
        <v>0.13777599533663656</v>
      </c>
      <c r="AM7" s="31">
        <f t="shared" si="17"/>
        <v>1.8200071245830503E-3</v>
      </c>
      <c r="AN7" s="32">
        <f t="shared" si="18"/>
        <v>1.8200071245830503E-3</v>
      </c>
      <c r="AO7" s="33">
        <f t="shared" si="19"/>
        <v>1.8200071245830503E-2</v>
      </c>
      <c r="AP7" s="31">
        <f t="shared" si="20"/>
        <v>1.0920042747498301E-2</v>
      </c>
      <c r="AQ7" s="32">
        <f t="shared" si="21"/>
        <v>1.0920042747498301E-2</v>
      </c>
      <c r="AR7" s="33">
        <f t="shared" si="22"/>
        <v>0.10920042747498301</v>
      </c>
      <c r="AS7" s="31">
        <f t="shared" ref="AS7:AU7" si="35">AM7+AP7</f>
        <v>1.2740049872081351E-2</v>
      </c>
      <c r="AT7" s="32">
        <f t="shared" si="35"/>
        <v>1.2740049872081351E-2</v>
      </c>
      <c r="AU7" s="33">
        <f t="shared" si="35"/>
        <v>0.12740049872081352</v>
      </c>
    </row>
    <row r="8" spans="1:47" ht="16">
      <c r="A8" s="19" t="s">
        <v>61</v>
      </c>
      <c r="B8" s="1">
        <v>6</v>
      </c>
      <c r="C8" s="1">
        <f t="shared" si="0"/>
        <v>1.9430681045370643E-2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1.9430681045370644E-4</v>
      </c>
      <c r="V8" s="28">
        <f t="shared" si="4"/>
        <v>4.6633634508889549E-3</v>
      </c>
      <c r="W8" s="29">
        <f t="shared" si="5"/>
        <v>0.42747498299815417</v>
      </c>
      <c r="X8" s="27">
        <f t="shared" si="6"/>
        <v>1.1658408627222385E-3</v>
      </c>
      <c r="Y8" s="28">
        <f t="shared" si="7"/>
        <v>2.7980180705333722E-2</v>
      </c>
      <c r="Z8" s="29">
        <f t="shared" si="8"/>
        <v>2.5648498979889247</v>
      </c>
      <c r="AA8" s="27">
        <f t="shared" ref="AA8:AC8" si="37">U8+X8</f>
        <v>1.360147673175945E-3</v>
      </c>
      <c r="AB8" s="28">
        <f t="shared" si="37"/>
        <v>3.2643544156222677E-2</v>
      </c>
      <c r="AC8" s="29">
        <f t="shared" si="37"/>
        <v>2.9923248809870788</v>
      </c>
      <c r="AD8" s="30">
        <f t="shared" si="10"/>
        <v>2.0985135529000298E-4</v>
      </c>
      <c r="AE8" s="21">
        <f t="shared" si="11"/>
        <v>6.509076261964444E-3</v>
      </c>
      <c r="AF8" s="22">
        <f t="shared" si="12"/>
        <v>0.59566587000874394</v>
      </c>
      <c r="AG8" s="30">
        <f t="shared" si="13"/>
        <v>1.2591081317400177E-3</v>
      </c>
      <c r="AH8" s="21">
        <f t="shared" si="14"/>
        <v>3.905445757178666E-2</v>
      </c>
      <c r="AI8" s="22">
        <f t="shared" si="15"/>
        <v>3.5739952200524634</v>
      </c>
      <c r="AJ8" s="30">
        <f t="shared" ref="AJ8:AL8" si="38">AD8+AG8</f>
        <v>1.4689594870300206E-3</v>
      </c>
      <c r="AK8" s="21">
        <f t="shared" si="38"/>
        <v>4.5563533833751106E-2</v>
      </c>
      <c r="AL8" s="22">
        <f t="shared" si="38"/>
        <v>4.169661090061207</v>
      </c>
      <c r="AM8" s="31">
        <f t="shared" si="17"/>
        <v>6.4121247449723121E-3</v>
      </c>
      <c r="AN8" s="32">
        <f t="shared" si="18"/>
        <v>1.9430681045370643E-2</v>
      </c>
      <c r="AO8" s="33">
        <f t="shared" si="19"/>
        <v>3.2837850966676387E-2</v>
      </c>
      <c r="AP8" s="31">
        <f t="shared" si="20"/>
        <v>3.8472748469833867E-2</v>
      </c>
      <c r="AQ8" s="32">
        <f t="shared" si="21"/>
        <v>0.11658408627222383</v>
      </c>
      <c r="AR8" s="33">
        <f t="shared" si="22"/>
        <v>0.19702710580005828</v>
      </c>
      <c r="AS8" s="31">
        <f t="shared" ref="AS8:AU8" si="39">AM8+AP8</f>
        <v>4.4884873214806179E-2</v>
      </c>
      <c r="AT8" s="32">
        <f t="shared" si="39"/>
        <v>0.13601476731759449</v>
      </c>
      <c r="AU8" s="33">
        <f t="shared" si="39"/>
        <v>0.22986495676673466</v>
      </c>
    </row>
    <row r="9" spans="1:47" ht="16">
      <c r="A9" s="19" t="s">
        <v>62</v>
      </c>
      <c r="B9" s="1">
        <v>36.6</v>
      </c>
      <c r="C9" s="1">
        <f t="shared" si="0"/>
        <v>0.11852715437676092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0.15408530068978921</v>
      </c>
      <c r="V9" s="28">
        <f t="shared" si="4"/>
        <v>0.27261245506655013</v>
      </c>
      <c r="W9" s="29">
        <f t="shared" si="5"/>
        <v>0.49781404838239585</v>
      </c>
      <c r="X9" s="27">
        <f t="shared" si="6"/>
        <v>0.92451180413873524</v>
      </c>
      <c r="Y9" s="28">
        <f t="shared" si="7"/>
        <v>1.6356747303993007</v>
      </c>
      <c r="Z9" s="29">
        <f t="shared" si="8"/>
        <v>2.9868842902943755</v>
      </c>
      <c r="AA9" s="27">
        <f t="shared" ref="AA9:AC9" si="41">U9+X9</f>
        <v>1.0785971048285243</v>
      </c>
      <c r="AB9" s="28">
        <f t="shared" si="41"/>
        <v>1.9082871854658507</v>
      </c>
      <c r="AC9" s="29">
        <f t="shared" si="41"/>
        <v>3.4846983386767714</v>
      </c>
      <c r="AD9" s="30">
        <f t="shared" si="10"/>
        <v>8.5339551151267859E-2</v>
      </c>
      <c r="AE9" s="21">
        <f t="shared" si="11"/>
        <v>0.15058340365228332</v>
      </c>
      <c r="AF9" s="22">
        <f t="shared" si="12"/>
        <v>0.27971744680851068</v>
      </c>
      <c r="AG9" s="30">
        <f t="shared" si="13"/>
        <v>0.51203730690760718</v>
      </c>
      <c r="AH9" s="21">
        <f t="shared" si="14"/>
        <v>0.90350042191369995</v>
      </c>
      <c r="AI9" s="22">
        <f t="shared" si="15"/>
        <v>1.6783046808510642</v>
      </c>
      <c r="AJ9" s="30">
        <f t="shared" ref="AJ9:AL9" si="42">AD9+AG9</f>
        <v>0.59737685805887508</v>
      </c>
      <c r="AK9" s="21">
        <f t="shared" si="42"/>
        <v>1.0540838255659832</v>
      </c>
      <c r="AL9" s="22">
        <f t="shared" si="42"/>
        <v>1.9580221276595748</v>
      </c>
      <c r="AM9" s="31">
        <f t="shared" si="17"/>
        <v>0.15408530068978921</v>
      </c>
      <c r="AN9" s="32">
        <f t="shared" si="18"/>
        <v>5.9263577188380463</v>
      </c>
      <c r="AO9" s="33">
        <f t="shared" si="19"/>
        <v>9.6006995045176335</v>
      </c>
      <c r="AP9" s="31">
        <f t="shared" si="20"/>
        <v>0.92451180413873524</v>
      </c>
      <c r="AQ9" s="32">
        <f t="shared" si="21"/>
        <v>35.558146313028281</v>
      </c>
      <c r="AR9" s="33">
        <f t="shared" si="22"/>
        <v>57.604197027105819</v>
      </c>
      <c r="AS9" s="31">
        <f t="shared" ref="AS9:AU9" si="43">AM9+AP9</f>
        <v>1.0785971048285243</v>
      </c>
      <c r="AT9" s="32">
        <f t="shared" si="43"/>
        <v>41.484504031866329</v>
      </c>
      <c r="AU9" s="33">
        <f t="shared" si="43"/>
        <v>67.204896531623447</v>
      </c>
    </row>
    <row r="10" spans="1:47" ht="15.75" customHeight="1">
      <c r="A10" s="1" t="s">
        <v>63</v>
      </c>
      <c r="B10" s="1">
        <v>32.200000000000003</v>
      </c>
      <c r="C10" s="1">
        <f t="shared" si="0"/>
        <v>0.10427798827682246</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7.2994591793775722E-3</v>
      </c>
      <c r="V10" s="28">
        <f t="shared" si="4"/>
        <v>1.1470578710450471E-2</v>
      </c>
      <c r="W10" s="29">
        <f t="shared" si="5"/>
        <v>5.8395673435020577E-2</v>
      </c>
      <c r="X10" s="27">
        <f t="shared" si="6"/>
        <v>4.3796755076265424E-2</v>
      </c>
      <c r="Y10" s="28">
        <f t="shared" si="7"/>
        <v>6.8823472262702814E-2</v>
      </c>
      <c r="Z10" s="29">
        <f t="shared" si="8"/>
        <v>0.35037404061012339</v>
      </c>
      <c r="AA10" s="27">
        <f t="shared" ref="AA10:AC10" si="45">U10+X10</f>
        <v>5.1096214255642994E-2</v>
      </c>
      <c r="AB10" s="28">
        <f t="shared" si="45"/>
        <v>8.0294050973153286E-2</v>
      </c>
      <c r="AC10" s="29">
        <f t="shared" si="45"/>
        <v>0.40876971404514395</v>
      </c>
      <c r="AD10" s="30">
        <f t="shared" si="10"/>
        <v>7.5080151559312176E-7</v>
      </c>
      <c r="AE10" s="21">
        <f t="shared" si="11"/>
        <v>4.4403014548994473E-4</v>
      </c>
      <c r="AF10" s="22">
        <f t="shared" si="12"/>
        <v>5.8382325852521146E-3</v>
      </c>
      <c r="AG10" s="30">
        <f t="shared" si="13"/>
        <v>4.5048090935587304E-6</v>
      </c>
      <c r="AH10" s="21">
        <f t="shared" si="14"/>
        <v>2.6641808729396684E-3</v>
      </c>
      <c r="AI10" s="22">
        <f t="shared" si="15"/>
        <v>3.5029395511512691E-2</v>
      </c>
      <c r="AJ10" s="30">
        <f t="shared" ref="AJ10:AL10" si="46">AD10+AG10</f>
        <v>5.2556106091518518E-6</v>
      </c>
      <c r="AK10" s="21">
        <f t="shared" si="46"/>
        <v>3.1082110184296134E-3</v>
      </c>
      <c r="AL10" s="22">
        <f t="shared" si="46"/>
        <v>4.0867628096764808E-2</v>
      </c>
      <c r="AM10" s="31">
        <f t="shared" si="17"/>
        <v>3.1283396483046738E-3</v>
      </c>
      <c r="AN10" s="32">
        <f t="shared" si="18"/>
        <v>1.0427798827682246E-2</v>
      </c>
      <c r="AO10" s="33">
        <f t="shared" si="19"/>
        <v>1.3556138475986921E-2</v>
      </c>
      <c r="AP10" s="31">
        <f t="shared" si="20"/>
        <v>1.8770037889828041E-2</v>
      </c>
      <c r="AQ10" s="32">
        <f t="shared" si="21"/>
        <v>6.2566792966093465E-2</v>
      </c>
      <c r="AR10" s="33">
        <f t="shared" si="22"/>
        <v>8.1336830855921513E-2</v>
      </c>
      <c r="AS10" s="31">
        <f t="shared" ref="AS10:AU10" si="47">AM10+AP10</f>
        <v>2.1898377538132716E-2</v>
      </c>
      <c r="AT10" s="32">
        <f t="shared" si="47"/>
        <v>7.2994591793775709E-2</v>
      </c>
      <c r="AU10" s="33">
        <f t="shared" si="47"/>
        <v>9.4892969331908439E-2</v>
      </c>
    </row>
    <row r="11" spans="1:47" ht="15.75" customHeight="1">
      <c r="A11" s="1" t="s">
        <v>64</v>
      </c>
      <c r="B11" s="1">
        <v>31.9</v>
      </c>
      <c r="C11" s="1">
        <f t="shared" si="0"/>
        <v>0.10330645422455391</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8.2645163379643123E-3</v>
      </c>
      <c r="V11" s="28">
        <f t="shared" si="4"/>
        <v>1.2396774506946468E-2</v>
      </c>
      <c r="W11" s="29">
        <f t="shared" si="5"/>
        <v>3.6157258978593863E-2</v>
      </c>
      <c r="X11" s="27">
        <f t="shared" si="6"/>
        <v>4.9587098027785874E-2</v>
      </c>
      <c r="Y11" s="28">
        <f t="shared" si="7"/>
        <v>7.4380647041678807E-2</v>
      </c>
      <c r="Z11" s="29">
        <f t="shared" si="8"/>
        <v>0.21694355387156319</v>
      </c>
      <c r="AA11" s="27">
        <f t="shared" ref="AA11:AC11" si="49">U11+X11</f>
        <v>5.785161436575019E-2</v>
      </c>
      <c r="AB11" s="28">
        <f t="shared" si="49"/>
        <v>8.6777421548625278E-2</v>
      </c>
      <c r="AC11" s="29">
        <f t="shared" si="49"/>
        <v>0.25310081285015706</v>
      </c>
      <c r="AD11" s="30">
        <f t="shared" si="10"/>
        <v>7.4380647041678811E-7</v>
      </c>
      <c r="AE11" s="21">
        <f t="shared" si="11"/>
        <v>4.4014059159312166E-4</v>
      </c>
      <c r="AF11" s="22">
        <f t="shared" si="12"/>
        <v>5.7838391139609447E-3</v>
      </c>
      <c r="AG11" s="30">
        <f t="shared" si="13"/>
        <v>4.4628388225007289E-6</v>
      </c>
      <c r="AH11" s="21">
        <f t="shared" si="14"/>
        <v>2.6408435495587296E-3</v>
      </c>
      <c r="AI11" s="22">
        <f t="shared" si="15"/>
        <v>3.470303468376567E-2</v>
      </c>
      <c r="AJ11" s="30">
        <f t="shared" ref="AJ11:AL11" si="50">AD11+AG11</f>
        <v>5.2066452929175169E-6</v>
      </c>
      <c r="AK11" s="21">
        <f t="shared" si="50"/>
        <v>3.0809841411518512E-3</v>
      </c>
      <c r="AL11" s="22">
        <f t="shared" si="50"/>
        <v>4.0486873797726614E-2</v>
      </c>
      <c r="AM11" s="31">
        <f t="shared" si="17"/>
        <v>3.0991936267366167E-3</v>
      </c>
      <c r="AN11" s="32">
        <f t="shared" si="18"/>
        <v>1.033064542245539E-2</v>
      </c>
      <c r="AO11" s="33">
        <f t="shared" si="19"/>
        <v>1.3429839049192007E-2</v>
      </c>
      <c r="AP11" s="31">
        <f t="shared" si="20"/>
        <v>1.8595161760419702E-2</v>
      </c>
      <c r="AQ11" s="32">
        <f t="shared" si="21"/>
        <v>6.1983872534732337E-2</v>
      </c>
      <c r="AR11" s="33">
        <f t="shared" si="22"/>
        <v>8.0579034295152049E-2</v>
      </c>
      <c r="AS11" s="31">
        <f t="shared" ref="AS11:AU11" si="51">AM11+AP11</f>
        <v>2.1694355387156319E-2</v>
      </c>
      <c r="AT11" s="32">
        <f t="shared" si="51"/>
        <v>7.2314517957187727E-2</v>
      </c>
      <c r="AU11" s="33">
        <f t="shared" si="51"/>
        <v>9.400887334434406E-2</v>
      </c>
    </row>
    <row r="12" spans="1:47" ht="15.75" customHeight="1">
      <c r="A12" s="1" t="s">
        <v>65</v>
      </c>
      <c r="B12" s="1">
        <v>12.7</v>
      </c>
      <c r="C12" s="1">
        <f t="shared" si="0"/>
        <v>4.1128274879367856E-2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7.4030894782862143E-3</v>
      </c>
      <c r="V12" s="28">
        <f t="shared" si="4"/>
        <v>1.974157194209657E-2</v>
      </c>
      <c r="W12" s="29">
        <f t="shared" si="5"/>
        <v>7.4030894782862136E-2</v>
      </c>
      <c r="X12" s="27">
        <f t="shared" si="6"/>
        <v>4.4418536869717286E-2</v>
      </c>
      <c r="Y12" s="28">
        <f t="shared" si="7"/>
        <v>0.11844943165257943</v>
      </c>
      <c r="Z12" s="29">
        <f t="shared" si="8"/>
        <v>0.44418536869717284</v>
      </c>
      <c r="AA12" s="27">
        <f t="shared" ref="AA12:AC12" si="53">U12+X12</f>
        <v>5.1821626348003497E-2</v>
      </c>
      <c r="AB12" s="28">
        <f t="shared" si="53"/>
        <v>0.13819100359467601</v>
      </c>
      <c r="AC12" s="29">
        <f t="shared" si="53"/>
        <v>0.51821626348003502</v>
      </c>
      <c r="AD12" s="30">
        <f t="shared" si="10"/>
        <v>9.4759545322063552E-6</v>
      </c>
      <c r="AE12" s="21">
        <f t="shared" si="11"/>
        <v>2.6551317504284468E-4</v>
      </c>
      <c r="AF12" s="22">
        <f t="shared" si="12"/>
        <v>2.7495074322354996E-3</v>
      </c>
      <c r="AG12" s="30">
        <f t="shared" si="13"/>
        <v>5.6855727193238131E-5</v>
      </c>
      <c r="AH12" s="21">
        <f t="shared" si="14"/>
        <v>1.5930790502570683E-3</v>
      </c>
      <c r="AI12" s="22">
        <f t="shared" si="15"/>
        <v>1.6497044593412998E-2</v>
      </c>
      <c r="AJ12" s="30">
        <f t="shared" ref="AJ12:AL12" si="54">AD12+AG12</f>
        <v>6.6331681725444487E-5</v>
      </c>
      <c r="AK12" s="21">
        <f t="shared" si="54"/>
        <v>1.8585922252999129E-3</v>
      </c>
      <c r="AL12" s="22">
        <f t="shared" si="54"/>
        <v>1.9246552025648497E-2</v>
      </c>
      <c r="AM12" s="31">
        <f t="shared" si="17"/>
        <v>1.2338482463810354E-3</v>
      </c>
      <c r="AN12" s="32">
        <f t="shared" si="18"/>
        <v>4.1128274879367856E-2</v>
      </c>
      <c r="AO12" s="33">
        <f t="shared" si="19"/>
        <v>6.169241231905178E-2</v>
      </c>
      <c r="AP12" s="31">
        <f t="shared" si="20"/>
        <v>7.4030894782862143E-3</v>
      </c>
      <c r="AQ12" s="32">
        <f t="shared" si="21"/>
        <v>0.24676964927620715</v>
      </c>
      <c r="AR12" s="33">
        <f t="shared" si="22"/>
        <v>0.37015447391431067</v>
      </c>
      <c r="AS12" s="31">
        <f t="shared" ref="AS12:AU12" si="55">AM12+AP12</f>
        <v>8.6369377246672506E-3</v>
      </c>
      <c r="AT12" s="32">
        <f t="shared" si="55"/>
        <v>0.28789792415557502</v>
      </c>
      <c r="AU12" s="33">
        <f t="shared" si="55"/>
        <v>0.43184688623336243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4">
        <f>SUM(B4:B14)</f>
        <v>308.78999999999996</v>
      </c>
      <c r="G15" s="7"/>
      <c r="AA15" s="4">
        <f t="shared" ref="AA15:AU15" si="64">SUM(AA4:AA14)</f>
        <v>13.718617183198941</v>
      </c>
      <c r="AB15" s="4">
        <f t="shared" si="64"/>
        <v>17.245267009942037</v>
      </c>
      <c r="AC15" s="4">
        <f t="shared" si="64"/>
        <v>28.724641342012369</v>
      </c>
      <c r="AD15" s="4">
        <f t="shared" si="64"/>
        <v>8.6858666278053068E-2</v>
      </c>
      <c r="AE15" s="4">
        <f t="shared" si="64"/>
        <v>0.16894856857578255</v>
      </c>
      <c r="AF15" s="4">
        <f t="shared" si="64"/>
        <v>0.9528911314485573</v>
      </c>
      <c r="AG15" s="4">
        <f t="shared" si="64"/>
        <v>0.52115199766831832</v>
      </c>
      <c r="AH15" s="4">
        <f t="shared" si="64"/>
        <v>1.0136914114546955</v>
      </c>
      <c r="AI15" s="4">
        <f t="shared" si="64"/>
        <v>5.7173467886913443</v>
      </c>
      <c r="AJ15" s="4">
        <f t="shared" si="64"/>
        <v>0.60801066394637138</v>
      </c>
      <c r="AK15" s="4">
        <f t="shared" si="64"/>
        <v>1.1826399800304781</v>
      </c>
      <c r="AL15" s="4">
        <f t="shared" si="64"/>
        <v>6.6702379201399005</v>
      </c>
      <c r="AM15" s="4">
        <f t="shared" si="64"/>
        <v>0.17411444671135726</v>
      </c>
      <c r="AN15" s="4">
        <f t="shared" si="64"/>
        <v>6.0191942744259865</v>
      </c>
      <c r="AO15" s="4">
        <f t="shared" si="64"/>
        <v>9.7866770296965591</v>
      </c>
      <c r="AP15" s="4">
        <f t="shared" si="64"/>
        <v>1.0446866802681436</v>
      </c>
      <c r="AQ15" s="4">
        <f t="shared" si="64"/>
        <v>36.115165646555923</v>
      </c>
      <c r="AR15" s="4">
        <f t="shared" si="64"/>
        <v>58.720062178179369</v>
      </c>
      <c r="AS15" s="4">
        <f t="shared" si="64"/>
        <v>1.2188011269795007</v>
      </c>
      <c r="AT15" s="4">
        <f t="shared" si="64"/>
        <v>42.134359920981908</v>
      </c>
      <c r="AU15" s="4">
        <f t="shared" si="64"/>
        <v>68.506739207875924</v>
      </c>
    </row>
    <row r="17" spans="2:18" ht="15.75" customHeight="1">
      <c r="B17" s="84" t="s">
        <v>141</v>
      </c>
      <c r="C17" s="194" t="s">
        <v>10</v>
      </c>
      <c r="D17" s="194"/>
      <c r="E17" s="194"/>
      <c r="F17" s="194"/>
      <c r="G17" s="194"/>
      <c r="H17" s="61"/>
      <c r="I17" s="61"/>
      <c r="J17" s="61"/>
      <c r="K17" s="61"/>
      <c r="L17" s="61"/>
      <c r="M17" s="61"/>
      <c r="N17" s="61"/>
      <c r="O17" s="61"/>
      <c r="P17" s="61"/>
      <c r="Q17" s="62"/>
      <c r="R17" s="61"/>
    </row>
    <row r="18" spans="2:18" ht="29" customHeight="1">
      <c r="B18" s="82" t="s">
        <v>140</v>
      </c>
      <c r="C18" s="187" t="s">
        <v>174</v>
      </c>
      <c r="D18" s="187"/>
      <c r="E18" s="187"/>
      <c r="F18" s="187"/>
      <c r="G18" s="187"/>
      <c r="H18" s="61"/>
      <c r="I18" s="61"/>
      <c r="J18" s="61"/>
      <c r="K18" s="61"/>
      <c r="L18" s="61"/>
      <c r="M18" s="61"/>
      <c r="N18" s="61"/>
      <c r="O18" s="61"/>
      <c r="P18" s="61"/>
      <c r="Q18" s="62"/>
      <c r="R18" s="61"/>
    </row>
    <row r="19" spans="2:18" ht="15.75" customHeight="1">
      <c r="B19" s="71" t="s">
        <v>149</v>
      </c>
      <c r="C19" s="259" t="s">
        <v>281</v>
      </c>
      <c r="D19" s="186"/>
      <c r="E19" s="186"/>
      <c r="F19" s="186"/>
      <c r="G19" s="186"/>
      <c r="H19" s="61"/>
      <c r="I19" s="61"/>
      <c r="J19" s="61"/>
      <c r="K19" s="61"/>
      <c r="L19" s="61"/>
      <c r="M19" s="61"/>
      <c r="N19" s="61"/>
      <c r="O19" s="61"/>
      <c r="P19" s="61"/>
      <c r="Q19" s="62"/>
      <c r="R19" s="61"/>
    </row>
    <row r="20" spans="2:18" ht="28" customHeight="1">
      <c r="B20" s="83" t="s">
        <v>155</v>
      </c>
      <c r="C20" s="263" t="s">
        <v>280</v>
      </c>
      <c r="D20" s="187"/>
      <c r="E20" s="187"/>
      <c r="F20" s="187"/>
      <c r="G20" s="187"/>
      <c r="H20" s="61"/>
      <c r="I20" s="61"/>
      <c r="J20" s="61"/>
      <c r="K20" s="61"/>
      <c r="L20" s="61"/>
      <c r="M20" s="61"/>
      <c r="N20" s="61"/>
      <c r="O20" s="61"/>
      <c r="P20" s="61"/>
      <c r="Q20" s="62"/>
      <c r="R20" s="61"/>
    </row>
    <row r="21" spans="2:18" ht="15.75" customHeight="1">
      <c r="G21" s="65">
        <v>7</v>
      </c>
      <c r="H21" s="61"/>
      <c r="I21" s="61"/>
      <c r="J21" s="61"/>
      <c r="K21" s="61"/>
      <c r="L21" s="61"/>
      <c r="M21" s="61"/>
      <c r="N21" s="61"/>
      <c r="O21" s="61"/>
      <c r="P21" s="61"/>
      <c r="Q21" s="62"/>
      <c r="R21" s="61"/>
    </row>
    <row r="22" spans="2:18" ht="15.75" customHeight="1">
      <c r="G22" s="65">
        <v>8</v>
      </c>
      <c r="H22" s="61"/>
      <c r="I22" s="61"/>
      <c r="J22" s="61"/>
      <c r="K22" s="61"/>
      <c r="L22" s="61"/>
      <c r="M22" s="61"/>
      <c r="N22" s="61"/>
      <c r="O22" s="61"/>
      <c r="P22" s="61"/>
      <c r="Q22" s="62"/>
      <c r="R22" s="61"/>
    </row>
    <row r="23" spans="2:18" ht="15.75" customHeight="1">
      <c r="G23" s="65">
        <v>9</v>
      </c>
      <c r="H23" s="61"/>
      <c r="I23" s="61"/>
      <c r="J23" s="61"/>
      <c r="K23" s="61"/>
      <c r="L23" s="61"/>
      <c r="M23" s="61"/>
      <c r="N23" s="61"/>
      <c r="O23" s="61"/>
      <c r="P23" s="61"/>
      <c r="Q23" s="62"/>
      <c r="R23" s="61"/>
    </row>
    <row r="24" spans="2:18" ht="15.75" customHeight="1">
      <c r="G24" s="65">
        <v>10</v>
      </c>
      <c r="H24" s="61"/>
      <c r="I24" s="61"/>
      <c r="J24" s="61"/>
      <c r="K24" s="61"/>
      <c r="L24" s="61"/>
      <c r="M24" s="61"/>
      <c r="N24" s="61"/>
      <c r="O24" s="61"/>
      <c r="P24" s="61"/>
      <c r="Q24" s="62"/>
      <c r="R24" s="61"/>
    </row>
    <row r="25" spans="2:18" ht="15.75" customHeight="1">
      <c r="G25" s="65">
        <v>11</v>
      </c>
      <c r="H25" s="61"/>
      <c r="I25" s="61"/>
      <c r="J25" s="61"/>
      <c r="K25" s="61"/>
      <c r="L25" s="61"/>
      <c r="M25" s="61"/>
      <c r="N25" s="61"/>
      <c r="O25" s="61"/>
      <c r="P25" s="61"/>
      <c r="Q25" s="62"/>
      <c r="R25" s="61"/>
    </row>
    <row r="26" spans="2:18" ht="15.75" customHeight="1">
      <c r="P26" s="65">
        <v>10</v>
      </c>
      <c r="Q26" s="65"/>
      <c r="R26" s="61"/>
    </row>
    <row r="27" spans="2:18" ht="15.75" customHeight="1">
      <c r="Q27" s="65"/>
      <c r="R27" s="61"/>
    </row>
    <row r="28" spans="2:18" ht="15.75" customHeight="1">
      <c r="P28" s="65"/>
      <c r="Q28" s="66"/>
    </row>
    <row r="29" spans="2:18" ht="15.75" customHeight="1">
      <c r="Q29" s="65"/>
      <c r="R29" s="61"/>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sheetData>
  <mergeCells count="20">
    <mergeCell ref="C20:G20"/>
    <mergeCell ref="S2:T2"/>
    <mergeCell ref="U2:W2"/>
    <mergeCell ref="AG2:AI2"/>
    <mergeCell ref="X2:Z2"/>
    <mergeCell ref="AA2:AC2"/>
    <mergeCell ref="AD2:AF2"/>
    <mergeCell ref="D2:F2"/>
    <mergeCell ref="G2:I2"/>
    <mergeCell ref="J2:L2"/>
    <mergeCell ref="M2:O2"/>
    <mergeCell ref="P2:R2"/>
    <mergeCell ref="A2:B2"/>
    <mergeCell ref="AS2:AU2"/>
    <mergeCell ref="C17:G17"/>
    <mergeCell ref="C18:G18"/>
    <mergeCell ref="C19:G19"/>
    <mergeCell ref="AJ2:AL2"/>
    <mergeCell ref="AM2:AO2"/>
    <mergeCell ref="AP2:AR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21"/>
  <sheetViews>
    <sheetView workbookViewId="0">
      <selection activeCell="C20" sqref="C20:G21"/>
    </sheetView>
  </sheetViews>
  <sheetFormatPr baseColWidth="10" defaultColWidth="14.5" defaultRowHeight="15.75" customHeight="1"/>
  <cols>
    <col min="1" max="1" width="15.8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3">
      <c r="A2" s="193" t="s">
        <v>176</v>
      </c>
      <c r="B2" s="193"/>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959.5</v>
      </c>
      <c r="C4" s="1">
        <f>B6/$B$15</f>
        <v>0.37343631299063051</v>
      </c>
      <c r="D4" s="8">
        <v>740</v>
      </c>
      <c r="E4" s="9">
        <v>820</v>
      </c>
      <c r="F4" s="10">
        <v>910</v>
      </c>
      <c r="G4" s="11">
        <v>7.9000000000000001E-2</v>
      </c>
      <c r="H4" s="20">
        <v>1.0300588235000001</v>
      </c>
      <c r="I4" s="12">
        <v>2.1</v>
      </c>
      <c r="J4" s="12">
        <v>0</v>
      </c>
      <c r="K4" s="12">
        <v>118</v>
      </c>
      <c r="L4" s="12">
        <v>1554</v>
      </c>
      <c r="M4" s="21">
        <f t="shared" ref="M4:N4" si="0">G4+J4*0.001</f>
        <v>7.9000000000000001E-2</v>
      </c>
      <c r="N4" s="21">
        <f t="shared" si="0"/>
        <v>1.1480588235000002</v>
      </c>
      <c r="O4" s="22">
        <f t="shared" ref="O4:O14" si="1">I4+L4*10^(-3)</f>
        <v>3.6539999999999999</v>
      </c>
      <c r="P4" s="14">
        <v>0.2</v>
      </c>
      <c r="Q4" s="23">
        <v>5</v>
      </c>
      <c r="R4" s="24">
        <v>15</v>
      </c>
      <c r="S4" s="25">
        <v>0.01</v>
      </c>
      <c r="T4" s="26">
        <v>0.06</v>
      </c>
      <c r="U4" s="27">
        <f t="shared" ref="U4:U14" si="2">$S4*$C4*$D4</f>
        <v>2.7634287161306661</v>
      </c>
      <c r="V4" s="28">
        <f t="shared" ref="V4:V14" si="3">$S4*$C4*$E4</f>
        <v>3.0621777665231704</v>
      </c>
      <c r="W4" s="29">
        <f t="shared" ref="W4:W14" si="4">$S4*$C4*$F4</f>
        <v>3.3982704482147379</v>
      </c>
      <c r="X4" s="27">
        <f t="shared" ref="X4:X14" si="5">$T4*$C4*$D4</f>
        <v>16.580572296783995</v>
      </c>
      <c r="Y4" s="28">
        <f t="shared" ref="Y4:Y14" si="6">$T4*$C4*$E4</f>
        <v>18.373066599139019</v>
      </c>
      <c r="Z4" s="29">
        <f t="shared" ref="Z4:Z14" si="7">$T4*$C4*$F4</f>
        <v>20.389622689288423</v>
      </c>
      <c r="AA4" s="27">
        <f t="shared" ref="AA4:AC4" si="8">U4+X4</f>
        <v>19.34400101291466</v>
      </c>
      <c r="AB4" s="28">
        <f t="shared" si="8"/>
        <v>21.435244365662189</v>
      </c>
      <c r="AC4" s="29">
        <f t="shared" si="8"/>
        <v>23.787893137503161</v>
      </c>
      <c r="AD4" s="30">
        <f t="shared" ref="AD4:AD14" si="9">($S4*$C4*$M4*3.6*10^(-3))*1000</f>
        <v>1.0620528741453533E-3</v>
      </c>
      <c r="AE4" s="21">
        <f t="shared" ref="AE4:AE14" si="10">($S4*$C4*$N4*3.6*10^(-3))*1000</f>
        <v>1.5434166749191243E-2</v>
      </c>
      <c r="AF4" s="22">
        <f t="shared" ref="AF4:AF14" si="11">($S4*$C4*$O4*3.6*10^(-3))*1000</f>
        <v>4.9123306356039509E-2</v>
      </c>
      <c r="AG4" s="30">
        <f t="shared" ref="AG4:AG14" si="12">($T4*$C4*$M4*3.6*10^(-3))*1000</f>
        <v>6.3723172448721188E-3</v>
      </c>
      <c r="AH4" s="21">
        <f t="shared" ref="AH4:AH14" si="13">($T4*$C4*$N4*3.6*10^(-3))*1000</f>
        <v>9.260500049514743E-2</v>
      </c>
      <c r="AI4" s="22">
        <f t="shared" ref="AI4:AI14" si="14">($T4*$C4*O4*3.6*10^(-3))*1000</f>
        <v>0.29473983813623694</v>
      </c>
      <c r="AJ4" s="30">
        <f t="shared" ref="AJ4:AL4" si="15">AD4+AG4</f>
        <v>7.4343701190174721E-3</v>
      </c>
      <c r="AK4" s="21">
        <f t="shared" si="15"/>
        <v>0.10803916724433868</v>
      </c>
      <c r="AL4" s="22">
        <f t="shared" si="15"/>
        <v>0.34386314449227645</v>
      </c>
      <c r="AM4" s="31">
        <f t="shared" ref="AM4:AM13" si="16">$S4*$C4*10^(-3)*$P4*10^4</f>
        <v>7.4687262598126108E-3</v>
      </c>
      <c r="AN4" s="32">
        <f t="shared" ref="AN4:AN14" si="17">$S4*$C4*10^(-3)*$Q4*10^4</f>
        <v>0.18671815649531529</v>
      </c>
      <c r="AO4" s="33">
        <f t="shared" ref="AO4:AO13" si="18">$S4*$C4*10^(-3)*$R4*10^4</f>
        <v>0.56015446948594583</v>
      </c>
      <c r="AP4" s="31">
        <f t="shared" ref="AP4:AP13" si="19">$T4*$C4*10^(-3)*$P4*10^4</f>
        <v>4.4812357558875658E-2</v>
      </c>
      <c r="AQ4" s="32">
        <f t="shared" ref="AQ4:AQ14" si="20">$T4*$C4*10^(-3)*$Q4*10^4</f>
        <v>1.1203089389718914</v>
      </c>
      <c r="AR4" s="33">
        <f t="shared" ref="AR4:AR13" si="21">$T4*$C4*10^(-3)*$R4*10^4</f>
        <v>3.3609268169156743</v>
      </c>
      <c r="AS4" s="31">
        <f t="shared" ref="AS4:AU4" si="22">AM4+AP4</f>
        <v>5.2281083818688269E-2</v>
      </c>
      <c r="AT4" s="32">
        <f t="shared" si="22"/>
        <v>1.3070270954672067</v>
      </c>
      <c r="AU4" s="33">
        <f t="shared" si="22"/>
        <v>3.9210812864016202</v>
      </c>
    </row>
    <row r="5" spans="1:47" ht="16">
      <c r="A5" s="19" t="s">
        <v>58</v>
      </c>
      <c r="B5" s="1">
        <v>17.3</v>
      </c>
      <c r="C5" s="1">
        <f t="shared" ref="C5:C14" si="23">B5/$B$15</f>
        <v>4.3808559128893391E-3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1"/>
        <v>2.7439999999999998</v>
      </c>
      <c r="P5" s="14">
        <v>0.1</v>
      </c>
      <c r="Q5" s="15">
        <v>0.4</v>
      </c>
      <c r="R5" s="16">
        <v>0.6</v>
      </c>
      <c r="S5" s="25">
        <v>0.01</v>
      </c>
      <c r="T5" s="26">
        <v>0.06</v>
      </c>
      <c r="U5" s="27">
        <f t="shared" si="2"/>
        <v>2.8782223347682958E-2</v>
      </c>
      <c r="V5" s="28">
        <f t="shared" si="3"/>
        <v>2.9570777412003039E-2</v>
      </c>
      <c r="W5" s="29">
        <f t="shared" si="4"/>
        <v>3.7938212205621678E-2</v>
      </c>
      <c r="X5" s="27">
        <f t="shared" si="5"/>
        <v>0.17269334008609774</v>
      </c>
      <c r="Y5" s="28">
        <f t="shared" si="6"/>
        <v>0.17742466447201824</v>
      </c>
      <c r="Z5" s="29">
        <f t="shared" si="7"/>
        <v>0.22762927323373006</v>
      </c>
      <c r="AA5" s="27">
        <f t="shared" ref="AA5:AC5" si="25">U5+X5</f>
        <v>0.2014755634337807</v>
      </c>
      <c r="AB5" s="28">
        <f t="shared" si="25"/>
        <v>0.20699544188402128</v>
      </c>
      <c r="AC5" s="29">
        <f t="shared" si="25"/>
        <v>0.26556748543935171</v>
      </c>
      <c r="AD5" s="30">
        <f t="shared" si="9"/>
        <v>3.3750113952899472E-5</v>
      </c>
      <c r="AE5" s="21">
        <f t="shared" si="10"/>
        <v>1.2932286654849333E-4</v>
      </c>
      <c r="AF5" s="22">
        <f t="shared" si="11"/>
        <v>4.3275847049886046E-4</v>
      </c>
      <c r="AG5" s="30">
        <f t="shared" si="12"/>
        <v>2.0250068371739682E-4</v>
      </c>
      <c r="AH5" s="21">
        <f t="shared" si="13"/>
        <v>7.7593719929095969E-4</v>
      </c>
      <c r="AI5" s="22">
        <f t="shared" si="14"/>
        <v>2.5965508229931628E-3</v>
      </c>
      <c r="AJ5" s="30">
        <f t="shared" ref="AJ5:AL5" si="26">AD5+AG5</f>
        <v>2.3625079767029629E-4</v>
      </c>
      <c r="AK5" s="21">
        <f t="shared" si="26"/>
        <v>9.0526006583945299E-4</v>
      </c>
      <c r="AL5" s="22">
        <f t="shared" si="26"/>
        <v>3.0293092934920232E-3</v>
      </c>
      <c r="AM5" s="31">
        <f t="shared" si="16"/>
        <v>4.380855912889339E-5</v>
      </c>
      <c r="AN5" s="32">
        <f t="shared" si="17"/>
        <v>1.7523423651557356E-4</v>
      </c>
      <c r="AO5" s="33">
        <f t="shared" si="18"/>
        <v>2.6285135477336036E-4</v>
      </c>
      <c r="AP5" s="31">
        <f t="shared" si="19"/>
        <v>2.6285135477336036E-4</v>
      </c>
      <c r="AQ5" s="32">
        <f t="shared" si="20"/>
        <v>1.0514054190934414E-3</v>
      </c>
      <c r="AR5" s="33">
        <f t="shared" si="21"/>
        <v>1.5771081286401621E-3</v>
      </c>
      <c r="AS5" s="31">
        <f t="shared" ref="AS5:AU5" si="27">AM5+AP5</f>
        <v>3.0665991390225377E-4</v>
      </c>
      <c r="AT5" s="32">
        <f t="shared" si="27"/>
        <v>1.2266396556090151E-3</v>
      </c>
      <c r="AU5" s="33">
        <f t="shared" si="27"/>
        <v>1.8399594834135225E-3</v>
      </c>
    </row>
    <row r="6" spans="1:47" ht="16">
      <c r="A6" s="19" t="s">
        <v>59</v>
      </c>
      <c r="B6" s="6">
        <v>1474.7</v>
      </c>
      <c r="C6" s="1">
        <f t="shared" si="23"/>
        <v>0.37343631299063051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1"/>
        <v>2.794</v>
      </c>
      <c r="P6" s="14">
        <v>0.1</v>
      </c>
      <c r="Q6" s="34">
        <v>0.2</v>
      </c>
      <c r="R6" s="35">
        <v>1</v>
      </c>
      <c r="S6" s="25">
        <v>0.01</v>
      </c>
      <c r="T6" s="26">
        <v>0.06</v>
      </c>
      <c r="U6" s="27">
        <f t="shared" si="2"/>
        <v>1.5310888832615852</v>
      </c>
      <c r="V6" s="28">
        <f t="shared" si="3"/>
        <v>1.8298379336540898</v>
      </c>
      <c r="W6" s="29">
        <f t="shared" si="4"/>
        <v>2.4273360344390986</v>
      </c>
      <c r="X6" s="27">
        <f t="shared" si="5"/>
        <v>9.1865332995695095</v>
      </c>
      <c r="Y6" s="28">
        <f t="shared" si="6"/>
        <v>10.979027601924535</v>
      </c>
      <c r="Z6" s="29">
        <f t="shared" si="7"/>
        <v>14.564016206634589</v>
      </c>
      <c r="AA6" s="27">
        <f t="shared" ref="AA6:AC6" si="29">U6+X6</f>
        <v>10.717622182831095</v>
      </c>
      <c r="AB6" s="28">
        <f t="shared" si="29"/>
        <v>12.808865535578626</v>
      </c>
      <c r="AC6" s="29">
        <f t="shared" si="29"/>
        <v>16.991352241073688</v>
      </c>
      <c r="AD6" s="30">
        <f t="shared" si="9"/>
        <v>1.0217217523423652E-3</v>
      </c>
      <c r="AE6" s="21">
        <f t="shared" si="10"/>
        <v>7.8242376297796914E-3</v>
      </c>
      <c r="AF6" s="22">
        <f t="shared" si="11"/>
        <v>3.756171810584958E-2</v>
      </c>
      <c r="AG6" s="30">
        <f t="shared" si="12"/>
        <v>6.1303305140541896E-3</v>
      </c>
      <c r="AH6" s="21">
        <f t="shared" si="13"/>
        <v>4.6945425778678149E-2</v>
      </c>
      <c r="AI6" s="22">
        <f t="shared" si="14"/>
        <v>0.22537030863509747</v>
      </c>
      <c r="AJ6" s="30">
        <f t="shared" ref="AJ6:AL6" si="30">AD6+AG6</f>
        <v>7.1520522663965549E-3</v>
      </c>
      <c r="AK6" s="21">
        <f t="shared" si="30"/>
        <v>5.476966340845784E-2</v>
      </c>
      <c r="AL6" s="22">
        <f t="shared" si="30"/>
        <v>0.26293202674094707</v>
      </c>
      <c r="AM6" s="31">
        <f t="shared" si="16"/>
        <v>3.7343631299063054E-3</v>
      </c>
      <c r="AN6" s="32">
        <f t="shared" si="17"/>
        <v>7.4687262598126108E-3</v>
      </c>
      <c r="AO6" s="33">
        <f t="shared" si="18"/>
        <v>3.7343631299063054E-2</v>
      </c>
      <c r="AP6" s="31">
        <f t="shared" si="19"/>
        <v>2.2406178779437829E-2</v>
      </c>
      <c r="AQ6" s="32">
        <f t="shared" si="20"/>
        <v>4.4812357558875658E-2</v>
      </c>
      <c r="AR6" s="33">
        <f t="shared" si="21"/>
        <v>0.2240617877943783</v>
      </c>
      <c r="AS6" s="31">
        <f t="shared" ref="AS6:AU6" si="31">AM6+AP6</f>
        <v>2.6140541909344134E-2</v>
      </c>
      <c r="AT6" s="32">
        <f t="shared" si="31"/>
        <v>5.2281083818688269E-2</v>
      </c>
      <c r="AU6" s="33">
        <f t="shared" si="31"/>
        <v>0.26140541909344134</v>
      </c>
    </row>
    <row r="7" spans="1:47" ht="16">
      <c r="A7" s="19" t="s">
        <v>60</v>
      </c>
      <c r="B7" s="1">
        <v>809.4</v>
      </c>
      <c r="C7" s="1">
        <f t="shared" si="23"/>
        <v>0.20496328184350465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1"/>
        <v>3.004</v>
      </c>
      <c r="P7" s="14">
        <v>0.1</v>
      </c>
      <c r="Q7" s="34">
        <v>0.1</v>
      </c>
      <c r="R7" s="35">
        <v>1</v>
      </c>
      <c r="S7" s="25">
        <v>0.01</v>
      </c>
      <c r="T7" s="26">
        <v>0.06</v>
      </c>
      <c r="U7" s="27">
        <f t="shared" si="2"/>
        <v>7.5836414282096729E-3</v>
      </c>
      <c r="V7" s="28">
        <f t="shared" si="3"/>
        <v>2.4595593821220563E-2</v>
      </c>
      <c r="W7" s="29">
        <f t="shared" si="4"/>
        <v>0.22545961002785514</v>
      </c>
      <c r="X7" s="27">
        <f t="shared" si="5"/>
        <v>4.5501848569258027E-2</v>
      </c>
      <c r="Y7" s="28">
        <f t="shared" si="6"/>
        <v>0.14757356292732332</v>
      </c>
      <c r="Z7" s="29">
        <f t="shared" si="7"/>
        <v>1.3527576601671305</v>
      </c>
      <c r="AA7" s="27">
        <f t="shared" ref="AA7:AC7" si="33">U7+X7</f>
        <v>5.3085489997467698E-2</v>
      </c>
      <c r="AB7" s="28">
        <f t="shared" si="33"/>
        <v>0.17216915674854388</v>
      </c>
      <c r="AC7" s="29">
        <f t="shared" si="33"/>
        <v>1.5782172701949857</v>
      </c>
      <c r="AD7" s="30">
        <f t="shared" si="9"/>
        <v>1.3281620663459101E-4</v>
      </c>
      <c r="AE7" s="21">
        <f t="shared" si="10"/>
        <v>1.828523905617341E-3</v>
      </c>
      <c r="AF7" s="22">
        <f t="shared" si="11"/>
        <v>2.2165549151683971E-2</v>
      </c>
      <c r="AG7" s="30">
        <f t="shared" si="12"/>
        <v>7.9689723980754597E-4</v>
      </c>
      <c r="AH7" s="21">
        <f t="shared" si="13"/>
        <v>1.0971143433704044E-2</v>
      </c>
      <c r="AI7" s="22">
        <f t="shared" si="14"/>
        <v>0.13299329491010381</v>
      </c>
      <c r="AJ7" s="30">
        <f t="shared" ref="AJ7:AL7" si="34">AD7+AG7</f>
        <v>9.2971344644213693E-4</v>
      </c>
      <c r="AK7" s="21">
        <f t="shared" si="34"/>
        <v>1.2799667339321384E-2</v>
      </c>
      <c r="AL7" s="22">
        <f t="shared" si="34"/>
        <v>0.15515884406178779</v>
      </c>
      <c r="AM7" s="31">
        <f t="shared" si="16"/>
        <v>2.0496328184350467E-3</v>
      </c>
      <c r="AN7" s="32">
        <f t="shared" si="17"/>
        <v>2.0496328184350467E-3</v>
      </c>
      <c r="AO7" s="33">
        <f t="shared" si="18"/>
        <v>2.0496328184350467E-2</v>
      </c>
      <c r="AP7" s="31">
        <f t="shared" si="19"/>
        <v>1.2297796910610278E-2</v>
      </c>
      <c r="AQ7" s="32">
        <f t="shared" si="20"/>
        <v>1.2297796910610278E-2</v>
      </c>
      <c r="AR7" s="33">
        <f t="shared" si="21"/>
        <v>0.12297796910610279</v>
      </c>
      <c r="AS7" s="31">
        <f t="shared" ref="AS7:AU7" si="35">AM7+AP7</f>
        <v>1.4347429729045324E-2</v>
      </c>
      <c r="AT7" s="32">
        <f t="shared" si="35"/>
        <v>1.4347429729045324E-2</v>
      </c>
      <c r="AU7" s="33">
        <f t="shared" si="35"/>
        <v>0.14347429729045325</v>
      </c>
    </row>
    <row r="8" spans="1:47" ht="16">
      <c r="A8" s="19" t="s">
        <v>61</v>
      </c>
      <c r="B8" s="1">
        <v>272.39999999999998</v>
      </c>
      <c r="C8" s="1">
        <f t="shared" si="23"/>
        <v>6.8979488478095707E-2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1"/>
        <v>851.55399999999997</v>
      </c>
      <c r="P8" s="14">
        <v>3.3</v>
      </c>
      <c r="Q8" s="23">
        <v>10</v>
      </c>
      <c r="R8" s="24">
        <v>16.899999999999999</v>
      </c>
      <c r="S8" s="25">
        <v>0.01</v>
      </c>
      <c r="T8" s="26">
        <v>0.06</v>
      </c>
      <c r="U8" s="27">
        <f t="shared" si="2"/>
        <v>6.8979488478095713E-4</v>
      </c>
      <c r="V8" s="28">
        <f t="shared" si="3"/>
        <v>1.6555077234742969E-2</v>
      </c>
      <c r="W8" s="29">
        <f t="shared" si="4"/>
        <v>1.5175487465181057</v>
      </c>
      <c r="X8" s="27">
        <f t="shared" si="5"/>
        <v>4.1387693086857424E-3</v>
      </c>
      <c r="Y8" s="28">
        <f t="shared" si="6"/>
        <v>9.9330463408457817E-2</v>
      </c>
      <c r="Z8" s="29">
        <f t="shared" si="7"/>
        <v>9.105292479108634</v>
      </c>
      <c r="AA8" s="27">
        <f t="shared" ref="AA8:AC8" si="37">U8+X8</f>
        <v>4.8285641934666997E-3</v>
      </c>
      <c r="AB8" s="28">
        <f t="shared" si="37"/>
        <v>0.11588554064320078</v>
      </c>
      <c r="AC8" s="29">
        <f t="shared" si="37"/>
        <v>10.62284122562674</v>
      </c>
      <c r="AD8" s="30">
        <f t="shared" si="9"/>
        <v>7.4497847556343367E-4</v>
      </c>
      <c r="AE8" s="21">
        <f t="shared" si="10"/>
        <v>2.3107411930998432E-2</v>
      </c>
      <c r="AF8" s="22">
        <f t="shared" si="11"/>
        <v>2.1146313359331472</v>
      </c>
      <c r="AG8" s="30">
        <f t="shared" si="12"/>
        <v>4.4698708533806013E-3</v>
      </c>
      <c r="AH8" s="21">
        <f t="shared" si="13"/>
        <v>0.13864447158599058</v>
      </c>
      <c r="AI8" s="22">
        <f t="shared" si="14"/>
        <v>12.687788015598883</v>
      </c>
      <c r="AJ8" s="30">
        <f t="shared" ref="AJ8:AL8" si="38">AD8+AG8</f>
        <v>5.2148493289440349E-3</v>
      </c>
      <c r="AK8" s="21">
        <f t="shared" si="38"/>
        <v>0.16175188351698902</v>
      </c>
      <c r="AL8" s="22">
        <f t="shared" si="38"/>
        <v>14.802419351532031</v>
      </c>
      <c r="AM8" s="31">
        <f t="shared" si="16"/>
        <v>2.2763231197771586E-2</v>
      </c>
      <c r="AN8" s="32">
        <f t="shared" si="17"/>
        <v>6.8979488478095721E-2</v>
      </c>
      <c r="AO8" s="33">
        <f t="shared" si="18"/>
        <v>0.11657533552798176</v>
      </c>
      <c r="AP8" s="31">
        <f t="shared" si="19"/>
        <v>0.13657938718662949</v>
      </c>
      <c r="AQ8" s="32">
        <f t="shared" si="20"/>
        <v>0.41387693086857424</v>
      </c>
      <c r="AR8" s="33">
        <f t="shared" si="21"/>
        <v>0.69945201316789041</v>
      </c>
      <c r="AS8" s="31">
        <f t="shared" ref="AS8:AU8" si="39">AM8+AP8</f>
        <v>0.15934261838440106</v>
      </c>
      <c r="AT8" s="32">
        <f t="shared" si="39"/>
        <v>0.48285641934666995</v>
      </c>
      <c r="AU8" s="33">
        <f t="shared" si="39"/>
        <v>0.81602734869587212</v>
      </c>
    </row>
    <row r="9" spans="1:47" ht="16">
      <c r="A9" s="19" t="s">
        <v>80</v>
      </c>
      <c r="B9" s="1">
        <v>28.8</v>
      </c>
      <c r="C9" s="1">
        <f t="shared" si="23"/>
        <v>7.2929855659660666E-3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1"/>
        <v>65.554000000000002</v>
      </c>
      <c r="P9" s="14">
        <v>13</v>
      </c>
      <c r="Q9" s="37">
        <v>500</v>
      </c>
      <c r="R9" s="38">
        <v>810</v>
      </c>
      <c r="S9" s="25">
        <v>0.01</v>
      </c>
      <c r="T9" s="26">
        <v>0.06</v>
      </c>
      <c r="U9" s="27">
        <f t="shared" si="2"/>
        <v>9.4808812357558871E-3</v>
      </c>
      <c r="V9" s="28">
        <f t="shared" si="3"/>
        <v>1.6773866801721955E-2</v>
      </c>
      <c r="W9" s="29">
        <f t="shared" si="4"/>
        <v>3.0630539377057481E-2</v>
      </c>
      <c r="X9" s="27">
        <f t="shared" si="5"/>
        <v>5.6885287414535315E-2</v>
      </c>
      <c r="Y9" s="28">
        <f t="shared" si="6"/>
        <v>0.10064320081033172</v>
      </c>
      <c r="Z9" s="29">
        <f t="shared" si="7"/>
        <v>0.18378323626234486</v>
      </c>
      <c r="AA9" s="27">
        <f t="shared" ref="AA9:AC9" si="41">U9+X9</f>
        <v>6.6366168650291199E-2</v>
      </c>
      <c r="AB9" s="28">
        <f t="shared" si="41"/>
        <v>0.11741706761205367</v>
      </c>
      <c r="AC9" s="29">
        <f t="shared" si="41"/>
        <v>0.21441377563940234</v>
      </c>
      <c r="AD9" s="30">
        <f t="shared" si="9"/>
        <v>5.2509496074955682E-3</v>
      </c>
      <c r="AE9" s="21">
        <f t="shared" si="10"/>
        <v>9.2654092227617314E-3</v>
      </c>
      <c r="AF9" s="22">
        <f t="shared" si="11"/>
        <v>1.7211037528488227E-2</v>
      </c>
      <c r="AG9" s="30">
        <f t="shared" si="12"/>
        <v>3.1505697644973414E-2</v>
      </c>
      <c r="AH9" s="21">
        <f t="shared" si="13"/>
        <v>5.5592455336570389E-2</v>
      </c>
      <c r="AI9" s="22">
        <f t="shared" si="14"/>
        <v>0.10326622517092934</v>
      </c>
      <c r="AJ9" s="30">
        <f t="shared" ref="AJ9:AL9" si="42">AD9+AG9</f>
        <v>3.675664725246898E-2</v>
      </c>
      <c r="AK9" s="21">
        <f t="shared" si="42"/>
        <v>6.4857864559332123E-2</v>
      </c>
      <c r="AL9" s="22">
        <f t="shared" si="42"/>
        <v>0.12047726269941757</v>
      </c>
      <c r="AM9" s="31">
        <f t="shared" si="16"/>
        <v>9.4808812357558888E-3</v>
      </c>
      <c r="AN9" s="32">
        <f t="shared" si="17"/>
        <v>0.36464927829830335</v>
      </c>
      <c r="AO9" s="33">
        <f t="shared" si="18"/>
        <v>0.59073183084325143</v>
      </c>
      <c r="AP9" s="31">
        <f t="shared" si="19"/>
        <v>5.6885287414535315E-2</v>
      </c>
      <c r="AQ9" s="32">
        <f t="shared" si="20"/>
        <v>2.1878956697898198</v>
      </c>
      <c r="AR9" s="33">
        <f t="shared" si="21"/>
        <v>3.5443909850595086</v>
      </c>
      <c r="AS9" s="31">
        <f t="shared" ref="AS9:AU9" si="43">AM9+AP9</f>
        <v>6.6366168650291199E-2</v>
      </c>
      <c r="AT9" s="32">
        <f t="shared" si="43"/>
        <v>2.5525449480881233</v>
      </c>
      <c r="AU9" s="33">
        <f t="shared" si="43"/>
        <v>4.1351228159027595</v>
      </c>
    </row>
    <row r="10" spans="1:47" ht="14">
      <c r="A10" s="1" t="s">
        <v>63</v>
      </c>
      <c r="B10" s="1">
        <v>299.8</v>
      </c>
      <c r="C10" s="1">
        <f t="shared" si="23"/>
        <v>7.5917953912382874E-2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1"/>
        <v>1.5552000000000001</v>
      </c>
      <c r="P10" s="14">
        <v>0.3</v>
      </c>
      <c r="Q10" s="37">
        <v>1</v>
      </c>
      <c r="R10" s="38">
        <v>1.3</v>
      </c>
      <c r="S10" s="25">
        <v>0.01</v>
      </c>
      <c r="T10" s="26">
        <v>0.06</v>
      </c>
      <c r="U10" s="27">
        <f t="shared" si="2"/>
        <v>5.3142567738668012E-3</v>
      </c>
      <c r="V10" s="28">
        <f t="shared" si="3"/>
        <v>8.3509749303621161E-3</v>
      </c>
      <c r="W10" s="29">
        <f t="shared" si="4"/>
        <v>4.251405419093441E-2</v>
      </c>
      <c r="X10" s="27">
        <f t="shared" si="5"/>
        <v>3.1885540643200802E-2</v>
      </c>
      <c r="Y10" s="28">
        <f t="shared" si="6"/>
        <v>5.0105849582172693E-2</v>
      </c>
      <c r="Z10" s="29">
        <f t="shared" si="7"/>
        <v>0.25508432514560642</v>
      </c>
      <c r="AA10" s="27">
        <f t="shared" ref="AA10:AC10" si="45">U10+X10</f>
        <v>3.7199797417067602E-2</v>
      </c>
      <c r="AB10" s="28">
        <f t="shared" si="45"/>
        <v>5.8456824512534811E-2</v>
      </c>
      <c r="AC10" s="29">
        <f t="shared" si="45"/>
        <v>0.29759837933654082</v>
      </c>
      <c r="AD10" s="30">
        <f t="shared" si="9"/>
        <v>5.4660926816915665E-7</v>
      </c>
      <c r="AE10" s="21">
        <f t="shared" si="10"/>
        <v>3.2326918344E-4</v>
      </c>
      <c r="AF10" s="22">
        <f t="shared" si="11"/>
        <v>4.2504336692833627E-3</v>
      </c>
      <c r="AG10" s="30">
        <f t="shared" si="12"/>
        <v>3.2796556090149399E-6</v>
      </c>
      <c r="AH10" s="21">
        <f t="shared" si="13"/>
        <v>1.93961510064E-3</v>
      </c>
      <c r="AI10" s="22">
        <f t="shared" si="14"/>
        <v>2.5502602015700176E-2</v>
      </c>
      <c r="AJ10" s="30">
        <f t="shared" ref="AJ10:AL10" si="46">AD10+AG10</f>
        <v>3.8262648771840963E-6</v>
      </c>
      <c r="AK10" s="21">
        <f t="shared" si="46"/>
        <v>2.2628842840800001E-3</v>
      </c>
      <c r="AL10" s="22">
        <f t="shared" si="46"/>
        <v>2.9753035684983539E-2</v>
      </c>
      <c r="AM10" s="31">
        <f t="shared" si="16"/>
        <v>2.2775386173714864E-3</v>
      </c>
      <c r="AN10" s="32">
        <f t="shared" si="17"/>
        <v>7.5917953912382876E-3</v>
      </c>
      <c r="AO10" s="33">
        <f t="shared" si="18"/>
        <v>9.8693340086097748E-3</v>
      </c>
      <c r="AP10" s="31">
        <f t="shared" si="19"/>
        <v>1.3665231704228915E-2</v>
      </c>
      <c r="AQ10" s="32">
        <f t="shared" si="20"/>
        <v>4.5550772347429713E-2</v>
      </c>
      <c r="AR10" s="33">
        <f t="shared" si="21"/>
        <v>5.9216004051658631E-2</v>
      </c>
      <c r="AS10" s="31">
        <f t="shared" ref="AS10:AU10" si="47">AM10+AP10</f>
        <v>1.5942770321600401E-2</v>
      </c>
      <c r="AT10" s="32">
        <f t="shared" si="47"/>
        <v>5.3142567738668003E-2</v>
      </c>
      <c r="AU10" s="33">
        <f t="shared" si="47"/>
        <v>6.9085338060268411E-2</v>
      </c>
    </row>
    <row r="11" spans="1:47" ht="14">
      <c r="A11" s="1" t="s">
        <v>64</v>
      </c>
      <c r="B11" s="1">
        <v>0</v>
      </c>
      <c r="C11" s="1">
        <f t="shared" si="23"/>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1"/>
        <v>1.5552000000000001</v>
      </c>
      <c r="P11" s="14">
        <v>0.3</v>
      </c>
      <c r="Q11" s="37">
        <v>1</v>
      </c>
      <c r="R11" s="38">
        <v>1.3</v>
      </c>
      <c r="S11" s="25">
        <v>0.01</v>
      </c>
      <c r="T11" s="26">
        <v>0.06</v>
      </c>
      <c r="U11" s="27">
        <f t="shared" si="2"/>
        <v>0</v>
      </c>
      <c r="V11" s="28">
        <f t="shared" si="3"/>
        <v>0</v>
      </c>
      <c r="W11" s="29">
        <f t="shared" si="4"/>
        <v>0</v>
      </c>
      <c r="X11" s="27">
        <f t="shared" si="5"/>
        <v>0</v>
      </c>
      <c r="Y11" s="28">
        <f t="shared" si="6"/>
        <v>0</v>
      </c>
      <c r="Z11" s="29">
        <f t="shared" si="7"/>
        <v>0</v>
      </c>
      <c r="AA11" s="27">
        <f t="shared" ref="AA11:AC11" si="49">U11+X11</f>
        <v>0</v>
      </c>
      <c r="AB11" s="28">
        <f t="shared" si="49"/>
        <v>0</v>
      </c>
      <c r="AC11" s="29">
        <f t="shared" si="49"/>
        <v>0</v>
      </c>
      <c r="AD11" s="30">
        <f t="shared" si="9"/>
        <v>0</v>
      </c>
      <c r="AE11" s="21">
        <f t="shared" si="10"/>
        <v>0</v>
      </c>
      <c r="AF11" s="22">
        <f t="shared" si="11"/>
        <v>0</v>
      </c>
      <c r="AG11" s="30">
        <f t="shared" si="12"/>
        <v>0</v>
      </c>
      <c r="AH11" s="21">
        <f t="shared" si="13"/>
        <v>0</v>
      </c>
      <c r="AI11" s="22">
        <f t="shared" si="14"/>
        <v>0</v>
      </c>
      <c r="AJ11" s="30">
        <f t="shared" ref="AJ11:AL11" si="50">AD11+AG11</f>
        <v>0</v>
      </c>
      <c r="AK11" s="21">
        <f t="shared" si="50"/>
        <v>0</v>
      </c>
      <c r="AL11" s="22">
        <f t="shared" si="50"/>
        <v>0</v>
      </c>
      <c r="AM11" s="31">
        <f t="shared" si="16"/>
        <v>0</v>
      </c>
      <c r="AN11" s="32">
        <f t="shared" si="17"/>
        <v>0</v>
      </c>
      <c r="AO11" s="33">
        <f t="shared" si="18"/>
        <v>0</v>
      </c>
      <c r="AP11" s="31">
        <f t="shared" si="19"/>
        <v>0</v>
      </c>
      <c r="AQ11" s="32">
        <f t="shared" si="20"/>
        <v>0</v>
      </c>
      <c r="AR11" s="33">
        <f t="shared" si="21"/>
        <v>0</v>
      </c>
      <c r="AS11" s="31">
        <f t="shared" ref="AS11:AU11" si="51">AM11+AP11</f>
        <v>0</v>
      </c>
      <c r="AT11" s="32">
        <f t="shared" si="51"/>
        <v>0</v>
      </c>
      <c r="AU11" s="33">
        <f t="shared" si="51"/>
        <v>0</v>
      </c>
    </row>
    <row r="12" spans="1:47" ht="13">
      <c r="A12" s="1" t="s">
        <v>65</v>
      </c>
      <c r="B12" s="1">
        <v>71.5</v>
      </c>
      <c r="C12" s="1">
        <f t="shared" si="23"/>
        <v>1.8105849582172699E-2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1"/>
        <v>1.857</v>
      </c>
      <c r="P12" s="14">
        <v>0.3</v>
      </c>
      <c r="Q12" s="15">
        <v>10</v>
      </c>
      <c r="R12" s="16">
        <v>15</v>
      </c>
      <c r="S12" s="25">
        <v>0.01</v>
      </c>
      <c r="T12" s="26">
        <v>0.06</v>
      </c>
      <c r="U12" s="27">
        <f t="shared" si="2"/>
        <v>3.2590529247910859E-3</v>
      </c>
      <c r="V12" s="28">
        <f t="shared" si="3"/>
        <v>8.6908077994428956E-3</v>
      </c>
      <c r="W12" s="29">
        <f t="shared" si="4"/>
        <v>3.2590529247910859E-2</v>
      </c>
      <c r="X12" s="27">
        <f t="shared" si="5"/>
        <v>1.9554317548746515E-2</v>
      </c>
      <c r="Y12" s="28">
        <f t="shared" si="6"/>
        <v>5.2144846796657374E-2</v>
      </c>
      <c r="Z12" s="29">
        <f t="shared" si="7"/>
        <v>0.19554317548746514</v>
      </c>
      <c r="AA12" s="27">
        <f t="shared" ref="AA12:AC12" si="53">U12+X12</f>
        <v>2.2813370473537601E-2</v>
      </c>
      <c r="AB12" s="28">
        <f t="shared" si="53"/>
        <v>6.0835654596100269E-2</v>
      </c>
      <c r="AC12" s="29">
        <f t="shared" si="53"/>
        <v>0.228133704735376</v>
      </c>
      <c r="AD12" s="30">
        <f t="shared" si="9"/>
        <v>4.1715877437325904E-6</v>
      </c>
      <c r="AE12" s="21">
        <f t="shared" si="10"/>
        <v>1.1688653665905292E-4</v>
      </c>
      <c r="AF12" s="22">
        <f t="shared" si="11"/>
        <v>1.2104122562674095E-3</v>
      </c>
      <c r="AG12" s="30">
        <f t="shared" si="12"/>
        <v>2.5029526462395543E-5</v>
      </c>
      <c r="AH12" s="21">
        <f t="shared" si="13"/>
        <v>7.0131921995431751E-4</v>
      </c>
      <c r="AI12" s="22">
        <f t="shared" si="14"/>
        <v>7.2624735376044559E-3</v>
      </c>
      <c r="AJ12" s="30">
        <f t="shared" ref="AJ12:AL12" si="54">AD12+AG12</f>
        <v>2.9201114206128133E-5</v>
      </c>
      <c r="AK12" s="21">
        <f t="shared" si="54"/>
        <v>8.1820575661337039E-4</v>
      </c>
      <c r="AL12" s="22">
        <f t="shared" si="54"/>
        <v>8.4728857938718653E-3</v>
      </c>
      <c r="AM12" s="31">
        <f t="shared" si="16"/>
        <v>5.4317548746518098E-4</v>
      </c>
      <c r="AN12" s="32">
        <f t="shared" si="17"/>
        <v>1.8105849582172699E-2</v>
      </c>
      <c r="AO12" s="33">
        <f t="shared" si="18"/>
        <v>2.7158774373259049E-2</v>
      </c>
      <c r="AP12" s="31">
        <f t="shared" si="19"/>
        <v>3.2590529247910863E-3</v>
      </c>
      <c r="AQ12" s="32">
        <f t="shared" si="20"/>
        <v>0.10863509749303621</v>
      </c>
      <c r="AR12" s="33">
        <f t="shared" si="21"/>
        <v>0.1629526462395543</v>
      </c>
      <c r="AS12" s="31">
        <f t="shared" ref="AS12:AU12" si="55">AM12+AP12</f>
        <v>3.8022284122562673E-3</v>
      </c>
      <c r="AT12" s="32">
        <f t="shared" si="55"/>
        <v>0.12674094707520892</v>
      </c>
      <c r="AU12" s="33">
        <f t="shared" si="55"/>
        <v>0.19011142061281336</v>
      </c>
    </row>
    <row r="13" spans="1:47" ht="13">
      <c r="A13" s="1" t="s">
        <v>66</v>
      </c>
      <c r="B13" s="1">
        <v>15.6</v>
      </c>
      <c r="C13" s="1">
        <f t="shared" si="23"/>
        <v>3.9503671815649529E-3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1"/>
        <v>2.3130000000000002</v>
      </c>
      <c r="P13" s="14">
        <v>0.3</v>
      </c>
      <c r="Q13" s="15">
        <v>2.5</v>
      </c>
      <c r="R13" s="16">
        <v>5.0999999999999996</v>
      </c>
      <c r="S13" s="25">
        <v>0.01</v>
      </c>
      <c r="T13" s="26">
        <v>0.06</v>
      </c>
      <c r="U13" s="27">
        <f t="shared" si="2"/>
        <v>2.3702203089389718E-4</v>
      </c>
      <c r="V13" s="28">
        <f t="shared" si="3"/>
        <v>1.5011395289946821E-3</v>
      </c>
      <c r="W13" s="29">
        <f t="shared" si="4"/>
        <v>3.1207900734363126E-3</v>
      </c>
      <c r="X13" s="27">
        <f t="shared" si="5"/>
        <v>1.4221321853633831E-3</v>
      </c>
      <c r="Y13" s="28">
        <f t="shared" si="6"/>
        <v>9.0068371739680936E-3</v>
      </c>
      <c r="Z13" s="29">
        <f t="shared" si="7"/>
        <v>1.8724740440617876E-2</v>
      </c>
      <c r="AA13" s="27">
        <f t="shared" ref="AA13:AC13" si="57">U13+X13</f>
        <v>1.6591542162572802E-3</v>
      </c>
      <c r="AB13" s="28">
        <f t="shared" si="57"/>
        <v>1.0507976702962775E-2</v>
      </c>
      <c r="AC13" s="29">
        <f t="shared" si="57"/>
        <v>2.184553051405419E-2</v>
      </c>
      <c r="AD13" s="30">
        <f t="shared" si="9"/>
        <v>1.0381564953152698E-6</v>
      </c>
      <c r="AE13" s="21">
        <f t="shared" si="10"/>
        <v>6.4680325108655353E-5</v>
      </c>
      <c r="AF13" s="22">
        <f t="shared" si="11"/>
        <v>3.2893917447455057E-4</v>
      </c>
      <c r="AG13" s="30">
        <f t="shared" si="12"/>
        <v>6.228938971891618E-6</v>
      </c>
      <c r="AH13" s="21">
        <f t="shared" si="13"/>
        <v>3.8808195065193215E-4</v>
      </c>
      <c r="AI13" s="22">
        <f t="shared" si="14"/>
        <v>1.973635046847303E-3</v>
      </c>
      <c r="AJ13" s="30">
        <f t="shared" ref="AJ13:AL13" si="58">AD13+AG13</f>
        <v>7.2670954672068878E-6</v>
      </c>
      <c r="AK13" s="21">
        <f t="shared" si="58"/>
        <v>4.5276227576058749E-4</v>
      </c>
      <c r="AL13" s="22">
        <f t="shared" si="58"/>
        <v>2.3025742213218536E-3</v>
      </c>
      <c r="AM13" s="31">
        <f t="shared" si="16"/>
        <v>1.1851101544694859E-4</v>
      </c>
      <c r="AN13" s="32">
        <f t="shared" si="17"/>
        <v>9.8759179539123824E-4</v>
      </c>
      <c r="AO13" s="33">
        <f t="shared" si="18"/>
        <v>2.0146872625981258E-3</v>
      </c>
      <c r="AP13" s="31">
        <f t="shared" si="19"/>
        <v>7.1106609268169153E-4</v>
      </c>
      <c r="AQ13" s="32">
        <f t="shared" si="20"/>
        <v>5.925550772347429E-3</v>
      </c>
      <c r="AR13" s="33">
        <f t="shared" si="21"/>
        <v>1.2088123575588755E-2</v>
      </c>
      <c r="AS13" s="31">
        <f t="shared" ref="AS13:AU13" si="59">AM13+AP13</f>
        <v>8.2957710812864012E-4</v>
      </c>
      <c r="AT13" s="32">
        <f t="shared" si="59"/>
        <v>6.9131425677386674E-3</v>
      </c>
      <c r="AU13" s="33">
        <f t="shared" si="59"/>
        <v>1.4102810838186881E-2</v>
      </c>
    </row>
    <row r="14" spans="1:47" ht="13">
      <c r="A14" s="85" t="s">
        <v>67</v>
      </c>
      <c r="B14" s="1">
        <v>0</v>
      </c>
      <c r="C14" s="1">
        <f t="shared" si="23"/>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1"/>
        <v>3.734</v>
      </c>
      <c r="P14" s="47">
        <v>7.8</v>
      </c>
      <c r="Q14" s="48">
        <v>15</v>
      </c>
      <c r="R14" s="49">
        <v>19.3</v>
      </c>
      <c r="S14" s="50">
        <v>0.01</v>
      </c>
      <c r="T14" s="51">
        <v>0.06</v>
      </c>
      <c r="U14" s="52">
        <f t="shared" si="2"/>
        <v>0</v>
      </c>
      <c r="V14" s="53">
        <f t="shared" si="3"/>
        <v>0</v>
      </c>
      <c r="W14" s="54">
        <f t="shared" si="4"/>
        <v>0</v>
      </c>
      <c r="X14" s="52">
        <f t="shared" si="5"/>
        <v>0</v>
      </c>
      <c r="Y14" s="53">
        <f t="shared" si="6"/>
        <v>0</v>
      </c>
      <c r="Z14" s="54">
        <f t="shared" si="7"/>
        <v>0</v>
      </c>
      <c r="AA14" s="52">
        <f t="shared" ref="AA14:AC14" si="61">U14+X14</f>
        <v>0</v>
      </c>
      <c r="AB14" s="53">
        <f t="shared" si="61"/>
        <v>0</v>
      </c>
      <c r="AC14" s="54">
        <f t="shared" si="61"/>
        <v>0</v>
      </c>
      <c r="AD14" s="55">
        <f t="shared" si="9"/>
        <v>0</v>
      </c>
      <c r="AE14" s="45">
        <f t="shared" si="10"/>
        <v>0</v>
      </c>
      <c r="AF14" s="46">
        <f t="shared" si="11"/>
        <v>0</v>
      </c>
      <c r="AG14" s="55">
        <f t="shared" si="12"/>
        <v>0</v>
      </c>
      <c r="AH14" s="45">
        <f t="shared" si="13"/>
        <v>0</v>
      </c>
      <c r="AI14" s="46">
        <f t="shared" si="14"/>
        <v>0</v>
      </c>
      <c r="AJ14" s="55">
        <f t="shared" ref="AJ14:AL14" si="62">AD14+AG14</f>
        <v>0</v>
      </c>
      <c r="AK14" s="45">
        <f t="shared" si="62"/>
        <v>0</v>
      </c>
      <c r="AL14" s="46">
        <f t="shared" si="62"/>
        <v>0</v>
      </c>
      <c r="AM14" s="56">
        <f>$S14*$C14*10^(-3)*$P14</f>
        <v>0</v>
      </c>
      <c r="AN14" s="57">
        <f t="shared" si="17"/>
        <v>0</v>
      </c>
      <c r="AO14" s="58">
        <f>$S14*$C14*10^(-3)*$R14</f>
        <v>0</v>
      </c>
      <c r="AP14" s="56">
        <f>$T14*$C14*10^(-3)*$P14</f>
        <v>0</v>
      </c>
      <c r="AQ14" s="57">
        <f t="shared" si="20"/>
        <v>0</v>
      </c>
      <c r="AR14" s="58">
        <f>$T14*$C14*10^(-3)*$R14</f>
        <v>0</v>
      </c>
      <c r="AS14" s="56">
        <f t="shared" ref="AS14:AU14" si="63">AM14+AP14</f>
        <v>0</v>
      </c>
      <c r="AT14" s="57">
        <f t="shared" si="63"/>
        <v>0</v>
      </c>
      <c r="AU14" s="58">
        <f t="shared" si="63"/>
        <v>0</v>
      </c>
    </row>
    <row r="15" spans="1:47" ht="13">
      <c r="A15" s="86" t="s">
        <v>163</v>
      </c>
      <c r="B15" s="4">
        <f>SUM(B4:B14)</f>
        <v>3949.0000000000005</v>
      </c>
      <c r="G15" s="7"/>
      <c r="AA15" s="4">
        <f t="shared" ref="AA15:AU15" si="64">SUM(AA4:AA14)</f>
        <v>30.449051304127622</v>
      </c>
      <c r="AB15" s="4">
        <f t="shared" si="64"/>
        <v>34.986377563940223</v>
      </c>
      <c r="AC15" s="4">
        <f t="shared" si="64"/>
        <v>54.007862750063296</v>
      </c>
      <c r="AD15" s="4">
        <f t="shared" si="64"/>
        <v>8.252025383641429E-3</v>
      </c>
      <c r="AE15" s="4">
        <f t="shared" si="64"/>
        <v>5.8093908350104639E-2</v>
      </c>
      <c r="AF15" s="4">
        <f t="shared" si="64"/>
        <v>2.2469154906457329</v>
      </c>
      <c r="AG15" s="4">
        <f t="shared" si="64"/>
        <v>4.9512152301848571E-2</v>
      </c>
      <c r="AH15" s="4">
        <f t="shared" si="64"/>
        <v>0.34856345010062778</v>
      </c>
      <c r="AI15" s="4">
        <f t="shared" si="64"/>
        <v>13.481492943874395</v>
      </c>
      <c r="AJ15" s="4">
        <f t="shared" si="64"/>
        <v>5.7764177685489998E-2</v>
      </c>
      <c r="AK15" s="4">
        <f t="shared" si="64"/>
        <v>0.40665735845073242</v>
      </c>
      <c r="AL15" s="4">
        <f t="shared" si="64"/>
        <v>15.728408434520126</v>
      </c>
      <c r="AM15" s="4">
        <f t="shared" si="64"/>
        <v>4.8479868321093945E-2</v>
      </c>
      <c r="AN15" s="4">
        <f t="shared" si="64"/>
        <v>0.65672575335527972</v>
      </c>
      <c r="AO15" s="4">
        <f t="shared" si="64"/>
        <v>1.3646072423398328</v>
      </c>
      <c r="AP15" s="4">
        <f t="shared" si="64"/>
        <v>0.29087920992656358</v>
      </c>
      <c r="AQ15" s="4">
        <f t="shared" si="64"/>
        <v>3.9403545201316779</v>
      </c>
      <c r="AR15" s="4">
        <f t="shared" si="64"/>
        <v>8.1876434540389962</v>
      </c>
      <c r="AS15" s="4">
        <f t="shared" si="64"/>
        <v>0.33935907824765754</v>
      </c>
      <c r="AT15" s="4">
        <f t="shared" si="64"/>
        <v>4.5970802734869585</v>
      </c>
      <c r="AU15" s="4">
        <f t="shared" si="64"/>
        <v>9.552250696378831</v>
      </c>
    </row>
    <row r="16" spans="1:47" ht="13">
      <c r="B16" s="4"/>
      <c r="G16" s="7"/>
      <c r="AG16" s="195"/>
      <c r="AH16" s="196"/>
      <c r="AI16" s="196"/>
      <c r="AP16" s="195"/>
      <c r="AQ16" s="196"/>
      <c r="AR16" s="196"/>
    </row>
    <row r="17" spans="2:7" ht="15" customHeight="1"/>
    <row r="18" spans="2:7" ht="15.75" customHeight="1">
      <c r="B18" s="84" t="s">
        <v>141</v>
      </c>
      <c r="C18" s="194" t="s">
        <v>10</v>
      </c>
      <c r="D18" s="194"/>
      <c r="E18" s="194"/>
      <c r="F18" s="194"/>
      <c r="G18" s="194"/>
    </row>
    <row r="19" spans="2:7" ht="30" customHeight="1">
      <c r="B19" s="82" t="s">
        <v>140</v>
      </c>
      <c r="C19" s="187" t="s">
        <v>145</v>
      </c>
      <c r="D19" s="187"/>
      <c r="E19" s="187"/>
      <c r="F19" s="187"/>
      <c r="G19" s="187"/>
    </row>
    <row r="20" spans="2:7" ht="15.75" customHeight="1">
      <c r="B20" s="71" t="s">
        <v>149</v>
      </c>
      <c r="C20" s="259" t="s">
        <v>281</v>
      </c>
      <c r="D20" s="186"/>
      <c r="E20" s="186"/>
      <c r="F20" s="186"/>
      <c r="G20" s="186"/>
    </row>
    <row r="21" spans="2:7" ht="28">
      <c r="B21" s="83" t="s">
        <v>155</v>
      </c>
      <c r="C21" s="263" t="s">
        <v>280</v>
      </c>
      <c r="D21" s="187"/>
      <c r="E21" s="187"/>
      <c r="F21" s="187"/>
      <c r="G21" s="187"/>
    </row>
  </sheetData>
  <mergeCells count="22">
    <mergeCell ref="AG16:AI16"/>
    <mergeCell ref="AP16:AR16"/>
    <mergeCell ref="X2:Z2"/>
    <mergeCell ref="AA2:AC2"/>
    <mergeCell ref="AD2:AF2"/>
    <mergeCell ref="AJ2:AL2"/>
    <mergeCell ref="AM2:AO2"/>
    <mergeCell ref="AP2:AR2"/>
    <mergeCell ref="AS2:AU2"/>
    <mergeCell ref="D2:F2"/>
    <mergeCell ref="G2:I2"/>
    <mergeCell ref="J2:L2"/>
    <mergeCell ref="M2:O2"/>
    <mergeCell ref="P2:R2"/>
    <mergeCell ref="S2:T2"/>
    <mergeCell ref="U2:W2"/>
    <mergeCell ref="AG2:AI2"/>
    <mergeCell ref="C18:G18"/>
    <mergeCell ref="C19:G19"/>
    <mergeCell ref="C20:G20"/>
    <mergeCell ref="C21:G21"/>
    <mergeCell ref="A2:B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3E6-DEA7-A440-B622-4E527A2359AE}">
  <dimension ref="B2:W77"/>
  <sheetViews>
    <sheetView topLeftCell="A4" workbookViewId="0">
      <selection activeCell="I47" sqref="I47:J47"/>
    </sheetView>
  </sheetViews>
  <sheetFormatPr baseColWidth="10" defaultColWidth="14.5" defaultRowHeight="13"/>
  <cols>
    <col min="1" max="1" width="1.83203125" style="3" customWidth="1"/>
    <col min="2" max="4" width="12.83203125" style="3" customWidth="1"/>
    <col min="5" max="5" width="1.6640625" style="3" customWidth="1"/>
    <col min="6" max="6" width="13.6640625" style="3" customWidth="1"/>
    <col min="7" max="7" width="12.83203125" style="3" customWidth="1"/>
    <col min="8" max="8" width="17.33203125" style="3" bestFit="1" customWidth="1"/>
    <col min="9" max="9" width="16.83203125" style="3" customWidth="1"/>
    <col min="10" max="10" width="16.1640625" style="3" customWidth="1"/>
    <col min="11" max="11" width="17.33203125" style="3" bestFit="1" customWidth="1"/>
    <col min="12" max="12" width="14.5" style="3" customWidth="1"/>
    <col min="13" max="13" width="17.5" style="3" customWidth="1"/>
    <col min="14" max="14" width="12.83203125" style="3" customWidth="1"/>
    <col min="15" max="15" width="3.1640625" style="3" customWidth="1"/>
    <col min="16" max="16" width="18.83203125" style="3" bestFit="1" customWidth="1"/>
    <col min="17" max="17" width="12.5" style="3" customWidth="1"/>
    <col min="18" max="18" width="25.5" style="3" customWidth="1"/>
    <col min="19" max="20" width="18.1640625" style="3" customWidth="1"/>
    <col min="21" max="21" width="25.5" style="3" customWidth="1"/>
    <col min="22" max="22" width="19.1640625" style="3" customWidth="1"/>
    <col min="23" max="23" width="20.1640625" style="3" customWidth="1"/>
    <col min="24" max="16384" width="14.5" style="3"/>
  </cols>
  <sheetData>
    <row r="2" spans="2:19" ht="16" customHeight="1">
      <c r="F2" s="69" t="s">
        <v>198</v>
      </c>
    </row>
    <row r="3" spans="2:19" ht="14" thickBot="1"/>
    <row r="4" spans="2:19" ht="15.75" customHeight="1">
      <c r="F4" s="229" t="s">
        <v>177</v>
      </c>
      <c r="G4" s="230"/>
      <c r="H4" s="230"/>
      <c r="I4" s="230"/>
      <c r="J4" s="230"/>
      <c r="K4" s="230"/>
      <c r="L4" s="230"/>
      <c r="M4" s="230"/>
      <c r="N4" s="231"/>
      <c r="P4" s="206" t="s">
        <v>68</v>
      </c>
      <c r="Q4" s="207"/>
    </row>
    <row r="5" spans="2:19" ht="15.75" customHeight="1">
      <c r="B5" s="212" t="s">
        <v>150</v>
      </c>
      <c r="C5" s="212"/>
      <c r="D5" s="214"/>
      <c r="E5" s="72"/>
      <c r="F5" s="228" t="s">
        <v>50</v>
      </c>
      <c r="G5" s="226"/>
      <c r="H5" s="226"/>
      <c r="I5" s="222" t="s">
        <v>5</v>
      </c>
      <c r="J5" s="223"/>
      <c r="K5" s="224"/>
      <c r="L5" s="225" t="s">
        <v>51</v>
      </c>
      <c r="M5" s="226"/>
      <c r="N5" s="227"/>
      <c r="P5" s="103" t="s">
        <v>69</v>
      </c>
      <c r="Q5" s="104">
        <v>254</v>
      </c>
    </row>
    <row r="6" spans="2:19">
      <c r="B6" s="3" t="s">
        <v>10</v>
      </c>
      <c r="C6" s="3" t="s">
        <v>52</v>
      </c>
      <c r="D6" s="3" t="s">
        <v>35</v>
      </c>
      <c r="F6" s="90" t="s">
        <v>2</v>
      </c>
      <c r="G6" s="88" t="s">
        <v>3</v>
      </c>
      <c r="H6" s="88" t="s">
        <v>4</v>
      </c>
      <c r="I6" s="88" t="s">
        <v>2</v>
      </c>
      <c r="J6" s="88" t="s">
        <v>3</v>
      </c>
      <c r="K6" s="88" t="s">
        <v>4</v>
      </c>
      <c r="L6" s="88" t="s">
        <v>2</v>
      </c>
      <c r="M6" s="88" t="s">
        <v>3</v>
      </c>
      <c r="N6" s="91" t="s">
        <v>4</v>
      </c>
      <c r="P6" s="103" t="s">
        <v>70</v>
      </c>
      <c r="Q6" s="104">
        <v>0.2</v>
      </c>
    </row>
    <row r="7" spans="2:19">
      <c r="B7" s="3" t="s">
        <v>57</v>
      </c>
      <c r="C7" s="3">
        <v>10123</v>
      </c>
      <c r="D7" s="3">
        <v>0.38106531150009409</v>
      </c>
      <c r="F7" s="92">
        <f>'Global Footprints'!AA4*$Q$7*$Q$5</f>
        <v>5013752516469.0361</v>
      </c>
      <c r="G7" s="89">
        <f>'Global Footprints'!AB4*$Q$7*$Q$5</f>
        <v>5555779815546.7705</v>
      </c>
      <c r="H7" s="89">
        <f>'Global Footprints'!AC4*$Q$7*$Q$5</f>
        <v>6165560527009.2217</v>
      </c>
      <c r="I7" s="97">
        <f>'Global Footprints'!AJ4*$Q$7*$Q$5</f>
        <v>1926907048.2213438</v>
      </c>
      <c r="J7" s="97">
        <f>'Global Footprints'!AK4*$Q$7*$Q$5</f>
        <v>28002565047.782967</v>
      </c>
      <c r="K7" s="97">
        <f>'Global Footprints'!AL4*$Q$7*$Q$5</f>
        <v>89125548787.351791</v>
      </c>
      <c r="L7" s="97">
        <f>'Global Footprints'!AS4*$Q$7*$Q$5</f>
        <v>13550682476.943344</v>
      </c>
      <c r="M7" s="97">
        <f>'Global Footprints'!AT4*$Q$7*$Q$5</f>
        <v>338767061923.58362</v>
      </c>
      <c r="N7" s="98">
        <f>'Global Footprints'!AU4*$Q$7*$Q$5</f>
        <v>1016301185770.751</v>
      </c>
      <c r="P7" s="103" t="s">
        <v>71</v>
      </c>
      <c r="Q7" s="105">
        <v>1000000000</v>
      </c>
    </row>
    <row r="8" spans="2:19" ht="14" thickBot="1">
      <c r="B8" s="3" t="s">
        <v>58</v>
      </c>
      <c r="C8" s="3">
        <v>808</v>
      </c>
      <c r="D8" s="3">
        <v>3.0415960850743461E-2</v>
      </c>
      <c r="F8" s="92">
        <f>'Global Footprints'!AA5*$Q$7*$Q$5</f>
        <v>355302830039.5257</v>
      </c>
      <c r="G8" s="89">
        <f>'Global Footprints'!AB5*$Q$7*$Q$5</f>
        <v>379638640316.20557</v>
      </c>
      <c r="H8" s="89">
        <f>'Global Footprints'!AC5*$Q$7*$Q$5</f>
        <v>468329148880.10547</v>
      </c>
      <c r="I8" s="97">
        <f>'Global Footprints'!AJ5*$Q$7*$Q$5</f>
        <v>416629071.93675894</v>
      </c>
      <c r="J8" s="97">
        <f>'Global Footprints'!AK5*$Q$7*$Q$5</f>
        <v>1596429154.1501977</v>
      </c>
      <c r="K8" s="97">
        <f>'Global Footprints'!AL5*$Q$7*$Q$5</f>
        <v>5342197071.936759</v>
      </c>
      <c r="L8" s="97">
        <f>'Global Footprints'!AS5*$Q$7*$Q$5</f>
        <v>540795783.92621875</v>
      </c>
      <c r="M8" s="97">
        <f>'Global Footprints'!AT5*$Q$7*$Q$5</f>
        <v>2163183135.704875</v>
      </c>
      <c r="N8" s="98">
        <f>'Global Footprints'!AU5*$Q$7*$Q$5</f>
        <v>3244774703.5573125</v>
      </c>
      <c r="P8" s="106"/>
      <c r="Q8" s="107"/>
    </row>
    <row r="9" spans="2:19">
      <c r="B9" s="3" t="s">
        <v>59</v>
      </c>
      <c r="C9" s="3">
        <v>6118</v>
      </c>
      <c r="D9" s="3">
        <v>0.23030303030303031</v>
      </c>
      <c r="F9" s="92">
        <f>'Global Footprints'!AA6*$Q$7*$Q$5</f>
        <v>1678863030303.03</v>
      </c>
      <c r="G9" s="89">
        <f>'Global Footprints'!AB6*$Q$7*$Q$5</f>
        <v>2006446060606.0605</v>
      </c>
      <c r="H9" s="89">
        <f>'Global Footprints'!AC6*$Q$7*$Q$5</f>
        <v>2661612121212.1216</v>
      </c>
      <c r="I9" s="97">
        <f>'Global Footprints'!AJ6*$Q$7*$Q$5</f>
        <v>1120333963.6363635</v>
      </c>
      <c r="J9" s="97">
        <f>'Global Footprints'!AK6*$Q$7*$Q$5</f>
        <v>8579399563.6363649</v>
      </c>
      <c r="K9" s="97">
        <f>'Global Footprints'!AL6*$Q$7*$Q$5</f>
        <v>41187014400.000008</v>
      </c>
      <c r="L9" s="97">
        <f>'Global Footprints'!AS6*$Q$7*$Q$5</f>
        <v>4094787878.7878795</v>
      </c>
      <c r="M9" s="97">
        <f>'Global Footprints'!AT6*$Q$7*$Q$5</f>
        <v>8189575757.5757589</v>
      </c>
      <c r="N9" s="98">
        <f>'Global Footprints'!AU6*$Q$7*$Q$5</f>
        <v>40947878787.878792</v>
      </c>
    </row>
    <row r="10" spans="2:19">
      <c r="B10" s="3" t="s">
        <v>60</v>
      </c>
      <c r="C10" s="3">
        <v>2718</v>
      </c>
      <c r="D10" s="3">
        <v>0.10231507622811971</v>
      </c>
      <c r="F10" s="92">
        <f>'Global Footprints'!AA7*$Q$7*$Q$5</f>
        <v>6730899604.743083</v>
      </c>
      <c r="G10" s="89">
        <f>'Global Footprints'!AB7*$Q$7*$Q$5</f>
        <v>21829944664.031624</v>
      </c>
      <c r="H10" s="89">
        <f>'Global Footprints'!AC7*$Q$7*$Q$5</f>
        <v>200107826086.95648</v>
      </c>
      <c r="I10" s="97">
        <f>'Global Footprints'!AJ7*$Q$7*$Q$5</f>
        <v>117881701.18577075</v>
      </c>
      <c r="J10" s="97">
        <f>'Global Footprints'!AK7*$Q$7*$Q$5</f>
        <v>1622915712.7341385</v>
      </c>
      <c r="K10" s="97">
        <f>'Global Footprints'!AL7*$Q$7*$Q$5</f>
        <v>19673146131.2253</v>
      </c>
      <c r="L10" s="97">
        <f>'Global Footprints'!AS7*$Q$7*$Q$5</f>
        <v>1819162055.3359687</v>
      </c>
      <c r="M10" s="97">
        <f>'Global Footprints'!AT7*$Q$7*$Q$5</f>
        <v>1819162055.3359687</v>
      </c>
      <c r="N10" s="98">
        <f>'Global Footprints'!AU7*$Q$7*$Q$5</f>
        <v>18191620553.359684</v>
      </c>
    </row>
    <row r="11" spans="2:19">
      <c r="B11" s="3" t="s">
        <v>61</v>
      </c>
      <c r="C11" s="3">
        <v>4203</v>
      </c>
      <c r="D11" s="3">
        <v>0.15821569734613214</v>
      </c>
      <c r="F11" s="92">
        <f>'Global Footprints'!AA8*$Q$7*$Q$5</f>
        <v>2813075098.8142295</v>
      </c>
      <c r="G11" s="89">
        <f>'Global Footprints'!AB8*$Q$7*$Q$5</f>
        <v>67513802371.541504</v>
      </c>
      <c r="H11" s="89">
        <f>'Global Footprints'!AC8*$Q$7*$Q$5</f>
        <v>6188765217391.3047</v>
      </c>
      <c r="I11" s="97">
        <f>'Global Footprints'!AJ8*$Q$7*$Q$5</f>
        <v>3038121106.719368</v>
      </c>
      <c r="J11" s="97">
        <f>'Global Footprints'!AK8*$Q$7*$Q$5</f>
        <v>94235092975.1763</v>
      </c>
      <c r="K11" s="97">
        <f>'Global Footprints'!AL8*$Q$7*$Q$5</f>
        <v>8623747269704.3486</v>
      </c>
      <c r="L11" s="97">
        <f>'Global Footprints'!AS8*$Q$7*$Q$5</f>
        <v>92831478260.869568</v>
      </c>
      <c r="M11" s="97">
        <f>'Global Footprints'!AT8*$Q$7*$Q$5</f>
        <v>281307509881.42303</v>
      </c>
      <c r="N11" s="98">
        <f>'Global Footprints'!AU8*$Q$7*$Q$5</f>
        <v>475409691699.6048</v>
      </c>
    </row>
    <row r="12" spans="2:19">
      <c r="B12" s="3" t="s">
        <v>62</v>
      </c>
      <c r="C12" s="3">
        <v>636</v>
      </c>
      <c r="D12" s="3">
        <v>2.3941276115189158E-2</v>
      </c>
      <c r="F12" s="92">
        <f>'Global Footprints'!AA9*$Q$7*$Q$5</f>
        <v>55337865612.648209</v>
      </c>
      <c r="G12" s="89">
        <f>'Global Footprints'!AB9*$Q$7*$Q$5</f>
        <v>97905454545.454529</v>
      </c>
      <c r="H12" s="89">
        <f>'Global Footprints'!AC9*$Q$7*$Q$5</f>
        <v>178783873517.78653</v>
      </c>
      <c r="I12" s="97">
        <f>'Global Footprints'!AJ9*$Q$7*$Q$5</f>
        <v>30648664031.620552</v>
      </c>
      <c r="J12" s="97">
        <f>'Global Footprints'!AK9*$Q$7*$Q$5</f>
        <v>54080201794.079491</v>
      </c>
      <c r="K12" s="97">
        <f>'Global Footprints'!AL9*$Q$7*$Q$5</f>
        <v>100457126096.44269</v>
      </c>
      <c r="L12" s="97">
        <f>'Global Footprints'!AS9*$Q$7*$Q$5</f>
        <v>55337865612.648224</v>
      </c>
      <c r="M12" s="97">
        <f>'Global Footprints'!AT9*$Q$7*$Q$5</f>
        <v>2128379446640.3162</v>
      </c>
      <c r="N12" s="98">
        <f>'Global Footprints'!AU9*$Q$7*$Q$5</f>
        <v>3447974703557.312</v>
      </c>
    </row>
    <row r="13" spans="2:19" ht="15.75" customHeight="1">
      <c r="B13" s="3" t="s">
        <v>63</v>
      </c>
      <c r="C13" s="3">
        <v>1198</v>
      </c>
      <c r="D13" s="3">
        <v>4.5096932053453789E-2</v>
      </c>
      <c r="F13" s="92">
        <f>'Global Footprints'!AA10*$Q$7*$Q$5</f>
        <v>5612764163.372858</v>
      </c>
      <c r="G13" s="89">
        <f>'Global Footprints'!AB10*$Q$7*$Q$5</f>
        <v>8820057971.014492</v>
      </c>
      <c r="H13" s="89">
        <f>'Global Footprints'!AC10*$Q$7*$Q$5</f>
        <v>44902113306.982864</v>
      </c>
      <c r="I13" s="97">
        <f>'Global Footprints'!AJ10*$Q$7*$Q$5</f>
        <v>577312.88537549402</v>
      </c>
      <c r="J13" s="97">
        <f>'Global Footprints'!AK10*$Q$7*$Q$5</f>
        <v>341427553.30480695</v>
      </c>
      <c r="K13" s="97">
        <f>'Global Footprints'!AL10*$Q$7*$Q$5</f>
        <v>4489184996.679841</v>
      </c>
      <c r="L13" s="97">
        <f>'Global Footprints'!AS10*$Q$7*$Q$5</f>
        <v>2405470355.7312245</v>
      </c>
      <c r="M13" s="97">
        <f>'Global Footprints'!AT10*$Q$7*$Q$5</f>
        <v>8018234519.104084</v>
      </c>
      <c r="N13" s="98">
        <f>'Global Footprints'!AU10*$Q$7*$Q$5</f>
        <v>10423704874.835308</v>
      </c>
    </row>
    <row r="14" spans="2:19" ht="15.75" customHeight="1">
      <c r="B14" s="3" t="s">
        <v>64</v>
      </c>
      <c r="C14" s="3">
        <v>67</v>
      </c>
      <c r="D14" s="3">
        <v>2.5221155655938267E-3</v>
      </c>
      <c r="F14" s="92">
        <f>'Global Footprints'!AA11*$Q$7*$Q$5</f>
        <v>358745718.05006593</v>
      </c>
      <c r="G14" s="89">
        <f>'Global Footprints'!AB11*$Q$7*$Q$5</f>
        <v>538118577.07509887</v>
      </c>
      <c r="H14" s="89">
        <f>'Global Footprints'!AC11*$Q$7*$Q$5</f>
        <v>1569512516.4690382</v>
      </c>
      <c r="I14" s="97">
        <f>'Global Footprints'!AJ11*$Q$7*$Q$5</f>
        <v>32287.114624505932</v>
      </c>
      <c r="J14" s="97">
        <f>'Global Footprints'!AK11*$Q$7*$Q$5</f>
        <v>19105601.11651352</v>
      </c>
      <c r="K14" s="97">
        <f>'Global Footprints'!AL11*$Q$7*$Q$5</f>
        <v>251064603.32015815</v>
      </c>
      <c r="L14" s="97">
        <f>'Global Footprints'!AS11*$Q$7*$Q$5</f>
        <v>134529644.26877472</v>
      </c>
      <c r="M14" s="97">
        <f>'Global Footprints'!AT11*$Q$7*$Q$5</f>
        <v>448432147.56258237</v>
      </c>
      <c r="N14" s="98">
        <f>'Global Footprints'!AU11*$Q$7*$Q$5</f>
        <v>582961791.83135712</v>
      </c>
    </row>
    <row r="15" spans="2:19" ht="15.75" customHeight="1">
      <c r="B15" s="3" t="s">
        <v>65</v>
      </c>
      <c r="C15" s="3">
        <v>592</v>
      </c>
      <c r="D15" s="3">
        <v>2.2284961415396199E-2</v>
      </c>
      <c r="F15" s="92">
        <f>'Global Footprints'!AA12*$Q$7*$Q$5</f>
        <v>7132079051.3834</v>
      </c>
      <c r="G15" s="89">
        <f>'Global Footprints'!AB12*$Q$7*$Q$5</f>
        <v>19018877470.355728</v>
      </c>
      <c r="H15" s="89">
        <f>'Global Footprints'!AC12*$Q$7*$Q$5</f>
        <v>71320790513.834</v>
      </c>
      <c r="I15" s="97">
        <f>'Global Footprints'!AJ12*$Q$7*$Q$5</f>
        <v>9129061.1857707538</v>
      </c>
      <c r="J15" s="97">
        <f>'Global Footprints'!AK12*$Q$7*$Q$5</f>
        <v>255793335.89626437</v>
      </c>
      <c r="K15" s="97">
        <f>'Global Footprints'!AL12*$Q$7*$Q$5</f>
        <v>2648854159.6837945</v>
      </c>
      <c r="L15" s="97">
        <f>'Global Footprints'!AS12*$Q$7*$Q$5</f>
        <v>1188679841.897233</v>
      </c>
      <c r="M15" s="97">
        <f>'Global Footprints'!AT12*$Q$7*$Q$5</f>
        <v>39622661396.57444</v>
      </c>
      <c r="N15" s="98">
        <f>'Global Footprints'!AU12*$Q$7*$Q$5</f>
        <v>59433992094.861656</v>
      </c>
    </row>
    <row r="16" spans="2:19" ht="15.75" customHeight="1">
      <c r="B16" s="3" t="s">
        <v>66</v>
      </c>
      <c r="C16" s="3">
        <v>90</v>
      </c>
      <c r="D16" s="3">
        <v>3.3879164313946925E-3</v>
      </c>
      <c r="F16" s="92">
        <f>'Global Footprints'!AA13*$Q$7*$Q$5</f>
        <v>361422924.90118575</v>
      </c>
      <c r="G16" s="89">
        <f>'Global Footprints'!AB13*$Q$7*$Q$5</f>
        <v>2289011857.70751</v>
      </c>
      <c r="H16" s="89">
        <f>'Global Footprints'!AC13*$Q$7*$Q$5</f>
        <v>4758735177.865612</v>
      </c>
      <c r="I16" s="97">
        <f>'Global Footprints'!AJ13*$Q$7*$Q$5</f>
        <v>1583032.4110671938</v>
      </c>
      <c r="J16" s="97">
        <f>'Global Footprints'!AK13*$Q$7*$Q$5</f>
        <v>98627761.293609515</v>
      </c>
      <c r="K16" s="97">
        <f>'Global Footprints'!AL13*$Q$7*$Q$5</f>
        <v>501582735.17786562</v>
      </c>
      <c r="L16" s="97">
        <f>'Global Footprints'!AS13*$Q$7*$Q$5</f>
        <v>180711462.45059288</v>
      </c>
      <c r="M16" s="97">
        <f>'Global Footprints'!AT13*$Q$7*$Q$5</f>
        <v>1505928853.7549407</v>
      </c>
      <c r="N16" s="98">
        <f>'Global Footprints'!AU13*$Q$7*$Q$5</f>
        <v>3072094861.660079</v>
      </c>
      <c r="Q16" s="193"/>
      <c r="R16" s="193"/>
      <c r="S16" s="7"/>
    </row>
    <row r="17" spans="2:23" ht="15.75" customHeight="1">
      <c r="B17" s="3" t="s">
        <v>67</v>
      </c>
      <c r="C17" s="3">
        <v>12</v>
      </c>
      <c r="D17" s="3">
        <v>4.5172219085262564E-4</v>
      </c>
      <c r="F17" s="92">
        <f>'Global Footprints'!AA14*$Q$7*$Q$5</f>
        <v>70678260.869565219</v>
      </c>
      <c r="G17" s="89">
        <f>'Global Footprints'!AB14*$Q$7*$Q$5</f>
        <v>216853754.94071147</v>
      </c>
      <c r="H17" s="89">
        <f>'Global Footprints'!AC14*$Q$7*$Q$5</f>
        <v>505992094.86166006</v>
      </c>
      <c r="I17" s="97">
        <f>'Global Footprints'!AJ14*$Q$7*$Q$5</f>
        <v>3411832.4110671938</v>
      </c>
      <c r="J17" s="97">
        <f>'Global Footprints'!AK14*$Q$7*$Q$5</f>
        <v>26843774.188428145</v>
      </c>
      <c r="K17" s="97">
        <f>'Global Footprints'!AL14*$Q$7*$Q$5</f>
        <v>107964256.12648222</v>
      </c>
      <c r="L17" s="97">
        <f>'Global Footprints'!AS14*$Q$7*$Q$5</f>
        <v>62646.640316205529</v>
      </c>
      <c r="M17" s="97">
        <f>'Global Footprints'!AT14*$Q$7*$Q$5</f>
        <v>1204743083.0039525</v>
      </c>
      <c r="N17" s="98">
        <f>'Global Footprints'!AU14*$Q$7*$Q$5</f>
        <v>155010.27667984186</v>
      </c>
      <c r="Q17" s="64"/>
      <c r="R17" s="64"/>
      <c r="S17" s="64"/>
    </row>
    <row r="18" spans="2:23" ht="15.75" customHeight="1" thickBot="1">
      <c r="B18" s="3" t="s">
        <v>163</v>
      </c>
      <c r="C18" s="3">
        <v>26565</v>
      </c>
      <c r="F18" s="99">
        <f t="shared" ref="F18:N18" si="0">SUM(F7:F17)</f>
        <v>7126335907246.375</v>
      </c>
      <c r="G18" s="100">
        <f t="shared" si="0"/>
        <v>8159996637681.1562</v>
      </c>
      <c r="H18" s="100">
        <f t="shared" si="0"/>
        <v>15986215857707.51</v>
      </c>
      <c r="I18" s="100">
        <f t="shared" si="0"/>
        <v>37283270449.328056</v>
      </c>
      <c r="J18" s="100">
        <f t="shared" si="0"/>
        <v>188858402273.35907</v>
      </c>
      <c r="K18" s="100">
        <f t="shared" si="0"/>
        <v>8887530952942.293</v>
      </c>
      <c r="L18" s="100">
        <f t="shared" si="0"/>
        <v>172084226019.49936</v>
      </c>
      <c r="M18" s="100">
        <f t="shared" si="0"/>
        <v>2811425939393.939</v>
      </c>
      <c r="N18" s="101">
        <f t="shared" si="0"/>
        <v>5075582763705.9277</v>
      </c>
      <c r="Q18" s="19"/>
      <c r="R18" s="64"/>
      <c r="S18" s="64"/>
    </row>
    <row r="19" spans="2:23" ht="15.75" customHeight="1" thickBot="1">
      <c r="F19" s="5"/>
      <c r="G19" s="5"/>
      <c r="H19" s="5"/>
      <c r="I19" s="5"/>
      <c r="J19" s="5"/>
      <c r="K19" s="5"/>
      <c r="L19" s="5"/>
      <c r="M19" s="5"/>
      <c r="N19" s="5"/>
      <c r="Q19" s="19"/>
      <c r="R19" s="64"/>
      <c r="S19" s="64"/>
    </row>
    <row r="20" spans="2:23" ht="15.75" customHeight="1">
      <c r="F20" s="229" t="s">
        <v>1</v>
      </c>
      <c r="G20" s="230"/>
      <c r="H20" s="230"/>
      <c r="I20" s="230"/>
      <c r="J20" s="230"/>
      <c r="K20" s="230"/>
      <c r="L20" s="230"/>
      <c r="M20" s="230"/>
      <c r="N20" s="231"/>
      <c r="Q20" s="19"/>
      <c r="R20" s="64"/>
      <c r="S20" s="64"/>
    </row>
    <row r="21" spans="2:23" ht="15.75" customHeight="1">
      <c r="B21" s="212" t="s">
        <v>150</v>
      </c>
      <c r="C21" s="212"/>
      <c r="D21" s="214"/>
      <c r="F21" s="228" t="s">
        <v>50</v>
      </c>
      <c r="G21" s="226"/>
      <c r="H21" s="226"/>
      <c r="I21" s="222" t="s">
        <v>5</v>
      </c>
      <c r="J21" s="223"/>
      <c r="K21" s="224"/>
      <c r="L21" s="225" t="s">
        <v>51</v>
      </c>
      <c r="M21" s="226"/>
      <c r="N21" s="227"/>
      <c r="Q21" s="19"/>
      <c r="R21" s="64"/>
      <c r="S21" s="64"/>
    </row>
    <row r="22" spans="2:23" ht="15.75" customHeight="1">
      <c r="B22" s="3" t="s">
        <v>10</v>
      </c>
      <c r="C22" s="3" t="s">
        <v>52</v>
      </c>
      <c r="D22" s="3" t="s">
        <v>35</v>
      </c>
      <c r="F22" s="90" t="s">
        <v>2</v>
      </c>
      <c r="G22" s="88" t="s">
        <v>3</v>
      </c>
      <c r="H22" s="88" t="s">
        <v>4</v>
      </c>
      <c r="I22" s="88" t="s">
        <v>2</v>
      </c>
      <c r="J22" s="88" t="s">
        <v>3</v>
      </c>
      <c r="K22" s="88" t="s">
        <v>4</v>
      </c>
      <c r="L22" s="88" t="s">
        <v>2</v>
      </c>
      <c r="M22" s="88" t="s">
        <v>3</v>
      </c>
      <c r="N22" s="91" t="s">
        <v>4</v>
      </c>
      <c r="Q22" s="19"/>
      <c r="R22" s="64"/>
      <c r="S22" s="64"/>
    </row>
    <row r="23" spans="2:23" ht="15.75" customHeight="1">
      <c r="B23" s="3" t="s">
        <v>57</v>
      </c>
      <c r="C23" s="3">
        <v>10123</v>
      </c>
      <c r="D23" s="3">
        <v>0.38106531150009409</v>
      </c>
      <c r="F23" s="92">
        <f t="shared" ref="F23:N23" si="1">F7*$Q$6</f>
        <v>1002750503293.8073</v>
      </c>
      <c r="G23" s="89">
        <f t="shared" si="1"/>
        <v>1111155963109.3542</v>
      </c>
      <c r="H23" s="89">
        <f t="shared" si="1"/>
        <v>1233112105401.8445</v>
      </c>
      <c r="I23" s="89">
        <f t="shared" si="1"/>
        <v>385381409.64426875</v>
      </c>
      <c r="J23" s="89">
        <f t="shared" si="1"/>
        <v>5600513009.5565939</v>
      </c>
      <c r="K23" s="89">
        <f t="shared" si="1"/>
        <v>17825109757.47036</v>
      </c>
      <c r="L23" s="89">
        <f t="shared" si="1"/>
        <v>2710136495.388669</v>
      </c>
      <c r="M23" s="89">
        <f t="shared" si="1"/>
        <v>67753412384.716728</v>
      </c>
      <c r="N23" s="93">
        <f t="shared" si="1"/>
        <v>203260237154.15021</v>
      </c>
      <c r="Q23" s="19"/>
      <c r="R23" s="64"/>
      <c r="S23" s="64"/>
    </row>
    <row r="24" spans="2:23" ht="15.75" customHeight="1">
      <c r="B24" s="3" t="s">
        <v>58</v>
      </c>
      <c r="C24" s="3">
        <v>808</v>
      </c>
      <c r="D24" s="3">
        <v>3.0415960850743461E-2</v>
      </c>
      <c r="F24" s="92">
        <f t="shared" ref="F24:N24" si="2">F8*$Q$6</f>
        <v>71060566007.905136</v>
      </c>
      <c r="G24" s="89">
        <f t="shared" si="2"/>
        <v>75927728063.241119</v>
      </c>
      <c r="H24" s="89">
        <f t="shared" si="2"/>
        <v>93665829776.021103</v>
      </c>
      <c r="I24" s="89">
        <f t="shared" si="2"/>
        <v>83325814.387351796</v>
      </c>
      <c r="J24" s="89">
        <f t="shared" si="2"/>
        <v>319285830.83003956</v>
      </c>
      <c r="K24" s="89">
        <f t="shared" si="2"/>
        <v>1068439414.3873519</v>
      </c>
      <c r="L24" s="89">
        <f t="shared" si="2"/>
        <v>108159156.78524375</v>
      </c>
      <c r="M24" s="89">
        <f t="shared" si="2"/>
        <v>432636627.140975</v>
      </c>
      <c r="N24" s="93">
        <f t="shared" si="2"/>
        <v>648954940.7114625</v>
      </c>
      <c r="O24" s="64"/>
      <c r="Q24" s="64"/>
      <c r="R24" s="64"/>
      <c r="S24" s="64"/>
      <c r="T24" s="5"/>
      <c r="U24" s="63"/>
      <c r="V24" s="64"/>
      <c r="W24" s="60"/>
    </row>
    <row r="25" spans="2:23" ht="15.75" customHeight="1">
      <c r="B25" s="3" t="s">
        <v>59</v>
      </c>
      <c r="C25" s="3">
        <v>6118</v>
      </c>
      <c r="D25" s="3">
        <v>0.23030303030303031</v>
      </c>
      <c r="F25" s="92">
        <f t="shared" ref="F25:N25" si="3">F9*$Q$6</f>
        <v>335772606060.60602</v>
      </c>
      <c r="G25" s="89">
        <f t="shared" si="3"/>
        <v>401289212121.21216</v>
      </c>
      <c r="H25" s="89">
        <f t="shared" si="3"/>
        <v>532322424242.42432</v>
      </c>
      <c r="I25" s="89">
        <f t="shared" si="3"/>
        <v>224066792.72727272</v>
      </c>
      <c r="J25" s="89">
        <f t="shared" si="3"/>
        <v>1715879912.727273</v>
      </c>
      <c r="K25" s="89">
        <f t="shared" si="3"/>
        <v>8237402880.0000019</v>
      </c>
      <c r="L25" s="89">
        <f t="shared" si="3"/>
        <v>818957575.75757599</v>
      </c>
      <c r="M25" s="89">
        <f t="shared" si="3"/>
        <v>1637915151.515152</v>
      </c>
      <c r="N25" s="93">
        <f t="shared" si="3"/>
        <v>8189575757.5757589</v>
      </c>
      <c r="O25" s="64"/>
      <c r="Q25" s="64"/>
      <c r="R25" s="64"/>
      <c r="S25" s="64"/>
      <c r="T25" s="5"/>
      <c r="U25" s="63"/>
      <c r="V25" s="64"/>
      <c r="W25" s="60"/>
    </row>
    <row r="26" spans="2:23" ht="15.75" customHeight="1">
      <c r="B26" s="3" t="s">
        <v>60</v>
      </c>
      <c r="C26" s="3">
        <v>2718</v>
      </c>
      <c r="D26" s="3">
        <v>0.10231507622811971</v>
      </c>
      <c r="F26" s="92">
        <f t="shared" ref="F26:N26" si="4">F10*$Q$6</f>
        <v>1346179920.9486167</v>
      </c>
      <c r="G26" s="89">
        <f t="shared" si="4"/>
        <v>4365988932.806325</v>
      </c>
      <c r="H26" s="89">
        <f t="shared" si="4"/>
        <v>40021565217.391296</v>
      </c>
      <c r="I26" s="89">
        <f t="shared" si="4"/>
        <v>23576340.237154152</v>
      </c>
      <c r="J26" s="89">
        <f t="shared" si="4"/>
        <v>324583142.54682773</v>
      </c>
      <c r="K26" s="89">
        <f t="shared" si="4"/>
        <v>3934629226.24506</v>
      </c>
      <c r="L26" s="89">
        <f t="shared" si="4"/>
        <v>363832411.06719375</v>
      </c>
      <c r="M26" s="89">
        <f t="shared" si="4"/>
        <v>363832411.06719375</v>
      </c>
      <c r="N26" s="93">
        <f t="shared" si="4"/>
        <v>3638324110.671937</v>
      </c>
      <c r="O26" s="64"/>
      <c r="Q26" s="64"/>
      <c r="R26" s="64"/>
      <c r="S26" s="64"/>
      <c r="T26" s="5"/>
      <c r="U26" s="63"/>
      <c r="V26" s="64"/>
      <c r="W26" s="60"/>
    </row>
    <row r="27" spans="2:23" ht="15.75" customHeight="1">
      <c r="B27" s="3" t="s">
        <v>61</v>
      </c>
      <c r="C27" s="3">
        <v>4203</v>
      </c>
      <c r="D27" s="3">
        <v>0.15821569734613214</v>
      </c>
      <c r="F27" s="92">
        <f t="shared" ref="F27:N27" si="5">F11*$Q$6</f>
        <v>562615019.76284587</v>
      </c>
      <c r="G27" s="89">
        <f t="shared" si="5"/>
        <v>13502760474.308302</v>
      </c>
      <c r="H27" s="89">
        <f t="shared" si="5"/>
        <v>1237753043478.261</v>
      </c>
      <c r="I27" s="89">
        <f t="shared" si="5"/>
        <v>607624221.34387362</v>
      </c>
      <c r="J27" s="89">
        <f t="shared" si="5"/>
        <v>18847018595.035259</v>
      </c>
      <c r="K27" s="89">
        <f t="shared" si="5"/>
        <v>1724749453940.8699</v>
      </c>
      <c r="L27" s="89">
        <f t="shared" si="5"/>
        <v>18566295652.173916</v>
      </c>
      <c r="M27" s="89">
        <f t="shared" si="5"/>
        <v>56261501976.284607</v>
      </c>
      <c r="N27" s="93">
        <f t="shared" si="5"/>
        <v>95081938339.920959</v>
      </c>
      <c r="O27" s="64"/>
      <c r="Q27" s="64"/>
      <c r="R27" s="64"/>
      <c r="S27" s="64"/>
      <c r="T27" s="5"/>
      <c r="U27" s="63"/>
      <c r="V27" s="64"/>
      <c r="W27" s="60"/>
    </row>
    <row r="28" spans="2:23" ht="15.75" customHeight="1">
      <c r="B28" s="3" t="s">
        <v>62</v>
      </c>
      <c r="C28" s="3">
        <v>636</v>
      </c>
      <c r="D28" s="3">
        <v>2.3941276115189158E-2</v>
      </c>
      <c r="F28" s="92">
        <f t="shared" ref="F28:N28" si="6">F12*$Q$6</f>
        <v>11067573122.529642</v>
      </c>
      <c r="G28" s="89">
        <f t="shared" si="6"/>
        <v>19581090909.090908</v>
      </c>
      <c r="H28" s="89">
        <f t="shared" si="6"/>
        <v>35756774703.557304</v>
      </c>
      <c r="I28" s="89">
        <f t="shared" si="6"/>
        <v>6129732806.324111</v>
      </c>
      <c r="J28" s="89">
        <f t="shared" si="6"/>
        <v>10816040358.815899</v>
      </c>
      <c r="K28" s="89">
        <f t="shared" si="6"/>
        <v>20091425219.28854</v>
      </c>
      <c r="L28" s="89">
        <f t="shared" si="6"/>
        <v>11067573122.529646</v>
      </c>
      <c r="M28" s="89">
        <f t="shared" si="6"/>
        <v>425675889328.06323</v>
      </c>
      <c r="N28" s="93">
        <f t="shared" si="6"/>
        <v>689594940711.4624</v>
      </c>
      <c r="O28" s="64"/>
      <c r="Q28" s="64"/>
      <c r="R28" s="64"/>
      <c r="S28" s="64"/>
      <c r="T28" s="5"/>
      <c r="U28" s="63"/>
      <c r="V28" s="64"/>
      <c r="W28" s="60"/>
    </row>
    <row r="29" spans="2:23" ht="15.75" customHeight="1">
      <c r="B29" s="3" t="s">
        <v>63</v>
      </c>
      <c r="C29" s="3">
        <v>1198</v>
      </c>
      <c r="D29" s="3">
        <v>4.5096932053453789E-2</v>
      </c>
      <c r="F29" s="92">
        <f t="shared" ref="F29:N29" si="7">F13*$Q$6</f>
        <v>1122552832.6745718</v>
      </c>
      <c r="G29" s="89">
        <f t="shared" si="7"/>
        <v>1764011594.2028985</v>
      </c>
      <c r="H29" s="89">
        <f t="shared" si="7"/>
        <v>8980422661.396574</v>
      </c>
      <c r="I29" s="89">
        <f t="shared" si="7"/>
        <v>115462.57707509882</v>
      </c>
      <c r="J29" s="89">
        <f t="shared" si="7"/>
        <v>68285510.66096139</v>
      </c>
      <c r="K29" s="89">
        <f t="shared" si="7"/>
        <v>897836999.33596826</v>
      </c>
      <c r="L29" s="89">
        <f t="shared" si="7"/>
        <v>481094071.14624494</v>
      </c>
      <c r="M29" s="89">
        <f t="shared" si="7"/>
        <v>1603646903.820817</v>
      </c>
      <c r="N29" s="93">
        <f t="shared" si="7"/>
        <v>2084740974.9670618</v>
      </c>
      <c r="O29" s="64"/>
      <c r="Q29" s="81"/>
      <c r="R29" s="4"/>
      <c r="T29" s="5"/>
      <c r="U29" s="63"/>
      <c r="V29" s="64"/>
      <c r="W29" s="60"/>
    </row>
    <row r="30" spans="2:23" ht="15.75" customHeight="1">
      <c r="B30" s="3" t="s">
        <v>64</v>
      </c>
      <c r="C30" s="3">
        <v>67</v>
      </c>
      <c r="D30" s="3">
        <v>2.5221155655938267E-3</v>
      </c>
      <c r="F30" s="92">
        <f t="shared" ref="F30:N30" si="8">F14*$Q$6</f>
        <v>71749143.610013187</v>
      </c>
      <c r="G30" s="89">
        <f t="shared" si="8"/>
        <v>107623715.41501978</v>
      </c>
      <c r="H30" s="89">
        <f t="shared" si="8"/>
        <v>313902503.29380769</v>
      </c>
      <c r="I30" s="89">
        <f t="shared" si="8"/>
        <v>6457.4229249011869</v>
      </c>
      <c r="J30" s="89">
        <f t="shared" si="8"/>
        <v>3821120.2233027043</v>
      </c>
      <c r="K30" s="89">
        <f t="shared" si="8"/>
        <v>50212920.664031632</v>
      </c>
      <c r="L30" s="89">
        <f t="shared" si="8"/>
        <v>26905928.853754945</v>
      </c>
      <c r="M30" s="89">
        <f t="shared" si="8"/>
        <v>89686429.512516484</v>
      </c>
      <c r="N30" s="93">
        <f t="shared" si="8"/>
        <v>116592358.36627144</v>
      </c>
      <c r="O30" s="64"/>
      <c r="Q30" s="5"/>
      <c r="R30" s="64"/>
      <c r="T30" s="5"/>
      <c r="U30" s="63"/>
      <c r="V30" s="64"/>
      <c r="W30" s="60"/>
    </row>
    <row r="31" spans="2:23" ht="15.75" customHeight="1">
      <c r="B31" s="3" t="s">
        <v>65</v>
      </c>
      <c r="C31" s="3">
        <v>592</v>
      </c>
      <c r="D31" s="3">
        <v>2.2284961415396199E-2</v>
      </c>
      <c r="F31" s="92">
        <f t="shared" ref="F31:N31" si="9">F15*$Q$6</f>
        <v>1426415810.27668</v>
      </c>
      <c r="G31" s="89">
        <f t="shared" si="9"/>
        <v>3803775494.071146</v>
      </c>
      <c r="H31" s="89">
        <f t="shared" si="9"/>
        <v>14264158102.7668</v>
      </c>
      <c r="I31" s="89">
        <f t="shared" si="9"/>
        <v>1825812.2371541508</v>
      </c>
      <c r="J31" s="89">
        <f t="shared" si="9"/>
        <v>51158667.179252878</v>
      </c>
      <c r="K31" s="89">
        <f t="shared" si="9"/>
        <v>529770831.93675894</v>
      </c>
      <c r="L31" s="89">
        <f t="shared" si="9"/>
        <v>237735968.37944663</v>
      </c>
      <c r="M31" s="89">
        <f t="shared" si="9"/>
        <v>7924532279.314888</v>
      </c>
      <c r="N31" s="93">
        <f t="shared" si="9"/>
        <v>11886798418.972332</v>
      </c>
      <c r="O31" s="64"/>
      <c r="Q31" s="5"/>
      <c r="R31" s="64"/>
      <c r="T31" s="5"/>
      <c r="U31" s="63"/>
      <c r="V31" s="64"/>
      <c r="W31" s="60"/>
    </row>
    <row r="32" spans="2:23" ht="15.75" customHeight="1">
      <c r="B32" s="3" t="s">
        <v>66</v>
      </c>
      <c r="C32" s="3">
        <v>90</v>
      </c>
      <c r="D32" s="3">
        <v>3.3879164313946925E-3</v>
      </c>
      <c r="F32" s="92">
        <f t="shared" ref="F32:N32" si="10">F16*$Q$6</f>
        <v>72284584.980237156</v>
      </c>
      <c r="G32" s="89">
        <f t="shared" si="10"/>
        <v>457802371.541502</v>
      </c>
      <c r="H32" s="89">
        <f t="shared" si="10"/>
        <v>951747035.5731225</v>
      </c>
      <c r="I32" s="89">
        <f t="shared" si="10"/>
        <v>316606.48221343878</v>
      </c>
      <c r="J32" s="89">
        <f t="shared" si="10"/>
        <v>19725552.258721903</v>
      </c>
      <c r="K32" s="89">
        <f t="shared" si="10"/>
        <v>100316547.03557312</v>
      </c>
      <c r="L32" s="89">
        <f t="shared" si="10"/>
        <v>36142292.490118578</v>
      </c>
      <c r="M32" s="89">
        <f t="shared" si="10"/>
        <v>301185770.75098819</v>
      </c>
      <c r="N32" s="93">
        <f t="shared" si="10"/>
        <v>614418972.33201587</v>
      </c>
      <c r="O32" s="64"/>
      <c r="Q32" s="5"/>
      <c r="R32" s="64"/>
      <c r="T32" s="5"/>
      <c r="U32" s="63"/>
      <c r="V32" s="64"/>
      <c r="W32" s="60"/>
    </row>
    <row r="33" spans="2:23" ht="15.75" customHeight="1">
      <c r="B33" s="3" t="s">
        <v>67</v>
      </c>
      <c r="C33" s="3">
        <v>12</v>
      </c>
      <c r="D33" s="3">
        <v>4.5172219085262564E-4</v>
      </c>
      <c r="F33" s="92">
        <f t="shared" ref="F33:N33" si="11">F17*$Q$6</f>
        <v>14135652.173913045</v>
      </c>
      <c r="G33" s="89">
        <f t="shared" si="11"/>
        <v>43370750.988142297</v>
      </c>
      <c r="H33" s="89">
        <f t="shared" si="11"/>
        <v>101198418.97233202</v>
      </c>
      <c r="I33" s="89">
        <f t="shared" si="11"/>
        <v>682366.48221343884</v>
      </c>
      <c r="J33" s="89">
        <f t="shared" si="11"/>
        <v>5368754.8376856297</v>
      </c>
      <c r="K33" s="89">
        <f t="shared" si="11"/>
        <v>21592851.225296445</v>
      </c>
      <c r="L33" s="89">
        <f t="shared" si="11"/>
        <v>12529.328063241106</v>
      </c>
      <c r="M33" s="89">
        <f t="shared" si="11"/>
        <v>240948616.6007905</v>
      </c>
      <c r="N33" s="93">
        <f t="shared" si="11"/>
        <v>31002.055335968373</v>
      </c>
      <c r="O33" s="64"/>
      <c r="Q33" s="5"/>
      <c r="R33" s="64"/>
      <c r="T33" s="5"/>
      <c r="U33" s="63"/>
      <c r="V33" s="64"/>
      <c r="W33" s="60"/>
    </row>
    <row r="34" spans="2:23" ht="15.75" customHeight="1" thickBot="1">
      <c r="B34" s="3" t="s">
        <v>163</v>
      </c>
      <c r="C34" s="3">
        <v>26565</v>
      </c>
      <c r="F34" s="94">
        <f t="shared" ref="F34:N34" si="12">SUM(F23:F33)</f>
        <v>1425267181449.2749</v>
      </c>
      <c r="G34" s="95">
        <f t="shared" si="12"/>
        <v>1631999327536.2317</v>
      </c>
      <c r="H34" s="95">
        <f t="shared" si="12"/>
        <v>3197243171541.502</v>
      </c>
      <c r="I34" s="95">
        <f t="shared" si="12"/>
        <v>7456654089.865612</v>
      </c>
      <c r="J34" s="95">
        <f t="shared" si="12"/>
        <v>37771680454.671814</v>
      </c>
      <c r="K34" s="95">
        <f t="shared" si="12"/>
        <v>1777506190588.459</v>
      </c>
      <c r="L34" s="95">
        <f t="shared" si="12"/>
        <v>34416845203.899879</v>
      </c>
      <c r="M34" s="95">
        <f t="shared" si="12"/>
        <v>562285187878.78796</v>
      </c>
      <c r="N34" s="96">
        <f t="shared" si="12"/>
        <v>1015116552741.1855</v>
      </c>
      <c r="O34" s="64"/>
      <c r="Q34" s="5"/>
      <c r="R34" s="64"/>
      <c r="T34" s="5"/>
      <c r="U34" s="63"/>
      <c r="V34" s="64"/>
      <c r="W34" s="60"/>
    </row>
    <row r="35" spans="2:23" ht="15.75" customHeight="1" thickBot="1">
      <c r="O35" s="64"/>
      <c r="R35" s="64"/>
      <c r="T35" s="5"/>
      <c r="U35" s="63"/>
      <c r="V35" s="64"/>
      <c r="W35" s="60"/>
    </row>
    <row r="36" spans="2:23" ht="15.75" customHeight="1">
      <c r="F36" s="208" t="s">
        <v>191</v>
      </c>
      <c r="G36" s="209"/>
      <c r="H36" s="209"/>
      <c r="I36" s="209"/>
      <c r="J36" s="209"/>
      <c r="K36" s="209"/>
      <c r="L36" s="209"/>
      <c r="M36" s="209"/>
      <c r="N36" s="210"/>
      <c r="O36" s="64"/>
      <c r="R36" s="64"/>
      <c r="T36" s="5"/>
      <c r="U36" s="63"/>
      <c r="V36" s="64"/>
      <c r="W36" s="60"/>
    </row>
    <row r="37" spans="2:23" ht="15.75" customHeight="1">
      <c r="F37" s="211" t="s">
        <v>192</v>
      </c>
      <c r="G37" s="212"/>
      <c r="H37" s="212"/>
      <c r="I37" s="213" t="s">
        <v>195</v>
      </c>
      <c r="J37" s="212"/>
      <c r="K37" s="212"/>
      <c r="L37" s="213" t="s">
        <v>196</v>
      </c>
      <c r="M37" s="212"/>
      <c r="N37" s="214"/>
      <c r="O37" s="64"/>
      <c r="R37" s="64"/>
      <c r="T37" s="5"/>
      <c r="U37" s="63"/>
      <c r="V37" s="64"/>
      <c r="W37" s="60"/>
    </row>
    <row r="38" spans="2:23" ht="15.75" customHeight="1">
      <c r="F38" s="108" t="s">
        <v>193</v>
      </c>
      <c r="G38" s="73" t="s">
        <v>194</v>
      </c>
      <c r="H38" s="73" t="s">
        <v>92</v>
      </c>
      <c r="I38" s="73" t="s">
        <v>193</v>
      </c>
      <c r="J38" s="73" t="s">
        <v>194</v>
      </c>
      <c r="K38" s="73" t="s">
        <v>92</v>
      </c>
      <c r="L38" s="73" t="s">
        <v>193</v>
      </c>
      <c r="M38" s="73" t="s">
        <v>194</v>
      </c>
      <c r="N38" s="109" t="s">
        <v>92</v>
      </c>
      <c r="O38" s="64"/>
      <c r="R38" s="64"/>
      <c r="T38" s="5"/>
      <c r="U38" s="63"/>
      <c r="V38" s="64"/>
      <c r="W38" s="60"/>
    </row>
    <row r="39" spans="2:23" ht="15.75" customHeight="1" thickBot="1">
      <c r="F39" s="110">
        <f>F34*(0.000001)*(12+9)</f>
        <v>29930610.81043477</v>
      </c>
      <c r="G39" s="114">
        <f>G34*(0.000001)*(12+9)</f>
        <v>34271985.878260866</v>
      </c>
      <c r="H39" s="111">
        <f>H34*(0.000001)*(12+9)</f>
        <v>67142106.602371544</v>
      </c>
      <c r="I39" s="111">
        <f>I34*(12+9)</f>
        <v>156589735887.17786</v>
      </c>
      <c r="J39" s="114">
        <f>J34*(12+9)</f>
        <v>793205289548.10815</v>
      </c>
      <c r="K39" s="111">
        <f>K34*(12+9)</f>
        <v>37327630002357.641</v>
      </c>
      <c r="L39" s="112">
        <f>L34*0.0000000001*(12+9)</f>
        <v>72.275374928189748</v>
      </c>
      <c r="M39" s="115">
        <f>M34*0.0000000001*(12+9)</f>
        <v>1180.7988945454547</v>
      </c>
      <c r="N39" s="113">
        <f>N34*0.0000000001*(12+9)</f>
        <v>2131.7447607564895</v>
      </c>
      <c r="O39" s="64"/>
      <c r="R39" s="64"/>
      <c r="T39" s="5"/>
      <c r="U39" s="63"/>
      <c r="V39" s="64"/>
      <c r="W39" s="60"/>
    </row>
    <row r="40" spans="2:23" ht="15.75" customHeight="1">
      <c r="O40" s="64"/>
      <c r="R40" s="64"/>
      <c r="T40" s="5"/>
      <c r="U40" s="63"/>
      <c r="V40" s="64"/>
      <c r="W40" s="60"/>
    </row>
    <row r="41" spans="2:23" ht="15.75" customHeight="1" thickBot="1">
      <c r="O41" s="64"/>
      <c r="Q41" s="5"/>
      <c r="R41" s="64"/>
      <c r="T41" s="5"/>
      <c r="U41" s="63"/>
      <c r="V41" s="64"/>
      <c r="W41" s="60"/>
    </row>
    <row r="42" spans="2:23" ht="15.75" customHeight="1">
      <c r="F42" s="208" t="s">
        <v>197</v>
      </c>
      <c r="G42" s="209"/>
      <c r="H42" s="209"/>
      <c r="I42" s="209"/>
      <c r="J42" s="209"/>
      <c r="K42" s="209"/>
      <c r="L42" s="209"/>
      <c r="M42" s="209"/>
      <c r="N42" s="210"/>
      <c r="O42" s="64"/>
      <c r="Q42" s="5"/>
      <c r="R42" s="64"/>
      <c r="T42" s="5"/>
      <c r="U42" s="63"/>
      <c r="V42" s="64"/>
      <c r="W42" s="60"/>
    </row>
    <row r="43" spans="2:23" ht="15.75" customHeight="1">
      <c r="F43" s="211" t="s">
        <v>199</v>
      </c>
      <c r="G43" s="212"/>
      <c r="H43" s="212"/>
      <c r="I43" s="213" t="s">
        <v>203</v>
      </c>
      <c r="J43" s="212"/>
      <c r="K43" s="212"/>
      <c r="L43" s="213" t="s">
        <v>210</v>
      </c>
      <c r="M43" s="212"/>
      <c r="N43" s="214"/>
      <c r="O43" s="64"/>
      <c r="Q43" s="5"/>
      <c r="R43" s="64"/>
      <c r="T43" s="5"/>
      <c r="U43" s="63"/>
      <c r="V43" s="64"/>
      <c r="W43" s="60"/>
    </row>
    <row r="44" spans="2:23" ht="15.75" customHeight="1">
      <c r="F44" s="217" t="s">
        <v>200</v>
      </c>
      <c r="G44" s="218"/>
      <c r="H44" s="116">
        <f>G39*1000000</f>
        <v>34271985878260.867</v>
      </c>
      <c r="I44" s="219" t="s">
        <v>206</v>
      </c>
      <c r="J44" s="216"/>
      <c r="K44" s="117">
        <f>J39/1056</f>
        <v>751141372.67813277</v>
      </c>
      <c r="L44" s="119" t="s">
        <v>211</v>
      </c>
      <c r="M44" s="117">
        <f>M39*1000000000</f>
        <v>1180798894545.4546</v>
      </c>
      <c r="N44" s="118"/>
      <c r="O44" s="64"/>
      <c r="Q44" s="5"/>
      <c r="R44" s="64"/>
      <c r="T44" s="5"/>
      <c r="U44" s="63"/>
      <c r="V44" s="64"/>
      <c r="W44" s="60"/>
    </row>
    <row r="45" spans="2:23" ht="15.75" customHeight="1">
      <c r="F45" s="217" t="s">
        <v>201</v>
      </c>
      <c r="G45" s="218"/>
      <c r="H45" s="116">
        <f>G39*1000</f>
        <v>34271985878.260864</v>
      </c>
      <c r="I45" s="219" t="s">
        <v>207</v>
      </c>
      <c r="J45" s="216"/>
      <c r="K45" s="117">
        <f>J39/833</f>
        <v>952227238.35307097</v>
      </c>
      <c r="L45" s="119" t="s">
        <v>212</v>
      </c>
      <c r="M45" s="117">
        <f>M39*1000000</f>
        <v>1180798894.5454547</v>
      </c>
      <c r="N45" s="118"/>
      <c r="O45" s="64"/>
      <c r="Q45" s="5"/>
      <c r="R45" s="64"/>
      <c r="T45" s="5"/>
      <c r="U45" s="63"/>
      <c r="V45" s="64"/>
      <c r="W45" s="60"/>
    </row>
    <row r="46" spans="2:23">
      <c r="F46" s="217" t="s">
        <v>202</v>
      </c>
      <c r="G46" s="218"/>
      <c r="H46" s="116">
        <f>G39</f>
        <v>34271985.878260866</v>
      </c>
      <c r="I46" s="219" t="s">
        <v>273</v>
      </c>
      <c r="J46" s="216"/>
      <c r="K46" s="117">
        <f>J39/287</f>
        <v>2763781496.6833038</v>
      </c>
      <c r="L46" s="119" t="s">
        <v>213</v>
      </c>
      <c r="M46" s="117">
        <f>M39</f>
        <v>1180.7988945454547</v>
      </c>
      <c r="N46" s="118"/>
      <c r="O46" s="64"/>
      <c r="Q46" s="5"/>
      <c r="R46" s="64"/>
      <c r="T46" s="5"/>
      <c r="U46" s="63"/>
      <c r="V46" s="64"/>
    </row>
    <row r="47" spans="2:23" ht="15.75" customHeight="1">
      <c r="F47" s="215" t="s">
        <v>72</v>
      </c>
      <c r="G47" s="216"/>
      <c r="H47" s="123">
        <f>1/(0.000403)*G39</f>
        <v>85042148581.292465</v>
      </c>
      <c r="I47" s="219" t="s">
        <v>205</v>
      </c>
      <c r="J47" s="216"/>
      <c r="K47" s="117">
        <f>J39/200</f>
        <v>3966026447.740541</v>
      </c>
      <c r="L47" s="119" t="s">
        <v>214</v>
      </c>
      <c r="M47" s="117">
        <f>M39*0.386102</f>
        <v>455.90881478178915</v>
      </c>
      <c r="N47" s="118"/>
      <c r="O47" s="64"/>
      <c r="Q47" s="5"/>
      <c r="R47" s="64"/>
      <c r="T47" s="5"/>
      <c r="U47" s="63"/>
      <c r="V47" s="64"/>
    </row>
    <row r="48" spans="2:23" ht="15.75" customHeight="1">
      <c r="F48" s="215" t="s">
        <v>73</v>
      </c>
      <c r="G48" s="216"/>
      <c r="H48" s="123">
        <f>H44/8887</f>
        <v>3856417900.1081204</v>
      </c>
      <c r="I48" s="219" t="s">
        <v>208</v>
      </c>
      <c r="J48" s="216"/>
      <c r="K48" s="117">
        <f>J39/533</f>
        <v>1488190036.6756251</v>
      </c>
      <c r="L48" s="119" t="s">
        <v>215</v>
      </c>
      <c r="M48" s="117">
        <f>M39*247.105</f>
        <v>291781.31083665456</v>
      </c>
      <c r="N48" s="118"/>
      <c r="O48" s="64"/>
      <c r="Q48" s="5"/>
      <c r="R48" s="64"/>
      <c r="T48" s="5"/>
      <c r="U48" s="63"/>
      <c r="V48" s="64"/>
    </row>
    <row r="49" spans="6:22" ht="15.75" customHeight="1">
      <c r="F49" s="215" t="s">
        <v>74</v>
      </c>
      <c r="G49" s="216"/>
      <c r="H49" s="123">
        <f>(1/8.67)*H46</f>
        <v>3952939.5476656132</v>
      </c>
      <c r="I49" s="219" t="s">
        <v>209</v>
      </c>
      <c r="J49" s="216"/>
      <c r="K49" s="117">
        <f>J39/296</f>
        <v>2679747599.8246899</v>
      </c>
      <c r="L49" s="119" t="s">
        <v>216</v>
      </c>
      <c r="M49" s="117">
        <f>M45/5350</f>
        <v>220710.07374681396</v>
      </c>
      <c r="N49" s="118"/>
      <c r="O49" s="64"/>
      <c r="Q49" s="5"/>
      <c r="R49" s="64"/>
      <c r="T49" s="5"/>
      <c r="U49" s="63"/>
      <c r="V49" s="64"/>
    </row>
    <row r="50" spans="6:22" ht="15.75" customHeight="1">
      <c r="F50" s="215" t="s">
        <v>75</v>
      </c>
      <c r="G50" s="216"/>
      <c r="H50" s="123">
        <f>(1/0.43)*(H46)</f>
        <v>79702292.740141556</v>
      </c>
      <c r="I50" s="219" t="s">
        <v>204</v>
      </c>
      <c r="J50" s="216"/>
      <c r="K50" s="117">
        <f>J39/15415</f>
        <v>51456716.804937281</v>
      </c>
      <c r="L50" s="74"/>
      <c r="M50" s="74"/>
      <c r="N50" s="118"/>
      <c r="O50" s="64"/>
      <c r="Q50" s="5"/>
      <c r="R50" s="64"/>
      <c r="T50" s="5"/>
      <c r="U50" s="63"/>
      <c r="V50" s="64"/>
    </row>
    <row r="51" spans="6:22" ht="15.75" customHeight="1">
      <c r="F51" s="215" t="s">
        <v>76</v>
      </c>
      <c r="G51" s="216"/>
      <c r="H51" s="123">
        <f>(1/75.54)*H46</f>
        <v>453693.22052238369</v>
      </c>
      <c r="I51" s="216" t="s">
        <v>78</v>
      </c>
      <c r="J51" s="216"/>
      <c r="K51" s="117">
        <f>J39/2500000</f>
        <v>317282.11581924325</v>
      </c>
      <c r="L51" s="74"/>
      <c r="M51" s="74"/>
      <c r="N51" s="118"/>
      <c r="O51" s="64"/>
      <c r="Q51" s="5"/>
      <c r="R51" s="64"/>
      <c r="T51" s="5"/>
      <c r="U51" s="63"/>
      <c r="V51" s="64"/>
    </row>
    <row r="52" spans="6:22" ht="15.75" customHeight="1" thickBot="1">
      <c r="F52" s="220" t="s">
        <v>77</v>
      </c>
      <c r="G52" s="221"/>
      <c r="H52" s="124">
        <f>1/(0.06)*H46</f>
        <v>571199764.63768113</v>
      </c>
      <c r="I52" s="221" t="s">
        <v>79</v>
      </c>
      <c r="J52" s="221"/>
      <c r="K52" s="120">
        <f>J39/(1000*100000)</f>
        <v>7932.0528954810816</v>
      </c>
      <c r="L52" s="121"/>
      <c r="M52" s="121"/>
      <c r="N52" s="122"/>
      <c r="O52" s="64"/>
      <c r="Q52" s="5"/>
      <c r="R52" s="64"/>
      <c r="T52" s="5"/>
      <c r="U52" s="63"/>
      <c r="V52" s="64"/>
    </row>
    <row r="53" spans="6:22" ht="15.75" customHeight="1">
      <c r="O53" s="64"/>
      <c r="Q53" s="5"/>
      <c r="R53" s="64"/>
      <c r="T53" s="5"/>
      <c r="U53" s="63"/>
      <c r="V53" s="64"/>
    </row>
    <row r="54" spans="6:22" ht="31" customHeight="1"/>
    <row r="55" spans="6:22" ht="15.75" customHeight="1"/>
    <row r="56" spans="6:22" ht="15.75" customHeight="1"/>
    <row r="57" spans="6:22" ht="15.75" customHeight="1"/>
    <row r="58" spans="6:22" ht="15.75" customHeight="1"/>
    <row r="59" spans="6:22" ht="15.75" customHeight="1"/>
    <row r="60" spans="6:22" ht="15.75" customHeight="1"/>
    <row r="61" spans="6:22" ht="15.75" customHeight="1"/>
    <row r="62" spans="6:22" ht="15.75" customHeight="1"/>
    <row r="63" spans="6:22" ht="15.75" customHeight="1"/>
    <row r="64" spans="6: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sheetData>
  <mergeCells count="38">
    <mergeCell ref="B5:D5"/>
    <mergeCell ref="B21:D21"/>
    <mergeCell ref="F4:N4"/>
    <mergeCell ref="F20:N20"/>
    <mergeCell ref="I43:K43"/>
    <mergeCell ref="I44:J44"/>
    <mergeCell ref="L43:N43"/>
    <mergeCell ref="F51:G51"/>
    <mergeCell ref="F52:G52"/>
    <mergeCell ref="I45:J45"/>
    <mergeCell ref="I46:J46"/>
    <mergeCell ref="I47:J47"/>
    <mergeCell ref="I48:J48"/>
    <mergeCell ref="I49:J49"/>
    <mergeCell ref="I50:J50"/>
    <mergeCell ref="I51:J51"/>
    <mergeCell ref="I52:J52"/>
    <mergeCell ref="F43:H43"/>
    <mergeCell ref="F47:G47"/>
    <mergeCell ref="F49:G49"/>
    <mergeCell ref="F50:G50"/>
    <mergeCell ref="F48:G48"/>
    <mergeCell ref="F44:G44"/>
    <mergeCell ref="F45:G45"/>
    <mergeCell ref="F46:G46"/>
    <mergeCell ref="P4:Q4"/>
    <mergeCell ref="F42:N42"/>
    <mergeCell ref="Q16:R16"/>
    <mergeCell ref="F36:N36"/>
    <mergeCell ref="F37:H37"/>
    <mergeCell ref="I37:K37"/>
    <mergeCell ref="L37:N37"/>
    <mergeCell ref="I21:K21"/>
    <mergeCell ref="L21:N21"/>
    <mergeCell ref="F5:H5"/>
    <mergeCell ref="I5:K5"/>
    <mergeCell ref="L5:N5"/>
    <mergeCell ref="F21:H21"/>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F493-4DF4-134A-A226-228CD7E1D96A}">
  <dimension ref="A1:AA60"/>
  <sheetViews>
    <sheetView workbookViewId="0">
      <selection activeCell="O38" sqref="O38"/>
    </sheetView>
  </sheetViews>
  <sheetFormatPr baseColWidth="10" defaultRowHeight="13"/>
  <cols>
    <col min="2" max="2" width="19.5" customWidth="1"/>
    <col min="4" max="4" width="13.6640625" bestFit="1" customWidth="1"/>
    <col min="5" max="5" width="16.83203125" customWidth="1"/>
    <col min="6" max="6" width="13.5" customWidth="1"/>
    <col min="7" max="7" width="12.83203125" customWidth="1"/>
    <col min="8" max="8" width="13.6640625" customWidth="1"/>
    <col min="9" max="9" width="14.5" customWidth="1"/>
    <col min="10" max="10" width="15" customWidth="1"/>
    <col min="11" max="11" width="13.1640625" customWidth="1"/>
    <col min="12" max="12" width="13.1640625" style="3" customWidth="1"/>
    <col min="13" max="13" width="10.33203125" style="125" customWidth="1"/>
    <col min="14" max="14" width="16.33203125" style="125" customWidth="1"/>
    <col min="15" max="15" width="12.1640625" style="125" customWidth="1"/>
    <col min="16" max="16" width="13.5" style="125" customWidth="1"/>
    <col min="17" max="17" width="12.5" style="125" customWidth="1"/>
    <col min="18" max="18" width="12.1640625" style="125" customWidth="1"/>
    <col min="19" max="19" width="10.83203125" style="125"/>
    <col min="20" max="20" width="12.1640625" style="125" customWidth="1"/>
    <col min="21" max="22" width="11.1640625" style="125" customWidth="1"/>
    <col min="23" max="27" width="10.83203125" style="125"/>
  </cols>
  <sheetData>
    <row r="1" spans="1:25">
      <c r="A1" s="125"/>
      <c r="B1" s="3"/>
      <c r="C1" s="3"/>
      <c r="D1" s="3"/>
      <c r="E1" s="3"/>
      <c r="F1" s="3"/>
      <c r="G1" s="3"/>
      <c r="H1" s="3"/>
      <c r="I1" s="3"/>
      <c r="J1" s="3"/>
    </row>
    <row r="2" spans="1:25" ht="17" thickBot="1">
      <c r="A2" s="125"/>
      <c r="B2" s="126"/>
      <c r="C2" s="126"/>
      <c r="D2" s="126"/>
      <c r="E2" s="126"/>
      <c r="F2" s="126"/>
      <c r="G2" s="126"/>
      <c r="H2" s="126"/>
      <c r="K2" s="125"/>
      <c r="M2" s="152"/>
      <c r="N2" s="152"/>
      <c r="O2" s="152"/>
      <c r="P2" s="152"/>
      <c r="Q2" s="152"/>
      <c r="R2" s="152"/>
      <c r="S2" s="152"/>
      <c r="T2" s="152"/>
      <c r="U2" s="152"/>
      <c r="V2" s="152"/>
      <c r="W2" s="152"/>
      <c r="X2" s="152"/>
    </row>
    <row r="3" spans="1:25" ht="16">
      <c r="A3" s="125"/>
      <c r="B3" s="246" t="s">
        <v>217</v>
      </c>
      <c r="C3" s="247"/>
      <c r="D3" s="247"/>
      <c r="E3" s="247"/>
      <c r="F3" s="247"/>
      <c r="G3" s="247"/>
      <c r="H3" s="247"/>
      <c r="I3" s="247"/>
      <c r="J3" s="248"/>
      <c r="K3" s="125"/>
      <c r="L3" s="232" t="s">
        <v>246</v>
      </c>
      <c r="M3" s="233"/>
      <c r="N3" s="233"/>
      <c r="O3" s="233"/>
      <c r="P3" s="233"/>
      <c r="Q3" s="233"/>
      <c r="R3" s="234"/>
      <c r="S3" s="163"/>
      <c r="T3" s="241" t="s">
        <v>259</v>
      </c>
      <c r="U3" s="242"/>
      <c r="V3" s="242"/>
      <c r="W3" s="242"/>
      <c r="X3" s="242"/>
      <c r="Y3" s="243"/>
    </row>
    <row r="4" spans="1:25">
      <c r="A4" s="125"/>
      <c r="B4" s="250" t="s">
        <v>6</v>
      </c>
      <c r="C4" s="245" t="s">
        <v>218</v>
      </c>
      <c r="D4" s="245"/>
      <c r="E4" s="245" t="s">
        <v>219</v>
      </c>
      <c r="F4" s="245"/>
      <c r="G4" s="245" t="s">
        <v>220</v>
      </c>
      <c r="H4" s="245"/>
      <c r="I4" s="213" t="s">
        <v>221</v>
      </c>
      <c r="J4" s="214"/>
      <c r="K4" s="125"/>
      <c r="L4" s="235" t="s">
        <v>6</v>
      </c>
      <c r="M4" s="245" t="s">
        <v>247</v>
      </c>
      <c r="N4" s="245"/>
      <c r="O4" s="245" t="s">
        <v>248</v>
      </c>
      <c r="P4" s="245"/>
      <c r="Q4" s="213" t="s">
        <v>249</v>
      </c>
      <c r="R4" s="244"/>
      <c r="S4" s="126"/>
      <c r="T4" s="158" t="s">
        <v>251</v>
      </c>
      <c r="U4" s="237" t="s">
        <v>252</v>
      </c>
      <c r="V4" s="237"/>
      <c r="W4" s="237"/>
      <c r="X4" s="237"/>
      <c r="Y4" s="238"/>
    </row>
    <row r="5" spans="1:25" ht="13" customHeight="1">
      <c r="A5" s="125"/>
      <c r="B5" s="250"/>
      <c r="C5" s="126" t="s">
        <v>236</v>
      </c>
      <c r="D5" s="126" t="s">
        <v>92</v>
      </c>
      <c r="E5" s="126" t="s">
        <v>193</v>
      </c>
      <c r="F5" s="126" t="s">
        <v>92</v>
      </c>
      <c r="G5" s="126" t="s">
        <v>193</v>
      </c>
      <c r="H5" s="126" t="s">
        <v>92</v>
      </c>
      <c r="I5" s="73" t="s">
        <v>193</v>
      </c>
      <c r="J5" s="109" t="s">
        <v>92</v>
      </c>
      <c r="K5" s="125"/>
      <c r="L5" s="235"/>
      <c r="M5" s="163" t="s">
        <v>193</v>
      </c>
      <c r="N5" s="163" t="s">
        <v>92</v>
      </c>
      <c r="O5" s="163" t="s">
        <v>193</v>
      </c>
      <c r="P5" s="163" t="s">
        <v>92</v>
      </c>
      <c r="Q5" s="163" t="s">
        <v>193</v>
      </c>
      <c r="R5" s="167" t="s">
        <v>92</v>
      </c>
      <c r="S5" s="163"/>
      <c r="T5" s="159" t="s">
        <v>253</v>
      </c>
      <c r="U5" s="237" t="s">
        <v>254</v>
      </c>
      <c r="V5" s="237"/>
      <c r="W5" s="237"/>
      <c r="X5" s="237"/>
      <c r="Y5" s="238"/>
    </row>
    <row r="6" spans="1:25">
      <c r="A6" s="125"/>
      <c r="B6" s="136" t="s">
        <v>222</v>
      </c>
      <c r="C6" s="128">
        <v>1</v>
      </c>
      <c r="D6" s="131">
        <v>7</v>
      </c>
      <c r="E6" s="137">
        <f>C6*'Global Footprints'!$AA$15</f>
        <v>28.056440579710138</v>
      </c>
      <c r="F6" s="137">
        <f>D6*'Global Footprints'!$AC$15</f>
        <v>440.56500395256921</v>
      </c>
      <c r="G6" s="133">
        <f>C6*'Global Footprints'!$AK$15</f>
        <v>0.74353701682424844</v>
      </c>
      <c r="H6" s="133">
        <f>D6*'Global Footprints'!$AK$15</f>
        <v>5.204759117769739</v>
      </c>
      <c r="I6" s="138">
        <f>C6*'Global Footprints'!$AT$15</f>
        <v>11.068606060606061</v>
      </c>
      <c r="J6" s="139">
        <f>D6*'Global Footprints'!$AT$15</f>
        <v>77.480242424242434</v>
      </c>
      <c r="K6" s="125"/>
      <c r="L6" s="158" t="s">
        <v>0</v>
      </c>
      <c r="M6" s="176">
        <f>E6*4*30</f>
        <v>3366.7728695652168</v>
      </c>
      <c r="N6" s="176">
        <f>F6*4*30</f>
        <v>52867.800474308307</v>
      </c>
      <c r="O6" s="176">
        <f t="shared" ref="O6:R6" si="0">G6*4*30</f>
        <v>89.224442018909812</v>
      </c>
      <c r="P6" s="176">
        <f t="shared" si="0"/>
        <v>624.57109413236867</v>
      </c>
      <c r="Q6" s="176">
        <f t="shared" si="0"/>
        <v>1328.2327272727273</v>
      </c>
      <c r="R6" s="177">
        <f t="shared" si="0"/>
        <v>9297.6290909090912</v>
      </c>
      <c r="S6" s="164"/>
      <c r="T6" s="160" t="s">
        <v>22</v>
      </c>
      <c r="U6" s="237" t="s">
        <v>255</v>
      </c>
      <c r="V6" s="237"/>
      <c r="W6" s="237"/>
      <c r="X6" s="237"/>
      <c r="Y6" s="238"/>
    </row>
    <row r="7" spans="1:25" ht="14">
      <c r="A7" s="125"/>
      <c r="B7" s="140" t="s">
        <v>223</v>
      </c>
      <c r="C7" s="129">
        <v>1.35</v>
      </c>
      <c r="D7" s="132">
        <v>7.2</v>
      </c>
      <c r="E7" s="137">
        <f>C7*'Global Footprints'!$AA$15</f>
        <v>37.876194782608685</v>
      </c>
      <c r="F7" s="137">
        <f>D7*'Global Footprints'!$AC$15</f>
        <v>453.15257549407119</v>
      </c>
      <c r="G7" s="133">
        <f>C7*'Global Footprints'!$AK$15</f>
        <v>1.0037749727127354</v>
      </c>
      <c r="H7" s="133">
        <f>D7*'Global Footprints'!$AK$15</f>
        <v>5.3534665211345889</v>
      </c>
      <c r="I7" s="138">
        <f>C7*'Global Footprints'!$AT$15</f>
        <v>14.942618181818183</v>
      </c>
      <c r="J7" s="139">
        <f>D7*'Global Footprints'!$AT$15</f>
        <v>79.693963636363648</v>
      </c>
      <c r="K7" s="125"/>
      <c r="L7" s="158" t="s">
        <v>12</v>
      </c>
      <c r="M7" s="176">
        <f t="shared" ref="M7:M9" si="1">E7*4*30</f>
        <v>4545.1433739130425</v>
      </c>
      <c r="N7" s="176">
        <f t="shared" ref="N7:N10" si="2">F7*4*30</f>
        <v>54378.309059288542</v>
      </c>
      <c r="O7" s="176">
        <f t="shared" ref="O7:O9" si="3">G7*4*30</f>
        <v>120.45299672552825</v>
      </c>
      <c r="P7" s="176">
        <f t="shared" ref="P7:P10" si="4">H7*4*30</f>
        <v>642.41598253615064</v>
      </c>
      <c r="Q7" s="176">
        <f t="shared" ref="Q7:Q9" si="5">I7*4*30</f>
        <v>1793.114181818182</v>
      </c>
      <c r="R7" s="177">
        <f t="shared" ref="R7:R10" si="6">J7*4*30</f>
        <v>9563.2756363636381</v>
      </c>
      <c r="S7" s="164"/>
      <c r="T7" s="161" t="s">
        <v>29</v>
      </c>
      <c r="U7" s="237" t="s">
        <v>256</v>
      </c>
      <c r="V7" s="237"/>
      <c r="W7" s="237"/>
      <c r="X7" s="237"/>
      <c r="Y7" s="238"/>
    </row>
    <row r="8" spans="1:25" ht="15" thickBot="1">
      <c r="A8" s="125"/>
      <c r="B8" s="140" t="s">
        <v>224</v>
      </c>
      <c r="C8" s="129">
        <v>0.9</v>
      </c>
      <c r="D8" s="132">
        <v>7</v>
      </c>
      <c r="E8" s="137">
        <f>C8*'Global Footprints'!$AA$15</f>
        <v>25.250796521739126</v>
      </c>
      <c r="F8" s="137">
        <f>D8*'Global Footprints'!$AC$15</f>
        <v>440.56500395256921</v>
      </c>
      <c r="G8" s="133">
        <f>C8*'Global Footprints'!$AK$15</f>
        <v>0.66918331514182361</v>
      </c>
      <c r="H8" s="133">
        <f>D8*'Global Footprints'!$AK$15</f>
        <v>5.204759117769739</v>
      </c>
      <c r="I8" s="138">
        <f>C8*'Global Footprints'!$AT$15</f>
        <v>9.961745454545456</v>
      </c>
      <c r="J8" s="139">
        <f>D8*'Global Footprints'!$AT$15</f>
        <v>77.480242424242434</v>
      </c>
      <c r="K8" s="125"/>
      <c r="L8" s="158" t="s">
        <v>14</v>
      </c>
      <c r="M8" s="176">
        <f t="shared" si="1"/>
        <v>3030.0955826086952</v>
      </c>
      <c r="N8" s="176">
        <f t="shared" si="2"/>
        <v>52867.800474308307</v>
      </c>
      <c r="O8" s="176">
        <f t="shared" si="3"/>
        <v>80.30199781701883</v>
      </c>
      <c r="P8" s="176">
        <f t="shared" si="4"/>
        <v>624.57109413236867</v>
      </c>
      <c r="Q8" s="176">
        <f t="shared" si="5"/>
        <v>1195.4094545454548</v>
      </c>
      <c r="R8" s="177">
        <f t="shared" si="6"/>
        <v>9297.6290909090912</v>
      </c>
      <c r="S8" s="164"/>
      <c r="T8" s="162" t="s">
        <v>257</v>
      </c>
      <c r="U8" s="239" t="s">
        <v>258</v>
      </c>
      <c r="V8" s="239"/>
      <c r="W8" s="239"/>
      <c r="X8" s="239"/>
      <c r="Y8" s="240"/>
    </row>
    <row r="9" spans="1:25" ht="14">
      <c r="A9" s="125"/>
      <c r="B9" s="140" t="s">
        <v>225</v>
      </c>
      <c r="C9" s="129">
        <v>0.22500000000000001</v>
      </c>
      <c r="D9" s="132">
        <v>15.98</v>
      </c>
      <c r="E9" s="137">
        <f>C9*'Global Footprints'!$AA$15</f>
        <v>6.3126991304347815</v>
      </c>
      <c r="F9" s="137">
        <f>D9*'Global Footprints'!$AC$15</f>
        <v>1005.746966166008</v>
      </c>
      <c r="G9" s="133">
        <f>C9*'Global Footprints'!$AK$15</f>
        <v>0.1672958287854559</v>
      </c>
      <c r="H9" s="133">
        <f>D9*'Global Footprints'!$AK$15</f>
        <v>11.881721528851491</v>
      </c>
      <c r="I9" s="138">
        <f>C9*'Global Footprints'!$AT$15</f>
        <v>2.490436363636364</v>
      </c>
      <c r="J9" s="139">
        <f>D9*'Global Footprints'!$AT$15</f>
        <v>176.87632484848487</v>
      </c>
      <c r="K9" s="125"/>
      <c r="L9" s="158" t="s">
        <v>7</v>
      </c>
      <c r="M9" s="176">
        <f t="shared" si="1"/>
        <v>757.52389565217379</v>
      </c>
      <c r="N9" s="176">
        <f t="shared" si="2"/>
        <v>120689.63593992096</v>
      </c>
      <c r="O9" s="176">
        <f t="shared" si="3"/>
        <v>20.075499454254707</v>
      </c>
      <c r="P9" s="176">
        <f t="shared" si="4"/>
        <v>1425.8065834621789</v>
      </c>
      <c r="Q9" s="176">
        <f t="shared" si="5"/>
        <v>298.85236363636369</v>
      </c>
      <c r="R9" s="177">
        <f t="shared" si="6"/>
        <v>21225.158981818186</v>
      </c>
      <c r="S9" s="165"/>
    </row>
    <row r="10" spans="1:25" ht="14">
      <c r="A10" s="125"/>
      <c r="B10" s="140" t="s">
        <v>226</v>
      </c>
      <c r="C10" s="129" t="s">
        <v>9</v>
      </c>
      <c r="D10" s="132">
        <v>0.04</v>
      </c>
      <c r="E10" s="138"/>
      <c r="F10" s="137">
        <f>D10*'Global Footprints'!$AC$15</f>
        <v>2.5175143083003952</v>
      </c>
      <c r="G10" s="134" t="s">
        <v>9</v>
      </c>
      <c r="H10" s="133">
        <f>D10*'Global Footprints'!$AK$15</f>
        <v>2.9741480672969937E-2</v>
      </c>
      <c r="I10" s="135" t="s">
        <v>9</v>
      </c>
      <c r="J10" s="139">
        <f>D10*'Global Footprints'!$AT$15</f>
        <v>0.44274424242424248</v>
      </c>
      <c r="K10" s="125"/>
      <c r="L10" s="158" t="s">
        <v>250</v>
      </c>
      <c r="M10" s="178" t="s">
        <v>9</v>
      </c>
      <c r="N10" s="176">
        <f t="shared" si="2"/>
        <v>302.10171699604746</v>
      </c>
      <c r="O10" s="178" t="s">
        <v>9</v>
      </c>
      <c r="P10" s="176">
        <f t="shared" si="4"/>
        <v>3.5689776807563924</v>
      </c>
      <c r="Q10" s="178" t="s">
        <v>9</v>
      </c>
      <c r="R10" s="177">
        <f t="shared" si="6"/>
        <v>53.129309090909096</v>
      </c>
      <c r="S10" s="166"/>
    </row>
    <row r="11" spans="1:25" ht="16">
      <c r="A11" s="125"/>
      <c r="B11" s="140" t="s">
        <v>227</v>
      </c>
      <c r="C11" s="129">
        <v>0.1</v>
      </c>
      <c r="D11" s="132">
        <v>1.86</v>
      </c>
      <c r="E11" s="137">
        <f>C11*'Global Footprints'!$AA$15</f>
        <v>2.8056440579710138</v>
      </c>
      <c r="F11" s="137">
        <f>D11*'Global Footprints'!$AC$15</f>
        <v>117.06441533596839</v>
      </c>
      <c r="G11" s="133">
        <f>C11*'Global Footprints'!$AK$15</f>
        <v>7.4353701682424847E-2</v>
      </c>
      <c r="H11" s="133">
        <f>D11*'Global Footprints'!$AK$15</f>
        <v>1.3829788512931023</v>
      </c>
      <c r="I11" s="138">
        <f>C11*'Global Footprints'!$AT$15</f>
        <v>1.1068606060606061</v>
      </c>
      <c r="J11" s="139">
        <f>D11*'Global Footprints'!$AT$15</f>
        <v>20.587607272727276</v>
      </c>
      <c r="K11" s="125"/>
      <c r="L11" s="153" t="s">
        <v>8</v>
      </c>
      <c r="M11" s="170">
        <f>E11*15*4</f>
        <v>168.33864347826082</v>
      </c>
      <c r="N11" s="170">
        <f t="shared" ref="N11:R16" si="7">F11*15*4</f>
        <v>7023.8649201581038</v>
      </c>
      <c r="O11" s="170">
        <f t="shared" si="7"/>
        <v>4.4612221009454904</v>
      </c>
      <c r="P11" s="170">
        <f t="shared" si="7"/>
        <v>82.978731077586133</v>
      </c>
      <c r="Q11" s="170">
        <f t="shared" si="7"/>
        <v>66.411636363636362</v>
      </c>
      <c r="R11" s="171">
        <f t="shared" si="7"/>
        <v>1235.2564363636366</v>
      </c>
      <c r="S11" s="166"/>
      <c r="T11" s="102"/>
      <c r="U11" s="102"/>
      <c r="V11" s="102"/>
      <c r="W11" s="102"/>
      <c r="X11" s="102"/>
    </row>
    <row r="12" spans="1:25" ht="16" customHeight="1">
      <c r="A12" s="125"/>
      <c r="B12" s="140" t="s">
        <v>228</v>
      </c>
      <c r="C12" s="129">
        <v>0.54</v>
      </c>
      <c r="D12" s="132">
        <v>2.5</v>
      </c>
      <c r="E12" s="137">
        <f>C12*'Global Footprints'!$AA$15</f>
        <v>15.150477913043476</v>
      </c>
      <c r="F12" s="137">
        <f>D12*'Global Footprints'!$AC$15</f>
        <v>157.34464426877472</v>
      </c>
      <c r="G12" s="133">
        <f>C12*'Global Footprints'!$AK$15</f>
        <v>0.40150998908509417</v>
      </c>
      <c r="H12" s="133">
        <f>D12*'Global Footprints'!$AK$15</f>
        <v>1.8588425420606212</v>
      </c>
      <c r="I12" s="138">
        <f>C12*'Global Footprints'!$AT$15</f>
        <v>5.9770472727272734</v>
      </c>
      <c r="J12" s="139">
        <f>D12*'Global Footprints'!$AT$15</f>
        <v>27.671515151515152</v>
      </c>
      <c r="K12" s="125"/>
      <c r="L12" s="153" t="s">
        <v>272</v>
      </c>
      <c r="M12" s="170">
        <f t="shared" ref="M12:M15" si="8">E12*15*4</f>
        <v>909.0286747826085</v>
      </c>
      <c r="N12" s="170">
        <f t="shared" si="7"/>
        <v>9440.6786561264835</v>
      </c>
      <c r="O12" s="170">
        <f t="shared" si="7"/>
        <v>24.090599345105652</v>
      </c>
      <c r="P12" s="170">
        <f t="shared" si="7"/>
        <v>111.53055252363727</v>
      </c>
      <c r="Q12" s="170">
        <f t="shared" si="7"/>
        <v>358.6228363636364</v>
      </c>
      <c r="R12" s="171">
        <f t="shared" si="7"/>
        <v>1660.2909090909091</v>
      </c>
      <c r="S12" s="166"/>
      <c r="T12" s="102"/>
      <c r="U12" s="102"/>
      <c r="V12" s="102"/>
      <c r="W12" s="102"/>
      <c r="X12" s="102"/>
    </row>
    <row r="13" spans="1:25" ht="16">
      <c r="A13" s="125"/>
      <c r="B13" s="140" t="s">
        <v>229</v>
      </c>
      <c r="C13" s="129">
        <v>0.45</v>
      </c>
      <c r="D13" s="132">
        <v>2.58</v>
      </c>
      <c r="E13" s="137">
        <f>C13*'Global Footprints'!$AA$15</f>
        <v>12.625398260869563</v>
      </c>
      <c r="F13" s="137">
        <f>D13*'Global Footprints'!$AC$15</f>
        <v>162.3796728853755</v>
      </c>
      <c r="G13" s="133">
        <f>C13*'Global Footprints'!$AK$15</f>
        <v>0.3345916575709118</v>
      </c>
      <c r="H13" s="133">
        <f>D13*'Global Footprints'!$AK$15</f>
        <v>1.9183255034065609</v>
      </c>
      <c r="I13" s="138">
        <f>C13*'Global Footprints'!$AT$15</f>
        <v>4.980872727272728</v>
      </c>
      <c r="J13" s="139">
        <f>D13*'Global Footprints'!$AT$15</f>
        <v>28.557003636363639</v>
      </c>
      <c r="K13" s="125"/>
      <c r="L13" s="153" t="s">
        <v>271</v>
      </c>
      <c r="M13" s="170">
        <f t="shared" si="8"/>
        <v>757.52389565217379</v>
      </c>
      <c r="N13" s="170">
        <f t="shared" si="7"/>
        <v>9742.7803731225304</v>
      </c>
      <c r="O13" s="170">
        <f t="shared" si="7"/>
        <v>20.075499454254707</v>
      </c>
      <c r="P13" s="170">
        <f t="shared" si="7"/>
        <v>115.09953020439366</v>
      </c>
      <c r="Q13" s="170">
        <f t="shared" si="7"/>
        <v>298.85236363636369</v>
      </c>
      <c r="R13" s="171">
        <f t="shared" si="7"/>
        <v>1713.4202181818184</v>
      </c>
      <c r="S13" s="166"/>
      <c r="T13" s="102"/>
      <c r="U13" s="102"/>
      <c r="V13" s="102"/>
      <c r="W13" s="102"/>
      <c r="X13" s="102"/>
    </row>
    <row r="14" spans="1:25" ht="17">
      <c r="A14" s="125"/>
      <c r="B14" s="140" t="s">
        <v>230</v>
      </c>
      <c r="C14" s="129" t="s">
        <v>9</v>
      </c>
      <c r="D14" s="132">
        <v>0.18</v>
      </c>
      <c r="E14" s="141" t="s">
        <v>9</v>
      </c>
      <c r="F14" s="137">
        <f>D14*'Global Footprints'!$AC$15</f>
        <v>11.328814387351779</v>
      </c>
      <c r="G14" s="135" t="s">
        <v>9</v>
      </c>
      <c r="H14" s="133">
        <f>D14*'Global Footprints'!$AK$15</f>
        <v>0.13383666302836472</v>
      </c>
      <c r="I14" s="135" t="s">
        <v>9</v>
      </c>
      <c r="J14" s="139">
        <f>D14*'Global Footprints'!$AT$15</f>
        <v>1.9923490909090911</v>
      </c>
      <c r="K14" s="125"/>
      <c r="L14" s="153" t="s">
        <v>270</v>
      </c>
      <c r="M14" s="178" t="s">
        <v>9</v>
      </c>
      <c r="N14" s="170">
        <f t="shared" si="7"/>
        <v>679.72886324110675</v>
      </c>
      <c r="O14" s="172" t="s">
        <v>9</v>
      </c>
      <c r="P14" s="170">
        <f t="shared" ref="P14:P16" si="9">H14*15*4</f>
        <v>8.0301997817018833</v>
      </c>
      <c r="Q14" s="172" t="s">
        <v>9</v>
      </c>
      <c r="R14" s="171">
        <f t="shared" si="7"/>
        <v>119.54094545454547</v>
      </c>
      <c r="S14" s="164"/>
      <c r="T14" s="102"/>
      <c r="U14" s="85"/>
      <c r="V14" s="102"/>
      <c r="W14" s="85"/>
      <c r="X14" s="102"/>
    </row>
    <row r="15" spans="1:25" ht="20" customHeight="1">
      <c r="A15" s="125"/>
      <c r="B15" s="140" t="s">
        <v>231</v>
      </c>
      <c r="C15" s="129">
        <v>0.27</v>
      </c>
      <c r="D15" s="132">
        <v>3.24</v>
      </c>
      <c r="E15" s="137">
        <f>C15*'Global Footprints'!$AA$15</f>
        <v>7.575238956521738</v>
      </c>
      <c r="F15" s="137">
        <f>D15*'Global Footprints'!$AC$15</f>
        <v>203.91865897233205</v>
      </c>
      <c r="G15" s="133">
        <f>C15*'Global Footprints'!$AK$15</f>
        <v>0.20075499454254708</v>
      </c>
      <c r="H15" s="133">
        <f>D15*'Global Footprints'!$AK$15</f>
        <v>2.409059934510565</v>
      </c>
      <c r="I15" s="138">
        <f>C15*'Global Footprints'!$AT$15</f>
        <v>2.9885236363636367</v>
      </c>
      <c r="J15" s="139">
        <f>D15*'Global Footprints'!$AT$15</f>
        <v>35.862283636363642</v>
      </c>
      <c r="K15" s="125"/>
      <c r="L15" s="153" t="s">
        <v>269</v>
      </c>
      <c r="M15" s="170">
        <f t="shared" si="8"/>
        <v>454.51433739130425</v>
      </c>
      <c r="N15" s="170">
        <f t="shared" si="7"/>
        <v>12235.119538339923</v>
      </c>
      <c r="O15" s="170">
        <f t="shared" ref="O15" si="10">G15*15*4</f>
        <v>12.045299672552826</v>
      </c>
      <c r="P15" s="170">
        <f t="shared" si="9"/>
        <v>144.5435960706339</v>
      </c>
      <c r="Q15" s="170">
        <f t="shared" ref="Q15" si="11">I15*15*4</f>
        <v>179.3114181818182</v>
      </c>
      <c r="R15" s="171">
        <f t="shared" si="7"/>
        <v>2151.7370181818187</v>
      </c>
      <c r="S15" s="166"/>
      <c r="T15" s="102"/>
      <c r="U15" s="102"/>
      <c r="V15" s="102"/>
      <c r="W15" s="102"/>
      <c r="X15" s="102"/>
    </row>
    <row r="16" spans="1:25" ht="17">
      <c r="A16" s="125"/>
      <c r="B16" s="140" t="s">
        <v>232</v>
      </c>
      <c r="C16" s="129" t="s">
        <v>9</v>
      </c>
      <c r="D16" s="132">
        <v>0.48</v>
      </c>
      <c r="E16" s="141" t="s">
        <v>9</v>
      </c>
      <c r="F16" s="137">
        <f>D16*'Global Footprints'!$AC$15</f>
        <v>30.210171699604743</v>
      </c>
      <c r="G16" s="135" t="s">
        <v>9</v>
      </c>
      <c r="H16" s="133">
        <f>D16*'Global Footprints'!$AK$15</f>
        <v>0.35689776807563922</v>
      </c>
      <c r="I16" s="135" t="s">
        <v>9</v>
      </c>
      <c r="J16" s="139">
        <f>D16*'Global Footprints'!$AT$15</f>
        <v>5.3129309090909089</v>
      </c>
      <c r="K16" s="125"/>
      <c r="L16" s="153" t="s">
        <v>268</v>
      </c>
      <c r="M16" s="178" t="s">
        <v>9</v>
      </c>
      <c r="N16" s="170">
        <f t="shared" si="7"/>
        <v>1812.6103019762845</v>
      </c>
      <c r="O16" s="172" t="s">
        <v>9</v>
      </c>
      <c r="P16" s="170">
        <f t="shared" si="9"/>
        <v>21.413866084538352</v>
      </c>
      <c r="Q16" s="172" t="s">
        <v>9</v>
      </c>
      <c r="R16" s="171">
        <f t="shared" si="7"/>
        <v>318.77585454545454</v>
      </c>
      <c r="S16" s="166"/>
      <c r="T16" s="102"/>
      <c r="U16" s="102"/>
      <c r="V16" s="102"/>
      <c r="W16" s="102"/>
      <c r="X16" s="102"/>
    </row>
    <row r="17" spans="1:27" ht="16">
      <c r="A17" s="125"/>
      <c r="B17" s="140" t="s">
        <v>233</v>
      </c>
      <c r="C17" s="129">
        <v>0.09</v>
      </c>
      <c r="D17" s="132">
        <v>0.156</v>
      </c>
      <c r="E17" s="137">
        <f>C17*'Global Footprints'!$AA$15</f>
        <v>2.5250796521739125</v>
      </c>
      <c r="F17" s="137">
        <f>D17*'Global Footprints'!$AC$15</f>
        <v>9.8183058023715422</v>
      </c>
      <c r="G17" s="133">
        <f>C17*'Global Footprints'!$AK$15</f>
        <v>6.6918331514182361E-2</v>
      </c>
      <c r="H17" s="133">
        <f>D17*'Global Footprints'!$AK$15</f>
        <v>0.11599177462458275</v>
      </c>
      <c r="I17" s="138">
        <f>C17*'Global Footprints'!$AT$15</f>
        <v>0.99617454545454553</v>
      </c>
      <c r="J17" s="139">
        <f>D17*'Global Footprints'!$AT$15</f>
        <v>1.7267025454545455</v>
      </c>
      <c r="K17" s="125"/>
      <c r="L17" s="154" t="s">
        <v>23</v>
      </c>
      <c r="M17" s="170">
        <f>E17*2*30</f>
        <v>151.50477913043474</v>
      </c>
      <c r="N17" s="170">
        <f t="shared" ref="N17:R21" si="12">F17*2*30</f>
        <v>589.09834814229248</v>
      </c>
      <c r="O17" s="170">
        <f t="shared" si="12"/>
        <v>4.0150998908509417</v>
      </c>
      <c r="P17" s="170">
        <f t="shared" si="12"/>
        <v>6.9595064774749655</v>
      </c>
      <c r="Q17" s="170">
        <f t="shared" si="12"/>
        <v>59.770472727272733</v>
      </c>
      <c r="R17" s="171">
        <f t="shared" si="12"/>
        <v>103.60215272727272</v>
      </c>
      <c r="S17" s="166"/>
      <c r="T17" s="102"/>
      <c r="U17" s="102"/>
      <c r="V17" s="102"/>
      <c r="W17" s="102"/>
      <c r="X17" s="102"/>
    </row>
    <row r="18" spans="1:27" ht="17">
      <c r="A18" s="125"/>
      <c r="B18" s="140" t="s">
        <v>234</v>
      </c>
      <c r="C18" s="129" t="s">
        <v>9</v>
      </c>
      <c r="D18" s="132">
        <v>0.36</v>
      </c>
      <c r="E18" s="141" t="s">
        <v>9</v>
      </c>
      <c r="F18" s="137">
        <f>D18*'Global Footprints'!$AC$15</f>
        <v>22.657628774703557</v>
      </c>
      <c r="G18" s="135" t="s">
        <v>9</v>
      </c>
      <c r="H18" s="133">
        <f>D18*'Global Footprints'!$AK$15</f>
        <v>0.26767332605672944</v>
      </c>
      <c r="I18" s="135" t="s">
        <v>9</v>
      </c>
      <c r="J18" s="139">
        <f>D18*'Global Footprints'!$AT$15</f>
        <v>3.9846981818181821</v>
      </c>
      <c r="K18" s="125"/>
      <c r="L18" s="154" t="s">
        <v>267</v>
      </c>
      <c r="M18" s="172" t="s">
        <v>9</v>
      </c>
      <c r="N18" s="170">
        <f t="shared" si="12"/>
        <v>1359.4577264822135</v>
      </c>
      <c r="O18" s="172" t="s">
        <v>9</v>
      </c>
      <c r="P18" s="170">
        <f t="shared" si="12"/>
        <v>16.060399563403767</v>
      </c>
      <c r="Q18" s="172" t="s">
        <v>9</v>
      </c>
      <c r="R18" s="171">
        <f t="shared" si="12"/>
        <v>239.08189090909093</v>
      </c>
      <c r="S18" s="164"/>
      <c r="T18" s="102"/>
      <c r="U18" s="85"/>
      <c r="V18" s="102"/>
      <c r="W18" s="85"/>
      <c r="X18" s="102"/>
    </row>
    <row r="19" spans="1:27" ht="18" customHeight="1">
      <c r="A19" s="125"/>
      <c r="B19" s="140" t="s">
        <v>235</v>
      </c>
      <c r="C19" s="129" t="s">
        <v>9</v>
      </c>
      <c r="D19" s="132">
        <v>0.1</v>
      </c>
      <c r="E19" s="141" t="s">
        <v>9</v>
      </c>
      <c r="F19" s="137">
        <f>D19*'Global Footprints'!$AC$15</f>
        <v>6.293785770750989</v>
      </c>
      <c r="G19" s="135" t="s">
        <v>9</v>
      </c>
      <c r="H19" s="133">
        <f>D19*'Global Footprints'!$AK$15</f>
        <v>7.4353701682424847E-2</v>
      </c>
      <c r="I19" s="135" t="s">
        <v>9</v>
      </c>
      <c r="J19" s="139">
        <f>D19*'Global Footprints'!$AT$15</f>
        <v>1.1068606060606061</v>
      </c>
      <c r="K19" s="125"/>
      <c r="L19" s="154" t="s">
        <v>266</v>
      </c>
      <c r="M19" s="172" t="s">
        <v>9</v>
      </c>
      <c r="N19" s="170">
        <f t="shared" si="12"/>
        <v>377.62714624505935</v>
      </c>
      <c r="O19" s="172" t="s">
        <v>9</v>
      </c>
      <c r="P19" s="170">
        <f t="shared" si="12"/>
        <v>4.4612221009454904</v>
      </c>
      <c r="Q19" s="172" t="s">
        <v>9</v>
      </c>
      <c r="R19" s="171">
        <f t="shared" si="12"/>
        <v>66.411636363636362</v>
      </c>
      <c r="S19" s="166"/>
      <c r="T19" s="102"/>
      <c r="U19" s="102"/>
      <c r="V19" s="102"/>
      <c r="W19" s="102"/>
      <c r="X19" s="102"/>
    </row>
    <row r="20" spans="1:27" ht="17">
      <c r="A20" s="125"/>
      <c r="B20" s="140" t="s">
        <v>238</v>
      </c>
      <c r="C20" s="129" t="s">
        <v>9</v>
      </c>
      <c r="D20" s="132">
        <v>0.16</v>
      </c>
      <c r="E20" s="141" t="s">
        <v>9</v>
      </c>
      <c r="F20" s="137">
        <f>D20*'Global Footprints'!$AC$15</f>
        <v>10.070057233201581</v>
      </c>
      <c r="G20" s="135" t="s">
        <v>9</v>
      </c>
      <c r="H20" s="133">
        <f>D20*'Global Footprints'!$AK$15</f>
        <v>0.11896592269187975</v>
      </c>
      <c r="I20" s="135" t="s">
        <v>9</v>
      </c>
      <c r="J20" s="139">
        <f>D20*'Global Footprints'!$AT$15</f>
        <v>1.7709769696969699</v>
      </c>
      <c r="L20" s="154" t="s">
        <v>265</v>
      </c>
      <c r="M20" s="172" t="s">
        <v>9</v>
      </c>
      <c r="N20" s="170">
        <f t="shared" si="12"/>
        <v>604.20343399209492</v>
      </c>
      <c r="O20" s="172" t="s">
        <v>9</v>
      </c>
      <c r="P20" s="170">
        <f t="shared" si="12"/>
        <v>7.1379553615127849</v>
      </c>
      <c r="Q20" s="172" t="s">
        <v>9</v>
      </c>
      <c r="R20" s="171">
        <f t="shared" si="12"/>
        <v>106.25861818181819</v>
      </c>
      <c r="S20" s="164"/>
      <c r="T20" s="102"/>
      <c r="U20" s="85"/>
      <c r="V20" s="102"/>
      <c r="W20" s="85"/>
      <c r="X20" s="102"/>
    </row>
    <row r="21" spans="1:27" ht="16">
      <c r="A21" s="125"/>
      <c r="B21" s="140" t="s">
        <v>239</v>
      </c>
      <c r="C21" s="129">
        <v>0.48</v>
      </c>
      <c r="D21" s="132">
        <v>1.4</v>
      </c>
      <c r="E21" s="137">
        <f>C21*'Global Footprints'!$AA$15</f>
        <v>13.467091478260866</v>
      </c>
      <c r="F21" s="137">
        <f>D21*'Global Footprints'!$AC$15</f>
        <v>88.113000790513837</v>
      </c>
      <c r="G21" s="133">
        <f>C21*'Global Footprints'!$AK$15</f>
        <v>0.35689776807563922</v>
      </c>
      <c r="H21" s="133">
        <f>D21*'Global Footprints'!$AK$15</f>
        <v>1.0409518235539477</v>
      </c>
      <c r="I21" s="138">
        <f>C21*'Global Footprints'!$AT$15</f>
        <v>5.3129309090909089</v>
      </c>
      <c r="J21" s="139">
        <f>D21*'Global Footprints'!$AT$15</f>
        <v>15.496048484848485</v>
      </c>
      <c r="L21" s="154" t="s">
        <v>264</v>
      </c>
      <c r="M21" s="170">
        <f>E21*2*30</f>
        <v>808.02548869565192</v>
      </c>
      <c r="N21" s="170">
        <f t="shared" si="12"/>
        <v>5286.7800474308306</v>
      </c>
      <c r="O21" s="170">
        <f t="shared" ref="O21" si="13">G21*2*30</f>
        <v>21.413866084538352</v>
      </c>
      <c r="P21" s="170">
        <f t="shared" si="12"/>
        <v>62.457109413236857</v>
      </c>
      <c r="Q21" s="170">
        <f t="shared" ref="Q21" si="14">I21*2*30</f>
        <v>318.77585454545454</v>
      </c>
      <c r="R21" s="171">
        <f t="shared" si="12"/>
        <v>929.76290909090915</v>
      </c>
      <c r="S21" s="166"/>
      <c r="T21" s="102"/>
      <c r="U21" s="102"/>
      <c r="V21" s="102"/>
      <c r="W21" s="102"/>
      <c r="X21" s="102"/>
    </row>
    <row r="22" spans="1:27" ht="16">
      <c r="A22" s="125"/>
      <c r="B22" s="140" t="s">
        <v>240</v>
      </c>
      <c r="C22" s="130">
        <v>8.0000000000000002E-3</v>
      </c>
      <c r="D22" s="132">
        <v>0.4</v>
      </c>
      <c r="E22" s="137">
        <f>C22*'Global Footprints'!$AA$15</f>
        <v>0.22445152463768112</v>
      </c>
      <c r="F22" s="137">
        <f>D22*'Global Footprints'!$AC$15</f>
        <v>25.175143083003956</v>
      </c>
      <c r="G22" s="133">
        <f>C22*'Global Footprints'!$AK$15</f>
        <v>5.9482961345939875E-3</v>
      </c>
      <c r="H22" s="133">
        <f>D22*'Global Footprints'!$AK$15</f>
        <v>0.29741480672969939</v>
      </c>
      <c r="I22" s="138">
        <f>C22*'Global Footprints'!$AT$15</f>
        <v>8.8548848484848494E-2</v>
      </c>
      <c r="J22" s="139">
        <f>D22*'Global Footprints'!$AT$15</f>
        <v>4.4274424242424244</v>
      </c>
      <c r="L22" s="155" t="s">
        <v>263</v>
      </c>
      <c r="M22" s="170">
        <f>E22*1*30</f>
        <v>6.7335457391304336</v>
      </c>
      <c r="N22" s="170">
        <f t="shared" ref="N22:R23" si="15">F22*1*30</f>
        <v>755.2542924901187</v>
      </c>
      <c r="O22" s="170">
        <f t="shared" si="15"/>
        <v>0.17844888403781961</v>
      </c>
      <c r="P22" s="170">
        <f t="shared" si="15"/>
        <v>8.9224442018909809</v>
      </c>
      <c r="Q22" s="170">
        <f t="shared" si="15"/>
        <v>2.6564654545454549</v>
      </c>
      <c r="R22" s="171">
        <f t="shared" si="15"/>
        <v>132.82327272727272</v>
      </c>
      <c r="S22" s="164"/>
      <c r="T22" s="102"/>
      <c r="U22" s="85"/>
      <c r="V22" s="102"/>
      <c r="W22" s="85"/>
      <c r="X22" s="102"/>
    </row>
    <row r="23" spans="1:27" ht="16">
      <c r="A23" s="125"/>
      <c r="B23" s="140" t="s">
        <v>241</v>
      </c>
      <c r="C23" s="130">
        <v>4.0000000000000001E-3</v>
      </c>
      <c r="D23" s="132">
        <v>0.11</v>
      </c>
      <c r="E23" s="137">
        <f>C23*'Global Footprints'!$AA$15</f>
        <v>0.11222576231884056</v>
      </c>
      <c r="F23" s="137">
        <f>D23*'Global Footprints'!$AC$15</f>
        <v>6.9231643478260869</v>
      </c>
      <c r="G23" s="133">
        <f>C23*'Global Footprints'!$AK$15</f>
        <v>2.9741480672969937E-3</v>
      </c>
      <c r="H23" s="133">
        <f>D23*'Global Footprints'!$AK$15</f>
        <v>8.1789071850667333E-2</v>
      </c>
      <c r="I23" s="138">
        <f>C23*'Global Footprints'!$AT$15</f>
        <v>4.4274424242424247E-2</v>
      </c>
      <c r="J23" s="139">
        <f>D23*'Global Footprints'!$AT$15</f>
        <v>1.2175466666666668</v>
      </c>
      <c r="L23" s="155" t="s">
        <v>262</v>
      </c>
      <c r="M23" s="170">
        <f>E23*1*30</f>
        <v>3.3667728695652168</v>
      </c>
      <c r="N23" s="170">
        <f t="shared" si="15"/>
        <v>207.69493043478261</v>
      </c>
      <c r="O23" s="170">
        <f t="shared" si="15"/>
        <v>8.9224442018909805E-2</v>
      </c>
      <c r="P23" s="170">
        <f t="shared" si="15"/>
        <v>2.45367215552002</v>
      </c>
      <c r="Q23" s="170">
        <f t="shared" si="15"/>
        <v>1.3282327272727275</v>
      </c>
      <c r="R23" s="171">
        <f t="shared" si="15"/>
        <v>36.526400000000002</v>
      </c>
      <c r="S23" s="164"/>
      <c r="T23" s="102"/>
      <c r="U23" s="85"/>
      <c r="V23" s="102"/>
      <c r="W23" s="85"/>
      <c r="X23" s="102"/>
    </row>
    <row r="24" spans="1:27" ht="16">
      <c r="A24" s="125"/>
      <c r="B24" s="140" t="s">
        <v>242</v>
      </c>
      <c r="C24" s="130">
        <v>0.04</v>
      </c>
      <c r="D24" s="132">
        <v>0.3</v>
      </c>
      <c r="E24" s="137">
        <f>C24*'Global Footprints'!$AA$15</f>
        <v>1.1222576231884056</v>
      </c>
      <c r="F24" s="137">
        <f>D24*'Global Footprints'!$AC$15</f>
        <v>18.881357312252966</v>
      </c>
      <c r="G24" s="133">
        <f>C24*'Global Footprints'!$AK$15</f>
        <v>2.9741480672969937E-2</v>
      </c>
      <c r="H24" s="133">
        <f>D24*'Global Footprints'!$AK$15</f>
        <v>0.22306110504727453</v>
      </c>
      <c r="I24" s="138">
        <f>C24*'Global Footprints'!$AT$15</f>
        <v>0.44274424242424248</v>
      </c>
      <c r="J24" s="139">
        <f>D24*'Global Footprints'!$AT$15</f>
        <v>3.3205818181818185</v>
      </c>
      <c r="L24" s="156" t="s">
        <v>261</v>
      </c>
      <c r="M24" s="170">
        <f>E24*4*30</f>
        <v>134.67091478260866</v>
      </c>
      <c r="N24" s="170">
        <f>F24*4*30</f>
        <v>2265.7628774703558</v>
      </c>
      <c r="O24" s="170">
        <f t="shared" ref="O24:R25" si="16">G24*4*30</f>
        <v>3.5689776807563924</v>
      </c>
      <c r="P24" s="170">
        <f t="shared" si="16"/>
        <v>26.767332605672944</v>
      </c>
      <c r="Q24" s="170">
        <f t="shared" si="16"/>
        <v>53.129309090909096</v>
      </c>
      <c r="R24" s="171">
        <f t="shared" si="16"/>
        <v>398.4698181818182</v>
      </c>
      <c r="S24" s="164"/>
      <c r="T24" s="102"/>
      <c r="U24" s="85"/>
      <c r="V24" s="102"/>
      <c r="W24" s="85"/>
      <c r="X24" s="102"/>
    </row>
    <row r="25" spans="1:27" ht="18" thickBot="1">
      <c r="A25" s="125"/>
      <c r="B25" s="142" t="s">
        <v>243</v>
      </c>
      <c r="C25" s="143" t="s">
        <v>9</v>
      </c>
      <c r="D25" s="144">
        <v>0.15</v>
      </c>
      <c r="E25" s="145" t="s">
        <v>9</v>
      </c>
      <c r="F25" s="146">
        <f>D25*'Global Footprints'!$AC$15</f>
        <v>9.440678656126483</v>
      </c>
      <c r="G25" s="145" t="s">
        <v>9</v>
      </c>
      <c r="H25" s="147">
        <f>D25*'Global Footprints'!$AK$15</f>
        <v>0.11153055252363726</v>
      </c>
      <c r="I25" s="145" t="s">
        <v>9</v>
      </c>
      <c r="J25" s="148">
        <f>D25*'Global Footprints'!$AT$15</f>
        <v>1.6602909090909093</v>
      </c>
      <c r="L25" s="157" t="s">
        <v>260</v>
      </c>
      <c r="M25" s="173" t="s">
        <v>9</v>
      </c>
      <c r="N25" s="174">
        <f>F25*4*30</f>
        <v>1132.8814387351779</v>
      </c>
      <c r="O25" s="173" t="s">
        <v>9</v>
      </c>
      <c r="P25" s="174">
        <f t="shared" si="16"/>
        <v>13.383666302836472</v>
      </c>
      <c r="Q25" s="173" t="s">
        <v>9</v>
      </c>
      <c r="R25" s="175">
        <f t="shared" si="16"/>
        <v>199.2349090909091</v>
      </c>
      <c r="S25" s="166"/>
      <c r="T25" s="102"/>
      <c r="U25" s="102"/>
      <c r="V25" s="102"/>
      <c r="W25" s="102"/>
      <c r="X25" s="102"/>
    </row>
    <row r="26" spans="1:27" ht="16">
      <c r="A26" s="125"/>
      <c r="B26" s="125"/>
      <c r="C26" s="125"/>
      <c r="D26" s="125"/>
      <c r="E26" s="125"/>
      <c r="F26" s="125"/>
      <c r="G26" s="125"/>
      <c r="H26" s="125"/>
      <c r="M26" s="149"/>
      <c r="N26" s="150"/>
      <c r="O26" s="150"/>
      <c r="P26" s="150"/>
      <c r="Q26" s="150"/>
      <c r="R26" s="150"/>
      <c r="S26" s="102"/>
      <c r="T26" s="102"/>
      <c r="U26" s="102"/>
      <c r="V26" s="102"/>
      <c r="W26" s="102"/>
      <c r="X26" s="102"/>
    </row>
    <row r="27" spans="1:27" ht="16">
      <c r="B27" s="249" t="s">
        <v>237</v>
      </c>
      <c r="C27" s="249"/>
      <c r="D27" s="249"/>
      <c r="E27" s="249"/>
      <c r="F27" s="249"/>
      <c r="G27" s="125"/>
      <c r="H27" s="125"/>
      <c r="R27" s="150"/>
      <c r="T27" s="102"/>
      <c r="U27" s="85"/>
      <c r="V27" s="102"/>
      <c r="W27" s="85"/>
      <c r="X27" s="102"/>
    </row>
    <row r="29" spans="1:27">
      <c r="B29" s="71" t="s">
        <v>245</v>
      </c>
    </row>
    <row r="30" spans="1:27">
      <c r="G30" s="3"/>
      <c r="H30" s="125"/>
      <c r="I30" s="125"/>
      <c r="J30" s="125"/>
      <c r="K30" s="125"/>
      <c r="L30" s="125"/>
      <c r="W30"/>
      <c r="X30"/>
      <c r="Y30"/>
      <c r="Z30"/>
      <c r="AA30"/>
    </row>
    <row r="31" spans="1:27" ht="14" thickBot="1">
      <c r="B31" s="125"/>
      <c r="C31" s="125"/>
      <c r="D31" s="125"/>
      <c r="E31" s="125"/>
      <c r="F31" s="125"/>
      <c r="G31" s="125"/>
      <c r="H31" s="125"/>
      <c r="I31" s="125"/>
      <c r="J31" s="125"/>
      <c r="K31" s="125"/>
      <c r="L31" s="125"/>
      <c r="P31"/>
      <c r="Q31"/>
      <c r="R31"/>
      <c r="S31"/>
      <c r="T31"/>
      <c r="U31"/>
      <c r="V31"/>
      <c r="W31"/>
      <c r="X31"/>
      <c r="Y31"/>
      <c r="Z31"/>
      <c r="AA31"/>
    </row>
    <row r="32" spans="1:27" ht="16">
      <c r="B32" s="125"/>
      <c r="C32" s="232" t="s">
        <v>274</v>
      </c>
      <c r="D32" s="233"/>
      <c r="E32" s="233"/>
      <c r="F32" s="233"/>
      <c r="G32" s="233"/>
      <c r="H32" s="233"/>
      <c r="I32" s="233"/>
      <c r="J32" s="233"/>
      <c r="K32" s="233"/>
      <c r="L32" s="233"/>
      <c r="M32" s="234"/>
      <c r="N32" s="151"/>
      <c r="O32" s="151"/>
      <c r="P32"/>
      <c r="Q32"/>
      <c r="R32"/>
      <c r="S32"/>
      <c r="T32"/>
      <c r="U32"/>
      <c r="V32"/>
      <c r="W32"/>
      <c r="X32"/>
      <c r="Y32"/>
      <c r="Z32"/>
      <c r="AA32"/>
    </row>
    <row r="33" spans="2:27">
      <c r="B33" s="125"/>
      <c r="C33" s="235" t="s">
        <v>6</v>
      </c>
      <c r="D33" s="219" t="s">
        <v>206</v>
      </c>
      <c r="E33" s="216"/>
      <c r="F33" s="219" t="s">
        <v>273</v>
      </c>
      <c r="G33" s="216"/>
      <c r="H33" s="219" t="s">
        <v>205</v>
      </c>
      <c r="I33" s="216"/>
      <c r="J33" s="219" t="s">
        <v>208</v>
      </c>
      <c r="K33" s="216"/>
      <c r="L33" s="219" t="s">
        <v>209</v>
      </c>
      <c r="M33" s="236"/>
      <c r="N33" s="219"/>
      <c r="O33" s="216"/>
      <c r="P33"/>
      <c r="Q33"/>
      <c r="R33"/>
      <c r="S33"/>
      <c r="T33"/>
      <c r="U33"/>
      <c r="V33"/>
      <c r="W33"/>
      <c r="X33"/>
      <c r="Y33"/>
      <c r="Z33"/>
      <c r="AA33"/>
    </row>
    <row r="34" spans="2:27">
      <c r="B34" s="125"/>
      <c r="C34" s="235"/>
      <c r="D34" s="163" t="s">
        <v>92</v>
      </c>
      <c r="E34" s="163" t="s">
        <v>193</v>
      </c>
      <c r="F34" s="163" t="s">
        <v>92</v>
      </c>
      <c r="G34" s="163" t="s">
        <v>193</v>
      </c>
      <c r="H34" s="163" t="s">
        <v>92</v>
      </c>
      <c r="I34" s="163" t="s">
        <v>193</v>
      </c>
      <c r="J34" s="163" t="s">
        <v>92</v>
      </c>
      <c r="K34" s="163" t="s">
        <v>193</v>
      </c>
      <c r="L34" s="163" t="s">
        <v>92</v>
      </c>
      <c r="M34" s="167" t="s">
        <v>193</v>
      </c>
      <c r="N34" s="127"/>
      <c r="O34" s="127"/>
      <c r="P34"/>
      <c r="Q34"/>
      <c r="R34"/>
      <c r="S34"/>
      <c r="T34"/>
      <c r="U34"/>
      <c r="V34"/>
      <c r="W34"/>
      <c r="X34"/>
      <c r="Y34"/>
      <c r="Z34"/>
      <c r="AA34"/>
    </row>
    <row r="35" spans="2:27">
      <c r="B35" s="125"/>
      <c r="C35" s="179" t="s">
        <v>0</v>
      </c>
      <c r="D35" s="168">
        <f>O6/1056</f>
        <v>8.4492842820937317E-2</v>
      </c>
      <c r="E35" s="168">
        <f>P6/1056</f>
        <v>0.59144989974656126</v>
      </c>
      <c r="F35" s="168">
        <f>O6/287</f>
        <v>0.31088655755717703</v>
      </c>
      <c r="G35" s="168">
        <f>P6/287</f>
        <v>2.1762059029002394</v>
      </c>
      <c r="H35" s="168">
        <f>O6/200</f>
        <v>0.44612221009454905</v>
      </c>
      <c r="I35" s="168">
        <f>P6/200</f>
        <v>3.1228554706618432</v>
      </c>
      <c r="J35" s="168">
        <f>O6/533</f>
        <v>0.16740045406924917</v>
      </c>
      <c r="K35" s="168">
        <f>P6/533</f>
        <v>1.1718031784847442</v>
      </c>
      <c r="L35" s="168">
        <f>O6/296</f>
        <v>0.30143392573956018</v>
      </c>
      <c r="M35" s="169">
        <f>P6/296</f>
        <v>2.1100374801769211</v>
      </c>
      <c r="P35"/>
      <c r="Q35"/>
      <c r="R35"/>
      <c r="S35"/>
      <c r="T35"/>
      <c r="U35"/>
      <c r="V35"/>
      <c r="W35"/>
      <c r="X35"/>
      <c r="Y35"/>
      <c r="Z35"/>
      <c r="AA35"/>
    </row>
    <row r="36" spans="2:27">
      <c r="B36" s="125"/>
      <c r="C36" s="179" t="s">
        <v>12</v>
      </c>
      <c r="D36" s="168">
        <f t="shared" ref="D36:E36" si="17">O7/1056</f>
        <v>0.11406533780826539</v>
      </c>
      <c r="E36" s="168">
        <f t="shared" si="17"/>
        <v>0.60834846831074874</v>
      </c>
      <c r="F36" s="168">
        <f t="shared" ref="F36:G36" si="18">O7/287</f>
        <v>0.41969685270218904</v>
      </c>
      <c r="G36" s="168">
        <f t="shared" si="18"/>
        <v>2.2383832144116749</v>
      </c>
      <c r="H36" s="168">
        <f t="shared" ref="H36:I36" si="19">O7/200</f>
        <v>0.60226498362764125</v>
      </c>
      <c r="I36" s="168">
        <f t="shared" si="19"/>
        <v>3.2120799126807533</v>
      </c>
      <c r="J36" s="168">
        <f t="shared" ref="J36:K36" si="20">O7/533</f>
        <v>0.22599061299348641</v>
      </c>
      <c r="K36" s="168">
        <f t="shared" si="20"/>
        <v>1.205283269298594</v>
      </c>
      <c r="L36" s="168">
        <f t="shared" ref="L36:M36" si="21">O7/296</f>
        <v>0.40693579974840627</v>
      </c>
      <c r="M36" s="169">
        <f t="shared" si="21"/>
        <v>2.1703242653248331</v>
      </c>
      <c r="P36"/>
      <c r="Q36"/>
      <c r="R36"/>
      <c r="S36"/>
      <c r="T36"/>
      <c r="U36"/>
      <c r="V36"/>
      <c r="W36"/>
      <c r="X36"/>
      <c r="Y36"/>
      <c r="Z36"/>
      <c r="AA36"/>
    </row>
    <row r="37" spans="2:27">
      <c r="B37" s="125"/>
      <c r="C37" s="179" t="s">
        <v>14</v>
      </c>
      <c r="D37" s="168">
        <f t="shared" ref="D37:E37" si="22">O8/1056</f>
        <v>7.6043558538843592E-2</v>
      </c>
      <c r="E37" s="168">
        <f t="shared" si="22"/>
        <v>0.59144989974656126</v>
      </c>
      <c r="F37" s="168">
        <f t="shared" ref="F37:G37" si="23">O8/287</f>
        <v>0.27979790180145936</v>
      </c>
      <c r="G37" s="168">
        <f t="shared" si="23"/>
        <v>2.1762059029002394</v>
      </c>
      <c r="H37" s="168">
        <f t="shared" ref="H37:I37" si="24">O8/200</f>
        <v>0.40150998908509417</v>
      </c>
      <c r="I37" s="168">
        <f t="shared" si="24"/>
        <v>3.1228554706618432</v>
      </c>
      <c r="J37" s="168">
        <f t="shared" ref="J37:K37" si="25">O8/533</f>
        <v>0.15066040866232425</v>
      </c>
      <c r="K37" s="168">
        <f t="shared" si="25"/>
        <v>1.1718031784847442</v>
      </c>
      <c r="L37" s="168">
        <f t="shared" ref="L37:M37" si="26">O8/296</f>
        <v>0.27129053316560414</v>
      </c>
      <c r="M37" s="169">
        <f t="shared" si="26"/>
        <v>2.1100374801769211</v>
      </c>
      <c r="P37"/>
      <c r="Q37"/>
      <c r="R37"/>
      <c r="S37"/>
      <c r="T37"/>
      <c r="U37"/>
      <c r="V37"/>
      <c r="W37"/>
      <c r="X37"/>
      <c r="Y37"/>
      <c r="Z37"/>
      <c r="AA37"/>
    </row>
    <row r="38" spans="2:27">
      <c r="B38" s="125"/>
      <c r="C38" s="179" t="s">
        <v>7</v>
      </c>
      <c r="D38" s="168">
        <f t="shared" ref="D38:E38" si="27">O9/1056</f>
        <v>1.9010889634710898E-2</v>
      </c>
      <c r="E38" s="168">
        <f t="shared" si="27"/>
        <v>1.3501956282785785</v>
      </c>
      <c r="F38" s="168">
        <f t="shared" ref="F38:G38" si="28">O9/287</f>
        <v>6.994947545036484E-2</v>
      </c>
      <c r="G38" s="168">
        <f t="shared" si="28"/>
        <v>4.9679671897636899</v>
      </c>
      <c r="H38" s="168">
        <f t="shared" ref="H38:I38" si="29">O9/200</f>
        <v>0.10037749727127354</v>
      </c>
      <c r="I38" s="168">
        <f t="shared" si="29"/>
        <v>7.1290329173108944</v>
      </c>
      <c r="J38" s="168">
        <f t="shared" ref="J38:K38" si="30">O9/533</f>
        <v>3.7665102165581062E-2</v>
      </c>
      <c r="K38" s="168">
        <f t="shared" si="30"/>
        <v>2.6750592560266022</v>
      </c>
      <c r="L38" s="168">
        <f t="shared" ref="L38:M38" si="31">O9/296</f>
        <v>6.7822633291401035E-2</v>
      </c>
      <c r="M38" s="169">
        <f t="shared" si="31"/>
        <v>4.8169141333181722</v>
      </c>
      <c r="P38"/>
      <c r="Q38"/>
      <c r="R38"/>
      <c r="S38"/>
      <c r="T38"/>
      <c r="U38"/>
      <c r="V38"/>
      <c r="W38"/>
      <c r="X38"/>
      <c r="Y38"/>
      <c r="Z38"/>
      <c r="AA38"/>
    </row>
    <row r="39" spans="2:27">
      <c r="C39" s="179" t="s">
        <v>250</v>
      </c>
      <c r="D39" s="180" t="s">
        <v>9</v>
      </c>
      <c r="E39" s="168">
        <f>P10/1056</f>
        <v>3.3797137128374929E-3</v>
      </c>
      <c r="F39" s="181" t="s">
        <v>9</v>
      </c>
      <c r="G39" s="168">
        <f>P10/287</f>
        <v>1.2435462302287082E-2</v>
      </c>
      <c r="H39" s="181" t="s">
        <v>9</v>
      </c>
      <c r="I39" s="168">
        <f t="shared" ref="I39" si="32">P10/200</f>
        <v>1.7844888403781962E-2</v>
      </c>
      <c r="J39" s="181" t="s">
        <v>9</v>
      </c>
      <c r="K39" s="168">
        <f t="shared" ref="K39" si="33">P10/533</f>
        <v>6.6960181627699674E-3</v>
      </c>
      <c r="L39" s="181" t="s">
        <v>9</v>
      </c>
      <c r="M39" s="169">
        <f t="shared" ref="M39" si="34">P10/296</f>
        <v>1.2057357029582407E-2</v>
      </c>
      <c r="W39"/>
      <c r="X39"/>
      <c r="Y39"/>
      <c r="Z39"/>
      <c r="AA39"/>
    </row>
    <row r="40" spans="2:27" ht="14">
      <c r="C40" s="140" t="s">
        <v>8</v>
      </c>
      <c r="D40" s="168">
        <f t="shared" ref="D40:E40" si="35">O11/1056</f>
        <v>4.2246421410468658E-3</v>
      </c>
      <c r="E40" s="168">
        <f t="shared" si="35"/>
        <v>7.8578343823471716E-2</v>
      </c>
      <c r="F40" s="168">
        <f t="shared" ref="F40:G40" si="36">O11/287</f>
        <v>1.5544327877858852E-2</v>
      </c>
      <c r="G40" s="168">
        <f t="shared" si="36"/>
        <v>0.28912449852817468</v>
      </c>
      <c r="H40" s="168">
        <f t="shared" ref="H40:I40" si="37">O11/200</f>
        <v>2.2306110504727451E-2</v>
      </c>
      <c r="I40" s="168">
        <f t="shared" si="37"/>
        <v>0.41489365538793066</v>
      </c>
      <c r="J40" s="168">
        <f t="shared" ref="J40:K40" si="38">O11/533</f>
        <v>8.370022703462458E-3</v>
      </c>
      <c r="K40" s="168">
        <f t="shared" si="38"/>
        <v>0.15568242228440174</v>
      </c>
      <c r="L40" s="168">
        <f t="shared" ref="L40:M40" si="39">O11/296</f>
        <v>1.5071696286978008E-2</v>
      </c>
      <c r="M40" s="169">
        <f t="shared" si="39"/>
        <v>0.280333550937791</v>
      </c>
      <c r="W40"/>
      <c r="X40"/>
      <c r="Y40"/>
      <c r="Z40"/>
      <c r="AA40"/>
    </row>
    <row r="41" spans="2:27" ht="14">
      <c r="C41" s="140" t="s">
        <v>272</v>
      </c>
      <c r="D41" s="168">
        <f t="shared" ref="D41:E41" si="40">O12/1056</f>
        <v>2.2813067561653078E-2</v>
      </c>
      <c r="E41" s="168">
        <f t="shared" si="40"/>
        <v>0.10561605352617165</v>
      </c>
      <c r="F41" s="168">
        <f t="shared" ref="F41:G41" si="41">O12/287</f>
        <v>8.3939370540437805E-2</v>
      </c>
      <c r="G41" s="168">
        <f t="shared" si="41"/>
        <v>0.38860819694647131</v>
      </c>
      <c r="H41" s="168">
        <f t="shared" ref="H41:I41" si="42">O12/200</f>
        <v>0.12045299672552826</v>
      </c>
      <c r="I41" s="168">
        <f t="shared" si="42"/>
        <v>0.5576527626181863</v>
      </c>
      <c r="J41" s="168">
        <f t="shared" ref="J41:K41" si="43">O12/533</f>
        <v>4.519812259869728E-2</v>
      </c>
      <c r="K41" s="168">
        <f t="shared" si="43"/>
        <v>0.20925056758656149</v>
      </c>
      <c r="L41" s="168">
        <f t="shared" ref="L41:M41" si="44">O12/296</f>
        <v>8.1387159949681251E-2</v>
      </c>
      <c r="M41" s="169">
        <f t="shared" si="44"/>
        <v>0.37679240717445023</v>
      </c>
      <c r="W41"/>
      <c r="X41"/>
      <c r="Y41"/>
      <c r="Z41"/>
      <c r="AA41"/>
    </row>
    <row r="42" spans="2:27" ht="14">
      <c r="C42" s="140" t="s">
        <v>271</v>
      </c>
      <c r="D42" s="168">
        <f t="shared" ref="D42:E42" si="45">O13/1056</f>
        <v>1.9010889634710898E-2</v>
      </c>
      <c r="E42" s="168">
        <f t="shared" si="45"/>
        <v>0.10899576723900915</v>
      </c>
      <c r="F42" s="168">
        <f t="shared" ref="F42:G42" si="46">O13/287</f>
        <v>6.994947545036484E-2</v>
      </c>
      <c r="G42" s="168">
        <f t="shared" si="46"/>
        <v>0.4010436592487584</v>
      </c>
      <c r="H42" s="168">
        <f t="shared" ref="H42:I42" si="47">O13/200</f>
        <v>0.10037749727127354</v>
      </c>
      <c r="I42" s="168">
        <f t="shared" si="47"/>
        <v>0.57549765102196826</v>
      </c>
      <c r="J42" s="168">
        <f t="shared" ref="J42:K42" si="48">O13/533</f>
        <v>3.7665102165581062E-2</v>
      </c>
      <c r="K42" s="168">
        <f t="shared" si="48"/>
        <v>0.21594658574933145</v>
      </c>
      <c r="L42" s="168">
        <f t="shared" ref="L42:M42" si="49">O13/296</f>
        <v>6.7822633291401035E-2</v>
      </c>
      <c r="M42" s="169">
        <f t="shared" si="49"/>
        <v>0.38884976420403261</v>
      </c>
      <c r="W42"/>
      <c r="X42"/>
      <c r="Y42"/>
      <c r="Z42"/>
      <c r="AA42"/>
    </row>
    <row r="43" spans="2:27" ht="14">
      <c r="C43" s="140" t="s">
        <v>270</v>
      </c>
      <c r="D43" s="180" t="s">
        <v>9</v>
      </c>
      <c r="E43" s="168">
        <f>P14/1056</f>
        <v>7.6043558538843592E-3</v>
      </c>
      <c r="F43" s="181" t="s">
        <v>9</v>
      </c>
      <c r="G43" s="168">
        <f>P14/287</f>
        <v>2.7979790180145934E-2</v>
      </c>
      <c r="H43" s="181" t="s">
        <v>9</v>
      </c>
      <c r="I43" s="168">
        <f t="shared" ref="I43" si="50">P14/200</f>
        <v>4.0150998908509414E-2</v>
      </c>
      <c r="J43" s="181" t="s">
        <v>9</v>
      </c>
      <c r="K43" s="168">
        <f t="shared" ref="K43" si="51">P14/533</f>
        <v>1.5066040866232427E-2</v>
      </c>
      <c r="L43" s="181" t="s">
        <v>9</v>
      </c>
      <c r="M43" s="169">
        <f t="shared" ref="M43" si="52">P14/296</f>
        <v>2.7129053316560417E-2</v>
      </c>
      <c r="W43"/>
      <c r="X43"/>
      <c r="Y43"/>
      <c r="Z43"/>
      <c r="AA43"/>
    </row>
    <row r="44" spans="2:27" ht="28">
      <c r="C44" s="140" t="s">
        <v>269</v>
      </c>
      <c r="D44" s="168">
        <f t="shared" ref="D44:E44" si="53">O15/1056</f>
        <v>1.1406533780826539E-2</v>
      </c>
      <c r="E44" s="168">
        <f t="shared" si="53"/>
        <v>0.13687840536991847</v>
      </c>
      <c r="F44" s="168">
        <f t="shared" ref="F44:G44" si="54">O15/287</f>
        <v>4.1969685270218902E-2</v>
      </c>
      <c r="G44" s="168">
        <f t="shared" si="54"/>
        <v>0.5036362232426268</v>
      </c>
      <c r="H44" s="168">
        <f t="shared" ref="H44:I44" si="55">O15/200</f>
        <v>6.0226498362764128E-2</v>
      </c>
      <c r="I44" s="168">
        <f t="shared" si="55"/>
        <v>0.72271798035316948</v>
      </c>
      <c r="J44" s="168">
        <f t="shared" ref="J44:K44" si="56">O15/533</f>
        <v>2.259906129934864E-2</v>
      </c>
      <c r="K44" s="168">
        <f t="shared" si="56"/>
        <v>0.27118873559218365</v>
      </c>
      <c r="L44" s="168">
        <f t="shared" ref="L44:M44" si="57">O15/296</f>
        <v>4.0693579974840625E-2</v>
      </c>
      <c r="M44" s="169">
        <f t="shared" si="57"/>
        <v>0.48832295969808748</v>
      </c>
      <c r="W44"/>
      <c r="X44"/>
      <c r="Y44"/>
      <c r="Z44"/>
      <c r="AA44"/>
    </row>
    <row r="45" spans="2:27" ht="14">
      <c r="C45" s="140" t="s">
        <v>268</v>
      </c>
      <c r="D45" s="180" t="s">
        <v>9</v>
      </c>
      <c r="E45" s="168">
        <f>P16/1056</f>
        <v>2.0278282277024953E-2</v>
      </c>
      <c r="F45" s="181" t="s">
        <v>9</v>
      </c>
      <c r="G45" s="168">
        <f>P16/287</f>
        <v>7.4612773813722486E-2</v>
      </c>
      <c r="H45" s="181" t="s">
        <v>9</v>
      </c>
      <c r="I45" s="168">
        <f t="shared" ref="I45" si="58">P16/200</f>
        <v>0.10706933042269176</v>
      </c>
      <c r="J45" s="181" t="s">
        <v>9</v>
      </c>
      <c r="K45" s="168">
        <f t="shared" ref="K45" si="59">P16/533</f>
        <v>4.0176108976619794E-2</v>
      </c>
      <c r="L45" s="181" t="s">
        <v>9</v>
      </c>
      <c r="M45" s="169">
        <f t="shared" ref="M45" si="60">P16/296</f>
        <v>7.2344142177494436E-2</v>
      </c>
      <c r="W45"/>
      <c r="X45"/>
      <c r="Y45"/>
      <c r="Z45"/>
      <c r="AA45"/>
    </row>
    <row r="46" spans="2:27" ht="14">
      <c r="C46" s="140" t="s">
        <v>23</v>
      </c>
      <c r="D46" s="168">
        <f t="shared" ref="D46:E46" si="61">O17/1056</f>
        <v>3.8021779269421796E-3</v>
      </c>
      <c r="E46" s="168">
        <f t="shared" si="61"/>
        <v>6.590441740033111E-3</v>
      </c>
      <c r="F46" s="168">
        <f t="shared" ref="F46:G46" si="62">O17/287</f>
        <v>1.3989895090072967E-2</v>
      </c>
      <c r="G46" s="168">
        <f t="shared" si="62"/>
        <v>2.424915148945981E-2</v>
      </c>
      <c r="H46" s="168">
        <f t="shared" ref="H46:I46" si="63">O17/200</f>
        <v>2.0075499454254707E-2</v>
      </c>
      <c r="I46" s="168">
        <f t="shared" si="63"/>
        <v>3.4797532387374826E-2</v>
      </c>
      <c r="J46" s="168">
        <f t="shared" ref="J46:K46" si="64">O17/533</f>
        <v>7.5330204331162135E-3</v>
      </c>
      <c r="K46" s="168">
        <f t="shared" si="64"/>
        <v>1.3057235417401437E-2</v>
      </c>
      <c r="L46" s="168">
        <f t="shared" ref="L46:M46" si="65">O17/296</f>
        <v>1.3564526658280208E-2</v>
      </c>
      <c r="M46" s="169">
        <f t="shared" si="65"/>
        <v>2.3511846207685694E-2</v>
      </c>
      <c r="W46"/>
      <c r="X46"/>
      <c r="Y46"/>
      <c r="Z46"/>
      <c r="AA46"/>
    </row>
    <row r="47" spans="2:27" ht="14">
      <c r="C47" s="140" t="s">
        <v>267</v>
      </c>
      <c r="D47" s="180" t="s">
        <v>9</v>
      </c>
      <c r="E47" s="168">
        <f>P18/1056</f>
        <v>1.5208711707768718E-2</v>
      </c>
      <c r="F47" s="181" t="s">
        <v>9</v>
      </c>
      <c r="G47" s="168">
        <f>P18/287</f>
        <v>5.5959580360291868E-2</v>
      </c>
      <c r="H47" s="181" t="s">
        <v>9</v>
      </c>
      <c r="I47" s="168">
        <f t="shared" ref="I47" si="66">P18/200</f>
        <v>8.0301997817018828E-2</v>
      </c>
      <c r="J47" s="181" t="s">
        <v>9</v>
      </c>
      <c r="K47" s="168">
        <f t="shared" ref="K47" si="67">P18/533</f>
        <v>3.0132081732464854E-2</v>
      </c>
      <c r="L47" s="181" t="s">
        <v>9</v>
      </c>
      <c r="M47" s="169">
        <f t="shared" ref="M47" si="68">P18/296</f>
        <v>5.4258106633120834E-2</v>
      </c>
      <c r="W47"/>
      <c r="X47"/>
      <c r="Y47"/>
      <c r="Z47"/>
      <c r="AA47"/>
    </row>
    <row r="48" spans="2:27" ht="14">
      <c r="C48" s="140" t="s">
        <v>266</v>
      </c>
      <c r="D48" s="180" t="s">
        <v>9</v>
      </c>
      <c r="E48" s="168">
        <f>P19/1056</f>
        <v>4.2246421410468658E-3</v>
      </c>
      <c r="F48" s="181" t="s">
        <v>9</v>
      </c>
      <c r="G48" s="168">
        <f>P19/287</f>
        <v>1.5544327877858852E-2</v>
      </c>
      <c r="H48" s="181" t="s">
        <v>9</v>
      </c>
      <c r="I48" s="168">
        <f t="shared" ref="I48" si="69">P19/200</f>
        <v>2.2306110504727451E-2</v>
      </c>
      <c r="J48" s="181" t="s">
        <v>9</v>
      </c>
      <c r="K48" s="168">
        <f t="shared" ref="K48" si="70">P19/533</f>
        <v>8.370022703462458E-3</v>
      </c>
      <c r="L48" s="181" t="s">
        <v>9</v>
      </c>
      <c r="M48" s="169">
        <f t="shared" ref="M48" si="71">P19/296</f>
        <v>1.5071696286978008E-2</v>
      </c>
      <c r="W48"/>
      <c r="X48"/>
      <c r="Y48"/>
      <c r="Z48"/>
      <c r="AA48"/>
    </row>
    <row r="49" spans="3:27" ht="14">
      <c r="C49" s="140" t="s">
        <v>265</v>
      </c>
      <c r="D49" s="180" t="s">
        <v>9</v>
      </c>
      <c r="E49" s="168">
        <f>P20/1056</f>
        <v>6.7594274256749859E-3</v>
      </c>
      <c r="F49" s="181" t="s">
        <v>9</v>
      </c>
      <c r="G49" s="168">
        <f>P20/287</f>
        <v>2.4870924604574164E-2</v>
      </c>
      <c r="H49" s="181" t="s">
        <v>9</v>
      </c>
      <c r="I49" s="168">
        <f t="shared" ref="I49" si="72">P20/200</f>
        <v>3.5689776807563925E-2</v>
      </c>
      <c r="J49" s="181" t="s">
        <v>9</v>
      </c>
      <c r="K49" s="168">
        <f t="shared" ref="K49" si="73">P20/533</f>
        <v>1.3392036325539935E-2</v>
      </c>
      <c r="L49" s="181" t="s">
        <v>9</v>
      </c>
      <c r="M49" s="169">
        <f t="shared" ref="M49" si="74">P20/296</f>
        <v>2.4114714059164814E-2</v>
      </c>
      <c r="W49"/>
      <c r="X49"/>
      <c r="Y49"/>
      <c r="Z49"/>
      <c r="AA49"/>
    </row>
    <row r="50" spans="3:27" ht="14">
      <c r="C50" s="140" t="s">
        <v>264</v>
      </c>
      <c r="D50" s="168">
        <f t="shared" ref="D50:E50" si="75">O21/1056</f>
        <v>2.0278282277024953E-2</v>
      </c>
      <c r="E50" s="168">
        <f t="shared" si="75"/>
        <v>5.9144989974656115E-2</v>
      </c>
      <c r="F50" s="168">
        <f t="shared" ref="F50:G50" si="76">O21/287</f>
        <v>7.4612773813722486E-2</v>
      </c>
      <c r="G50" s="168">
        <f t="shared" si="76"/>
        <v>0.2176205902900239</v>
      </c>
      <c r="H50" s="168">
        <f t="shared" ref="H50:I50" si="77">O21/200</f>
        <v>0.10706933042269176</v>
      </c>
      <c r="I50" s="168">
        <f t="shared" si="77"/>
        <v>0.31228554706618428</v>
      </c>
      <c r="J50" s="168">
        <f t="shared" ref="J50:K50" si="78">O21/533</f>
        <v>4.0176108976619794E-2</v>
      </c>
      <c r="K50" s="168">
        <f t="shared" si="78"/>
        <v>0.11718031784847441</v>
      </c>
      <c r="L50" s="168">
        <f t="shared" ref="L50:M50" si="79">O21/296</f>
        <v>7.2344142177494436E-2</v>
      </c>
      <c r="M50" s="169">
        <f t="shared" si="79"/>
        <v>0.21100374801769209</v>
      </c>
      <c r="W50"/>
      <c r="X50"/>
      <c r="Y50"/>
      <c r="Z50"/>
      <c r="AA50"/>
    </row>
    <row r="51" spans="3:27" ht="14">
      <c r="C51" s="140" t="s">
        <v>263</v>
      </c>
      <c r="D51" s="168">
        <f t="shared" ref="D51:E51" si="80">O22/1056</f>
        <v>1.6898568564187462E-4</v>
      </c>
      <c r="E51" s="168">
        <f t="shared" si="80"/>
        <v>8.4492842820937317E-3</v>
      </c>
      <c r="F51" s="168">
        <f t="shared" ref="F51:G51" si="81">O22/287</f>
        <v>6.2177311511435408E-4</v>
      </c>
      <c r="G51" s="168">
        <f t="shared" si="81"/>
        <v>3.1088655755717703E-2</v>
      </c>
      <c r="H51" s="168">
        <f t="shared" ref="H51:I51" si="82">O22/200</f>
        <v>8.9224442018909808E-4</v>
      </c>
      <c r="I51" s="168">
        <f t="shared" si="82"/>
        <v>4.4612221009454903E-2</v>
      </c>
      <c r="J51" s="168">
        <f t="shared" ref="J51:K51" si="83">O22/533</f>
        <v>3.3480090813849833E-4</v>
      </c>
      <c r="K51" s="168">
        <f t="shared" si="83"/>
        <v>1.6740045406924916E-2</v>
      </c>
      <c r="L51" s="168">
        <f t="shared" ref="L51:M51" si="84">O22/296</f>
        <v>6.0286785147912027E-4</v>
      </c>
      <c r="M51" s="169">
        <f t="shared" si="84"/>
        <v>3.0143392573956016E-2</v>
      </c>
      <c r="W51"/>
      <c r="X51"/>
      <c r="Y51"/>
      <c r="Z51"/>
      <c r="AA51"/>
    </row>
    <row r="52" spans="3:27" ht="14">
      <c r="C52" s="140" t="s">
        <v>262</v>
      </c>
      <c r="D52" s="168">
        <f t="shared" ref="D52:E52" si="85">O23/1056</f>
        <v>8.4492842820937312E-5</v>
      </c>
      <c r="E52" s="168">
        <f t="shared" si="85"/>
        <v>2.3235531775757765E-3</v>
      </c>
      <c r="F52" s="168">
        <f t="shared" ref="F52:G52" si="86">O23/287</f>
        <v>3.1088655755717704E-4</v>
      </c>
      <c r="G52" s="168">
        <f t="shared" si="86"/>
        <v>8.5493803328223691E-3</v>
      </c>
      <c r="H52" s="168">
        <f t="shared" ref="H52:I52" si="87">O23/200</f>
        <v>4.4612221009454904E-4</v>
      </c>
      <c r="I52" s="168">
        <f t="shared" si="87"/>
        <v>1.22683607776001E-2</v>
      </c>
      <c r="J52" s="168">
        <f t="shared" ref="J52:K52" si="88">O23/533</f>
        <v>1.6740045406924916E-4</v>
      </c>
      <c r="K52" s="168">
        <f t="shared" si="88"/>
        <v>4.6035124869043525E-3</v>
      </c>
      <c r="L52" s="168">
        <f t="shared" ref="L52:M52" si="89">O23/296</f>
        <v>3.0143392573956014E-4</v>
      </c>
      <c r="M52" s="169">
        <f t="shared" si="89"/>
        <v>8.2894329578379056E-3</v>
      </c>
      <c r="W52"/>
      <c r="X52"/>
      <c r="Y52"/>
      <c r="Z52"/>
      <c r="AA52"/>
    </row>
    <row r="53" spans="3:27" ht="28">
      <c r="C53" s="140" t="s">
        <v>261</v>
      </c>
      <c r="D53" s="168">
        <f t="shared" ref="D53:E53" si="90">O24/1056</f>
        <v>3.3797137128374929E-3</v>
      </c>
      <c r="E53" s="168">
        <f t="shared" si="90"/>
        <v>2.5347852846281198E-2</v>
      </c>
      <c r="F53" s="168">
        <f t="shared" ref="F53:G53" si="91">O24/287</f>
        <v>1.2435462302287082E-2</v>
      </c>
      <c r="G53" s="168">
        <f t="shared" si="91"/>
        <v>9.326596726715311E-2</v>
      </c>
      <c r="H53" s="168">
        <f t="shared" ref="H53:I53" si="92">O24/200</f>
        <v>1.7844888403781962E-2</v>
      </c>
      <c r="I53" s="168">
        <f t="shared" si="92"/>
        <v>0.13383666302836472</v>
      </c>
      <c r="J53" s="168">
        <f t="shared" ref="J53:K53" si="93">O24/533</f>
        <v>6.6960181627699674E-3</v>
      </c>
      <c r="K53" s="168">
        <f t="shared" si="93"/>
        <v>5.0220136220774758E-2</v>
      </c>
      <c r="L53" s="168">
        <f t="shared" ref="L53:M53" si="94">O24/296</f>
        <v>1.2057357029582407E-2</v>
      </c>
      <c r="M53" s="169">
        <f t="shared" si="94"/>
        <v>9.0430177721868052E-2</v>
      </c>
      <c r="W53"/>
      <c r="X53"/>
      <c r="Y53"/>
      <c r="Z53"/>
      <c r="AA53"/>
    </row>
    <row r="54" spans="3:27" ht="15" thickBot="1">
      <c r="C54" s="142" t="s">
        <v>260</v>
      </c>
      <c r="D54" s="182" t="s">
        <v>9</v>
      </c>
      <c r="E54" s="183">
        <f>P25/1056</f>
        <v>1.2673926423140599E-2</v>
      </c>
      <c r="F54" s="184" t="s">
        <v>9</v>
      </c>
      <c r="G54" s="183">
        <f>P25/287</f>
        <v>4.6632983633576555E-2</v>
      </c>
      <c r="H54" s="184" t="s">
        <v>9</v>
      </c>
      <c r="I54" s="183">
        <f t="shared" ref="I54" si="95">P25/200</f>
        <v>6.6918331514182361E-2</v>
      </c>
      <c r="J54" s="184" t="s">
        <v>9</v>
      </c>
      <c r="K54" s="183">
        <f t="shared" ref="K54" si="96">P25/533</f>
        <v>2.5110068110387379E-2</v>
      </c>
      <c r="L54" s="184" t="s">
        <v>9</v>
      </c>
      <c r="M54" s="185">
        <f t="shared" ref="M54" si="97">P25/296</f>
        <v>4.5215088860934026E-2</v>
      </c>
      <c r="W54"/>
      <c r="X54"/>
      <c r="Y54"/>
      <c r="Z54"/>
      <c r="AA54"/>
    </row>
    <row r="55" spans="3:27">
      <c r="G55" s="3"/>
      <c r="H55" s="125"/>
      <c r="I55" s="125"/>
      <c r="J55" s="125"/>
      <c r="K55" s="125"/>
      <c r="L55" s="125"/>
      <c r="W55"/>
      <c r="X55"/>
      <c r="Y55"/>
      <c r="Z55"/>
      <c r="AA55"/>
    </row>
    <row r="56" spans="3:27">
      <c r="G56" s="3"/>
      <c r="H56" s="125"/>
      <c r="I56" s="125"/>
      <c r="J56" s="125"/>
      <c r="K56" s="125"/>
      <c r="L56" s="125"/>
      <c r="W56"/>
      <c r="X56"/>
      <c r="Y56"/>
      <c r="Z56"/>
      <c r="AA56"/>
    </row>
    <row r="57" spans="3:27">
      <c r="G57" s="3"/>
      <c r="H57" s="125"/>
      <c r="I57" s="125"/>
      <c r="J57" s="125"/>
      <c r="K57" s="125"/>
      <c r="L57" s="125"/>
      <c r="W57"/>
      <c r="X57"/>
      <c r="Y57"/>
      <c r="Z57"/>
      <c r="AA57"/>
    </row>
    <row r="58" spans="3:27">
      <c r="G58" s="3"/>
      <c r="H58" s="125"/>
      <c r="I58" s="125"/>
      <c r="J58" s="125"/>
      <c r="K58" s="125"/>
      <c r="L58" s="125"/>
      <c r="W58"/>
      <c r="X58"/>
      <c r="Y58"/>
      <c r="Z58"/>
      <c r="AA58"/>
    </row>
    <row r="59" spans="3:27">
      <c r="G59" s="3"/>
      <c r="H59" s="125"/>
      <c r="I59" s="125"/>
      <c r="J59" s="125"/>
      <c r="K59" s="125"/>
      <c r="L59" s="125"/>
      <c r="W59"/>
      <c r="X59"/>
      <c r="Y59"/>
      <c r="Z59"/>
      <c r="AA59"/>
    </row>
    <row r="60" spans="3:27">
      <c r="G60" s="3"/>
      <c r="H60" s="125"/>
      <c r="I60" s="125"/>
      <c r="J60" s="125"/>
      <c r="K60" s="125"/>
      <c r="L60" s="125"/>
      <c r="W60"/>
      <c r="X60"/>
      <c r="Y60"/>
      <c r="Z60"/>
      <c r="AA60"/>
    </row>
  </sheetData>
  <mergeCells count="26">
    <mergeCell ref="B3:J3"/>
    <mergeCell ref="B27:F27"/>
    <mergeCell ref="C4:D4"/>
    <mergeCell ref="B4:B5"/>
    <mergeCell ref="E4:F4"/>
    <mergeCell ref="G4:H4"/>
    <mergeCell ref="I4:J4"/>
    <mergeCell ref="L3:R3"/>
    <mergeCell ref="L4:L5"/>
    <mergeCell ref="U6:Y6"/>
    <mergeCell ref="Q4:R4"/>
    <mergeCell ref="O4:P4"/>
    <mergeCell ref="M4:N4"/>
    <mergeCell ref="U7:Y7"/>
    <mergeCell ref="U8:Y8"/>
    <mergeCell ref="T3:Y3"/>
    <mergeCell ref="U4:Y4"/>
    <mergeCell ref="U5:Y5"/>
    <mergeCell ref="N33:O33"/>
    <mergeCell ref="C32:M32"/>
    <mergeCell ref="C33:C34"/>
    <mergeCell ref="D33:E33"/>
    <mergeCell ref="F33:G33"/>
    <mergeCell ref="H33:I33"/>
    <mergeCell ref="J33:K33"/>
    <mergeCell ref="L33:M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U89"/>
  <sheetViews>
    <sheetView workbookViewId="0">
      <selection activeCell="C20" sqref="C20:G21"/>
    </sheetView>
  </sheetViews>
  <sheetFormatPr baseColWidth="10" defaultColWidth="14.5" defaultRowHeight="15.75" customHeight="1"/>
  <cols>
    <col min="1" max="1" width="12.83203125" customWidth="1"/>
    <col min="2" max="2" width="35.1640625" customWidth="1"/>
    <col min="3" max="3" width="8.5" customWidth="1"/>
    <col min="4" max="4" width="8.6640625" customWidth="1"/>
    <col min="5" max="5" width="10" customWidth="1"/>
    <col min="6" max="6" width="11.1640625" customWidth="1"/>
    <col min="7" max="7" width="7.5" customWidth="1"/>
    <col min="8" max="8" width="20.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26.5" customWidth="1"/>
  </cols>
  <sheetData>
    <row r="1" spans="1:47" s="3" customFormat="1" ht="15.75" customHeight="1"/>
    <row r="2" spans="1:47" ht="15.75" customHeight="1">
      <c r="A2" s="193" t="s">
        <v>150</v>
      </c>
      <c r="B2" s="193"/>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197" t="s">
        <v>152</v>
      </c>
      <c r="AE2" s="198"/>
      <c r="AF2" s="199"/>
      <c r="AG2" s="197" t="s">
        <v>153</v>
      </c>
      <c r="AH2" s="198"/>
      <c r="AI2" s="199"/>
      <c r="AJ2" s="197" t="s">
        <v>154</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10123</v>
      </c>
      <c r="C4" s="1">
        <f t="shared" ref="C4:C14" si="0">B4/$B$15</f>
        <v>0.38106531150009409</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2.8198833051006962</v>
      </c>
      <c r="V4" s="28">
        <f t="shared" ref="V4:V14" si="4">$S4*$C4*$E4</f>
        <v>3.1247355543007713</v>
      </c>
      <c r="W4" s="29">
        <f t="shared" ref="W4:W14" si="5">$S4*$C4*$F4</f>
        <v>3.4676943346508562</v>
      </c>
      <c r="X4" s="27">
        <f t="shared" ref="X4:X14" si="6">$T4*$C4*$D4</f>
        <v>16.919299830604174</v>
      </c>
      <c r="Y4" s="28">
        <f t="shared" ref="Y4:Y14" si="7">$T4*$C4*$E4</f>
        <v>18.748413325804627</v>
      </c>
      <c r="Z4" s="29">
        <f t="shared" ref="Z4:Z14" si="8">$T4*$C4*$F4</f>
        <v>20.806166007905137</v>
      </c>
      <c r="AA4" s="27">
        <f t="shared" ref="AA4:AC4" si="9">U4+X4</f>
        <v>19.73918313570487</v>
      </c>
      <c r="AB4" s="28">
        <f t="shared" si="9"/>
        <v>21.873148880105397</v>
      </c>
      <c r="AC4" s="29">
        <f t="shared" si="9"/>
        <v>24.273860342555992</v>
      </c>
      <c r="AD4" s="30">
        <f t="shared" ref="AD4:AD14" si="10">($S4*$C4*$M4*3.6*10^(-3))*1000</f>
        <v>1.0837497459062675E-3</v>
      </c>
      <c r="AE4" s="21">
        <f t="shared" ref="AE4:AE14" si="11">($S4*$C4*$N4*3.6*10^(-3))*1000</f>
        <v>1.574947415510853E-2</v>
      </c>
      <c r="AF4" s="22">
        <f t="shared" ref="AF4:AF14" si="12">($S4*$C4*$O4*3.6*10^(-3))*1000</f>
        <v>5.0126855335968376E-2</v>
      </c>
      <c r="AG4" s="30">
        <f t="shared" ref="AG4:AG14" si="13">($T4*$C4*$M4*3.6*10^(-3))*1000</f>
        <v>6.5024984754376057E-3</v>
      </c>
      <c r="AH4" s="21">
        <f t="shared" ref="AH4:AH14" si="14">($T4*$C4*$N4*3.6*10^(-3))*1000</f>
        <v>9.4496844930651178E-2</v>
      </c>
      <c r="AI4" s="22">
        <f t="shared" ref="AI4:AI14" si="15">($T4*$C4*O4*3.6*10^(-3))*1000</f>
        <v>0.30076113201581028</v>
      </c>
      <c r="AJ4" s="30">
        <f t="shared" ref="AJ4:AL4" si="16">AD4+AG4</f>
        <v>7.5862482213438732E-3</v>
      </c>
      <c r="AK4" s="21">
        <f t="shared" si="16"/>
        <v>0.11024631908575971</v>
      </c>
      <c r="AL4" s="22">
        <f t="shared" si="16"/>
        <v>0.35088798735177867</v>
      </c>
      <c r="AM4" s="31">
        <f t="shared" ref="AM4:AM13" si="17">$S4*$C4*10^(-3)*$P4*10^4</f>
        <v>7.6213062300018826E-3</v>
      </c>
      <c r="AN4" s="32">
        <f t="shared" ref="AN4:AN14" si="18">$S4*$C4*10^(-3)*$Q4*10^4</f>
        <v>0.19053265575004705</v>
      </c>
      <c r="AO4" s="33">
        <f t="shared" ref="AO4:AO13" si="19">$S4*$C4*10^(-3)*$R4*10^4</f>
        <v>0.57159796725014111</v>
      </c>
      <c r="AP4" s="31">
        <f t="shared" ref="AP4:AP13" si="20">$T4*$C4*10^(-3)*$P4*10^4</f>
        <v>4.5727837380011287E-2</v>
      </c>
      <c r="AQ4" s="32">
        <f t="shared" ref="AQ4:AQ14" si="21">$T4*$C4*10^(-3)*$Q4*10^4</f>
        <v>1.1431959345002822</v>
      </c>
      <c r="AR4" s="33">
        <f t="shared" ref="AR4:AR13" si="22">$T4*$C4*10^(-3)*$R4*10^4</f>
        <v>3.4295878035008465</v>
      </c>
      <c r="AS4" s="31">
        <f t="shared" ref="AS4:AU4" si="23">AM4+AP4</f>
        <v>5.3349143610013167E-2</v>
      </c>
      <c r="AT4" s="32">
        <f t="shared" si="23"/>
        <v>1.3337285902503293</v>
      </c>
      <c r="AU4" s="33">
        <f t="shared" si="23"/>
        <v>4.0011857707509879</v>
      </c>
    </row>
    <row r="5" spans="1:47" ht="16">
      <c r="A5" s="19" t="s">
        <v>58</v>
      </c>
      <c r="B5" s="1">
        <v>808</v>
      </c>
      <c r="C5" s="1">
        <f t="shared" si="0"/>
        <v>3.0415960850743461E-2</v>
      </c>
      <c r="D5" s="8">
        <v>657</v>
      </c>
      <c r="E5" s="9">
        <v>702</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0.19983286278938456</v>
      </c>
      <c r="V5" s="28">
        <f t="shared" si="4"/>
        <v>0.21352004517221912</v>
      </c>
      <c r="W5" s="29">
        <f t="shared" si="5"/>
        <v>0.26340222096743837</v>
      </c>
      <c r="X5" s="27">
        <f t="shared" si="6"/>
        <v>1.1989971767363072</v>
      </c>
      <c r="Y5" s="28">
        <f t="shared" si="7"/>
        <v>1.2811202710333145</v>
      </c>
      <c r="Z5" s="29">
        <f t="shared" si="8"/>
        <v>1.5804133258046302</v>
      </c>
      <c r="AA5" s="27">
        <f t="shared" ref="AA5:AC5" si="25">U5+X5</f>
        <v>1.3988300395256918</v>
      </c>
      <c r="AB5" s="28">
        <f t="shared" si="25"/>
        <v>1.4946403162055337</v>
      </c>
      <c r="AC5" s="29">
        <f t="shared" si="25"/>
        <v>1.8438155467720687</v>
      </c>
      <c r="AD5" s="30">
        <f t="shared" si="10"/>
        <v>2.3432456239412761E-4</v>
      </c>
      <c r="AE5" s="21">
        <f t="shared" si="11"/>
        <v>8.9787916431394697E-4</v>
      </c>
      <c r="AF5" s="22">
        <f t="shared" si="12"/>
        <v>3.0046102766798422E-3</v>
      </c>
      <c r="AG5" s="30">
        <f t="shared" si="13"/>
        <v>1.405947374364766E-3</v>
      </c>
      <c r="AH5" s="21">
        <f t="shared" si="14"/>
        <v>5.387274985883682E-3</v>
      </c>
      <c r="AI5" s="22">
        <f t="shared" si="15"/>
        <v>1.8027661660079051E-2</v>
      </c>
      <c r="AJ5" s="30">
        <f t="shared" ref="AJ5:AL5" si="26">AD5+AG5</f>
        <v>1.6402719367588935E-3</v>
      </c>
      <c r="AK5" s="21">
        <f t="shared" si="26"/>
        <v>6.2851541501976289E-3</v>
      </c>
      <c r="AL5" s="22">
        <f t="shared" si="26"/>
        <v>2.1032271936758894E-2</v>
      </c>
      <c r="AM5" s="31">
        <f t="shared" si="17"/>
        <v>3.0415960850743463E-4</v>
      </c>
      <c r="AN5" s="32">
        <f t="shared" si="18"/>
        <v>1.2166384340297385E-3</v>
      </c>
      <c r="AO5" s="33">
        <f t="shared" si="19"/>
        <v>1.8249576510446079E-3</v>
      </c>
      <c r="AP5" s="31">
        <f t="shared" si="20"/>
        <v>1.8249576510446079E-3</v>
      </c>
      <c r="AQ5" s="32">
        <f t="shared" si="21"/>
        <v>7.2998306041784315E-3</v>
      </c>
      <c r="AR5" s="33">
        <f t="shared" si="22"/>
        <v>1.0949745906267646E-2</v>
      </c>
      <c r="AS5" s="31">
        <f t="shared" ref="AS5:AU5" si="27">AM5+AP5</f>
        <v>2.1291172595520424E-3</v>
      </c>
      <c r="AT5" s="32">
        <f t="shared" si="27"/>
        <v>8.5164690382081697E-3</v>
      </c>
      <c r="AU5" s="33">
        <f t="shared" si="27"/>
        <v>1.2774703557312254E-2</v>
      </c>
    </row>
    <row r="6" spans="1:47" ht="16">
      <c r="A6" s="19" t="s">
        <v>59</v>
      </c>
      <c r="B6" s="1">
        <v>6118</v>
      </c>
      <c r="C6" s="1">
        <f t="shared" si="0"/>
        <v>0.23030303030303031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0.94424242424242433</v>
      </c>
      <c r="V6" s="28">
        <f t="shared" si="4"/>
        <v>1.1284848484848486</v>
      </c>
      <c r="W6" s="29">
        <f t="shared" si="5"/>
        <v>1.4969696969696971</v>
      </c>
      <c r="X6" s="27">
        <f t="shared" si="6"/>
        <v>5.6654545454545451</v>
      </c>
      <c r="Y6" s="28">
        <f t="shared" si="7"/>
        <v>6.7709090909090905</v>
      </c>
      <c r="Z6" s="29">
        <f t="shared" si="8"/>
        <v>8.9818181818181824</v>
      </c>
      <c r="AA6" s="27">
        <f t="shared" ref="AA6:AC6" si="29">U6+X6</f>
        <v>6.6096969696969694</v>
      </c>
      <c r="AB6" s="28">
        <f t="shared" si="29"/>
        <v>7.8993939393939394</v>
      </c>
      <c r="AC6" s="29">
        <f t="shared" si="29"/>
        <v>10.47878787878788</v>
      </c>
      <c r="AD6" s="30">
        <f t="shared" si="10"/>
        <v>6.3010909090909103E-4</v>
      </c>
      <c r="AE6" s="21">
        <f t="shared" si="11"/>
        <v>4.8253090909090926E-3</v>
      </c>
      <c r="AF6" s="22">
        <f t="shared" si="12"/>
        <v>2.3164800000000003E-2</v>
      </c>
      <c r="AG6" s="30">
        <f t="shared" si="13"/>
        <v>3.7806545454545453E-3</v>
      </c>
      <c r="AH6" s="21">
        <f t="shared" si="14"/>
        <v>2.8951854545454552E-2</v>
      </c>
      <c r="AI6" s="22">
        <f t="shared" si="15"/>
        <v>0.13898880000000002</v>
      </c>
      <c r="AJ6" s="30">
        <f t="shared" ref="AJ6:AL6" si="30">AD6+AG6</f>
        <v>4.4107636363636361E-3</v>
      </c>
      <c r="AK6" s="21">
        <f t="shared" si="30"/>
        <v>3.3777163636363641E-2</v>
      </c>
      <c r="AL6" s="22">
        <f t="shared" si="30"/>
        <v>0.16215360000000004</v>
      </c>
      <c r="AM6" s="31">
        <f t="shared" si="17"/>
        <v>2.3030303030303033E-3</v>
      </c>
      <c r="AN6" s="32">
        <f t="shared" si="18"/>
        <v>4.6060606060606066E-3</v>
      </c>
      <c r="AO6" s="33">
        <f t="shared" si="19"/>
        <v>2.3030303030303033E-2</v>
      </c>
      <c r="AP6" s="31">
        <f t="shared" si="20"/>
        <v>1.381818181818182E-2</v>
      </c>
      <c r="AQ6" s="32">
        <f t="shared" si="21"/>
        <v>2.7636363636363639E-2</v>
      </c>
      <c r="AR6" s="33">
        <f t="shared" si="22"/>
        <v>0.13818181818181818</v>
      </c>
      <c r="AS6" s="31">
        <f t="shared" ref="AS6:AU6" si="31">AM6+AP6</f>
        <v>1.6121212121212123E-2</v>
      </c>
      <c r="AT6" s="32">
        <f t="shared" si="31"/>
        <v>3.2242424242424246E-2</v>
      </c>
      <c r="AU6" s="33">
        <f t="shared" si="31"/>
        <v>0.16121212121212122</v>
      </c>
    </row>
    <row r="7" spans="1:47" ht="16">
      <c r="A7" s="19" t="s">
        <v>60</v>
      </c>
      <c r="B7" s="1">
        <v>2718</v>
      </c>
      <c r="C7" s="1">
        <f t="shared" si="0"/>
        <v>0.10231507622811971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3.7856578204404296E-3</v>
      </c>
      <c r="V7" s="28">
        <f t="shared" si="4"/>
        <v>1.2277809147374367E-2</v>
      </c>
      <c r="W7" s="29">
        <f t="shared" si="5"/>
        <v>0.11254658385093169</v>
      </c>
      <c r="X7" s="27">
        <f t="shared" si="6"/>
        <v>2.2713946922642576E-2</v>
      </c>
      <c r="Y7" s="28">
        <f t="shared" si="7"/>
        <v>7.3666854884246194E-2</v>
      </c>
      <c r="Z7" s="29">
        <f t="shared" si="8"/>
        <v>0.67527950310559004</v>
      </c>
      <c r="AA7" s="27">
        <f t="shared" ref="AA7:AC7" si="33">U7+X7</f>
        <v>2.6499604743083004E-2</v>
      </c>
      <c r="AB7" s="28">
        <f t="shared" si="33"/>
        <v>8.5944664031620557E-2</v>
      </c>
      <c r="AC7" s="29">
        <f t="shared" si="33"/>
        <v>0.78782608695652168</v>
      </c>
      <c r="AD7" s="30">
        <f t="shared" si="10"/>
        <v>6.6300169395821574E-5</v>
      </c>
      <c r="AE7" s="21">
        <f t="shared" si="11"/>
        <v>9.1277599141402596E-4</v>
      </c>
      <c r="AF7" s="22">
        <f t="shared" si="12"/>
        <v>1.106476160361378E-2</v>
      </c>
      <c r="AG7" s="30">
        <f t="shared" si="13"/>
        <v>3.9780101637492939E-4</v>
      </c>
      <c r="AH7" s="21">
        <f t="shared" si="14"/>
        <v>5.4766559484841571E-3</v>
      </c>
      <c r="AI7" s="22">
        <f t="shared" si="15"/>
        <v>6.6388569621682672E-2</v>
      </c>
      <c r="AJ7" s="30">
        <f t="shared" ref="AJ7:AL7" si="34">AD7+AG7</f>
        <v>4.6410118577075096E-4</v>
      </c>
      <c r="AK7" s="21">
        <f t="shared" si="34"/>
        <v>6.3894319398981828E-3</v>
      </c>
      <c r="AL7" s="22">
        <f t="shared" si="34"/>
        <v>7.7453331225296448E-2</v>
      </c>
      <c r="AM7" s="31">
        <f t="shared" si="17"/>
        <v>1.0231507622811974E-3</v>
      </c>
      <c r="AN7" s="32">
        <f t="shared" si="18"/>
        <v>1.0231507622811974E-3</v>
      </c>
      <c r="AO7" s="33">
        <f t="shared" si="19"/>
        <v>1.0231507622811973E-2</v>
      </c>
      <c r="AP7" s="31">
        <f t="shared" si="20"/>
        <v>6.1389045736871825E-3</v>
      </c>
      <c r="AQ7" s="32">
        <f t="shared" si="21"/>
        <v>6.1389045736871825E-3</v>
      </c>
      <c r="AR7" s="33">
        <f t="shared" si="22"/>
        <v>6.1389045736871831E-2</v>
      </c>
      <c r="AS7" s="31">
        <f t="shared" ref="AS7:AU7" si="35">AM7+AP7</f>
        <v>7.1620553359683804E-3</v>
      </c>
      <c r="AT7" s="32">
        <f t="shared" si="35"/>
        <v>7.1620553359683804E-3</v>
      </c>
      <c r="AU7" s="33">
        <f t="shared" si="35"/>
        <v>7.16205533596838E-2</v>
      </c>
    </row>
    <row r="8" spans="1:47" ht="16">
      <c r="A8" s="19" t="s">
        <v>61</v>
      </c>
      <c r="B8" s="1">
        <v>4203</v>
      </c>
      <c r="C8" s="1">
        <f t="shared" si="0"/>
        <v>0.15821569734613214</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1.5821569734613215E-3</v>
      </c>
      <c r="V8" s="28">
        <f t="shared" si="4"/>
        <v>3.7971767363071715E-2</v>
      </c>
      <c r="W8" s="29">
        <f t="shared" si="5"/>
        <v>3.4807453416149072</v>
      </c>
      <c r="X8" s="27">
        <f t="shared" si="6"/>
        <v>9.4929418407679288E-3</v>
      </c>
      <c r="Y8" s="28">
        <f t="shared" si="7"/>
        <v>0.22783060417843029</v>
      </c>
      <c r="Z8" s="29">
        <f t="shared" si="8"/>
        <v>20.884472049689442</v>
      </c>
      <c r="AA8" s="27">
        <f t="shared" ref="AA8:AC8" si="37">U8+X8</f>
        <v>1.107509881422925E-2</v>
      </c>
      <c r="AB8" s="28">
        <f t="shared" si="37"/>
        <v>0.26580237154150199</v>
      </c>
      <c r="AC8" s="29">
        <f t="shared" si="37"/>
        <v>24.365217391304348</v>
      </c>
      <c r="AD8" s="30">
        <f t="shared" si="10"/>
        <v>1.7087295313382271E-3</v>
      </c>
      <c r="AE8" s="21">
        <f t="shared" si="11"/>
        <v>5.3000614721696454E-2</v>
      </c>
      <c r="AF8" s="22">
        <f t="shared" si="12"/>
        <v>4.8502515577639755</v>
      </c>
      <c r="AG8" s="30">
        <f t="shared" si="13"/>
        <v>1.0252377188029363E-2</v>
      </c>
      <c r="AH8" s="21">
        <f t="shared" si="14"/>
        <v>0.31800368833017872</v>
      </c>
      <c r="AI8" s="22">
        <f t="shared" si="15"/>
        <v>29.101509346583853</v>
      </c>
      <c r="AJ8" s="30">
        <f t="shared" ref="AJ8:AL8" si="38">AD8+AG8</f>
        <v>1.1961106719367591E-2</v>
      </c>
      <c r="AK8" s="21">
        <f t="shared" si="38"/>
        <v>0.37100430305187515</v>
      </c>
      <c r="AL8" s="22">
        <f t="shared" si="38"/>
        <v>33.951760904347829</v>
      </c>
      <c r="AM8" s="31">
        <f t="shared" si="17"/>
        <v>5.2211180124223606E-2</v>
      </c>
      <c r="AN8" s="32">
        <f t="shared" si="18"/>
        <v>0.15821569734613214</v>
      </c>
      <c r="AO8" s="33">
        <f t="shared" si="19"/>
        <v>0.2673845285149633</v>
      </c>
      <c r="AP8" s="31">
        <f t="shared" si="20"/>
        <v>0.31326708074534165</v>
      </c>
      <c r="AQ8" s="32">
        <f t="shared" si="21"/>
        <v>0.949294184076793</v>
      </c>
      <c r="AR8" s="33">
        <f t="shared" si="22"/>
        <v>1.60430717108978</v>
      </c>
      <c r="AS8" s="31">
        <f t="shared" ref="AS8:AU8" si="39">AM8+AP8</f>
        <v>0.36547826086956525</v>
      </c>
      <c r="AT8" s="32">
        <f t="shared" si="39"/>
        <v>1.1075098814229252</v>
      </c>
      <c r="AU8" s="33">
        <f t="shared" si="39"/>
        <v>1.8716916996047432</v>
      </c>
    </row>
    <row r="9" spans="1:47" ht="16">
      <c r="A9" s="19" t="s">
        <v>62</v>
      </c>
      <c r="B9" s="1">
        <v>636</v>
      </c>
      <c r="C9" s="1">
        <f t="shared" si="0"/>
        <v>2.3941276115189158E-2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3.1123658949745905E-2</v>
      </c>
      <c r="V9" s="28">
        <f t="shared" si="4"/>
        <v>5.5064935064935067E-2</v>
      </c>
      <c r="W9" s="29">
        <f t="shared" si="5"/>
        <v>0.10055335968379446</v>
      </c>
      <c r="X9" s="27">
        <f t="shared" si="6"/>
        <v>0.1867419536984754</v>
      </c>
      <c r="Y9" s="28">
        <f t="shared" si="7"/>
        <v>0.33038961038961034</v>
      </c>
      <c r="Z9" s="29">
        <f t="shared" si="8"/>
        <v>0.60332015810276673</v>
      </c>
      <c r="AA9" s="27">
        <f t="shared" ref="AA9:AC9" si="41">U9+X9</f>
        <v>0.2178656126482213</v>
      </c>
      <c r="AB9" s="28">
        <f t="shared" si="41"/>
        <v>0.38545454545454538</v>
      </c>
      <c r="AC9" s="29">
        <f t="shared" si="41"/>
        <v>0.70387351778656115</v>
      </c>
      <c r="AD9" s="30">
        <f t="shared" si="10"/>
        <v>1.7237718802936196E-2</v>
      </c>
      <c r="AE9" s="21">
        <f t="shared" si="11"/>
        <v>3.0416311470235938E-2</v>
      </c>
      <c r="AF9" s="22">
        <f t="shared" si="12"/>
        <v>5.650007092038397E-2</v>
      </c>
      <c r="AG9" s="30">
        <f t="shared" si="13"/>
        <v>0.10342631281761717</v>
      </c>
      <c r="AH9" s="21">
        <f t="shared" si="14"/>
        <v>0.18249786882141561</v>
      </c>
      <c r="AI9" s="22">
        <f t="shared" si="15"/>
        <v>0.33900042552230381</v>
      </c>
      <c r="AJ9" s="30">
        <f t="shared" ref="AJ9:AL9" si="42">AD9+AG9</f>
        <v>0.12066403162055336</v>
      </c>
      <c r="AK9" s="21">
        <f t="shared" si="42"/>
        <v>0.21291418029165154</v>
      </c>
      <c r="AL9" s="22">
        <f t="shared" si="42"/>
        <v>0.39550049644268775</v>
      </c>
      <c r="AM9" s="31">
        <f t="shared" si="17"/>
        <v>3.1123658949745909E-2</v>
      </c>
      <c r="AN9" s="32">
        <f t="shared" si="18"/>
        <v>1.197063805759458</v>
      </c>
      <c r="AO9" s="33">
        <f t="shared" si="19"/>
        <v>1.939243365330322</v>
      </c>
      <c r="AP9" s="31">
        <f t="shared" si="20"/>
        <v>0.18674195369847543</v>
      </c>
      <c r="AQ9" s="32">
        <f t="shared" si="21"/>
        <v>7.1823828345567478</v>
      </c>
      <c r="AR9" s="33">
        <f t="shared" si="22"/>
        <v>11.635460191981931</v>
      </c>
      <c r="AS9" s="31">
        <f t="shared" ref="AS9:AU9" si="43">AM9+AP9</f>
        <v>0.21786561264822135</v>
      </c>
      <c r="AT9" s="32">
        <f t="shared" si="43"/>
        <v>8.3794466403162051</v>
      </c>
      <c r="AU9" s="33">
        <f t="shared" si="43"/>
        <v>13.574703557312253</v>
      </c>
    </row>
    <row r="10" spans="1:47" ht="15.75" customHeight="1">
      <c r="A10" s="1" t="s">
        <v>63</v>
      </c>
      <c r="B10" s="1">
        <f>1265-67</f>
        <v>1198</v>
      </c>
      <c r="C10" s="1">
        <f t="shared" si="0"/>
        <v>4.5096932053453789E-2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3.1567852437417651E-3</v>
      </c>
      <c r="V10" s="28">
        <f t="shared" si="4"/>
        <v>4.9606625258799171E-3</v>
      </c>
      <c r="W10" s="29">
        <f t="shared" si="5"/>
        <v>2.5254281949934121E-2</v>
      </c>
      <c r="X10" s="27">
        <f t="shared" si="6"/>
        <v>1.8940711462450591E-2</v>
      </c>
      <c r="Y10" s="28">
        <f t="shared" si="7"/>
        <v>2.9763975155279499E-2</v>
      </c>
      <c r="Z10" s="29">
        <f t="shared" si="8"/>
        <v>0.15152569169960473</v>
      </c>
      <c r="AA10" s="27">
        <f t="shared" ref="AA10:AC10" si="45">U10+X10</f>
        <v>2.2097496706192356E-2</v>
      </c>
      <c r="AB10" s="28">
        <f t="shared" si="45"/>
        <v>3.4724637681159416E-2</v>
      </c>
      <c r="AC10" s="29">
        <f t="shared" si="45"/>
        <v>0.17677997364953885</v>
      </c>
      <c r="AD10" s="30">
        <f t="shared" si="10"/>
        <v>3.2469791078486727E-7</v>
      </c>
      <c r="AE10" s="21">
        <f t="shared" si="11"/>
        <v>1.9202899510956521E-4</v>
      </c>
      <c r="AF10" s="22">
        <f t="shared" si="12"/>
        <v>2.5248509542631285E-3</v>
      </c>
      <c r="AG10" s="30">
        <f t="shared" si="13"/>
        <v>1.9481874647092034E-6</v>
      </c>
      <c r="AH10" s="21">
        <f t="shared" si="14"/>
        <v>1.1521739706573913E-3</v>
      </c>
      <c r="AI10" s="22">
        <f t="shared" si="15"/>
        <v>1.5149105725578768E-2</v>
      </c>
      <c r="AJ10" s="30">
        <f t="shared" ref="AJ10:AL10" si="46">AD10+AG10</f>
        <v>2.2728853754940708E-6</v>
      </c>
      <c r="AK10" s="21">
        <f t="shared" si="46"/>
        <v>1.3442029657669565E-3</v>
      </c>
      <c r="AL10" s="22">
        <f t="shared" si="46"/>
        <v>1.7673956679841896E-2</v>
      </c>
      <c r="AM10" s="31">
        <f t="shared" si="17"/>
        <v>1.3529079616036138E-3</v>
      </c>
      <c r="AN10" s="32">
        <f t="shared" si="18"/>
        <v>4.5096932053453791E-3</v>
      </c>
      <c r="AO10" s="33">
        <f t="shared" si="19"/>
        <v>5.8626011669489931E-3</v>
      </c>
      <c r="AP10" s="31">
        <f t="shared" si="20"/>
        <v>8.1174477696216805E-3</v>
      </c>
      <c r="AQ10" s="32">
        <f t="shared" si="21"/>
        <v>2.7058159232072273E-2</v>
      </c>
      <c r="AR10" s="33">
        <f t="shared" si="22"/>
        <v>3.5175607001693955E-2</v>
      </c>
      <c r="AS10" s="31">
        <f t="shared" ref="AS10:AU10" si="47">AM10+AP10</f>
        <v>9.4703557312252936E-3</v>
      </c>
      <c r="AT10" s="32">
        <f t="shared" si="47"/>
        <v>3.1567852437417651E-2</v>
      </c>
      <c r="AU10" s="33">
        <f t="shared" si="47"/>
        <v>4.1038208168642946E-2</v>
      </c>
    </row>
    <row r="11" spans="1:47" ht="15.75" customHeight="1">
      <c r="A11" s="1" t="s">
        <v>64</v>
      </c>
      <c r="B11" s="1">
        <v>67</v>
      </c>
      <c r="C11" s="1">
        <f t="shared" si="0"/>
        <v>2.5221155655938267E-3</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2.0176924524750614E-4</v>
      </c>
      <c r="V11" s="28">
        <f t="shared" si="4"/>
        <v>3.0265386787125918E-4</v>
      </c>
      <c r="W11" s="29">
        <f t="shared" si="5"/>
        <v>8.8274044795783936E-4</v>
      </c>
      <c r="X11" s="27">
        <f t="shared" si="6"/>
        <v>1.2106154714850367E-3</v>
      </c>
      <c r="Y11" s="28">
        <f t="shared" si="7"/>
        <v>1.8159232072275551E-3</v>
      </c>
      <c r="Z11" s="29">
        <f t="shared" si="8"/>
        <v>5.2964426877470357E-3</v>
      </c>
      <c r="AA11" s="27">
        <f t="shared" ref="AA11:AC11" si="49">U11+X11</f>
        <v>1.4123847167325429E-3</v>
      </c>
      <c r="AB11" s="28">
        <f t="shared" si="49"/>
        <v>2.1185770750988143E-3</v>
      </c>
      <c r="AC11" s="29">
        <f t="shared" si="49"/>
        <v>6.1791831357048748E-3</v>
      </c>
      <c r="AD11" s="30">
        <f t="shared" si="10"/>
        <v>1.8159232072275553E-8</v>
      </c>
      <c r="AE11" s="21">
        <f t="shared" si="11"/>
        <v>1.0745557433359686E-5</v>
      </c>
      <c r="AF11" s="22">
        <f t="shared" si="12"/>
        <v>1.4120618859401473E-4</v>
      </c>
      <c r="AG11" s="30">
        <f t="shared" si="13"/>
        <v>1.0895539243365331E-7</v>
      </c>
      <c r="AH11" s="21">
        <f t="shared" si="14"/>
        <v>6.4473344600158105E-5</v>
      </c>
      <c r="AI11" s="22">
        <f t="shared" si="15"/>
        <v>8.4723713156408822E-4</v>
      </c>
      <c r="AJ11" s="30">
        <f t="shared" ref="AJ11:AL11" si="50">AD11+AG11</f>
        <v>1.2711462450592886E-7</v>
      </c>
      <c r="AK11" s="21">
        <f t="shared" si="50"/>
        <v>7.5218902033517796E-5</v>
      </c>
      <c r="AL11" s="22">
        <f t="shared" si="50"/>
        <v>9.8844332015810303E-4</v>
      </c>
      <c r="AM11" s="31">
        <f t="shared" si="17"/>
        <v>7.5663466967814809E-5</v>
      </c>
      <c r="AN11" s="32">
        <f t="shared" si="18"/>
        <v>2.5221155655938269E-4</v>
      </c>
      <c r="AO11" s="33">
        <f t="shared" si="19"/>
        <v>3.2787502352719748E-4</v>
      </c>
      <c r="AP11" s="31">
        <f t="shared" si="20"/>
        <v>4.5398080180688877E-4</v>
      </c>
      <c r="AQ11" s="32">
        <f t="shared" si="21"/>
        <v>1.5132693393562959E-3</v>
      </c>
      <c r="AR11" s="33">
        <f t="shared" si="22"/>
        <v>1.9672501411631847E-3</v>
      </c>
      <c r="AS11" s="31">
        <f t="shared" ref="AS11:AU11" si="51">AM11+AP11</f>
        <v>5.2964426877470357E-4</v>
      </c>
      <c r="AT11" s="32">
        <f t="shared" si="51"/>
        <v>1.7654808959156787E-3</v>
      </c>
      <c r="AU11" s="33">
        <f t="shared" si="51"/>
        <v>2.2951251646903823E-3</v>
      </c>
    </row>
    <row r="12" spans="1:47" ht="15.75" customHeight="1">
      <c r="A12" s="1" t="s">
        <v>65</v>
      </c>
      <c r="B12" s="1">
        <v>592</v>
      </c>
      <c r="C12" s="1">
        <f t="shared" si="0"/>
        <v>2.2284961415396199E-2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4.0112930547713159E-3</v>
      </c>
      <c r="V12" s="28">
        <f t="shared" si="4"/>
        <v>1.0696781479390176E-2</v>
      </c>
      <c r="W12" s="29">
        <f t="shared" si="5"/>
        <v>4.0112930547713158E-2</v>
      </c>
      <c r="X12" s="27">
        <f t="shared" si="6"/>
        <v>2.4067758328627897E-2</v>
      </c>
      <c r="Y12" s="28">
        <f t="shared" si="7"/>
        <v>6.4180688876341055E-2</v>
      </c>
      <c r="Z12" s="29">
        <f t="shared" si="8"/>
        <v>0.24067758328627895</v>
      </c>
      <c r="AA12" s="27">
        <f t="shared" ref="AA12:AC12" si="53">U12+X12</f>
        <v>2.8079051383399212E-2</v>
      </c>
      <c r="AB12" s="28">
        <f t="shared" si="53"/>
        <v>7.4877470355731224E-2</v>
      </c>
      <c r="AC12" s="29">
        <f t="shared" si="53"/>
        <v>0.28079051383399212</v>
      </c>
      <c r="AD12" s="30">
        <f t="shared" si="10"/>
        <v>5.1344551101072849E-6</v>
      </c>
      <c r="AE12" s="21">
        <f t="shared" si="11"/>
        <v>1.4386576822062114E-4</v>
      </c>
      <c r="AF12" s="22">
        <f t="shared" si="12"/>
        <v>1.4897942405420667E-3</v>
      </c>
      <c r="AG12" s="30">
        <f t="shared" si="13"/>
        <v>3.0806730660643713E-5</v>
      </c>
      <c r="AH12" s="21">
        <f t="shared" si="14"/>
        <v>8.6319460932372685E-4</v>
      </c>
      <c r="AI12" s="22">
        <f t="shared" si="15"/>
        <v>8.9387654432524014E-3</v>
      </c>
      <c r="AJ12" s="30">
        <f t="shared" ref="AJ12:AL12" si="54">AD12+AG12</f>
        <v>3.5941185770750996E-5</v>
      </c>
      <c r="AK12" s="21">
        <f t="shared" si="54"/>
        <v>1.0070603775443479E-3</v>
      </c>
      <c r="AL12" s="22">
        <f t="shared" si="54"/>
        <v>1.0428559683794468E-2</v>
      </c>
      <c r="AM12" s="31">
        <f t="shared" si="17"/>
        <v>6.6854884246188588E-4</v>
      </c>
      <c r="AN12" s="32">
        <f t="shared" si="18"/>
        <v>2.2284961415396199E-2</v>
      </c>
      <c r="AO12" s="33">
        <f t="shared" si="19"/>
        <v>3.3427442123094293E-2</v>
      </c>
      <c r="AP12" s="31">
        <f t="shared" si="20"/>
        <v>4.0112930547713159E-3</v>
      </c>
      <c r="AQ12" s="32">
        <f t="shared" si="21"/>
        <v>0.13370976849237717</v>
      </c>
      <c r="AR12" s="33">
        <f t="shared" si="22"/>
        <v>0.20056465273856577</v>
      </c>
      <c r="AS12" s="31">
        <f t="shared" ref="AS12:AU12" si="55">AM12+AP12</f>
        <v>4.6798418972332015E-3</v>
      </c>
      <c r="AT12" s="32">
        <f t="shared" si="55"/>
        <v>0.15599472990777338</v>
      </c>
      <c r="AU12" s="33">
        <f t="shared" si="55"/>
        <v>0.23399209486166006</v>
      </c>
    </row>
    <row r="13" spans="1:47" ht="15.75" customHeight="1">
      <c r="A13" s="1" t="s">
        <v>66</v>
      </c>
      <c r="B13" s="1">
        <v>90</v>
      </c>
      <c r="C13" s="1">
        <f t="shared" si="0"/>
        <v>3.3879164313946925E-3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2.0327498588368158E-4</v>
      </c>
      <c r="V13" s="28">
        <f t="shared" si="4"/>
        <v>1.2874082439299833E-3</v>
      </c>
      <c r="W13" s="29">
        <f t="shared" si="5"/>
        <v>2.6764539808018075E-3</v>
      </c>
      <c r="X13" s="27">
        <f t="shared" si="6"/>
        <v>1.2196499153020891E-3</v>
      </c>
      <c r="Y13" s="28">
        <f t="shared" si="7"/>
        <v>7.724449463579898E-3</v>
      </c>
      <c r="Z13" s="29">
        <f t="shared" si="8"/>
        <v>1.605872388481084E-2</v>
      </c>
      <c r="AA13" s="27">
        <f t="shared" ref="AA13:AC13" si="57">U13+X13</f>
        <v>1.4229249011857706E-3</v>
      </c>
      <c r="AB13" s="28">
        <f t="shared" si="57"/>
        <v>9.0118577075098821E-3</v>
      </c>
      <c r="AC13" s="29">
        <f t="shared" si="57"/>
        <v>1.8735177865612646E-2</v>
      </c>
      <c r="AD13" s="30">
        <f t="shared" si="10"/>
        <v>8.9034443817052544E-7</v>
      </c>
      <c r="AE13" s="21">
        <f t="shared" si="11"/>
        <v>5.5471181829926608E-5</v>
      </c>
      <c r="AF13" s="22">
        <f t="shared" si="12"/>
        <v>2.8210502540937328E-4</v>
      </c>
      <c r="AG13" s="30">
        <f t="shared" si="13"/>
        <v>5.3420666290231511E-6</v>
      </c>
      <c r="AH13" s="21">
        <f t="shared" si="14"/>
        <v>3.3282709097955961E-4</v>
      </c>
      <c r="AI13" s="22">
        <f t="shared" si="15"/>
        <v>1.6926301524562398E-3</v>
      </c>
      <c r="AJ13" s="30">
        <f t="shared" ref="AJ13:AL13" si="58">AD13+AG13</f>
        <v>6.2324110671936769E-6</v>
      </c>
      <c r="AK13" s="21">
        <f t="shared" si="58"/>
        <v>3.8829827280948624E-4</v>
      </c>
      <c r="AL13" s="22">
        <f t="shared" si="58"/>
        <v>1.9747351778656129E-3</v>
      </c>
      <c r="AM13" s="31">
        <f t="shared" si="17"/>
        <v>1.0163749294184076E-4</v>
      </c>
      <c r="AN13" s="32">
        <f t="shared" si="18"/>
        <v>8.4697910784867323E-4</v>
      </c>
      <c r="AO13" s="33">
        <f t="shared" si="19"/>
        <v>1.7278373800112931E-3</v>
      </c>
      <c r="AP13" s="31">
        <f t="shared" si="20"/>
        <v>6.0982495765104453E-4</v>
      </c>
      <c r="AQ13" s="32">
        <f t="shared" si="21"/>
        <v>5.0818746470920389E-3</v>
      </c>
      <c r="AR13" s="33">
        <f t="shared" si="22"/>
        <v>1.0367024280067758E-2</v>
      </c>
      <c r="AS13" s="31">
        <f t="shared" ref="AS13:AU13" si="59">AM13+AP13</f>
        <v>7.1146245059288532E-4</v>
      </c>
      <c r="AT13" s="32">
        <f t="shared" si="59"/>
        <v>5.9288537549407119E-3</v>
      </c>
      <c r="AU13" s="33">
        <f t="shared" si="59"/>
        <v>1.2094861660079051E-2</v>
      </c>
    </row>
    <row r="14" spans="1:47" ht="15.75" customHeight="1">
      <c r="A14" s="1" t="s">
        <v>67</v>
      </c>
      <c r="B14" s="1">
        <v>12</v>
      </c>
      <c r="C14" s="1">
        <f t="shared" si="0"/>
        <v>4.5172219085262564E-4</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3.9751552795031063E-5</v>
      </c>
      <c r="V14" s="53">
        <f t="shared" si="4"/>
        <v>1.2196499153020893E-4</v>
      </c>
      <c r="W14" s="54">
        <f t="shared" si="5"/>
        <v>2.8458498023715414E-4</v>
      </c>
      <c r="X14" s="52">
        <f t="shared" si="6"/>
        <v>2.3850931677018634E-4</v>
      </c>
      <c r="Y14" s="53">
        <f t="shared" si="7"/>
        <v>7.317899491812535E-4</v>
      </c>
      <c r="Z14" s="54">
        <f t="shared" si="8"/>
        <v>1.7075098814229249E-3</v>
      </c>
      <c r="AA14" s="52">
        <f t="shared" ref="AA14:AC14" si="61">U14+X14</f>
        <v>2.7826086956521742E-4</v>
      </c>
      <c r="AB14" s="53">
        <f t="shared" si="61"/>
        <v>8.5375494071146247E-4</v>
      </c>
      <c r="AC14" s="54">
        <f t="shared" si="61"/>
        <v>1.992094861660079E-3</v>
      </c>
      <c r="AD14" s="55">
        <f t="shared" si="10"/>
        <v>1.918915866741954E-6</v>
      </c>
      <c r="AE14" s="45">
        <f t="shared" si="11"/>
        <v>1.5097735764020329E-5</v>
      </c>
      <c r="AF14" s="46">
        <f t="shared" si="12"/>
        <v>6.0722303783173352E-5</v>
      </c>
      <c r="AG14" s="55">
        <f t="shared" si="13"/>
        <v>1.1513495200451721E-5</v>
      </c>
      <c r="AH14" s="45">
        <f t="shared" si="14"/>
        <v>9.0586414584121973E-5</v>
      </c>
      <c r="AI14" s="46">
        <f t="shared" si="15"/>
        <v>3.6433382269904007E-4</v>
      </c>
      <c r="AJ14" s="55">
        <f t="shared" ref="AJ14:AL14" si="62">AD14+AG14</f>
        <v>1.3432411067193676E-5</v>
      </c>
      <c r="AK14" s="45">
        <f t="shared" si="62"/>
        <v>1.056841503481423E-4</v>
      </c>
      <c r="AL14" s="46">
        <f t="shared" si="62"/>
        <v>4.2505612648221342E-4</v>
      </c>
      <c r="AM14" s="56">
        <f>$S14*$C14*10^(-3)*$P14</f>
        <v>3.5234330886504797E-8</v>
      </c>
      <c r="AN14" s="57">
        <f t="shared" si="18"/>
        <v>6.7758328627893843E-4</v>
      </c>
      <c r="AO14" s="58">
        <f>$S14*$C14*10^(-3)*$R14</f>
        <v>8.718238283455675E-8</v>
      </c>
      <c r="AP14" s="56">
        <f>$T14*$C14*10^(-3)*$P14</f>
        <v>2.114059853190288E-7</v>
      </c>
      <c r="AQ14" s="57">
        <f t="shared" si="21"/>
        <v>4.0654997176736308E-3</v>
      </c>
      <c r="AR14" s="58">
        <f>$T14*$C14*10^(-3)*$R14</f>
        <v>5.2309429700734047E-7</v>
      </c>
      <c r="AS14" s="56">
        <f t="shared" ref="AS14:AU14" si="63">AM14+AP14</f>
        <v>2.4664031620553358E-7</v>
      </c>
      <c r="AT14" s="57">
        <f t="shared" si="63"/>
        <v>4.7430830039525695E-3</v>
      </c>
      <c r="AU14" s="58">
        <f t="shared" si="63"/>
        <v>6.1027667984189718E-7</v>
      </c>
    </row>
    <row r="15" spans="1:47" ht="15.75" customHeight="1">
      <c r="A15" s="81" t="s">
        <v>163</v>
      </c>
      <c r="B15" s="4">
        <f>SUM(B4:B14)</f>
        <v>26565</v>
      </c>
      <c r="AA15" s="4">
        <f t="shared" ref="AA15:AC15" si="64">SUM(AA4:AA14)</f>
        <v>28.056440579710138</v>
      </c>
      <c r="AB15" s="4">
        <f t="shared" si="64"/>
        <v>32.125971014492755</v>
      </c>
      <c r="AC15" s="4">
        <f t="shared" si="64"/>
        <v>62.937857707509885</v>
      </c>
      <c r="AH15" s="2"/>
      <c r="AI15" s="2"/>
      <c r="AJ15" s="4">
        <f>SUM(AJ4:AJ14)</f>
        <v>0.14678452932806324</v>
      </c>
      <c r="AK15" s="4">
        <f t="shared" ref="AK15:AL15" si="65">SUM(AK4:AK14)</f>
        <v>0.74353701682424844</v>
      </c>
      <c r="AL15" s="4">
        <f t="shared" si="65"/>
        <v>34.990279342292496</v>
      </c>
      <c r="AQ15" s="2"/>
      <c r="AR15" s="2"/>
      <c r="AS15" s="4">
        <f t="shared" ref="AS15:AU15" si="66">SUM(AS4:AS14)</f>
        <v>0.67749695283267453</v>
      </c>
      <c r="AT15" s="4">
        <f t="shared" si="66"/>
        <v>11.068606060606061</v>
      </c>
      <c r="AU15" s="4">
        <f t="shared" si="66"/>
        <v>19.98260930592885</v>
      </c>
    </row>
    <row r="16" spans="1:47" ht="15.75" customHeight="1">
      <c r="G16" s="7"/>
      <c r="AG16" s="195"/>
      <c r="AH16" s="196"/>
      <c r="AI16" s="196"/>
      <c r="AP16" s="195"/>
      <c r="AQ16" s="196"/>
      <c r="AR16" s="196"/>
    </row>
    <row r="18" spans="1:18" ht="15.75" customHeight="1">
      <c r="B18" s="84" t="s">
        <v>141</v>
      </c>
      <c r="C18" s="194" t="s">
        <v>10</v>
      </c>
      <c r="D18" s="194"/>
      <c r="E18" s="194"/>
      <c r="F18" s="194"/>
      <c r="G18" s="194"/>
      <c r="H18" s="59"/>
    </row>
    <row r="19" spans="1:18" ht="47" customHeight="1">
      <c r="B19" s="82" t="s">
        <v>140</v>
      </c>
      <c r="C19" s="187" t="s">
        <v>146</v>
      </c>
      <c r="D19" s="187"/>
      <c r="E19" s="187"/>
      <c r="F19" s="187"/>
      <c r="G19" s="187"/>
      <c r="H19" s="61"/>
      <c r="I19" s="61"/>
      <c r="J19" s="61"/>
      <c r="K19" s="61"/>
      <c r="L19" s="61"/>
      <c r="M19" s="61"/>
      <c r="N19" s="61"/>
      <c r="O19" s="61"/>
      <c r="P19" s="61"/>
      <c r="Q19" s="62"/>
      <c r="R19" s="61"/>
    </row>
    <row r="20" spans="1:18" s="3" customFormat="1" ht="15.75" customHeight="1">
      <c r="B20" s="71" t="s">
        <v>149</v>
      </c>
      <c r="C20" s="259" t="s">
        <v>281</v>
      </c>
      <c r="D20" s="186"/>
      <c r="E20" s="186"/>
      <c r="F20" s="186"/>
      <c r="G20" s="186"/>
      <c r="H20" s="61"/>
      <c r="I20" s="61"/>
      <c r="J20" s="61"/>
      <c r="K20" s="61"/>
      <c r="L20" s="61"/>
      <c r="M20" s="61"/>
      <c r="N20" s="61"/>
      <c r="O20" s="61"/>
      <c r="P20" s="61"/>
      <c r="Q20" s="62"/>
      <c r="R20" s="61"/>
    </row>
    <row r="21" spans="1:18" ht="31" customHeight="1">
      <c r="B21" s="83" t="s">
        <v>155</v>
      </c>
      <c r="C21" s="263" t="s">
        <v>280</v>
      </c>
      <c r="D21" s="187"/>
      <c r="E21" s="187"/>
      <c r="F21" s="187"/>
      <c r="G21" s="187"/>
      <c r="H21" s="61"/>
      <c r="I21" s="61"/>
      <c r="J21" s="61"/>
      <c r="K21" s="61"/>
      <c r="L21" s="61"/>
      <c r="M21" s="61"/>
      <c r="N21" s="61"/>
      <c r="O21" s="61"/>
      <c r="P21" s="61"/>
      <c r="Q21" s="62"/>
      <c r="R21" s="61"/>
    </row>
    <row r="22" spans="1:18" ht="15.75" customHeight="1">
      <c r="A22" s="71"/>
      <c r="G22" s="65">
        <v>3</v>
      </c>
      <c r="H22" s="61"/>
      <c r="I22" s="61"/>
      <c r="J22" s="61"/>
      <c r="K22" s="61"/>
      <c r="L22" s="61"/>
      <c r="M22" s="61"/>
      <c r="N22" s="61"/>
      <c r="O22" s="61"/>
      <c r="P22" s="61"/>
      <c r="Q22" s="62"/>
      <c r="R22" s="61"/>
    </row>
    <row r="23" spans="1:18" ht="15.75" customHeight="1">
      <c r="G23" s="65">
        <v>4</v>
      </c>
      <c r="H23" s="61"/>
      <c r="I23" s="61"/>
      <c r="J23" s="61"/>
      <c r="K23" s="61"/>
      <c r="L23" s="61"/>
      <c r="M23" s="61"/>
      <c r="N23" s="61"/>
      <c r="O23" s="61"/>
      <c r="P23" s="61"/>
      <c r="Q23" s="62"/>
      <c r="R23" s="61"/>
    </row>
    <row r="24" spans="1:18" ht="15.75" customHeight="1">
      <c r="G24" s="65">
        <v>5</v>
      </c>
      <c r="H24" s="61"/>
      <c r="I24" s="61"/>
      <c r="J24" s="61"/>
      <c r="K24" s="61"/>
      <c r="L24" s="61"/>
      <c r="M24" s="61"/>
      <c r="N24" s="61"/>
      <c r="O24" s="61"/>
      <c r="P24" s="61"/>
      <c r="Q24" s="62"/>
      <c r="R24" s="61"/>
    </row>
    <row r="25" spans="1:18" ht="15.75" customHeight="1">
      <c r="G25" s="65">
        <v>6</v>
      </c>
      <c r="H25" s="61"/>
      <c r="I25" s="61"/>
      <c r="J25" s="61"/>
      <c r="K25" s="61"/>
      <c r="L25" s="61"/>
      <c r="M25" s="61"/>
      <c r="N25" s="61"/>
      <c r="O25" s="61"/>
      <c r="P25" s="61"/>
      <c r="Q25" s="62"/>
      <c r="R25" s="61"/>
    </row>
    <row r="26" spans="1:18" ht="15.75" customHeight="1">
      <c r="G26" s="65">
        <v>7</v>
      </c>
      <c r="H26" s="61"/>
      <c r="I26" s="61"/>
      <c r="J26" s="61"/>
      <c r="K26" s="61"/>
      <c r="L26" s="61"/>
      <c r="M26" s="61"/>
      <c r="N26" s="61"/>
      <c r="O26" s="61"/>
      <c r="P26" s="61"/>
      <c r="Q26" s="62"/>
      <c r="R26" s="61"/>
    </row>
    <row r="27" spans="1:18" ht="15.75" customHeight="1">
      <c r="G27" s="65">
        <v>8</v>
      </c>
      <c r="H27" s="61"/>
      <c r="I27" s="61"/>
      <c r="J27" s="61"/>
      <c r="K27" s="61"/>
      <c r="L27" s="61"/>
      <c r="M27" s="61"/>
      <c r="N27" s="61"/>
      <c r="O27" s="61"/>
      <c r="P27" s="61"/>
      <c r="Q27" s="62"/>
      <c r="R27" s="61"/>
    </row>
    <row r="28" spans="1:18" ht="15.75" customHeight="1">
      <c r="G28" s="65">
        <v>9</v>
      </c>
      <c r="H28" s="61"/>
      <c r="I28" s="61"/>
      <c r="J28" s="61"/>
      <c r="K28" s="61"/>
      <c r="L28" s="61"/>
      <c r="M28" s="61"/>
      <c r="N28" s="61"/>
      <c r="O28" s="61"/>
      <c r="P28" s="61"/>
      <c r="Q28" s="62"/>
      <c r="R28" s="61"/>
    </row>
    <row r="29" spans="1:18" ht="15.75" customHeight="1">
      <c r="G29" s="65">
        <v>10</v>
      </c>
      <c r="H29" s="61"/>
      <c r="I29" s="61"/>
      <c r="J29" s="61"/>
      <c r="K29" s="61"/>
      <c r="L29" s="61"/>
      <c r="M29" s="61"/>
      <c r="N29" s="61"/>
      <c r="O29" s="61"/>
      <c r="P29" s="61"/>
      <c r="Q29" s="62"/>
      <c r="R29" s="61"/>
    </row>
    <row r="30" spans="1:18" ht="15.75" customHeight="1">
      <c r="G30" s="65">
        <v>11</v>
      </c>
      <c r="H30" s="61"/>
      <c r="I30" s="61"/>
      <c r="J30" s="61"/>
      <c r="K30" s="61"/>
      <c r="L30" s="61"/>
      <c r="M30" s="61"/>
      <c r="N30" s="61"/>
      <c r="O30" s="61"/>
      <c r="P30" s="61"/>
      <c r="Q30" s="62"/>
      <c r="R30" s="61"/>
    </row>
    <row r="31" spans="1:18" ht="15.75" customHeight="1">
      <c r="P31" s="65">
        <v>10</v>
      </c>
      <c r="Q31" s="65"/>
      <c r="R31" s="61"/>
    </row>
    <row r="32" spans="1:18" ht="15.75" customHeight="1">
      <c r="Q32" s="65"/>
      <c r="R32" s="61"/>
    </row>
    <row r="33" spans="16:18" ht="15.75" customHeight="1">
      <c r="P33" s="65"/>
      <c r="Q33" s="66"/>
    </row>
    <row r="34" spans="16:18" ht="15.75" customHeight="1">
      <c r="Q34" s="65"/>
      <c r="R34" s="61"/>
    </row>
    <row r="35" spans="16:18" ht="15.75" customHeight="1">
      <c r="Q35" s="65"/>
      <c r="R35" s="61"/>
    </row>
    <row r="36" spans="16:18" ht="15.75" customHeight="1">
      <c r="Q36" s="65"/>
      <c r="R36" s="61"/>
    </row>
    <row r="37" spans="16:18" ht="15.75" customHeight="1">
      <c r="Q37" s="65"/>
      <c r="R37" s="61"/>
    </row>
    <row r="38" spans="16:18" ht="15.75" customHeight="1">
      <c r="Q38" s="65"/>
      <c r="R38" s="61"/>
    </row>
    <row r="39" spans="16:18" ht="15.75" customHeight="1">
      <c r="Q39" s="65"/>
      <c r="R39" s="61"/>
    </row>
    <row r="40" spans="16:18" ht="15.75" customHeight="1">
      <c r="Q40" s="65"/>
      <c r="R40" s="61"/>
    </row>
    <row r="41" spans="16:18" ht="15.75" customHeight="1">
      <c r="Q41" s="65"/>
      <c r="R41" s="61"/>
    </row>
    <row r="42" spans="16:18" ht="15.75" customHeight="1">
      <c r="Q42" s="65"/>
      <c r="R42" s="61"/>
    </row>
    <row r="43" spans="16:18" ht="15.75" customHeight="1">
      <c r="Q43" s="65"/>
      <c r="R43" s="61"/>
    </row>
    <row r="44" spans="16:18" ht="15.75" customHeight="1">
      <c r="Q44" s="65"/>
      <c r="R44" s="61"/>
    </row>
    <row r="45" spans="16:18" ht="13"/>
    <row r="46" spans="16:18" ht="13"/>
    <row r="47" spans="16:18" ht="13"/>
    <row r="48" spans="16:18" ht="13"/>
    <row r="49" ht="13"/>
    <row r="50" ht="13"/>
    <row r="51" ht="13"/>
    <row r="52" ht="13"/>
    <row r="53" ht="13"/>
    <row r="54" ht="13"/>
    <row r="55" ht="13"/>
    <row r="56" ht="13"/>
    <row r="57" ht="13"/>
    <row r="58" ht="13"/>
    <row r="59" ht="13"/>
    <row r="60" ht="13"/>
    <row r="61" ht="13"/>
    <row r="64" ht="13"/>
    <row r="65" ht="13"/>
    <row r="66" ht="13"/>
    <row r="67" ht="13"/>
    <row r="68" ht="13"/>
    <row r="69" ht="13"/>
    <row r="70" ht="13"/>
    <row r="71" ht="13"/>
    <row r="72" ht="13"/>
    <row r="73" ht="13"/>
    <row r="74" ht="13"/>
    <row r="75" ht="13"/>
    <row r="78" ht="13"/>
    <row r="79" ht="13"/>
    <row r="80" ht="13"/>
    <row r="81" ht="13"/>
    <row r="82" ht="13"/>
    <row r="83" ht="13"/>
    <row r="84" ht="13"/>
    <row r="85" ht="13"/>
    <row r="86" ht="13"/>
    <row r="87" ht="13"/>
    <row r="88" ht="13"/>
    <row r="89" ht="13"/>
  </sheetData>
  <mergeCells count="22">
    <mergeCell ref="X2:Z2"/>
    <mergeCell ref="AA2:AC2"/>
    <mergeCell ref="AD2:AF2"/>
    <mergeCell ref="AG2:AI2"/>
    <mergeCell ref="J2:L2"/>
    <mergeCell ref="M2:O2"/>
    <mergeCell ref="P2:R2"/>
    <mergeCell ref="S2:T2"/>
    <mergeCell ref="U2:W2"/>
    <mergeCell ref="AG16:AI16"/>
    <mergeCell ref="AJ2:AL2"/>
    <mergeCell ref="AM2:AO2"/>
    <mergeCell ref="AP2:AR2"/>
    <mergeCell ref="AS2:AU2"/>
    <mergeCell ref="AP16:AR16"/>
    <mergeCell ref="A2:B2"/>
    <mergeCell ref="C19:G19"/>
    <mergeCell ref="C20:G20"/>
    <mergeCell ref="C21:G21"/>
    <mergeCell ref="C18:G18"/>
    <mergeCell ref="D2:F2"/>
    <mergeCell ref="G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07FA-336F-214A-A577-25056E572739}">
  <dimension ref="A2:O37"/>
  <sheetViews>
    <sheetView workbookViewId="0">
      <selection activeCell="C36" sqref="C36:O36"/>
    </sheetView>
  </sheetViews>
  <sheetFormatPr baseColWidth="10" defaultRowHeight="13"/>
  <cols>
    <col min="1" max="1" width="4" style="3" customWidth="1"/>
    <col min="2" max="2" width="4" customWidth="1"/>
  </cols>
  <sheetData>
    <row r="2" spans="2:15" ht="16">
      <c r="B2" s="254" t="s">
        <v>277</v>
      </c>
      <c r="C2" s="254"/>
      <c r="D2" s="254"/>
      <c r="E2" s="254"/>
      <c r="F2" s="254"/>
      <c r="G2" s="254"/>
      <c r="H2" s="254"/>
      <c r="I2" s="254"/>
      <c r="J2" s="254"/>
      <c r="K2" s="254"/>
      <c r="L2" s="254"/>
      <c r="M2" s="254"/>
      <c r="N2" s="254"/>
      <c r="O2" s="254"/>
    </row>
    <row r="3" spans="2:15">
      <c r="B3" s="71">
        <v>1</v>
      </c>
      <c r="C3" s="255" t="s">
        <v>131</v>
      </c>
      <c r="D3" s="255"/>
      <c r="E3" s="255"/>
      <c r="F3" s="255"/>
      <c r="G3" s="255"/>
      <c r="H3" s="255"/>
      <c r="I3" s="255"/>
      <c r="J3" s="255"/>
      <c r="K3" s="255"/>
      <c r="L3" s="255"/>
      <c r="M3" s="255"/>
      <c r="N3" s="255"/>
      <c r="O3" s="255"/>
    </row>
    <row r="4" spans="2:15">
      <c r="B4">
        <v>2</v>
      </c>
      <c r="C4" s="256" t="s">
        <v>132</v>
      </c>
      <c r="D4" s="256"/>
      <c r="E4" s="256"/>
      <c r="F4" s="256"/>
      <c r="G4" s="256"/>
      <c r="H4" s="256"/>
      <c r="I4" s="256"/>
      <c r="J4" s="256"/>
      <c r="K4" s="256"/>
      <c r="L4" s="256"/>
      <c r="M4" s="256"/>
      <c r="N4" s="256"/>
      <c r="O4" s="256"/>
    </row>
    <row r="5" spans="2:15">
      <c r="B5">
        <v>3</v>
      </c>
      <c r="C5" s="87" t="s">
        <v>184</v>
      </c>
    </row>
    <row r="6" spans="2:15" ht="38" customHeight="1">
      <c r="B6" s="258">
        <v>4</v>
      </c>
      <c r="C6" s="257" t="s">
        <v>135</v>
      </c>
      <c r="D6" s="257"/>
      <c r="E6" s="257"/>
      <c r="F6" s="257"/>
      <c r="G6" s="257"/>
      <c r="H6" s="257"/>
      <c r="I6" s="257"/>
      <c r="J6" s="257"/>
      <c r="K6" s="257"/>
      <c r="L6" s="257"/>
      <c r="M6" s="257"/>
      <c r="N6" s="257"/>
      <c r="O6" s="257"/>
    </row>
    <row r="7" spans="2:15">
      <c r="B7">
        <v>5</v>
      </c>
      <c r="C7" s="186" t="s">
        <v>136</v>
      </c>
      <c r="D7" s="186"/>
      <c r="E7" s="186"/>
      <c r="F7" s="186"/>
      <c r="G7" s="186"/>
      <c r="H7" s="186"/>
      <c r="I7" s="186"/>
      <c r="J7" s="186"/>
      <c r="K7" s="186"/>
      <c r="L7" s="186"/>
      <c r="M7" s="186"/>
      <c r="N7" s="186"/>
      <c r="O7" s="186"/>
    </row>
    <row r="8" spans="2:15">
      <c r="B8">
        <v>6</v>
      </c>
      <c r="C8" s="256" t="s">
        <v>142</v>
      </c>
      <c r="D8" s="256"/>
      <c r="E8" s="256"/>
      <c r="F8" s="256"/>
      <c r="G8" s="256"/>
      <c r="H8" s="256"/>
      <c r="I8" s="256"/>
      <c r="J8" s="256"/>
      <c r="K8" s="256"/>
      <c r="L8" s="256"/>
      <c r="M8" s="256"/>
      <c r="N8" s="256"/>
      <c r="O8" s="256"/>
    </row>
    <row r="9" spans="2:15" s="3" customFormat="1">
      <c r="B9" s="3">
        <v>7</v>
      </c>
      <c r="C9" s="186" t="s">
        <v>148</v>
      </c>
      <c r="D9" s="186"/>
      <c r="E9" s="186"/>
      <c r="F9" s="186"/>
      <c r="G9" s="186"/>
      <c r="H9" s="186"/>
      <c r="I9" s="186"/>
      <c r="J9" s="186"/>
      <c r="K9" s="186"/>
      <c r="L9" s="186"/>
      <c r="M9" s="186"/>
      <c r="N9" s="186"/>
      <c r="O9" s="186"/>
    </row>
    <row r="10" spans="2:15" s="3" customFormat="1">
      <c r="B10" s="3">
        <v>8</v>
      </c>
      <c r="C10" s="186" t="s">
        <v>147</v>
      </c>
      <c r="D10" s="186"/>
      <c r="E10" s="186"/>
      <c r="F10" s="186"/>
      <c r="G10" s="186"/>
      <c r="H10" s="186"/>
      <c r="I10" s="186"/>
      <c r="J10" s="186"/>
      <c r="K10" s="186"/>
      <c r="L10" s="186"/>
      <c r="M10" s="186"/>
      <c r="N10" s="186"/>
      <c r="O10" s="186"/>
    </row>
    <row r="11" spans="2:15">
      <c r="B11">
        <v>9</v>
      </c>
      <c r="C11" s="259" t="s">
        <v>279</v>
      </c>
      <c r="D11" s="186"/>
      <c r="E11" s="186"/>
      <c r="F11" s="186"/>
      <c r="G11" s="186"/>
      <c r="H11" s="186"/>
      <c r="I11" s="186"/>
      <c r="J11" s="186"/>
      <c r="K11" s="186"/>
      <c r="L11" s="186"/>
      <c r="M11" s="186"/>
      <c r="N11" s="186"/>
      <c r="O11" s="186"/>
    </row>
    <row r="12" spans="2:15">
      <c r="B12">
        <v>10</v>
      </c>
      <c r="C12" s="259" t="s">
        <v>278</v>
      </c>
      <c r="D12" s="186"/>
      <c r="E12" s="186"/>
      <c r="F12" s="186"/>
      <c r="G12" s="186"/>
      <c r="H12" s="186"/>
      <c r="I12" s="186"/>
      <c r="J12" s="186"/>
      <c r="K12" s="186"/>
      <c r="L12" s="186"/>
      <c r="M12" s="186"/>
      <c r="N12" s="186"/>
      <c r="O12" s="186"/>
    </row>
    <row r="13" spans="2:15">
      <c r="B13">
        <v>11</v>
      </c>
      <c r="C13" s="186" t="s">
        <v>144</v>
      </c>
      <c r="D13" s="186"/>
      <c r="E13" s="186"/>
      <c r="F13" s="186"/>
      <c r="G13" s="186"/>
      <c r="H13" s="186"/>
      <c r="I13" s="186"/>
      <c r="J13" s="186"/>
      <c r="K13" s="186"/>
      <c r="L13" s="186"/>
      <c r="M13" s="186"/>
      <c r="N13" s="186"/>
      <c r="O13" s="186"/>
    </row>
    <row r="14" spans="2:15">
      <c r="B14">
        <v>12</v>
      </c>
      <c r="C14" s="256" t="s">
        <v>87</v>
      </c>
      <c r="D14" s="256"/>
      <c r="E14" s="256"/>
      <c r="F14" s="256"/>
      <c r="G14" s="256"/>
      <c r="H14" s="256"/>
      <c r="I14" s="256"/>
      <c r="J14" s="256"/>
      <c r="K14" s="256"/>
      <c r="L14" s="256"/>
      <c r="M14" s="256"/>
      <c r="N14" s="256"/>
      <c r="O14" s="256"/>
    </row>
    <row r="15" spans="2:15">
      <c r="B15">
        <v>13</v>
      </c>
      <c r="C15" s="256" t="s">
        <v>90</v>
      </c>
      <c r="D15" s="256"/>
      <c r="E15" s="256"/>
      <c r="F15" s="256"/>
      <c r="G15" s="256"/>
      <c r="H15" s="256"/>
      <c r="I15" s="256"/>
      <c r="J15" s="256"/>
      <c r="K15" s="256"/>
      <c r="L15" s="256"/>
      <c r="M15" s="256"/>
      <c r="N15" s="256"/>
      <c r="O15" s="256"/>
    </row>
    <row r="16" spans="2:15" ht="29" customHeight="1">
      <c r="B16" s="258">
        <v>14</v>
      </c>
      <c r="C16" s="257" t="s">
        <v>186</v>
      </c>
      <c r="D16" s="257"/>
      <c r="E16" s="257"/>
      <c r="F16" s="257"/>
      <c r="G16" s="257"/>
      <c r="H16" s="257"/>
      <c r="I16" s="257"/>
      <c r="J16" s="257"/>
      <c r="K16" s="257"/>
      <c r="L16" s="257"/>
      <c r="M16" s="257"/>
      <c r="N16" s="257"/>
      <c r="O16" s="257"/>
    </row>
    <row r="17" spans="2:15">
      <c r="B17" s="3">
        <v>15</v>
      </c>
      <c r="C17" s="260" t="s">
        <v>11</v>
      </c>
      <c r="D17" s="260"/>
      <c r="E17" s="260"/>
      <c r="F17" s="260"/>
      <c r="G17" s="260"/>
      <c r="H17" s="260"/>
      <c r="I17" s="260"/>
      <c r="J17" s="260"/>
      <c r="K17" s="260"/>
      <c r="L17" s="260"/>
      <c r="M17" s="260"/>
      <c r="N17" s="260"/>
      <c r="O17" s="260"/>
    </row>
    <row r="18" spans="2:15">
      <c r="B18" s="3">
        <v>16</v>
      </c>
      <c r="C18" s="261" t="s">
        <v>13</v>
      </c>
      <c r="D18" s="261"/>
      <c r="E18" s="261"/>
      <c r="F18" s="261"/>
      <c r="G18" s="261"/>
      <c r="H18" s="261"/>
      <c r="I18" s="261"/>
      <c r="J18" s="261"/>
      <c r="K18" s="261"/>
      <c r="L18" s="261"/>
      <c r="M18" s="261"/>
      <c r="N18" s="261"/>
      <c r="O18" s="261"/>
    </row>
    <row r="19" spans="2:15">
      <c r="B19" s="3">
        <v>17</v>
      </c>
      <c r="C19" s="261" t="s">
        <v>15</v>
      </c>
      <c r="D19" s="261"/>
      <c r="E19" s="261"/>
      <c r="F19" s="261"/>
      <c r="G19" s="261"/>
      <c r="H19" s="261"/>
      <c r="I19" s="261"/>
      <c r="J19" s="261"/>
      <c r="K19" s="261"/>
      <c r="L19" s="261"/>
      <c r="M19" s="261"/>
      <c r="N19" s="261"/>
      <c r="O19" s="261"/>
    </row>
    <row r="20" spans="2:15">
      <c r="B20" s="3">
        <v>18</v>
      </c>
      <c r="C20" s="261" t="s">
        <v>33</v>
      </c>
      <c r="D20" s="261"/>
      <c r="E20" s="261"/>
      <c r="F20" s="261"/>
      <c r="G20" s="261"/>
      <c r="H20" s="261"/>
      <c r="I20" s="261"/>
      <c r="J20" s="261"/>
      <c r="K20" s="261"/>
      <c r="L20" s="261"/>
      <c r="M20" s="261"/>
      <c r="N20" s="261"/>
      <c r="O20" s="261"/>
    </row>
    <row r="21" spans="2:15">
      <c r="B21" s="3">
        <v>19</v>
      </c>
      <c r="C21" s="261" t="s">
        <v>16</v>
      </c>
      <c r="D21" s="261"/>
      <c r="E21" s="261"/>
      <c r="F21" s="261"/>
      <c r="G21" s="261"/>
      <c r="H21" s="261"/>
      <c r="I21" s="261"/>
      <c r="J21" s="261"/>
      <c r="K21" s="261"/>
      <c r="L21" s="261"/>
      <c r="M21" s="261"/>
      <c r="N21" s="261"/>
      <c r="O21" s="261"/>
    </row>
    <row r="22" spans="2:15">
      <c r="B22" s="3">
        <v>20</v>
      </c>
      <c r="C22" s="259" t="s">
        <v>244</v>
      </c>
      <c r="D22" s="259"/>
      <c r="E22" s="259"/>
      <c r="F22" s="259"/>
      <c r="G22" s="259"/>
      <c r="H22" s="259"/>
      <c r="I22" s="259"/>
      <c r="J22" s="259"/>
      <c r="K22" s="259"/>
      <c r="L22" s="259"/>
      <c r="M22" s="259"/>
      <c r="N22" s="259"/>
      <c r="O22" s="259"/>
    </row>
    <row r="23" spans="2:15">
      <c r="B23" s="3">
        <v>21</v>
      </c>
      <c r="C23" s="261" t="s">
        <v>17</v>
      </c>
      <c r="D23" s="261"/>
      <c r="E23" s="261"/>
      <c r="F23" s="261"/>
      <c r="G23" s="261"/>
      <c r="H23" s="261"/>
      <c r="I23" s="261"/>
      <c r="J23" s="261"/>
      <c r="K23" s="261"/>
      <c r="L23" s="261"/>
      <c r="M23" s="261"/>
      <c r="N23" s="261"/>
      <c r="O23" s="261"/>
    </row>
    <row r="24" spans="2:15">
      <c r="B24" s="3">
        <v>22</v>
      </c>
      <c r="C24" s="261" t="s">
        <v>21</v>
      </c>
      <c r="D24" s="261"/>
      <c r="E24" s="261"/>
      <c r="F24" s="261"/>
      <c r="G24" s="261"/>
      <c r="H24" s="261"/>
      <c r="I24" s="261"/>
      <c r="J24" s="261"/>
      <c r="K24" s="261"/>
      <c r="L24" s="261"/>
      <c r="M24" s="261"/>
      <c r="N24" s="261"/>
      <c r="O24" s="261"/>
    </row>
    <row r="25" spans="2:15">
      <c r="B25" s="3">
        <v>23</v>
      </c>
      <c r="C25" s="261" t="s">
        <v>19</v>
      </c>
      <c r="D25" s="261"/>
      <c r="E25" s="261"/>
      <c r="F25" s="261"/>
      <c r="G25" s="261"/>
      <c r="H25" s="261"/>
      <c r="I25" s="261"/>
      <c r="J25" s="261"/>
      <c r="K25" s="261"/>
      <c r="L25" s="261"/>
      <c r="M25" s="261"/>
      <c r="N25" s="261"/>
      <c r="O25" s="261"/>
    </row>
    <row r="26" spans="2:15">
      <c r="B26" s="3">
        <v>24</v>
      </c>
      <c r="C26" s="261" t="s">
        <v>18</v>
      </c>
      <c r="D26" s="261"/>
      <c r="E26" s="261"/>
      <c r="F26" s="261"/>
      <c r="G26" s="261"/>
      <c r="H26" s="261"/>
      <c r="I26" s="261"/>
      <c r="J26" s="261"/>
      <c r="K26" s="261"/>
      <c r="L26" s="261"/>
      <c r="M26" s="261"/>
      <c r="N26" s="261"/>
      <c r="O26" s="261"/>
    </row>
    <row r="27" spans="2:15">
      <c r="B27" s="3">
        <v>25</v>
      </c>
      <c r="C27" s="261" t="s">
        <v>20</v>
      </c>
      <c r="D27" s="261"/>
      <c r="E27" s="261"/>
      <c r="F27" s="261"/>
      <c r="G27" s="261"/>
      <c r="H27" s="261"/>
      <c r="I27" s="261"/>
      <c r="J27" s="261"/>
      <c r="K27" s="261"/>
      <c r="L27" s="261"/>
      <c r="M27" s="261"/>
      <c r="N27" s="261"/>
      <c r="O27" s="261"/>
    </row>
    <row r="28" spans="2:15">
      <c r="B28" s="3">
        <v>26</v>
      </c>
      <c r="C28" s="261" t="s">
        <v>24</v>
      </c>
      <c r="D28" s="261"/>
      <c r="E28" s="261"/>
      <c r="F28" s="261"/>
      <c r="G28" s="261"/>
      <c r="H28" s="261"/>
      <c r="I28" s="261"/>
      <c r="J28" s="261"/>
      <c r="K28" s="261"/>
      <c r="L28" s="261"/>
      <c r="M28" s="261"/>
      <c r="N28" s="261"/>
      <c r="O28" s="261"/>
    </row>
    <row r="29" spans="2:15">
      <c r="B29" s="3">
        <v>27</v>
      </c>
      <c r="C29" s="261" t="s">
        <v>25</v>
      </c>
      <c r="D29" s="261"/>
      <c r="E29" s="261"/>
      <c r="F29" s="261"/>
      <c r="G29" s="261"/>
      <c r="H29" s="261"/>
      <c r="I29" s="261"/>
      <c r="J29" s="261"/>
      <c r="K29" s="261"/>
      <c r="L29" s="261"/>
      <c r="M29" s="261"/>
      <c r="N29" s="261"/>
      <c r="O29" s="261"/>
    </row>
    <row r="30" spans="2:15">
      <c r="B30" s="3">
        <v>28</v>
      </c>
      <c r="C30" s="261" t="s">
        <v>26</v>
      </c>
      <c r="D30" s="261"/>
      <c r="E30" s="261"/>
      <c r="F30" s="261"/>
      <c r="G30" s="261"/>
      <c r="H30" s="261"/>
      <c r="I30" s="261"/>
      <c r="J30" s="261"/>
      <c r="K30" s="261"/>
      <c r="L30" s="261"/>
      <c r="M30" s="261"/>
      <c r="N30" s="261"/>
      <c r="O30" s="261"/>
    </row>
    <row r="31" spans="2:15">
      <c r="B31" s="3">
        <v>29</v>
      </c>
      <c r="C31" s="261" t="s">
        <v>27</v>
      </c>
      <c r="D31" s="261"/>
      <c r="E31" s="261"/>
      <c r="F31" s="261"/>
      <c r="G31" s="261"/>
      <c r="H31" s="261"/>
      <c r="I31" s="261"/>
      <c r="J31" s="261"/>
      <c r="K31" s="261"/>
      <c r="L31" s="261"/>
      <c r="M31" s="261"/>
      <c r="N31" s="261"/>
      <c r="O31" s="261"/>
    </row>
    <row r="32" spans="2:15">
      <c r="B32" s="3">
        <v>30</v>
      </c>
      <c r="C32" s="261" t="s">
        <v>28</v>
      </c>
      <c r="D32" s="261"/>
      <c r="E32" s="261"/>
      <c r="F32" s="261"/>
      <c r="G32" s="261"/>
      <c r="H32" s="261"/>
      <c r="I32" s="261"/>
      <c r="J32" s="261"/>
      <c r="K32" s="261"/>
      <c r="L32" s="261"/>
      <c r="M32" s="261"/>
      <c r="N32" s="261"/>
      <c r="O32" s="261"/>
    </row>
    <row r="33" spans="2:15">
      <c r="B33" s="3">
        <v>31</v>
      </c>
      <c r="C33" s="261" t="s">
        <v>30</v>
      </c>
      <c r="D33" s="261"/>
      <c r="E33" s="261"/>
      <c r="F33" s="261"/>
      <c r="G33" s="261"/>
      <c r="H33" s="261"/>
      <c r="I33" s="261"/>
      <c r="J33" s="261"/>
      <c r="K33" s="261"/>
      <c r="L33" s="261"/>
      <c r="M33" s="261"/>
      <c r="N33" s="261"/>
      <c r="O33" s="261"/>
    </row>
    <row r="34" spans="2:15">
      <c r="B34" s="3">
        <v>32</v>
      </c>
      <c r="C34" s="261" t="s">
        <v>31</v>
      </c>
      <c r="D34" s="261"/>
      <c r="E34" s="261"/>
      <c r="F34" s="261"/>
      <c r="G34" s="261"/>
      <c r="H34" s="261"/>
      <c r="I34" s="261"/>
      <c r="J34" s="261"/>
      <c r="K34" s="261"/>
      <c r="L34" s="261"/>
      <c r="M34" s="261"/>
      <c r="N34" s="261"/>
      <c r="O34" s="261"/>
    </row>
    <row r="35" spans="2:15">
      <c r="B35" s="3">
        <v>33</v>
      </c>
      <c r="C35" s="261" t="s">
        <v>32</v>
      </c>
      <c r="D35" s="261"/>
      <c r="E35" s="261"/>
      <c r="F35" s="261"/>
      <c r="G35" s="261"/>
      <c r="H35" s="261"/>
      <c r="I35" s="261"/>
      <c r="J35" s="261"/>
      <c r="K35" s="261"/>
      <c r="L35" s="261"/>
      <c r="M35" s="261"/>
      <c r="N35" s="261"/>
      <c r="O35" s="261"/>
    </row>
    <row r="36" spans="2:15">
      <c r="B36" s="3">
        <v>34</v>
      </c>
      <c r="C36" s="262" t="s">
        <v>34</v>
      </c>
      <c r="D36" s="262"/>
      <c r="E36" s="262"/>
      <c r="F36" s="262"/>
      <c r="G36" s="262"/>
      <c r="H36" s="262"/>
      <c r="I36" s="262"/>
      <c r="J36" s="262"/>
      <c r="K36" s="262"/>
      <c r="L36" s="262"/>
      <c r="M36" s="262"/>
      <c r="N36" s="262"/>
      <c r="O36" s="262"/>
    </row>
    <row r="37" spans="2:15">
      <c r="B37" s="3"/>
    </row>
  </sheetData>
  <mergeCells count="34">
    <mergeCell ref="C33:O33"/>
    <mergeCell ref="C34:O34"/>
    <mergeCell ref="C35:O35"/>
    <mergeCell ref="C36:O36"/>
    <mergeCell ref="C27:O27"/>
    <mergeCell ref="C28:O28"/>
    <mergeCell ref="C29:O29"/>
    <mergeCell ref="C30:O30"/>
    <mergeCell ref="C31:O31"/>
    <mergeCell ref="C32:O32"/>
    <mergeCell ref="C21:O21"/>
    <mergeCell ref="C22:O22"/>
    <mergeCell ref="C23:O23"/>
    <mergeCell ref="C24:O24"/>
    <mergeCell ref="C25:O25"/>
    <mergeCell ref="C26:O26"/>
    <mergeCell ref="C15:O15"/>
    <mergeCell ref="C16:O16"/>
    <mergeCell ref="C17:O17"/>
    <mergeCell ref="C18:O18"/>
    <mergeCell ref="C19:O19"/>
    <mergeCell ref="C20:O20"/>
    <mergeCell ref="C9:O9"/>
    <mergeCell ref="C10:O10"/>
    <mergeCell ref="C11:O11"/>
    <mergeCell ref="C12:O12"/>
    <mergeCell ref="C14:O14"/>
    <mergeCell ref="C13:O13"/>
    <mergeCell ref="B2:O2"/>
    <mergeCell ref="C3:O3"/>
    <mergeCell ref="C4:O4"/>
    <mergeCell ref="C6:O6"/>
    <mergeCell ref="C7:O7"/>
    <mergeCell ref="C8:O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156</v>
      </c>
      <c r="B2" s="205"/>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25.337</v>
      </c>
      <c r="C4" s="1">
        <f t="shared" ref="C4:C15" si="0">B4/$B$16</f>
        <v>4.2987857122255037E-2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0.31811014270468729</v>
      </c>
      <c r="V4" s="28">
        <f t="shared" ref="V4:V14" si="4">$S4*$C4*$E4</f>
        <v>0.35250042840249135</v>
      </c>
      <c r="W4" s="29">
        <f t="shared" ref="W4:W14" si="5">$S4*$C4*$F4</f>
        <v>0.39118949981252088</v>
      </c>
      <c r="X4" s="27">
        <f t="shared" ref="X4:X14" si="6">$T4*$C4*$D4</f>
        <v>1.9086608562281238</v>
      </c>
      <c r="Y4" s="28">
        <f t="shared" ref="Y4:Y14" si="7">$T4*$C4*$E4</f>
        <v>2.1150025704149478</v>
      </c>
      <c r="Z4" s="29">
        <f t="shared" ref="Z4:Z14" si="8">$T4*$C4*$F4</f>
        <v>2.3471369988751252</v>
      </c>
      <c r="AA4" s="27">
        <f t="shared" ref="AA4:AC4" si="9">U4+X4</f>
        <v>2.2267709989328113</v>
      </c>
      <c r="AB4" s="28">
        <f t="shared" si="9"/>
        <v>2.4675029988174391</v>
      </c>
      <c r="AC4" s="29">
        <f t="shared" si="9"/>
        <v>2.7383264986876461</v>
      </c>
      <c r="AD4" s="30">
        <f t="shared" ref="AD4:AD14" si="10">($S4*$C4*$M4*3.6*10^(-3))*1000</f>
        <v>1.2225746565569336E-4</v>
      </c>
      <c r="AE4" s="21">
        <f t="shared" ref="AE4:AE14" si="11">($S4*$C4*$N4*3.6*10^(-3))*1000</f>
        <v>1.7766931922122402E-3</v>
      </c>
      <c r="AF4" s="22">
        <f t="shared" ref="AF4:AF14" si="12">($S4*$C4*$O4*3.6*10^(-3))*1000</f>
        <v>5.6547946772899172E-3</v>
      </c>
      <c r="AG4" s="30">
        <f t="shared" ref="AG4:AG14" si="13">($T4*$C4*$M4*3.6*10^(-3))*1000</f>
        <v>7.3354479393415999E-4</v>
      </c>
      <c r="AH4" s="21">
        <f t="shared" ref="AH4:AH14" si="14">($T4*$C4*$N4*3.6*10^(-3))*1000</f>
        <v>1.0660159153273441E-2</v>
      </c>
      <c r="AI4" s="22">
        <f t="shared" ref="AI4:AI14" si="15">($T4*$C4*O4*3.6*10^(-3))*1000</f>
        <v>3.3928768063739498E-2</v>
      </c>
      <c r="AJ4" s="30">
        <f t="shared" ref="AJ4:AL4" si="16">AD4+AG4</f>
        <v>8.5580225958985332E-4</v>
      </c>
      <c r="AK4" s="21">
        <f t="shared" si="16"/>
        <v>1.2436852345485682E-2</v>
      </c>
      <c r="AL4" s="22">
        <f t="shared" si="16"/>
        <v>3.9583562741029414E-2</v>
      </c>
      <c r="AM4" s="31">
        <f t="shared" ref="AM4:AM13" si="17">$S4*$C4*10^(-3)*$P4*10^4</f>
        <v>8.5975714244510091E-4</v>
      </c>
      <c r="AN4" s="32">
        <f t="shared" ref="AN4:AN14" si="18">$S4*$C4*10^(-3)*$Q4*10^4</f>
        <v>2.1493928561127518E-2</v>
      </c>
      <c r="AO4" s="33">
        <f t="shared" ref="AO4:AO13" si="19">$S4*$C4*10^(-3)*$R4*10^4</f>
        <v>6.4481785683382559E-2</v>
      </c>
      <c r="AP4" s="31">
        <f t="shared" ref="AP4:AP13" si="20">$T4*$C4*10^(-3)*$P4*10^4</f>
        <v>5.1585428546706055E-3</v>
      </c>
      <c r="AQ4" s="32">
        <f t="shared" ref="AQ4:AQ14" si="21">$T4*$C4*10^(-3)*$Q4*10^4</f>
        <v>0.12896357136676512</v>
      </c>
      <c r="AR4" s="33">
        <f t="shared" ref="AR4:AR13" si="22">$T4*$C4*10^(-3)*$R4*10^4</f>
        <v>0.38689071410029535</v>
      </c>
      <c r="AS4" s="31">
        <f t="shared" ref="AS4:AU4" si="23">AM4+AP4</f>
        <v>6.0182999971157064E-3</v>
      </c>
      <c r="AT4" s="32">
        <f t="shared" si="23"/>
        <v>0.15045749992789265</v>
      </c>
      <c r="AU4" s="33">
        <f t="shared" si="23"/>
        <v>0.45137249978367788</v>
      </c>
    </row>
    <row r="5" spans="1:47" ht="16">
      <c r="A5" s="19" t="s">
        <v>58</v>
      </c>
      <c r="B5" s="1">
        <v>15.917</v>
      </c>
      <c r="C5" s="1">
        <f t="shared" si="0"/>
        <v>2.7005475068671642E-2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0.17742597120117271</v>
      </c>
      <c r="V5" s="28">
        <f t="shared" si="4"/>
        <v>0.18228695671353359</v>
      </c>
      <c r="W5" s="29">
        <f t="shared" si="5"/>
        <v>0.23386741409469644</v>
      </c>
      <c r="X5" s="27">
        <f t="shared" si="6"/>
        <v>1.0645558272070361</v>
      </c>
      <c r="Y5" s="28">
        <f t="shared" si="7"/>
        <v>1.0937217402812016</v>
      </c>
      <c r="Z5" s="29">
        <f t="shared" si="8"/>
        <v>1.4032044845681786</v>
      </c>
      <c r="AA5" s="27">
        <f t="shared" ref="AA5:AC5" si="25">U5+X5</f>
        <v>1.2419817984082089</v>
      </c>
      <c r="AB5" s="28">
        <f t="shared" si="25"/>
        <v>1.2760086969947353</v>
      </c>
      <c r="AC5" s="29">
        <f t="shared" si="25"/>
        <v>1.6370718986628749</v>
      </c>
      <c r="AD5" s="30">
        <f t="shared" si="10"/>
        <v>2.0805017992904637E-4</v>
      </c>
      <c r="AE5" s="21">
        <f t="shared" si="11"/>
        <v>7.972016240271869E-4</v>
      </c>
      <c r="AF5" s="22">
        <f t="shared" si="12"/>
        <v>2.6677088491836596E-3</v>
      </c>
      <c r="AG5" s="30">
        <f t="shared" si="13"/>
        <v>1.248301079574278E-3</v>
      </c>
      <c r="AH5" s="21">
        <f t="shared" si="14"/>
        <v>4.7832097441631218E-3</v>
      </c>
      <c r="AI5" s="22">
        <f t="shared" si="15"/>
        <v>1.6006253095101956E-2</v>
      </c>
      <c r="AJ5" s="30">
        <f t="shared" ref="AJ5:AL5" si="26">AD5+AG5</f>
        <v>1.4563512595033245E-3</v>
      </c>
      <c r="AK5" s="21">
        <f t="shared" si="26"/>
        <v>5.5804113681903085E-3</v>
      </c>
      <c r="AL5" s="22">
        <f t="shared" si="26"/>
        <v>1.8673961944285614E-2</v>
      </c>
      <c r="AM5" s="31">
        <f t="shared" si="17"/>
        <v>2.7005475068671644E-4</v>
      </c>
      <c r="AN5" s="32">
        <f t="shared" si="18"/>
        <v>1.0802190027468658E-3</v>
      </c>
      <c r="AO5" s="33">
        <f t="shared" si="19"/>
        <v>1.6203285041202985E-3</v>
      </c>
      <c r="AP5" s="31">
        <f t="shared" si="20"/>
        <v>1.6203285041202988E-3</v>
      </c>
      <c r="AQ5" s="32">
        <f t="shared" si="21"/>
        <v>6.4813140164811951E-3</v>
      </c>
      <c r="AR5" s="33">
        <f t="shared" si="22"/>
        <v>9.7219710247217917E-3</v>
      </c>
      <c r="AS5" s="31">
        <f t="shared" ref="AS5:AU5" si="27">AM5+AP5</f>
        <v>1.8903832548070152E-3</v>
      </c>
      <c r="AT5" s="32">
        <f t="shared" si="27"/>
        <v>7.5615330192280606E-3</v>
      </c>
      <c r="AU5" s="33">
        <f t="shared" si="27"/>
        <v>1.134229952884209E-2</v>
      </c>
    </row>
    <row r="6" spans="1:47" ht="16">
      <c r="A6" s="19" t="s">
        <v>59</v>
      </c>
      <c r="B6" s="1">
        <v>65.593000000000004</v>
      </c>
      <c r="C6" s="1">
        <f t="shared" si="0"/>
        <v>0.11128793907013754</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0.45628055018756386</v>
      </c>
      <c r="V6" s="28">
        <f t="shared" si="4"/>
        <v>0.54531090144367389</v>
      </c>
      <c r="W6" s="29">
        <f t="shared" si="5"/>
        <v>0.72337160395589395</v>
      </c>
      <c r="X6" s="27">
        <f t="shared" si="6"/>
        <v>2.7376833011253834</v>
      </c>
      <c r="Y6" s="28">
        <f t="shared" si="7"/>
        <v>3.2718654086620438</v>
      </c>
      <c r="Z6" s="29">
        <f t="shared" si="8"/>
        <v>4.3402296237353637</v>
      </c>
      <c r="AA6" s="27">
        <f t="shared" ref="AA6:AC6" si="29">U6+X6</f>
        <v>3.1939638513129474</v>
      </c>
      <c r="AB6" s="28">
        <f t="shared" si="29"/>
        <v>3.8171763101057179</v>
      </c>
      <c r="AC6" s="29">
        <f t="shared" si="29"/>
        <v>5.0636012276912581</v>
      </c>
      <c r="AD6" s="30">
        <f t="shared" si="10"/>
        <v>3.0448380129589631E-4</v>
      </c>
      <c r="AE6" s="21">
        <f t="shared" si="11"/>
        <v>2.3317048993975222E-3</v>
      </c>
      <c r="AF6" s="22">
        <f t="shared" si="12"/>
        <v>1.1193786063430715E-2</v>
      </c>
      <c r="AG6" s="30">
        <f t="shared" si="13"/>
        <v>1.8269028077753779E-3</v>
      </c>
      <c r="AH6" s="21">
        <f t="shared" si="14"/>
        <v>1.3990229396385135E-2</v>
      </c>
      <c r="AI6" s="22">
        <f t="shared" si="15"/>
        <v>6.7162716380584284E-2</v>
      </c>
      <c r="AJ6" s="30">
        <f t="shared" ref="AJ6:AL6" si="30">AD6+AG6</f>
        <v>2.1313866090712742E-3</v>
      </c>
      <c r="AK6" s="21">
        <f t="shared" si="30"/>
        <v>1.6321934295782659E-2</v>
      </c>
      <c r="AL6" s="22">
        <f t="shared" si="30"/>
        <v>7.8356502444015E-2</v>
      </c>
      <c r="AM6" s="31">
        <f t="shared" si="17"/>
        <v>1.1128793907013755E-3</v>
      </c>
      <c r="AN6" s="32">
        <f t="shared" si="18"/>
        <v>2.2257587814027511E-3</v>
      </c>
      <c r="AO6" s="33">
        <f t="shared" si="19"/>
        <v>1.1128793907013754E-2</v>
      </c>
      <c r="AP6" s="31">
        <f t="shared" si="20"/>
        <v>6.6772763442082533E-3</v>
      </c>
      <c r="AQ6" s="32">
        <f t="shared" si="21"/>
        <v>1.3354552688416507E-2</v>
      </c>
      <c r="AR6" s="33">
        <f t="shared" si="22"/>
        <v>6.6772763442082522E-2</v>
      </c>
      <c r="AS6" s="31">
        <f t="shared" ref="AS6:AU6" si="31">AM6+AP6</f>
        <v>7.7901557349096288E-3</v>
      </c>
      <c r="AT6" s="32">
        <f t="shared" si="31"/>
        <v>1.5580311469819258E-2</v>
      </c>
      <c r="AU6" s="33">
        <f t="shared" si="31"/>
        <v>7.7901557349096276E-2</v>
      </c>
    </row>
    <row r="7" spans="1:47" ht="16">
      <c r="A7" s="19" t="s">
        <v>60</v>
      </c>
      <c r="B7" s="1">
        <v>15.739000000000001</v>
      </c>
      <c r="C7" s="1">
        <f t="shared" si="0"/>
        <v>2.6703472520313062E-2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9.8802848325158345E-4</v>
      </c>
      <c r="V7" s="28">
        <f t="shared" si="4"/>
        <v>3.204416702437568E-3</v>
      </c>
      <c r="W7" s="29">
        <f t="shared" si="5"/>
        <v>2.9373819772344371E-2</v>
      </c>
      <c r="X7" s="27">
        <f t="shared" si="6"/>
        <v>5.9281708995094998E-3</v>
      </c>
      <c r="Y7" s="28">
        <f t="shared" si="7"/>
        <v>1.9226500214625401E-2</v>
      </c>
      <c r="Z7" s="29">
        <f t="shared" si="8"/>
        <v>0.17624291863406619</v>
      </c>
      <c r="AA7" s="27">
        <f t="shared" ref="AA7:AC7" si="33">U7+X7</f>
        <v>6.9161993827610829E-3</v>
      </c>
      <c r="AB7" s="28">
        <f t="shared" si="33"/>
        <v>2.2430916917062969E-2</v>
      </c>
      <c r="AC7" s="29">
        <f t="shared" si="33"/>
        <v>0.20561673840641057</v>
      </c>
      <c r="AD7" s="30">
        <f t="shared" si="10"/>
        <v>1.7303850193162867E-5</v>
      </c>
      <c r="AE7" s="21">
        <f t="shared" si="11"/>
        <v>2.3822773243682599E-4</v>
      </c>
      <c r="AF7" s="22">
        <f t="shared" si="12"/>
        <v>2.8878203322367365E-3</v>
      </c>
      <c r="AG7" s="30">
        <f t="shared" si="13"/>
        <v>1.0382310115897716E-4</v>
      </c>
      <c r="AH7" s="21">
        <f t="shared" si="14"/>
        <v>1.4293663946209558E-3</v>
      </c>
      <c r="AI7" s="22">
        <f t="shared" si="15"/>
        <v>1.7326921993420414E-2</v>
      </c>
      <c r="AJ7" s="30">
        <f t="shared" ref="AJ7:AL7" si="34">AD7+AG7</f>
        <v>1.2112695135214003E-4</v>
      </c>
      <c r="AK7" s="21">
        <f t="shared" si="34"/>
        <v>1.6675941270577817E-3</v>
      </c>
      <c r="AL7" s="22">
        <f t="shared" si="34"/>
        <v>2.0214742325657151E-2</v>
      </c>
      <c r="AM7" s="31">
        <f t="shared" si="17"/>
        <v>2.6703472520313065E-4</v>
      </c>
      <c r="AN7" s="32">
        <f t="shared" si="18"/>
        <v>2.6703472520313065E-4</v>
      </c>
      <c r="AO7" s="33">
        <f t="shared" si="19"/>
        <v>2.6703472520313064E-3</v>
      </c>
      <c r="AP7" s="31">
        <f t="shared" si="20"/>
        <v>1.6022083512187836E-3</v>
      </c>
      <c r="AQ7" s="32">
        <f t="shared" si="21"/>
        <v>1.6022083512187836E-3</v>
      </c>
      <c r="AR7" s="33">
        <f t="shared" si="22"/>
        <v>1.6022083512187837E-2</v>
      </c>
      <c r="AS7" s="31">
        <f t="shared" ref="AS7:AU7" si="35">AM7+AP7</f>
        <v>1.8692430764219142E-3</v>
      </c>
      <c r="AT7" s="32">
        <f t="shared" si="35"/>
        <v>1.8692430764219142E-3</v>
      </c>
      <c r="AU7" s="33">
        <f t="shared" si="35"/>
        <v>1.8692430764219142E-2</v>
      </c>
    </row>
    <row r="8" spans="1:47" ht="16">
      <c r="A8" s="19" t="s">
        <v>61</v>
      </c>
      <c r="B8" s="1">
        <v>370.90600000000001</v>
      </c>
      <c r="C8" s="1">
        <f t="shared" si="0"/>
        <v>0.62929526517690038</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6.2929526517690043E-3</v>
      </c>
      <c r="V8" s="28">
        <f t="shared" si="4"/>
        <v>0.1510308636424561</v>
      </c>
      <c r="W8" s="29">
        <f t="shared" si="5"/>
        <v>13.844495833891809</v>
      </c>
      <c r="X8" s="27">
        <f t="shared" si="6"/>
        <v>3.7757715910614019E-2</v>
      </c>
      <c r="Y8" s="28">
        <f t="shared" si="7"/>
        <v>0.9061851818547364</v>
      </c>
      <c r="Z8" s="29">
        <f t="shared" si="8"/>
        <v>83.066975003350848</v>
      </c>
      <c r="AA8" s="27">
        <f t="shared" ref="AA8:AC8" si="37">U8+X8</f>
        <v>4.4050668562383023E-2</v>
      </c>
      <c r="AB8" s="28">
        <f t="shared" si="37"/>
        <v>1.0572160454971926</v>
      </c>
      <c r="AC8" s="29">
        <f t="shared" si="37"/>
        <v>96.911470837242661</v>
      </c>
      <c r="AD8" s="30">
        <f t="shared" si="10"/>
        <v>6.7963888639105243E-3</v>
      </c>
      <c r="AE8" s="21">
        <f t="shared" si="11"/>
        <v>0.21080737534444194</v>
      </c>
      <c r="AF8" s="22">
        <f t="shared" si="12"/>
        <v>19.29164040872821</v>
      </c>
      <c r="AG8" s="30">
        <f t="shared" si="13"/>
        <v>4.077833318346314E-2</v>
      </c>
      <c r="AH8" s="21">
        <f t="shared" si="14"/>
        <v>1.2648442520666512</v>
      </c>
      <c r="AI8" s="22">
        <f t="shared" si="15"/>
        <v>115.74984245236925</v>
      </c>
      <c r="AJ8" s="30">
        <f t="shared" ref="AJ8:AL8" si="38">AD8+AG8</f>
        <v>4.7574722047373667E-2</v>
      </c>
      <c r="AK8" s="21">
        <f t="shared" si="38"/>
        <v>1.4756516274110931</v>
      </c>
      <c r="AL8" s="22">
        <f t="shared" si="38"/>
        <v>135.04148286109745</v>
      </c>
      <c r="AM8" s="31">
        <f t="shared" si="17"/>
        <v>0.20766743750837713</v>
      </c>
      <c r="AN8" s="32">
        <f t="shared" si="18"/>
        <v>0.62929526517690049</v>
      </c>
      <c r="AO8" s="33">
        <f t="shared" si="19"/>
        <v>1.0635089981489616</v>
      </c>
      <c r="AP8" s="31">
        <f t="shared" si="20"/>
        <v>1.2460046250502628</v>
      </c>
      <c r="AQ8" s="32">
        <f t="shared" si="21"/>
        <v>3.7757715910614018</v>
      </c>
      <c r="AR8" s="33">
        <f t="shared" si="22"/>
        <v>6.3810539888937683</v>
      </c>
      <c r="AS8" s="31">
        <f t="shared" ref="AS8:AU8" si="39">AM8+AP8</f>
        <v>1.4536720625586399</v>
      </c>
      <c r="AT8" s="32">
        <f t="shared" si="39"/>
        <v>4.4050668562383022</v>
      </c>
      <c r="AU8" s="33">
        <f t="shared" si="39"/>
        <v>7.4445629870427297</v>
      </c>
    </row>
    <row r="9" spans="1:47" ht="16">
      <c r="A9" s="19" t="s">
        <v>84</v>
      </c>
      <c r="B9" s="1">
        <v>52.255000000000003</v>
      </c>
      <c r="C9" s="1">
        <f t="shared" si="0"/>
        <v>8.8658107665605126E-2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0.11525553996528667</v>
      </c>
      <c r="V9" s="28">
        <f t="shared" si="4"/>
        <v>0.20391364763089179</v>
      </c>
      <c r="W9" s="29">
        <f t="shared" si="5"/>
        <v>0.37236405219554153</v>
      </c>
      <c r="X9" s="27">
        <f t="shared" si="6"/>
        <v>0.69153323979171999</v>
      </c>
      <c r="Y9" s="28">
        <f t="shared" si="7"/>
        <v>1.2234818857853509</v>
      </c>
      <c r="Z9" s="29">
        <f t="shared" si="8"/>
        <v>2.2341843131732491</v>
      </c>
      <c r="AA9" s="27">
        <f t="shared" ref="AA9:AC9" si="41">U9+X9</f>
        <v>0.80678877975700669</v>
      </c>
      <c r="AB9" s="28">
        <f t="shared" si="41"/>
        <v>1.4273955334162427</v>
      </c>
      <c r="AC9" s="29">
        <f t="shared" si="41"/>
        <v>2.6065483653687904</v>
      </c>
      <c r="AD9" s="30">
        <f t="shared" si="10"/>
        <v>6.38338375192357E-2</v>
      </c>
      <c r="AE9" s="21">
        <f t="shared" si="11"/>
        <v>0.112636127002767</v>
      </c>
      <c r="AF9" s="22">
        <f t="shared" si="12"/>
        <v>0.20922816923679885</v>
      </c>
      <c r="AG9" s="30">
        <f t="shared" si="13"/>
        <v>0.38300302511541418</v>
      </c>
      <c r="AH9" s="21">
        <f t="shared" si="14"/>
        <v>0.6758167620166019</v>
      </c>
      <c r="AI9" s="22">
        <f t="shared" si="15"/>
        <v>1.255369015420793</v>
      </c>
      <c r="AJ9" s="30">
        <f t="shared" ref="AJ9:AL9" si="42">AD9+AG9</f>
        <v>0.44683686263464989</v>
      </c>
      <c r="AK9" s="21">
        <f t="shared" si="42"/>
        <v>0.78845288901936894</v>
      </c>
      <c r="AL9" s="22">
        <f t="shared" si="42"/>
        <v>1.4645971846575918</v>
      </c>
      <c r="AM9" s="31">
        <f t="shared" si="17"/>
        <v>0.11525553996528667</v>
      </c>
      <c r="AN9" s="32">
        <f t="shared" si="18"/>
        <v>4.4329053832802563</v>
      </c>
      <c r="AO9" s="33">
        <f t="shared" si="19"/>
        <v>7.1813067209140158</v>
      </c>
      <c r="AP9" s="31">
        <f t="shared" si="20"/>
        <v>0.69153323979171999</v>
      </c>
      <c r="AQ9" s="32">
        <f t="shared" si="21"/>
        <v>26.597432299681543</v>
      </c>
      <c r="AR9" s="33">
        <f t="shared" si="22"/>
        <v>43.087840325484095</v>
      </c>
      <c r="AS9" s="31">
        <f t="shared" ref="AS9:AU9" si="43">AM9+AP9</f>
        <v>0.80678877975700669</v>
      </c>
      <c r="AT9" s="32">
        <f t="shared" si="43"/>
        <v>31.0303376829618</v>
      </c>
      <c r="AU9" s="33">
        <f t="shared" si="43"/>
        <v>50.26914704639811</v>
      </c>
    </row>
    <row r="10" spans="1:47" ht="15.75" customHeight="1">
      <c r="A10" s="1" t="s">
        <v>63</v>
      </c>
      <c r="B10" s="1">
        <v>42.372999999999998</v>
      </c>
      <c r="C10" s="1">
        <f t="shared" si="0"/>
        <v>7.1891876301113489E-2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5.0324313410779441E-3</v>
      </c>
      <c r="V10" s="28">
        <f t="shared" si="4"/>
        <v>7.908106393122484E-3</v>
      </c>
      <c r="W10" s="29">
        <f t="shared" si="5"/>
        <v>4.0259450728623553E-2</v>
      </c>
      <c r="X10" s="27">
        <f t="shared" si="6"/>
        <v>3.0194588046467664E-2</v>
      </c>
      <c r="Y10" s="28">
        <f t="shared" si="7"/>
        <v>4.7448638358734897E-2</v>
      </c>
      <c r="Z10" s="29">
        <f t="shared" si="8"/>
        <v>0.24155670437174132</v>
      </c>
      <c r="AA10" s="27">
        <f t="shared" ref="AA10:AC10" si="45">U10+X10</f>
        <v>3.5227019387545605E-2</v>
      </c>
      <c r="AB10" s="28">
        <f t="shared" si="45"/>
        <v>5.5356744751857381E-2</v>
      </c>
      <c r="AC10" s="29">
        <f t="shared" si="45"/>
        <v>0.28181615510036484</v>
      </c>
      <c r="AD10" s="30">
        <f t="shared" si="10"/>
        <v>5.176215093680172E-7</v>
      </c>
      <c r="AE10" s="21">
        <f t="shared" si="11"/>
        <v>3.0612558624343712E-4</v>
      </c>
      <c r="AF10" s="22">
        <f t="shared" si="12"/>
        <v>4.0250248568457015E-3</v>
      </c>
      <c r="AG10" s="30">
        <f t="shared" si="13"/>
        <v>3.105729056208103E-6</v>
      </c>
      <c r="AH10" s="21">
        <f t="shared" si="14"/>
        <v>1.8367535174606225E-3</v>
      </c>
      <c r="AI10" s="22">
        <f t="shared" si="15"/>
        <v>2.4150149141074207E-2</v>
      </c>
      <c r="AJ10" s="30">
        <f t="shared" ref="AJ10:AL10" si="46">AD10+AG10</f>
        <v>3.6233505655761201E-6</v>
      </c>
      <c r="AK10" s="21">
        <f t="shared" si="46"/>
        <v>2.1428791037040595E-3</v>
      </c>
      <c r="AL10" s="22">
        <f t="shared" si="46"/>
        <v>2.8175173997919908E-2</v>
      </c>
      <c r="AM10" s="31">
        <f t="shared" si="17"/>
        <v>2.1567562890334045E-3</v>
      </c>
      <c r="AN10" s="32">
        <f t="shared" si="18"/>
        <v>7.189187630111349E-3</v>
      </c>
      <c r="AO10" s="33">
        <f t="shared" si="19"/>
        <v>9.345943919144754E-3</v>
      </c>
      <c r="AP10" s="31">
        <f t="shared" si="20"/>
        <v>1.2940537734200425E-2</v>
      </c>
      <c r="AQ10" s="32">
        <f t="shared" si="21"/>
        <v>4.3135125780668089E-2</v>
      </c>
      <c r="AR10" s="33">
        <f t="shared" si="22"/>
        <v>5.6075663514868514E-2</v>
      </c>
      <c r="AS10" s="31">
        <f t="shared" ref="AS10:AU10" si="47">AM10+AP10</f>
        <v>1.5097294023233829E-2</v>
      </c>
      <c r="AT10" s="32">
        <f t="shared" si="47"/>
        <v>5.0324313410779441E-2</v>
      </c>
      <c r="AU10" s="33">
        <f t="shared" si="47"/>
        <v>6.5421607434013263E-2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0.83199999999999996</v>
      </c>
      <c r="C12" s="1">
        <f t="shared" si="0"/>
        <v>1.4116074170468559E-3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2.5408933506843408E-4</v>
      </c>
      <c r="V12" s="28">
        <f t="shared" si="4"/>
        <v>6.7757156018249086E-4</v>
      </c>
      <c r="W12" s="29">
        <f t="shared" si="5"/>
        <v>2.5408933506843407E-3</v>
      </c>
      <c r="X12" s="27">
        <f t="shared" si="6"/>
        <v>1.5245360104106042E-3</v>
      </c>
      <c r="Y12" s="28">
        <f t="shared" si="7"/>
        <v>4.0654293610949445E-3</v>
      </c>
      <c r="Z12" s="29">
        <f t="shared" si="8"/>
        <v>1.5245360104106043E-2</v>
      </c>
      <c r="AA12" s="27">
        <f t="shared" ref="AA12:AC12" si="53">U12+X12</f>
        <v>1.7786253454790382E-3</v>
      </c>
      <c r="AB12" s="28">
        <f t="shared" si="53"/>
        <v>4.7430009212774352E-3</v>
      </c>
      <c r="AC12" s="29">
        <f t="shared" si="53"/>
        <v>1.7786253454790384E-2</v>
      </c>
      <c r="AD12" s="30">
        <f t="shared" si="10"/>
        <v>3.2523434888759561E-7</v>
      </c>
      <c r="AE12" s="21">
        <f t="shared" si="11"/>
        <v>9.1129610544924559E-6</v>
      </c>
      <c r="AF12" s="22">
        <f t="shared" si="12"/>
        <v>9.4368779044416408E-5</v>
      </c>
      <c r="AG12" s="30">
        <f t="shared" si="13"/>
        <v>1.9514060933255733E-6</v>
      </c>
      <c r="AH12" s="21">
        <f t="shared" si="14"/>
        <v>5.4677766326954732E-5</v>
      </c>
      <c r="AI12" s="22">
        <f t="shared" si="15"/>
        <v>5.6621267426649839E-4</v>
      </c>
      <c r="AJ12" s="30">
        <f t="shared" ref="AJ12:AL12" si="54">AD12+AG12</f>
        <v>2.2766404422131689E-6</v>
      </c>
      <c r="AK12" s="21">
        <f t="shared" si="54"/>
        <v>6.3790727381447186E-5</v>
      </c>
      <c r="AL12" s="22">
        <f t="shared" si="54"/>
        <v>6.6058145331091478E-4</v>
      </c>
      <c r="AM12" s="31">
        <f t="shared" si="17"/>
        <v>4.2348222511405679E-5</v>
      </c>
      <c r="AN12" s="32">
        <f t="shared" si="18"/>
        <v>1.4116074170468559E-3</v>
      </c>
      <c r="AO12" s="33">
        <f t="shared" si="19"/>
        <v>2.1174111255702838E-3</v>
      </c>
      <c r="AP12" s="31">
        <f t="shared" si="20"/>
        <v>2.5408933506843403E-4</v>
      </c>
      <c r="AQ12" s="32">
        <f t="shared" si="21"/>
        <v>8.4696445022811352E-3</v>
      </c>
      <c r="AR12" s="33">
        <f t="shared" si="22"/>
        <v>1.2704466753421701E-2</v>
      </c>
      <c r="AS12" s="31">
        <f t="shared" ref="AS12:AU12" si="55">AM12+AP12</f>
        <v>2.964375575798397E-4</v>
      </c>
      <c r="AT12" s="32">
        <f t="shared" si="55"/>
        <v>9.8812519193279911E-3</v>
      </c>
      <c r="AU12" s="33">
        <f t="shared" si="55"/>
        <v>1.4821877878991984E-2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1" t="s">
        <v>91</v>
      </c>
      <c r="B15" s="1">
        <v>0.44700000000000001</v>
      </c>
      <c r="C15" s="1">
        <f t="shared" si="0"/>
        <v>7.5839965795666418E-4</v>
      </c>
      <c r="G15" s="7"/>
      <c r="AA15" s="4">
        <f t="shared" ref="AA15:AC15" si="64">SUM(AA4:AA14)</f>
        <v>7.5574779410891431</v>
      </c>
      <c r="AB15" s="4">
        <f t="shared" si="64"/>
        <v>10.127830247421526</v>
      </c>
      <c r="AC15" s="4">
        <f t="shared" si="64"/>
        <v>109.46223797461479</v>
      </c>
      <c r="AJ15" s="4">
        <f t="shared" ref="AJ15:AL15" si="65">SUM(AJ4:AJ14)</f>
        <v>0.49898215175254795</v>
      </c>
      <c r="AK15" s="4">
        <f t="shared" si="65"/>
        <v>2.3023179783980638</v>
      </c>
      <c r="AL15" s="4">
        <f t="shared" si="65"/>
        <v>136.69174457066123</v>
      </c>
      <c r="AS15" s="4">
        <f t="shared" ref="AS15:AU15" si="66">SUM(AS4:AS14)</f>
        <v>2.2934226559597146</v>
      </c>
      <c r="AT15" s="4">
        <f t="shared" si="66"/>
        <v>35.671078692023563</v>
      </c>
      <c r="AU15" s="4">
        <f t="shared" si="66"/>
        <v>58.35326230617968</v>
      </c>
    </row>
    <row r="16" spans="1:47" ht="15.75" customHeight="1">
      <c r="A16" s="81" t="s">
        <v>163</v>
      </c>
      <c r="B16" s="68">
        <f>SUM(B4:B15)</f>
        <v>589.39900000000011</v>
      </c>
      <c r="G16" s="7"/>
      <c r="AG16" s="195"/>
      <c r="AH16" s="196"/>
      <c r="AI16" s="196"/>
      <c r="AP16" s="195"/>
      <c r="AQ16" s="196"/>
      <c r="AR16" s="196"/>
    </row>
    <row r="17" spans="2:18" ht="15.75" customHeight="1">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3">
      <c r="B19" s="82" t="s">
        <v>140</v>
      </c>
      <c r="C19" s="187" t="s">
        <v>143</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U41"/>
  <sheetViews>
    <sheetView workbookViewId="0">
      <selection activeCell="C20" sqref="C20:G21"/>
    </sheetView>
  </sheetViews>
  <sheetFormatPr baseColWidth="10" defaultColWidth="14.5" defaultRowHeight="15.75" customHeight="1"/>
  <cols>
    <col min="1" max="1" width="22.3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157</v>
      </c>
      <c r="B2" s="193"/>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4485.3609999999999</v>
      </c>
      <c r="C4" s="1">
        <f t="shared" ref="C4:C14" si="0">B4/$B$16</f>
        <v>0.67602530919451542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5.0025872880394147</v>
      </c>
      <c r="V4" s="28">
        <f t="shared" ref="V4:V14" si="4">$S4*$C4*$E4</f>
        <v>5.5434075353950263</v>
      </c>
      <c r="W4" s="29">
        <f t="shared" ref="W4:W14" si="5">$S4*$C4*$F4</f>
        <v>6.1518303136700903</v>
      </c>
      <c r="X4" s="27">
        <f t="shared" ref="X4:X14" si="6">$T4*$C4*$D4</f>
        <v>30.015523728236481</v>
      </c>
      <c r="Y4" s="28">
        <f t="shared" ref="Y4:Y14" si="7">$T4*$C4*$E4</f>
        <v>33.260445212370158</v>
      </c>
      <c r="Z4" s="29">
        <f t="shared" ref="Z4:Z14" si="8">$T4*$C4*$F4</f>
        <v>36.910981882020536</v>
      </c>
      <c r="AA4" s="27">
        <f t="shared" ref="AA4:AC4" si="9">U4+X4</f>
        <v>35.018111016275896</v>
      </c>
      <c r="AB4" s="28">
        <f t="shared" si="9"/>
        <v>38.803852747765184</v>
      </c>
      <c r="AC4" s="29">
        <f t="shared" si="9"/>
        <v>43.062812195690626</v>
      </c>
      <c r="AD4" s="30">
        <f t="shared" ref="AD4:AD14" si="10">($S4*$C4*$M4*3.6*10^(-3))*1000</f>
        <v>1.9226159793492021E-3</v>
      </c>
      <c r="AE4" s="21">
        <f t="shared" ref="AE4:AE14" si="11">($S4*$C4*$N4*3.6*10^(-3))*1000</f>
        <v>2.7940205560682857E-2</v>
      </c>
      <c r="AF4" s="22">
        <f t="shared" ref="AF4:AF14" si="12">($S4*$C4*$O4*3.6*10^(-3))*1000</f>
        <v>8.8927073272683343E-2</v>
      </c>
      <c r="AG4" s="30">
        <f t="shared" ref="AG4:AG14" si="13">($T4*$C4*$M4*3.6*10^(-3))*1000</f>
        <v>1.1535695876095211E-2</v>
      </c>
      <c r="AH4" s="21">
        <f t="shared" ref="AH4:AH14" si="14">($T4*$C4*$N4*3.6*10^(-3))*1000</f>
        <v>0.16764123336409711</v>
      </c>
      <c r="AI4" s="22">
        <f t="shared" ref="AI4:AI14" si="15">($T4*$C4*O4*3.6*10^(-3))*1000</f>
        <v>0.53356243963610006</v>
      </c>
      <c r="AJ4" s="30">
        <f t="shared" ref="AJ4:AL4" si="16">AD4+AG4</f>
        <v>1.3458311855444412E-2</v>
      </c>
      <c r="AK4" s="21">
        <f t="shared" si="16"/>
        <v>0.19558143892477997</v>
      </c>
      <c r="AL4" s="22">
        <f t="shared" si="16"/>
        <v>0.6224895129087834</v>
      </c>
      <c r="AM4" s="31">
        <f t="shared" ref="AM4:AM13" si="17">$S4*$C4*10^(-3)*$P4*10^4</f>
        <v>1.3520506183890309E-2</v>
      </c>
      <c r="AN4" s="32">
        <f t="shared" ref="AN4:AN14" si="18">$S4*$C4*10^(-3)*$Q4*10^4</f>
        <v>0.33801265459725771</v>
      </c>
      <c r="AO4" s="33">
        <f t="shared" ref="AO4:AO13" si="19">$S4*$C4*10^(-3)*$R4*10^4</f>
        <v>1.0140379637917731</v>
      </c>
      <c r="AP4" s="31">
        <f t="shared" ref="AP4:AP13" si="20">$T4*$C4*10^(-3)*$P4*10^4</f>
        <v>8.1123037103341844E-2</v>
      </c>
      <c r="AQ4" s="32">
        <f t="shared" ref="AQ4:AQ14" si="21">$T4*$C4*10^(-3)*$Q4*10^4</f>
        <v>2.0280759275835463</v>
      </c>
      <c r="AR4" s="33">
        <f t="shared" ref="AR4:AR13" si="22">$T4*$C4*10^(-3)*$R4*10^4</f>
        <v>6.0842277827506379</v>
      </c>
      <c r="AS4" s="31">
        <f t="shared" ref="AS4:AU4" si="23">AM4+AP4</f>
        <v>9.4643543287232151E-2</v>
      </c>
      <c r="AT4" s="32">
        <f t="shared" si="23"/>
        <v>2.366088582180804</v>
      </c>
      <c r="AU4" s="33">
        <f t="shared" si="23"/>
        <v>7.0982657465424115</v>
      </c>
    </row>
    <row r="5" spans="1:47" ht="16">
      <c r="A5" s="19" t="s">
        <v>58</v>
      </c>
      <c r="B5" s="1">
        <v>9.8689999999999998</v>
      </c>
      <c r="C5" s="1">
        <f t="shared" si="0"/>
        <v>1.487437416172449E-3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9.7724638242529908E-3</v>
      </c>
      <c r="V5" s="28">
        <f t="shared" si="4"/>
        <v>1.0040202559164031E-2</v>
      </c>
      <c r="W5" s="29">
        <f t="shared" si="5"/>
        <v>1.2881208024053408E-2</v>
      </c>
      <c r="X5" s="27">
        <f t="shared" si="6"/>
        <v>5.8634782945517938E-2</v>
      </c>
      <c r="Y5" s="28">
        <f t="shared" si="7"/>
        <v>6.0241215354984182E-2</v>
      </c>
      <c r="Z5" s="29">
        <f t="shared" si="8"/>
        <v>7.7287248144320447E-2</v>
      </c>
      <c r="AA5" s="27">
        <f t="shared" ref="AA5:AC5" si="25">U5+X5</f>
        <v>6.8407246769770932E-2</v>
      </c>
      <c r="AB5" s="28">
        <f t="shared" si="25"/>
        <v>7.0281417914148214E-2</v>
      </c>
      <c r="AC5" s="29">
        <f t="shared" si="25"/>
        <v>9.0168456168373851E-2</v>
      </c>
      <c r="AD5" s="30">
        <f t="shared" si="10"/>
        <v>1.1459217854192548E-5</v>
      </c>
      <c r="AE5" s="21">
        <f t="shared" si="11"/>
        <v>4.3909152525410693E-5</v>
      </c>
      <c r="AF5" s="22">
        <f t="shared" si="12"/>
        <v>1.4693501771917921E-4</v>
      </c>
      <c r="AG5" s="30">
        <f t="shared" si="13"/>
        <v>6.8755307125155279E-5</v>
      </c>
      <c r="AH5" s="21">
        <f t="shared" si="14"/>
        <v>2.6345491515246416E-4</v>
      </c>
      <c r="AI5" s="22">
        <f t="shared" si="15"/>
        <v>8.8161010631507503E-4</v>
      </c>
      <c r="AJ5" s="30">
        <f t="shared" ref="AJ5:AL5" si="26">AD5+AG5</f>
        <v>8.0214524979347823E-5</v>
      </c>
      <c r="AK5" s="21">
        <f t="shared" si="26"/>
        <v>3.0736406767787488E-4</v>
      </c>
      <c r="AL5" s="22">
        <f t="shared" si="26"/>
        <v>1.0285451240342543E-3</v>
      </c>
      <c r="AM5" s="31">
        <f t="shared" si="17"/>
        <v>1.487437416172449E-5</v>
      </c>
      <c r="AN5" s="32">
        <f t="shared" si="18"/>
        <v>5.9497496646897961E-5</v>
      </c>
      <c r="AO5" s="33">
        <f t="shared" si="19"/>
        <v>8.9246244970346924E-5</v>
      </c>
      <c r="AP5" s="31">
        <f t="shared" si="20"/>
        <v>8.9246244970346951E-5</v>
      </c>
      <c r="AQ5" s="32">
        <f t="shared" si="21"/>
        <v>3.569849798813878E-4</v>
      </c>
      <c r="AR5" s="33">
        <f t="shared" si="22"/>
        <v>5.3547746982208165E-4</v>
      </c>
      <c r="AS5" s="31">
        <f t="shared" ref="AS5:AU5" si="27">AM5+AP5</f>
        <v>1.0412061913207144E-4</v>
      </c>
      <c r="AT5" s="32">
        <f t="shared" si="27"/>
        <v>4.1648247652828577E-4</v>
      </c>
      <c r="AU5" s="33">
        <f t="shared" si="27"/>
        <v>6.2472371479242858E-4</v>
      </c>
    </row>
    <row r="6" spans="1:47" ht="16">
      <c r="A6" s="19" t="s">
        <v>59</v>
      </c>
      <c r="B6" s="1">
        <v>183.09899999999999</v>
      </c>
      <c r="C6" s="1">
        <f t="shared" si="0"/>
        <v>2.7596342432238245E-2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0.11314500397217681</v>
      </c>
      <c r="V6" s="28">
        <f t="shared" si="4"/>
        <v>0.13522207791796739</v>
      </c>
      <c r="W6" s="29">
        <f t="shared" si="5"/>
        <v>0.1793762258095486</v>
      </c>
      <c r="X6" s="27">
        <f t="shared" si="6"/>
        <v>0.67887002383306083</v>
      </c>
      <c r="Y6" s="28">
        <f t="shared" si="7"/>
        <v>0.81133246750780441</v>
      </c>
      <c r="Z6" s="29">
        <f t="shared" si="8"/>
        <v>1.0762573548572916</v>
      </c>
      <c r="AA6" s="27">
        <f t="shared" ref="AA6:AC6" si="29">U6+X6</f>
        <v>0.79201502780523758</v>
      </c>
      <c r="AB6" s="28">
        <f t="shared" si="29"/>
        <v>0.94655454542577178</v>
      </c>
      <c r="AC6" s="29">
        <f t="shared" si="29"/>
        <v>1.2556335806668402</v>
      </c>
      <c r="AD6" s="30">
        <f t="shared" si="10"/>
        <v>7.550359289460384E-5</v>
      </c>
      <c r="AE6" s="21">
        <f t="shared" si="11"/>
        <v>5.781985666402558E-4</v>
      </c>
      <c r="AF6" s="22">
        <f t="shared" si="12"/>
        <v>2.7757505072042521E-3</v>
      </c>
      <c r="AG6" s="30">
        <f t="shared" si="13"/>
        <v>4.5302155736762299E-4</v>
      </c>
      <c r="AH6" s="21">
        <f t="shared" si="14"/>
        <v>3.4691913998415348E-3</v>
      </c>
      <c r="AI6" s="22">
        <f t="shared" si="15"/>
        <v>1.6654503043225511E-2</v>
      </c>
      <c r="AJ6" s="30">
        <f t="shared" ref="AJ6:AL6" si="30">AD6+AG6</f>
        <v>5.2852515026222688E-4</v>
      </c>
      <c r="AK6" s="21">
        <f t="shared" si="30"/>
        <v>4.0473899664817906E-3</v>
      </c>
      <c r="AL6" s="22">
        <f t="shared" si="30"/>
        <v>1.9430253550429762E-2</v>
      </c>
      <c r="AM6" s="31">
        <f t="shared" si="17"/>
        <v>2.7596342432238246E-4</v>
      </c>
      <c r="AN6" s="32">
        <f t="shared" si="18"/>
        <v>5.5192684864476492E-4</v>
      </c>
      <c r="AO6" s="33">
        <f t="shared" si="19"/>
        <v>2.7596342432238247E-3</v>
      </c>
      <c r="AP6" s="31">
        <f t="shared" si="20"/>
        <v>1.6557805459342947E-3</v>
      </c>
      <c r="AQ6" s="32">
        <f t="shared" si="21"/>
        <v>3.3115610918685893E-3</v>
      </c>
      <c r="AR6" s="33">
        <f t="shared" si="22"/>
        <v>1.6557805459342947E-2</v>
      </c>
      <c r="AS6" s="31">
        <f t="shared" ref="AS6:AU6" si="31">AM6+AP6</f>
        <v>1.9317439702566772E-3</v>
      </c>
      <c r="AT6" s="32">
        <f t="shared" si="31"/>
        <v>3.8634879405133543E-3</v>
      </c>
      <c r="AU6" s="33">
        <f t="shared" si="31"/>
        <v>1.9317439702566771E-2</v>
      </c>
    </row>
    <row r="7" spans="1:47" ht="16">
      <c r="A7" s="19" t="s">
        <v>60</v>
      </c>
      <c r="B7" s="1">
        <v>248.07</v>
      </c>
      <c r="C7" s="1">
        <f t="shared" si="0"/>
        <v>3.7388651315219318E-2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1.3833800986631148E-3</v>
      </c>
      <c r="V7" s="28">
        <f t="shared" si="4"/>
        <v>4.4866381578263182E-3</v>
      </c>
      <c r="W7" s="29">
        <f t="shared" si="5"/>
        <v>4.1127516446741251E-2</v>
      </c>
      <c r="X7" s="27">
        <f t="shared" si="6"/>
        <v>8.3002805919786884E-3</v>
      </c>
      <c r="Y7" s="28">
        <f t="shared" si="7"/>
        <v>2.6919828946957908E-2</v>
      </c>
      <c r="Z7" s="29">
        <f t="shared" si="8"/>
        <v>0.24676509868044749</v>
      </c>
      <c r="AA7" s="27">
        <f t="shared" ref="AA7:AC7" si="33">U7+X7</f>
        <v>9.6836606906418026E-3</v>
      </c>
      <c r="AB7" s="28">
        <f t="shared" si="33"/>
        <v>3.1406467104784223E-2</v>
      </c>
      <c r="AC7" s="29">
        <f t="shared" si="33"/>
        <v>0.28789261512718872</v>
      </c>
      <c r="AD7" s="30">
        <f t="shared" si="10"/>
        <v>2.422784605226212E-5</v>
      </c>
      <c r="AE7" s="21">
        <f t="shared" si="11"/>
        <v>3.335526349586322E-4</v>
      </c>
      <c r="AF7" s="22">
        <f t="shared" si="12"/>
        <v>4.043358307833078E-3</v>
      </c>
      <c r="AG7" s="30">
        <f t="shared" si="13"/>
        <v>1.4536707631357268E-4</v>
      </c>
      <c r="AH7" s="21">
        <f t="shared" si="14"/>
        <v>2.001315809751793E-3</v>
      </c>
      <c r="AI7" s="22">
        <f t="shared" si="15"/>
        <v>2.426014984699847E-2</v>
      </c>
      <c r="AJ7" s="30">
        <f t="shared" ref="AJ7:AL7" si="34">AD7+AG7</f>
        <v>1.695949223658348E-4</v>
      </c>
      <c r="AK7" s="21">
        <f t="shared" si="34"/>
        <v>2.3348684447104251E-3</v>
      </c>
      <c r="AL7" s="22">
        <f t="shared" si="34"/>
        <v>2.8303508154831548E-2</v>
      </c>
      <c r="AM7" s="31">
        <f t="shared" si="17"/>
        <v>3.7388651315219324E-4</v>
      </c>
      <c r="AN7" s="32">
        <f t="shared" si="18"/>
        <v>3.7388651315219324E-4</v>
      </c>
      <c r="AO7" s="33">
        <f t="shared" si="19"/>
        <v>3.7388651315219323E-3</v>
      </c>
      <c r="AP7" s="31">
        <f t="shared" si="20"/>
        <v>2.2433190789131596E-3</v>
      </c>
      <c r="AQ7" s="32">
        <f t="shared" si="21"/>
        <v>2.2433190789131596E-3</v>
      </c>
      <c r="AR7" s="33">
        <f t="shared" si="22"/>
        <v>2.2433190789131592E-2</v>
      </c>
      <c r="AS7" s="31">
        <f t="shared" ref="AS7:AU7" si="35">AM7+AP7</f>
        <v>2.617205592065353E-3</v>
      </c>
      <c r="AT7" s="32">
        <f t="shared" si="35"/>
        <v>2.617205592065353E-3</v>
      </c>
      <c r="AU7" s="33">
        <f t="shared" si="35"/>
        <v>2.6172055920653525E-2</v>
      </c>
    </row>
    <row r="8" spans="1:47" ht="16">
      <c r="A8" s="19" t="s">
        <v>61</v>
      </c>
      <c r="B8" s="1">
        <v>1189.8399999999999</v>
      </c>
      <c r="C8" s="1">
        <f t="shared" si="0"/>
        <v>0.17933048285121359</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1.793304828512136E-3</v>
      </c>
      <c r="V8" s="28">
        <f t="shared" si="4"/>
        <v>4.303931588429126E-2</v>
      </c>
      <c r="W8" s="29">
        <f t="shared" si="5"/>
        <v>3.9452706227266989</v>
      </c>
      <c r="X8" s="27">
        <f t="shared" si="6"/>
        <v>1.0759828971072815E-2</v>
      </c>
      <c r="Y8" s="28">
        <f t="shared" si="7"/>
        <v>0.25823589530574753</v>
      </c>
      <c r="Z8" s="29">
        <f t="shared" si="8"/>
        <v>23.671623736360193</v>
      </c>
      <c r="AA8" s="27">
        <f t="shared" ref="AA8:AC8" si="37">U8+X8</f>
        <v>1.2553133799584951E-2</v>
      </c>
      <c r="AB8" s="28">
        <f t="shared" si="37"/>
        <v>0.30127521119003881</v>
      </c>
      <c r="AC8" s="29">
        <f t="shared" si="37"/>
        <v>27.616894359086892</v>
      </c>
      <c r="AD8" s="30">
        <f t="shared" si="10"/>
        <v>1.9367692147931068E-3</v>
      </c>
      <c r="AE8" s="21">
        <f t="shared" si="11"/>
        <v>6.007384847951891E-2</v>
      </c>
      <c r="AF8" s="22">
        <f t="shared" si="12"/>
        <v>5.4975452397797637</v>
      </c>
      <c r="AG8" s="30">
        <f t="shared" si="13"/>
        <v>1.1620615288758639E-2</v>
      </c>
      <c r="AH8" s="21">
        <f t="shared" si="14"/>
        <v>0.36044309087711346</v>
      </c>
      <c r="AI8" s="22">
        <f t="shared" si="15"/>
        <v>32.985271438678588</v>
      </c>
      <c r="AJ8" s="30">
        <f t="shared" ref="AJ8:AL8" si="38">AD8+AG8</f>
        <v>1.3557384503551746E-2</v>
      </c>
      <c r="AK8" s="21">
        <f t="shared" si="38"/>
        <v>0.42051693935663237</v>
      </c>
      <c r="AL8" s="22">
        <f t="shared" si="38"/>
        <v>38.482816678458349</v>
      </c>
      <c r="AM8" s="31">
        <f t="shared" si="17"/>
        <v>5.9179059340900481E-2</v>
      </c>
      <c r="AN8" s="32">
        <f t="shared" si="18"/>
        <v>0.17933048285121361</v>
      </c>
      <c r="AO8" s="33">
        <f t="shared" si="19"/>
        <v>0.30306851601855095</v>
      </c>
      <c r="AP8" s="31">
        <f t="shared" si="20"/>
        <v>0.35507435604540283</v>
      </c>
      <c r="AQ8" s="32">
        <f t="shared" si="21"/>
        <v>1.0759828971072813</v>
      </c>
      <c r="AR8" s="33">
        <f t="shared" si="22"/>
        <v>1.8184110961113056</v>
      </c>
      <c r="AS8" s="31">
        <f t="shared" ref="AS8:AU8" si="39">AM8+AP8</f>
        <v>0.41425341538630334</v>
      </c>
      <c r="AT8" s="32">
        <f t="shared" si="39"/>
        <v>1.255313379958495</v>
      </c>
      <c r="AU8" s="33">
        <f t="shared" si="39"/>
        <v>2.1214796121298565</v>
      </c>
    </row>
    <row r="9" spans="1:47" ht="16">
      <c r="A9" s="19" t="s">
        <v>81</v>
      </c>
      <c r="B9" s="1">
        <f>79.43+13.386</f>
        <v>92.816000000000003</v>
      </c>
      <c r="C9" s="1">
        <f t="shared" si="0"/>
        <v>1.3989055752301352E-2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1.818577247799176E-2</v>
      </c>
      <c r="V9" s="28">
        <f t="shared" si="4"/>
        <v>3.2174828230293114E-2</v>
      </c>
      <c r="W9" s="29">
        <f t="shared" si="5"/>
        <v>5.875403415966568E-2</v>
      </c>
      <c r="X9" s="27">
        <f t="shared" si="6"/>
        <v>0.10911463486795055</v>
      </c>
      <c r="Y9" s="28">
        <f t="shared" si="7"/>
        <v>0.19304896938175864</v>
      </c>
      <c r="Z9" s="29">
        <f t="shared" si="8"/>
        <v>0.35252420495799408</v>
      </c>
      <c r="AA9" s="27">
        <f t="shared" ref="AA9:AC9" si="41">U9+X9</f>
        <v>0.12730040734594231</v>
      </c>
      <c r="AB9" s="28">
        <f t="shared" si="41"/>
        <v>0.22522379761205175</v>
      </c>
      <c r="AC9" s="29">
        <f t="shared" si="41"/>
        <v>0.41127823911765976</v>
      </c>
      <c r="AD9" s="30">
        <f t="shared" si="10"/>
        <v>1.0072120141656975E-2</v>
      </c>
      <c r="AE9" s="21">
        <f t="shared" si="11"/>
        <v>1.7772464378644583E-2</v>
      </c>
      <c r="AF9" s="22">
        <f t="shared" si="12"/>
        <v>3.3013388188309067E-2</v>
      </c>
      <c r="AG9" s="30">
        <f t="shared" si="13"/>
        <v>6.0432720849941834E-2</v>
      </c>
      <c r="AH9" s="21">
        <f t="shared" si="14"/>
        <v>0.10663478627186748</v>
      </c>
      <c r="AI9" s="22">
        <f t="shared" si="15"/>
        <v>0.1980803291298544</v>
      </c>
      <c r="AJ9" s="30">
        <f t="shared" ref="AJ9:AL9" si="42">AD9+AG9</f>
        <v>7.0504840991598816E-2</v>
      </c>
      <c r="AK9" s="21">
        <f t="shared" si="42"/>
        <v>0.12440725065051206</v>
      </c>
      <c r="AL9" s="22">
        <f t="shared" si="42"/>
        <v>0.23109371731816347</v>
      </c>
      <c r="AM9" s="31">
        <f t="shared" si="17"/>
        <v>1.818577247799176E-2</v>
      </c>
      <c r="AN9" s="32">
        <f t="shared" si="18"/>
        <v>0.69945278761506768</v>
      </c>
      <c r="AO9" s="33">
        <f t="shared" si="19"/>
        <v>1.1331135159364099</v>
      </c>
      <c r="AP9" s="31">
        <f t="shared" si="20"/>
        <v>0.10911463486795055</v>
      </c>
      <c r="AQ9" s="32">
        <f t="shared" si="21"/>
        <v>4.1967167256904059</v>
      </c>
      <c r="AR9" s="33">
        <f t="shared" si="22"/>
        <v>6.7986810956184573</v>
      </c>
      <c r="AS9" s="31">
        <f t="shared" ref="AS9:AU9" si="43">AM9+AP9</f>
        <v>0.12730040734594231</v>
      </c>
      <c r="AT9" s="32">
        <f t="shared" si="43"/>
        <v>4.8961695133054732</v>
      </c>
      <c r="AU9" s="33">
        <f t="shared" si="43"/>
        <v>7.9317946115548672</v>
      </c>
    </row>
    <row r="10" spans="1:47" ht="15.75" customHeight="1">
      <c r="A10" s="1" t="s">
        <v>63</v>
      </c>
      <c r="B10" s="1">
        <v>295.02300000000002</v>
      </c>
      <c r="C10" s="1">
        <f t="shared" si="0"/>
        <v>4.4465320582778856E-2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3.1125724407945199E-3</v>
      </c>
      <c r="V10" s="28">
        <f t="shared" si="4"/>
        <v>4.8911852641056741E-3</v>
      </c>
      <c r="W10" s="29">
        <f t="shared" si="5"/>
        <v>2.4900579526356159E-2</v>
      </c>
      <c r="X10" s="27">
        <f t="shared" si="6"/>
        <v>1.8675434644767119E-2</v>
      </c>
      <c r="Y10" s="28">
        <f t="shared" si="7"/>
        <v>2.9347111584634045E-2</v>
      </c>
      <c r="Z10" s="29">
        <f t="shared" si="8"/>
        <v>0.14940347715813695</v>
      </c>
      <c r="AA10" s="27">
        <f t="shared" ref="AA10:AC10" si="45">U10+X10</f>
        <v>2.1788007085561639E-2</v>
      </c>
      <c r="AB10" s="28">
        <f t="shared" si="45"/>
        <v>3.4238296848739719E-2</v>
      </c>
      <c r="AC10" s="29">
        <f t="shared" si="45"/>
        <v>0.17430405668449311</v>
      </c>
      <c r="AD10" s="30">
        <f t="shared" si="10"/>
        <v>3.2015030819600779E-7</v>
      </c>
      <c r="AE10" s="21">
        <f t="shared" si="11"/>
        <v>1.8933950581415996E-4</v>
      </c>
      <c r="AF10" s="22">
        <f t="shared" si="12"/>
        <v>2.4894887965321568E-3</v>
      </c>
      <c r="AG10" s="30">
        <f t="shared" si="13"/>
        <v>1.9209018491760468E-6</v>
      </c>
      <c r="AH10" s="21">
        <f t="shared" si="14"/>
        <v>1.1360370348849598E-3</v>
      </c>
      <c r="AI10" s="22">
        <f t="shared" si="15"/>
        <v>1.4936932779192939E-2</v>
      </c>
      <c r="AJ10" s="30">
        <f t="shared" ref="AJ10:AL10" si="46">AD10+AG10</f>
        <v>2.2410521573720546E-6</v>
      </c>
      <c r="AK10" s="21">
        <f t="shared" si="46"/>
        <v>1.3253765406991199E-3</v>
      </c>
      <c r="AL10" s="22">
        <f t="shared" si="46"/>
        <v>1.7426421575725097E-2</v>
      </c>
      <c r="AM10" s="31">
        <f t="shared" si="17"/>
        <v>1.3339596174833657E-3</v>
      </c>
      <c r="AN10" s="32">
        <f t="shared" si="18"/>
        <v>4.4465320582778856E-3</v>
      </c>
      <c r="AO10" s="33">
        <f t="shared" si="19"/>
        <v>5.7804916757612512E-3</v>
      </c>
      <c r="AP10" s="31">
        <f t="shared" si="20"/>
        <v>8.003757704900194E-3</v>
      </c>
      <c r="AQ10" s="32">
        <f t="shared" si="21"/>
        <v>2.6679192349667313E-2</v>
      </c>
      <c r="AR10" s="33">
        <f t="shared" si="22"/>
        <v>3.4682950054567507E-2</v>
      </c>
      <c r="AS10" s="31">
        <f t="shared" ref="AS10:AU10" si="47">AM10+AP10</f>
        <v>9.3377173223835597E-3</v>
      </c>
      <c r="AT10" s="32">
        <f t="shared" si="47"/>
        <v>3.1125724407945199E-2</v>
      </c>
      <c r="AU10" s="33">
        <f t="shared" si="47"/>
        <v>4.0463441730328759E-2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130.65799999999999</v>
      </c>
      <c r="C12" s="1">
        <f t="shared" si="0"/>
        <v>1.9692531960913955E-2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3.5446557529645122E-3</v>
      </c>
      <c r="V12" s="28">
        <f t="shared" si="4"/>
        <v>9.4524153412386992E-3</v>
      </c>
      <c r="W12" s="29">
        <f t="shared" si="5"/>
        <v>3.5446557529645123E-2</v>
      </c>
      <c r="X12" s="27">
        <f t="shared" si="6"/>
        <v>2.1267934517787069E-2</v>
      </c>
      <c r="Y12" s="28">
        <f t="shared" si="7"/>
        <v>5.6714492047432188E-2</v>
      </c>
      <c r="Z12" s="29">
        <f t="shared" si="8"/>
        <v>0.21267934517787068</v>
      </c>
      <c r="AA12" s="27">
        <f t="shared" ref="AA12:AC12" si="53">U12+X12</f>
        <v>2.481259027075158E-2</v>
      </c>
      <c r="AB12" s="28">
        <f t="shared" si="53"/>
        <v>6.6166907388670884E-2</v>
      </c>
      <c r="AC12" s="29">
        <f t="shared" si="53"/>
        <v>0.24812590270751581</v>
      </c>
      <c r="AD12" s="30">
        <f t="shared" si="10"/>
        <v>4.5371593637945758E-6</v>
      </c>
      <c r="AE12" s="21">
        <f t="shared" si="11"/>
        <v>1.2712973497942459E-4</v>
      </c>
      <c r="AF12" s="22">
        <f t="shared" si="12"/>
        <v>1.3164851466510199E-3</v>
      </c>
      <c r="AG12" s="30">
        <f t="shared" si="13"/>
        <v>2.722295618276745E-5</v>
      </c>
      <c r="AH12" s="21">
        <f t="shared" si="14"/>
        <v>7.627784098765474E-4</v>
      </c>
      <c r="AI12" s="22">
        <f t="shared" si="15"/>
        <v>7.898910879906117E-3</v>
      </c>
      <c r="AJ12" s="30">
        <f t="shared" ref="AJ12:AL12" si="54">AD12+AG12</f>
        <v>3.1760115546562025E-5</v>
      </c>
      <c r="AK12" s="21">
        <f t="shared" si="54"/>
        <v>8.8990814485597196E-4</v>
      </c>
      <c r="AL12" s="22">
        <f t="shared" si="54"/>
        <v>9.2153960265571374E-3</v>
      </c>
      <c r="AM12" s="31">
        <f t="shared" si="17"/>
        <v>5.907759588274187E-4</v>
      </c>
      <c r="AN12" s="32">
        <f t="shared" si="18"/>
        <v>1.9692531960913955E-2</v>
      </c>
      <c r="AO12" s="33">
        <f t="shared" si="19"/>
        <v>2.9538797941370931E-2</v>
      </c>
      <c r="AP12" s="31">
        <f t="shared" si="20"/>
        <v>3.5446557529645113E-3</v>
      </c>
      <c r="AQ12" s="32">
        <f t="shared" si="21"/>
        <v>0.11815519176548372</v>
      </c>
      <c r="AR12" s="33">
        <f t="shared" si="22"/>
        <v>0.17723278764822559</v>
      </c>
      <c r="AS12" s="31">
        <f t="shared" ref="AS12:AU12" si="55">AM12+AP12</f>
        <v>4.1354317117919303E-3</v>
      </c>
      <c r="AT12" s="32">
        <f t="shared" si="55"/>
        <v>0.13784772372639767</v>
      </c>
      <c r="AU12" s="33">
        <f t="shared" si="55"/>
        <v>0.20677158558959652</v>
      </c>
    </row>
    <row r="13" spans="1:47" ht="15.75" customHeight="1">
      <c r="A13" s="1" t="s">
        <v>66</v>
      </c>
      <c r="B13" s="1">
        <v>0.125</v>
      </c>
      <c r="C13" s="1">
        <f t="shared" si="0"/>
        <v>1.8839768671755611E-5</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1.1303861203053366E-6</v>
      </c>
      <c r="V13" s="28">
        <f t="shared" si="4"/>
        <v>7.1591120952671323E-6</v>
      </c>
      <c r="W13" s="29">
        <f t="shared" si="5"/>
        <v>1.4883417250686933E-5</v>
      </c>
      <c r="X13" s="27">
        <f t="shared" si="6"/>
        <v>6.7823167218320195E-6</v>
      </c>
      <c r="Y13" s="28">
        <f t="shared" si="7"/>
        <v>4.295467257160279E-5</v>
      </c>
      <c r="Z13" s="29">
        <f t="shared" si="8"/>
        <v>8.9300503504121591E-5</v>
      </c>
      <c r="AA13" s="27">
        <f t="shared" ref="AA13:AC13" si="57">U13+X13</f>
        <v>7.9127028421373561E-6</v>
      </c>
      <c r="AB13" s="28">
        <f t="shared" si="57"/>
        <v>5.0113784666869924E-5</v>
      </c>
      <c r="AC13" s="29">
        <f t="shared" si="57"/>
        <v>1.0418392075480853E-4</v>
      </c>
      <c r="AD13" s="30">
        <f t="shared" si="10"/>
        <v>4.9510912069373753E-9</v>
      </c>
      <c r="AE13" s="21">
        <f t="shared" si="11"/>
        <v>3.0846812629156032E-7</v>
      </c>
      <c r="AF13" s="22">
        <f t="shared" si="12"/>
        <v>1.5687498577597464E-6</v>
      </c>
      <c r="AG13" s="30">
        <f t="shared" si="13"/>
        <v>2.9706547241624242E-8</v>
      </c>
      <c r="AH13" s="21">
        <f t="shared" si="14"/>
        <v>1.8508087577493616E-6</v>
      </c>
      <c r="AI13" s="22">
        <f t="shared" si="15"/>
        <v>9.4124991465584778E-6</v>
      </c>
      <c r="AJ13" s="30">
        <f t="shared" ref="AJ13:AL13" si="58">AD13+AG13</f>
        <v>3.4657638448561619E-8</v>
      </c>
      <c r="AK13" s="21">
        <f t="shared" si="58"/>
        <v>2.1592768840409221E-6</v>
      </c>
      <c r="AL13" s="22">
        <f t="shared" si="58"/>
        <v>1.0981249004318225E-5</v>
      </c>
      <c r="AM13" s="31">
        <f t="shared" si="17"/>
        <v>5.651930601526683E-7</v>
      </c>
      <c r="AN13" s="32">
        <f t="shared" si="18"/>
        <v>4.7099421679389027E-6</v>
      </c>
      <c r="AO13" s="33">
        <f t="shared" si="19"/>
        <v>9.6082820225953593E-6</v>
      </c>
      <c r="AP13" s="31">
        <f t="shared" si="20"/>
        <v>3.3911583609160102E-6</v>
      </c>
      <c r="AQ13" s="32">
        <f t="shared" si="21"/>
        <v>2.8259653007633418E-5</v>
      </c>
      <c r="AR13" s="33">
        <f t="shared" si="22"/>
        <v>5.7649692135572173E-5</v>
      </c>
      <c r="AS13" s="31">
        <f t="shared" ref="AS13:AU13" si="59">AM13+AP13</f>
        <v>3.9563514210686781E-6</v>
      </c>
      <c r="AT13" s="32">
        <f t="shared" si="59"/>
        <v>3.2969595175572322E-5</v>
      </c>
      <c r="AU13" s="33">
        <f t="shared" si="59"/>
        <v>6.7257974158167527E-5</v>
      </c>
    </row>
    <row r="14" spans="1:47" ht="15.75" customHeight="1">
      <c r="A14" s="1" t="s">
        <v>67</v>
      </c>
      <c r="B14" s="1">
        <v>2.9000000000000001E-2</v>
      </c>
      <c r="C14" s="1">
        <f t="shared" si="0"/>
        <v>4.3708263318473019E-6</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3.8463271720256256E-7</v>
      </c>
      <c r="V14" s="53">
        <f t="shared" si="4"/>
        <v>1.1801231095987714E-6</v>
      </c>
      <c r="W14" s="54">
        <f t="shared" si="5"/>
        <v>2.7536205890638E-6</v>
      </c>
      <c r="X14" s="52">
        <f t="shared" si="6"/>
        <v>2.3077963032153755E-6</v>
      </c>
      <c r="Y14" s="53">
        <f t="shared" si="7"/>
        <v>7.0807386575926289E-6</v>
      </c>
      <c r="Z14" s="54">
        <f t="shared" si="8"/>
        <v>1.6521723534382801E-5</v>
      </c>
      <c r="AA14" s="52">
        <f t="shared" ref="AA14:AC14" si="61">U14+X14</f>
        <v>2.692429020417938E-6</v>
      </c>
      <c r="AB14" s="53">
        <f t="shared" si="61"/>
        <v>8.2608617671914005E-6</v>
      </c>
      <c r="AC14" s="54">
        <f t="shared" si="61"/>
        <v>1.9275344123446601E-5</v>
      </c>
      <c r="AD14" s="55">
        <f t="shared" si="10"/>
        <v>1.8567270257687338E-8</v>
      </c>
      <c r="AE14" s="45">
        <f t="shared" si="11"/>
        <v>1.4608443500218012E-7</v>
      </c>
      <c r="AF14" s="46">
        <f t="shared" si="12"/>
        <v>5.8754395883224173E-7</v>
      </c>
      <c r="AG14" s="55">
        <f t="shared" si="13"/>
        <v>1.1140362154612401E-7</v>
      </c>
      <c r="AH14" s="45">
        <f t="shared" si="14"/>
        <v>8.7650661001308077E-7</v>
      </c>
      <c r="AI14" s="46">
        <f t="shared" si="15"/>
        <v>3.5252637529934504E-6</v>
      </c>
      <c r="AJ14" s="55">
        <f t="shared" ref="AJ14:AL14" si="62">AD14+AG14</f>
        <v>1.2997089180381134E-7</v>
      </c>
      <c r="AK14" s="45">
        <f t="shared" si="62"/>
        <v>1.022591045015261E-6</v>
      </c>
      <c r="AL14" s="46">
        <f t="shared" si="62"/>
        <v>4.1128077118256923E-6</v>
      </c>
      <c r="AM14" s="56">
        <f>$S14*$C14*10^(-3)*$P14</f>
        <v>3.409244538840895E-10</v>
      </c>
      <c r="AN14" s="57">
        <f t="shared" si="18"/>
        <v>6.5562394977709529E-6</v>
      </c>
      <c r="AO14" s="58">
        <f>$S14*$C14*10^(-3)*$R14</f>
        <v>8.4356948204652928E-10</v>
      </c>
      <c r="AP14" s="56">
        <f>$T14*$C14*10^(-3)*$P14</f>
        <v>2.045546723304537E-9</v>
      </c>
      <c r="AQ14" s="57">
        <f t="shared" si="21"/>
        <v>3.9337436986625717E-5</v>
      </c>
      <c r="AR14" s="58">
        <f>$T14*$C14*10^(-3)*$R14</f>
        <v>5.0614168922791751E-9</v>
      </c>
      <c r="AS14" s="56">
        <f t="shared" ref="AS14:AU14" si="63">AM14+AP14</f>
        <v>2.3864711771886263E-9</v>
      </c>
      <c r="AT14" s="57">
        <f t="shared" si="63"/>
        <v>4.5893676484396674E-5</v>
      </c>
      <c r="AU14" s="58">
        <f t="shared" si="63"/>
        <v>5.9049863743257047E-9</v>
      </c>
    </row>
    <row r="15" spans="1:47" ht="15.75" customHeight="1">
      <c r="A15" s="1" t="s">
        <v>82</v>
      </c>
      <c r="B15" s="1">
        <v>1.0999999999999999E-2</v>
      </c>
      <c r="G15" s="7"/>
      <c r="AA15" s="4">
        <f t="shared" ref="AA15:AU15" si="64">SUM(AA4:AA14)</f>
        <v>36.074681695175244</v>
      </c>
      <c r="AB15" s="4">
        <f t="shared" si="64"/>
        <v>40.479057765895824</v>
      </c>
      <c r="AC15" s="4">
        <f t="shared" si="64"/>
        <v>73.147232864514464</v>
      </c>
      <c r="AD15" s="4">
        <f t="shared" si="64"/>
        <v>1.40475768206338E-2</v>
      </c>
      <c r="AE15" s="4">
        <f t="shared" si="64"/>
        <v>0.10705910256632555</v>
      </c>
      <c r="AF15" s="4">
        <f t="shared" si="64"/>
        <v>5.6302598753105135</v>
      </c>
      <c r="AG15" s="4">
        <f t="shared" si="64"/>
        <v>8.4285460923802763E-2</v>
      </c>
      <c r="AH15" s="4">
        <f t="shared" si="64"/>
        <v>0.64235461539795313</v>
      </c>
      <c r="AI15" s="4">
        <f t="shared" si="64"/>
        <v>33.781559251863079</v>
      </c>
      <c r="AJ15" s="4">
        <f t="shared" si="64"/>
        <v>9.833303774443658E-2</v>
      </c>
      <c r="AK15" s="4">
        <f t="shared" si="64"/>
        <v>0.74941371796427869</v>
      </c>
      <c r="AL15" s="4">
        <f t="shared" si="64"/>
        <v>39.411819127173587</v>
      </c>
      <c r="AM15" s="4">
        <f t="shared" si="64"/>
        <v>9.3475363424714256E-2</v>
      </c>
      <c r="AN15" s="4">
        <f t="shared" si="64"/>
        <v>1.2419315661228403</v>
      </c>
      <c r="AO15" s="4">
        <f t="shared" si="64"/>
        <v>2.4921366401091745</v>
      </c>
      <c r="AP15" s="4">
        <f t="shared" si="64"/>
        <v>0.56085218054828545</v>
      </c>
      <c r="AQ15" s="4">
        <f t="shared" si="64"/>
        <v>7.4515893967370417</v>
      </c>
      <c r="AR15" s="4">
        <f t="shared" si="64"/>
        <v>14.952819840655042</v>
      </c>
      <c r="AS15" s="4">
        <f t="shared" si="64"/>
        <v>0.65432754397299953</v>
      </c>
      <c r="AT15" s="4">
        <f t="shared" si="64"/>
        <v>8.6935209628598802</v>
      </c>
      <c r="AU15" s="4">
        <f t="shared" si="64"/>
        <v>17.444956480764219</v>
      </c>
    </row>
    <row r="16" spans="1:47" ht="15.75" customHeight="1">
      <c r="A16" s="81" t="s">
        <v>163</v>
      </c>
      <c r="B16" s="68">
        <f>SUM(B4:B15)</f>
        <v>6634.9010000000007</v>
      </c>
      <c r="G16" s="7"/>
      <c r="AG16" s="195"/>
      <c r="AH16" s="196"/>
      <c r="AI16" s="196"/>
      <c r="AP16" s="195"/>
      <c r="AQ16" s="196"/>
      <c r="AR16" s="196"/>
    </row>
    <row r="17" spans="2:18" ht="15.75" customHeight="1">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5.75" customHeight="1">
      <c r="B19" s="82" t="s">
        <v>140</v>
      </c>
      <c r="C19" s="187" t="s">
        <v>158</v>
      </c>
      <c r="D19" s="187"/>
      <c r="E19" s="187"/>
      <c r="F19" s="187"/>
      <c r="G19" s="187"/>
      <c r="H19" s="61"/>
      <c r="I19" s="61"/>
      <c r="J19" s="61"/>
      <c r="K19" s="61"/>
      <c r="L19" s="61"/>
      <c r="M19" s="61"/>
      <c r="N19" s="61"/>
      <c r="O19" s="61"/>
      <c r="P19" s="61"/>
      <c r="Q19" s="62"/>
      <c r="R19" s="61"/>
    </row>
    <row r="20" spans="2:18" ht="13">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B23" s="71" t="s">
        <v>159</v>
      </c>
      <c r="C23" s="71"/>
      <c r="D23" s="71"/>
      <c r="E23" s="71"/>
      <c r="F23" s="71"/>
      <c r="G23" s="71"/>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J2:L2"/>
    <mergeCell ref="M2:O2"/>
    <mergeCell ref="P2:R2"/>
    <mergeCell ref="AS2:AU2"/>
    <mergeCell ref="S2:T2"/>
    <mergeCell ref="U2:W2"/>
    <mergeCell ref="AG2:AI2"/>
    <mergeCell ref="AG16:AI16"/>
    <mergeCell ref="AP16:AR16"/>
    <mergeCell ref="X2:Z2"/>
    <mergeCell ref="AA2:AC2"/>
    <mergeCell ref="AD2:AF2"/>
    <mergeCell ref="AJ2:AL2"/>
    <mergeCell ref="AM2:AO2"/>
    <mergeCell ref="AP2:AR2"/>
    <mergeCell ref="A2:B2"/>
    <mergeCell ref="C18:G18"/>
    <mergeCell ref="C19:G19"/>
    <mergeCell ref="C20:G20"/>
    <mergeCell ref="C21:G21"/>
    <mergeCell ref="D2:F2"/>
    <mergeCell ref="G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160</v>
      </c>
      <c r="B2" s="193"/>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9.2710000000000008</v>
      </c>
      <c r="C4" s="1">
        <f t="shared" ref="C4:C14" si="0">B4/$B$15</f>
        <v>1.6001449813163961E-2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0.11841072861741331</v>
      </c>
      <c r="V4" s="28">
        <f t="shared" ref="V4:V14" si="4">$S4*$C4*$E4</f>
        <v>0.13121188846794449</v>
      </c>
      <c r="W4" s="29">
        <f t="shared" ref="W4:W14" si="5">$S4*$C4*$F4</f>
        <v>0.14561319329979205</v>
      </c>
      <c r="X4" s="27">
        <f t="shared" ref="X4:X14" si="6">$T4*$C4*$D4</f>
        <v>0.71046437170447985</v>
      </c>
      <c r="Y4" s="28">
        <f t="shared" ref="Y4:Y14" si="7">$T4*$C4*$E4</f>
        <v>0.78727133080766687</v>
      </c>
      <c r="Z4" s="29">
        <f t="shared" ref="Z4:Z14" si="8">$T4*$C4*$F4</f>
        <v>0.87367915979875221</v>
      </c>
      <c r="AA4" s="27">
        <f t="shared" ref="AA4:AC4" si="9">U4+X4</f>
        <v>0.82887510032189315</v>
      </c>
      <c r="AB4" s="28">
        <f t="shared" si="9"/>
        <v>0.91848321927561138</v>
      </c>
      <c r="AC4" s="29">
        <f t="shared" si="9"/>
        <v>1.0192923530985443</v>
      </c>
      <c r="AD4" s="30">
        <f t="shared" ref="AD4:AD14" si="10">($S4*$C4*$M4*3.6*10^(-3))*1000</f>
        <v>4.550812326863831E-5</v>
      </c>
      <c r="AE4" s="21">
        <f t="shared" ref="AE4:AE14" si="11">($S4*$C4*$N4*3.6*10^(-3))*1000</f>
        <v>6.6134180328463138E-4</v>
      </c>
      <c r="AF4" s="22">
        <f t="shared" ref="AF4:AF14" si="12">($S4*$C4*$O4*3.6*10^(-3))*1000</f>
        <v>2.1048947142228401E-3</v>
      </c>
      <c r="AG4" s="30">
        <f t="shared" ref="AG4:AG14" si="13">($T4*$C4*$M4*3.6*10^(-3))*1000</f>
        <v>2.7304873961182981E-4</v>
      </c>
      <c r="AH4" s="21">
        <f t="shared" ref="AH4:AH14" si="14">($T4*$C4*$N4*3.6*10^(-3))*1000</f>
        <v>3.9680508197077885E-3</v>
      </c>
      <c r="AI4" s="22">
        <f t="shared" ref="AI4:AI14" si="15">($T4*$C4*O4*3.6*10^(-3))*1000</f>
        <v>1.2629368285337039E-2</v>
      </c>
      <c r="AJ4" s="30">
        <f t="shared" ref="AJ4:AL4" si="16">AD4+AG4</f>
        <v>3.1855686288046815E-4</v>
      </c>
      <c r="AK4" s="21">
        <f t="shared" si="16"/>
        <v>4.6293926229924202E-3</v>
      </c>
      <c r="AL4" s="22">
        <f t="shared" si="16"/>
        <v>1.4734262999559879E-2</v>
      </c>
      <c r="AM4" s="31">
        <f t="shared" ref="AM4:AM13" si="17">$S4*$C4*10^(-3)*$P4*10^4</f>
        <v>3.2002899626327921E-4</v>
      </c>
      <c r="AN4" s="32">
        <f t="shared" ref="AN4:AN14" si="18">$S4*$C4*10^(-3)*$Q4*10^4</f>
        <v>8.0007249065819804E-3</v>
      </c>
      <c r="AO4" s="33">
        <f t="shared" ref="AO4:AO13" si="19">$S4*$C4*10^(-3)*$R4*10^4</f>
        <v>2.4002174719745941E-2</v>
      </c>
      <c r="AP4" s="31">
        <f t="shared" ref="AP4:AP13" si="20">$T4*$C4*10^(-3)*$P4*10^4</f>
        <v>1.9201739775796755E-3</v>
      </c>
      <c r="AQ4" s="32">
        <f t="shared" ref="AQ4:AQ14" si="21">$T4*$C4*10^(-3)*$Q4*10^4</f>
        <v>4.8004349439491882E-2</v>
      </c>
      <c r="AR4" s="33">
        <f t="shared" ref="AR4:AR13" si="22">$T4*$C4*10^(-3)*$R4*10^4</f>
        <v>0.14401304831847564</v>
      </c>
      <c r="AS4" s="31">
        <f t="shared" ref="AS4:AU4" si="23">AM4+AP4</f>
        <v>2.2402029738429548E-3</v>
      </c>
      <c r="AT4" s="32">
        <f t="shared" si="23"/>
        <v>5.6005074346073866E-2</v>
      </c>
      <c r="AU4" s="33">
        <f t="shared" si="23"/>
        <v>0.16801522303822158</v>
      </c>
    </row>
    <row r="5" spans="1:47" ht="16">
      <c r="A5" s="19" t="s">
        <v>58</v>
      </c>
      <c r="B5" s="1">
        <v>5.5940000000000003</v>
      </c>
      <c r="C5" s="1">
        <f t="shared" si="0"/>
        <v>9.6550652847415801E-3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6.3433778920752179E-2</v>
      </c>
      <c r="V5" s="28">
        <f t="shared" si="4"/>
        <v>6.5171690672005664E-2</v>
      </c>
      <c r="W5" s="29">
        <f t="shared" si="5"/>
        <v>8.3612865365862085E-2</v>
      </c>
      <c r="X5" s="27">
        <f t="shared" si="6"/>
        <v>0.3806026735245131</v>
      </c>
      <c r="Y5" s="28">
        <f t="shared" si="7"/>
        <v>0.39103014403203401</v>
      </c>
      <c r="Z5" s="29">
        <f t="shared" si="8"/>
        <v>0.50167719219517248</v>
      </c>
      <c r="AA5" s="27">
        <f t="shared" ref="AA5:AC5" si="25">U5+X5</f>
        <v>0.4440364524452653</v>
      </c>
      <c r="AB5" s="28">
        <f t="shared" si="25"/>
        <v>0.45620183470403969</v>
      </c>
      <c r="AC5" s="29">
        <f t="shared" si="25"/>
        <v>0.58529005756103458</v>
      </c>
      <c r="AD5" s="30">
        <f t="shared" si="10"/>
        <v>7.4382622953649135E-5</v>
      </c>
      <c r="AE5" s="21">
        <f t="shared" si="11"/>
        <v>2.850175272055715E-4</v>
      </c>
      <c r="AF5" s="22">
        <f t="shared" si="12"/>
        <v>9.5376596908791221E-4</v>
      </c>
      <c r="AG5" s="30">
        <f t="shared" si="13"/>
        <v>4.4629573772189478E-4</v>
      </c>
      <c r="AH5" s="21">
        <f t="shared" si="14"/>
        <v>1.7101051632334285E-3</v>
      </c>
      <c r="AI5" s="22">
        <f t="shared" si="15"/>
        <v>5.7225958145274728E-3</v>
      </c>
      <c r="AJ5" s="30">
        <f t="shared" ref="AJ5:AL5" si="26">AD5+AG5</f>
        <v>5.2067836067554391E-4</v>
      </c>
      <c r="AK5" s="21">
        <f t="shared" si="26"/>
        <v>1.995122690439E-3</v>
      </c>
      <c r="AL5" s="22">
        <f t="shared" si="26"/>
        <v>6.6763617836153848E-3</v>
      </c>
      <c r="AM5" s="31">
        <f t="shared" si="17"/>
        <v>9.6550652847415805E-5</v>
      </c>
      <c r="AN5" s="32">
        <f t="shared" si="18"/>
        <v>3.8620261138966322E-4</v>
      </c>
      <c r="AO5" s="33">
        <f t="shared" si="19"/>
        <v>5.793039170844948E-4</v>
      </c>
      <c r="AP5" s="31">
        <f t="shared" si="20"/>
        <v>5.7930391708449491E-4</v>
      </c>
      <c r="AQ5" s="32">
        <f t="shared" si="21"/>
        <v>2.3172156683379797E-3</v>
      </c>
      <c r="AR5" s="33">
        <f t="shared" si="22"/>
        <v>3.475823502506969E-3</v>
      </c>
      <c r="AS5" s="31">
        <f t="shared" ref="AS5:AU5" si="27">AM5+AP5</f>
        <v>6.7585456993191073E-4</v>
      </c>
      <c r="AT5" s="32">
        <f t="shared" si="27"/>
        <v>2.7034182797276429E-3</v>
      </c>
      <c r="AU5" s="33">
        <f t="shared" si="27"/>
        <v>4.0551274195914635E-3</v>
      </c>
    </row>
    <row r="6" spans="1:47" ht="16">
      <c r="A6" s="19" t="s">
        <v>59</v>
      </c>
      <c r="B6" s="1">
        <v>31.861000000000001</v>
      </c>
      <c r="C6" s="1">
        <f t="shared" si="0"/>
        <v>5.4991068115329188E-2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0.22546337927284968</v>
      </c>
      <c r="V6" s="28">
        <f t="shared" si="4"/>
        <v>0.26945623376511302</v>
      </c>
      <c r="W6" s="29">
        <f t="shared" si="5"/>
        <v>0.35744194274963975</v>
      </c>
      <c r="X6" s="27">
        <f t="shared" si="6"/>
        <v>1.3527802756370979</v>
      </c>
      <c r="Y6" s="28">
        <f t="shared" si="7"/>
        <v>1.616737402590678</v>
      </c>
      <c r="Z6" s="29">
        <f t="shared" si="8"/>
        <v>2.1446516564978384</v>
      </c>
      <c r="AA6" s="27">
        <f t="shared" ref="AA6:AC6" si="29">U6+X6</f>
        <v>1.5782436549099477</v>
      </c>
      <c r="AB6" s="28">
        <f t="shared" si="29"/>
        <v>1.886193636355791</v>
      </c>
      <c r="AC6" s="29">
        <f t="shared" si="29"/>
        <v>2.5020935992474782</v>
      </c>
      <c r="AD6" s="30">
        <f t="shared" si="10"/>
        <v>1.5045556236354066E-4</v>
      </c>
      <c r="AE6" s="21">
        <f t="shared" si="11"/>
        <v>1.1521728591523772E-3</v>
      </c>
      <c r="AF6" s="22">
        <f t="shared" si="12"/>
        <v>5.5312215953122719E-3</v>
      </c>
      <c r="AG6" s="30">
        <f t="shared" si="13"/>
        <v>9.02733374181244E-4</v>
      </c>
      <c r="AH6" s="21">
        <f t="shared" si="14"/>
        <v>6.9130371549142641E-3</v>
      </c>
      <c r="AI6" s="22">
        <f t="shared" si="15"/>
        <v>3.3187329571873626E-2</v>
      </c>
      <c r="AJ6" s="30">
        <f t="shared" ref="AJ6:AL6" si="30">AD6+AG6</f>
        <v>1.0531889365447847E-3</v>
      </c>
      <c r="AK6" s="21">
        <f t="shared" si="30"/>
        <v>8.0652100140666417E-3</v>
      </c>
      <c r="AL6" s="22">
        <f t="shared" si="30"/>
        <v>3.8718551167185901E-2</v>
      </c>
      <c r="AM6" s="31">
        <f t="shared" si="17"/>
        <v>5.49910681153292E-4</v>
      </c>
      <c r="AN6" s="32">
        <f t="shared" si="18"/>
        <v>1.099821362306584E-3</v>
      </c>
      <c r="AO6" s="33">
        <f t="shared" si="19"/>
        <v>5.4991068115329191E-3</v>
      </c>
      <c r="AP6" s="31">
        <f t="shared" si="20"/>
        <v>3.2994640869197511E-3</v>
      </c>
      <c r="AQ6" s="32">
        <f t="shared" si="21"/>
        <v>6.5989281738395023E-3</v>
      </c>
      <c r="AR6" s="33">
        <f t="shared" si="22"/>
        <v>3.2994640869197511E-2</v>
      </c>
      <c r="AS6" s="31">
        <f t="shared" ref="AS6:AU6" si="31">AM6+AP6</f>
        <v>3.8493747680730431E-3</v>
      </c>
      <c r="AT6" s="32">
        <f t="shared" si="31"/>
        <v>7.6987495361460863E-3</v>
      </c>
      <c r="AU6" s="33">
        <f t="shared" si="31"/>
        <v>3.8493747680730432E-2</v>
      </c>
    </row>
    <row r="7" spans="1:47" ht="16">
      <c r="A7" s="19" t="s">
        <v>60</v>
      </c>
      <c r="B7" s="1">
        <v>412.96199999999999</v>
      </c>
      <c r="C7" s="1">
        <f t="shared" si="0"/>
        <v>0.71275921882685955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2.6372091096593806E-2</v>
      </c>
      <c r="V7" s="28">
        <f t="shared" si="4"/>
        <v>8.5531106259223139E-2</v>
      </c>
      <c r="W7" s="29">
        <f t="shared" si="5"/>
        <v>0.7840351407095455</v>
      </c>
      <c r="X7" s="27">
        <f t="shared" si="6"/>
        <v>0.15823254657956282</v>
      </c>
      <c r="Y7" s="28">
        <f t="shared" si="7"/>
        <v>0.51318663755533889</v>
      </c>
      <c r="Z7" s="29">
        <f t="shared" si="8"/>
        <v>4.7042108442572728</v>
      </c>
      <c r="AA7" s="27">
        <f t="shared" ref="AA7:AC7" si="33">U7+X7</f>
        <v>0.18460463767615662</v>
      </c>
      <c r="AB7" s="28">
        <f t="shared" si="33"/>
        <v>0.598717743814562</v>
      </c>
      <c r="AC7" s="29">
        <f t="shared" si="33"/>
        <v>5.4882459849668184</v>
      </c>
      <c r="AD7" s="30">
        <f t="shared" si="10"/>
        <v>4.6186797379980493E-4</v>
      </c>
      <c r="AE7" s="21">
        <f t="shared" si="11"/>
        <v>6.3586865845032623E-3</v>
      </c>
      <c r="AF7" s="22">
        <f t="shared" si="12"/>
        <v>7.7080632960811898E-2</v>
      </c>
      <c r="AG7" s="30">
        <f t="shared" si="13"/>
        <v>2.7712078427988293E-3</v>
      </c>
      <c r="AH7" s="21">
        <f t="shared" si="14"/>
        <v>3.8152119507019563E-2</v>
      </c>
      <c r="AI7" s="22">
        <f t="shared" si="15"/>
        <v>0.46248379776487131</v>
      </c>
      <c r="AJ7" s="30">
        <f t="shared" ref="AJ7:AL7" si="34">AD7+AG7</f>
        <v>3.2330758165986344E-3</v>
      </c>
      <c r="AK7" s="21">
        <f t="shared" si="34"/>
        <v>4.4510806091522824E-2</v>
      </c>
      <c r="AL7" s="22">
        <f t="shared" si="34"/>
        <v>0.53956443072568316</v>
      </c>
      <c r="AM7" s="31">
        <f t="shared" si="17"/>
        <v>7.1275921882685955E-3</v>
      </c>
      <c r="AN7" s="32">
        <f t="shared" si="18"/>
        <v>7.1275921882685955E-3</v>
      </c>
      <c r="AO7" s="33">
        <f t="shared" si="19"/>
        <v>7.1275921882685958E-2</v>
      </c>
      <c r="AP7" s="31">
        <f t="shared" si="20"/>
        <v>4.2765553129611576E-2</v>
      </c>
      <c r="AQ7" s="32">
        <f t="shared" si="21"/>
        <v>4.2765553129611576E-2</v>
      </c>
      <c r="AR7" s="33">
        <f t="shared" si="22"/>
        <v>0.42765553129611572</v>
      </c>
      <c r="AS7" s="31">
        <f t="shared" ref="AS7:AU7" si="35">AM7+AP7</f>
        <v>4.9893145317880173E-2</v>
      </c>
      <c r="AT7" s="32">
        <f t="shared" si="35"/>
        <v>4.9893145317880173E-2</v>
      </c>
      <c r="AU7" s="33">
        <f t="shared" si="35"/>
        <v>0.49893145317880166</v>
      </c>
    </row>
    <row r="8" spans="1:47" ht="16">
      <c r="A8" s="19" t="s">
        <v>61</v>
      </c>
      <c r="B8" s="1">
        <v>70.135999999999996</v>
      </c>
      <c r="C8" s="1">
        <f t="shared" si="0"/>
        <v>0.12105249531831165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1.2105249531831166E-3</v>
      </c>
      <c r="V8" s="28">
        <f t="shared" si="4"/>
        <v>2.9052598876394796E-2</v>
      </c>
      <c r="W8" s="29">
        <f t="shared" si="5"/>
        <v>2.6631548970028565</v>
      </c>
      <c r="X8" s="27">
        <f t="shared" si="6"/>
        <v>7.263149719098699E-3</v>
      </c>
      <c r="Y8" s="28">
        <f t="shared" si="7"/>
        <v>0.17431559325836876</v>
      </c>
      <c r="Z8" s="29">
        <f t="shared" si="8"/>
        <v>15.978929382017137</v>
      </c>
      <c r="AA8" s="27">
        <f t="shared" ref="AA8:AC8" si="37">U8+X8</f>
        <v>8.4736746722818158E-3</v>
      </c>
      <c r="AB8" s="28">
        <f t="shared" si="37"/>
        <v>0.20336819213476356</v>
      </c>
      <c r="AC8" s="29">
        <f t="shared" si="37"/>
        <v>18.642084279019993</v>
      </c>
      <c r="AD8" s="30">
        <f t="shared" si="10"/>
        <v>1.3073669494377659E-3</v>
      </c>
      <c r="AE8" s="21">
        <f t="shared" si="11"/>
        <v>4.0551328174660714E-2</v>
      </c>
      <c r="AF8" s="22">
        <f t="shared" si="12"/>
        <v>3.7109785175384244</v>
      </c>
      <c r="AG8" s="30">
        <f t="shared" si="13"/>
        <v>7.8442016966265952E-3</v>
      </c>
      <c r="AH8" s="21">
        <f t="shared" si="14"/>
        <v>0.24330796904796428</v>
      </c>
      <c r="AI8" s="22">
        <f t="shared" si="15"/>
        <v>22.265871105230541</v>
      </c>
      <c r="AJ8" s="30">
        <f t="shared" ref="AJ8:AL8" si="38">AD8+AG8</f>
        <v>9.1515686460643605E-3</v>
      </c>
      <c r="AK8" s="21">
        <f t="shared" si="38"/>
        <v>0.28385929722262498</v>
      </c>
      <c r="AL8" s="22">
        <f t="shared" si="38"/>
        <v>25.976849622768967</v>
      </c>
      <c r="AM8" s="31">
        <f t="shared" si="17"/>
        <v>3.9947323455042844E-2</v>
      </c>
      <c r="AN8" s="32">
        <f t="shared" si="18"/>
        <v>0.12105249531831165</v>
      </c>
      <c r="AO8" s="33">
        <f t="shared" si="19"/>
        <v>0.20457871708794667</v>
      </c>
      <c r="AP8" s="31">
        <f t="shared" si="20"/>
        <v>0.23968394073025706</v>
      </c>
      <c r="AQ8" s="32">
        <f t="shared" si="21"/>
        <v>0.72631497190986993</v>
      </c>
      <c r="AR8" s="33">
        <f t="shared" si="22"/>
        <v>1.2274723025276801</v>
      </c>
      <c r="AS8" s="31">
        <f t="shared" ref="AS8:AU8" si="39">AM8+AP8</f>
        <v>0.27963126418529993</v>
      </c>
      <c r="AT8" s="32">
        <f t="shared" si="39"/>
        <v>0.84736746722818157</v>
      </c>
      <c r="AU8" s="33">
        <f t="shared" si="39"/>
        <v>1.4320510196156269</v>
      </c>
    </row>
    <row r="9" spans="1:47" ht="16">
      <c r="A9" s="19" t="s">
        <v>85</v>
      </c>
      <c r="B9" s="4">
        <f>5.876+4.855</f>
        <v>10.731000000000002</v>
      </c>
      <c r="C9" s="1">
        <f t="shared" si="0"/>
        <v>1.8521363169567734E-2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2.4077772120438053E-2</v>
      </c>
      <c r="V9" s="28">
        <f t="shared" si="4"/>
        <v>4.2599135290005787E-2</v>
      </c>
      <c r="W9" s="29">
        <f t="shared" si="5"/>
        <v>7.7789725312184477E-2</v>
      </c>
      <c r="X9" s="27">
        <f t="shared" si="6"/>
        <v>0.14446663272262833</v>
      </c>
      <c r="Y9" s="28">
        <f t="shared" si="7"/>
        <v>0.25559481174003473</v>
      </c>
      <c r="Z9" s="29">
        <f t="shared" si="8"/>
        <v>0.46673835187310686</v>
      </c>
      <c r="AA9" s="27">
        <f t="shared" ref="AA9:AC9" si="41">U9+X9</f>
        <v>0.16854440484306638</v>
      </c>
      <c r="AB9" s="28">
        <f t="shared" si="41"/>
        <v>0.29819394703004054</v>
      </c>
      <c r="AC9" s="29">
        <f t="shared" si="41"/>
        <v>0.54452807718529139</v>
      </c>
      <c r="AD9" s="30">
        <f t="shared" si="10"/>
        <v>1.3335381482088769E-2</v>
      </c>
      <c r="AE9" s="21">
        <f t="shared" si="11"/>
        <v>2.3530556529587791E-2</v>
      </c>
      <c r="AF9" s="22">
        <f t="shared" si="12"/>
        <v>4.370937988384236E-2</v>
      </c>
      <c r="AG9" s="30">
        <f t="shared" si="13"/>
        <v>8.0012288892532604E-2</v>
      </c>
      <c r="AH9" s="21">
        <f t="shared" si="14"/>
        <v>0.14118333917752673</v>
      </c>
      <c r="AI9" s="22">
        <f t="shared" si="15"/>
        <v>0.26225627930305417</v>
      </c>
      <c r="AJ9" s="30">
        <f t="shared" ref="AJ9:AL9" si="42">AD9+AG9</f>
        <v>9.3347670374621369E-2</v>
      </c>
      <c r="AK9" s="21">
        <f t="shared" si="42"/>
        <v>0.16471389570711453</v>
      </c>
      <c r="AL9" s="22">
        <f t="shared" si="42"/>
        <v>0.30596565918689655</v>
      </c>
      <c r="AM9" s="31">
        <f t="shared" si="17"/>
        <v>2.4077772120438056E-2</v>
      </c>
      <c r="AN9" s="32">
        <f t="shared" si="18"/>
        <v>0.92606815847838664</v>
      </c>
      <c r="AO9" s="33">
        <f t="shared" si="19"/>
        <v>1.5002304167349862</v>
      </c>
      <c r="AP9" s="31">
        <f t="shared" si="20"/>
        <v>0.14446663272262833</v>
      </c>
      <c r="AQ9" s="32">
        <f t="shared" si="21"/>
        <v>5.5564089508703196</v>
      </c>
      <c r="AR9" s="33">
        <f t="shared" si="22"/>
        <v>9.0013825004099193</v>
      </c>
      <c r="AS9" s="31">
        <f t="shared" ref="AS9:AU9" si="43">AM9+AP9</f>
        <v>0.16854440484306638</v>
      </c>
      <c r="AT9" s="32">
        <f t="shared" si="43"/>
        <v>6.4824771093487064</v>
      </c>
      <c r="AU9" s="33">
        <f t="shared" si="43"/>
        <v>10.501612917144906</v>
      </c>
    </row>
    <row r="10" spans="1:47" ht="15.75" customHeight="1">
      <c r="A10" s="1" t="s">
        <v>63</v>
      </c>
      <c r="B10" s="1">
        <v>28.501000000000001</v>
      </c>
      <c r="C10" s="1">
        <f t="shared" si="0"/>
        <v>4.9191815459495851E-2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3.4434270821647097E-3</v>
      </c>
      <c r="V10" s="28">
        <f t="shared" si="4"/>
        <v>5.4110997005445433E-3</v>
      </c>
      <c r="W10" s="29">
        <f t="shared" si="5"/>
        <v>2.7547416657317678E-2</v>
      </c>
      <c r="X10" s="27">
        <f t="shared" si="6"/>
        <v>2.0660562492988255E-2</v>
      </c>
      <c r="Y10" s="28">
        <f t="shared" si="7"/>
        <v>3.2466598203267256E-2</v>
      </c>
      <c r="Z10" s="29">
        <f t="shared" si="8"/>
        <v>0.16528449994390604</v>
      </c>
      <c r="AA10" s="27">
        <f t="shared" ref="AA10:AC10" si="45">U10+X10</f>
        <v>2.4103989575152966E-2</v>
      </c>
      <c r="AB10" s="28">
        <f t="shared" si="45"/>
        <v>3.7877697903811798E-2</v>
      </c>
      <c r="AC10" s="29">
        <f t="shared" si="45"/>
        <v>0.19283191660122373</v>
      </c>
      <c r="AD10" s="30">
        <f t="shared" si="10"/>
        <v>3.5418107130837016E-7</v>
      </c>
      <c r="AE10" s="21">
        <f t="shared" si="11"/>
        <v>2.0946557692894574E-4</v>
      </c>
      <c r="AF10" s="22">
        <f t="shared" si="12"/>
        <v>2.7541120104938865E-3</v>
      </c>
      <c r="AG10" s="30">
        <f t="shared" si="13"/>
        <v>2.1250864278502205E-6</v>
      </c>
      <c r="AH10" s="21">
        <f t="shared" si="14"/>
        <v>1.2567934615736744E-3</v>
      </c>
      <c r="AI10" s="22">
        <f t="shared" si="15"/>
        <v>1.6524672062963316E-2</v>
      </c>
      <c r="AJ10" s="30">
        <f t="shared" ref="AJ10:AL10" si="46">AD10+AG10</f>
        <v>2.4792674991585909E-6</v>
      </c>
      <c r="AK10" s="21">
        <f t="shared" si="46"/>
        <v>1.4662590385026201E-3</v>
      </c>
      <c r="AL10" s="22">
        <f t="shared" si="46"/>
        <v>1.9278784073457202E-2</v>
      </c>
      <c r="AM10" s="31">
        <f t="shared" si="17"/>
        <v>1.4757544637848754E-3</v>
      </c>
      <c r="AN10" s="32">
        <f t="shared" si="18"/>
        <v>4.9191815459495849E-3</v>
      </c>
      <c r="AO10" s="33">
        <f t="shared" si="19"/>
        <v>6.394936009734461E-3</v>
      </c>
      <c r="AP10" s="31">
        <f t="shared" si="20"/>
        <v>8.854526782709253E-3</v>
      </c>
      <c r="AQ10" s="32">
        <f t="shared" si="21"/>
        <v>2.9515089275697511E-2</v>
      </c>
      <c r="AR10" s="33">
        <f t="shared" si="22"/>
        <v>3.8369616058406761E-2</v>
      </c>
      <c r="AS10" s="31">
        <f t="shared" ref="AS10:AU10" si="47">AM10+AP10</f>
        <v>1.0330281246494129E-2</v>
      </c>
      <c r="AT10" s="32">
        <f t="shared" si="47"/>
        <v>3.4434270821647094E-2</v>
      </c>
      <c r="AU10" s="33">
        <f t="shared" si="47"/>
        <v>4.4764552068141221E-2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10.196</v>
      </c>
      <c r="C12" s="1">
        <f t="shared" si="0"/>
        <v>1.7597970261570457E-2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3.167634647082682E-3</v>
      </c>
      <c r="V12" s="28">
        <f t="shared" si="4"/>
        <v>8.4470257255538188E-3</v>
      </c>
      <c r="W12" s="29">
        <f t="shared" si="5"/>
        <v>3.1676346470826823E-2</v>
      </c>
      <c r="X12" s="27">
        <f t="shared" si="6"/>
        <v>1.9005807882496093E-2</v>
      </c>
      <c r="Y12" s="28">
        <f t="shared" si="7"/>
        <v>5.0682154353322913E-2</v>
      </c>
      <c r="Z12" s="29">
        <f t="shared" si="8"/>
        <v>0.19005807882496092</v>
      </c>
      <c r="AA12" s="27">
        <f t="shared" ref="AA12:AC12" si="53">U12+X12</f>
        <v>2.2173442529578775E-2</v>
      </c>
      <c r="AB12" s="28">
        <f t="shared" si="53"/>
        <v>5.9129180078876728E-2</v>
      </c>
      <c r="AC12" s="29">
        <f t="shared" si="53"/>
        <v>0.22173442529578774</v>
      </c>
      <c r="AD12" s="30">
        <f t="shared" si="10"/>
        <v>4.0545723482658338E-6</v>
      </c>
      <c r="AE12" s="21">
        <f t="shared" si="11"/>
        <v>1.1360780320020436E-4</v>
      </c>
      <c r="AF12" s="22">
        <f t="shared" si="12"/>
        <v>1.1764595079265083E-3</v>
      </c>
      <c r="AG12" s="30">
        <f t="shared" si="13"/>
        <v>2.4327434089594998E-5</v>
      </c>
      <c r="AH12" s="21">
        <f t="shared" si="14"/>
        <v>6.8164681920122611E-4</v>
      </c>
      <c r="AI12" s="22">
        <f t="shared" si="15"/>
        <v>7.0587570475590484E-3</v>
      </c>
      <c r="AJ12" s="30">
        <f t="shared" ref="AJ12:AL12" si="54">AD12+AG12</f>
        <v>2.8382006437860831E-5</v>
      </c>
      <c r="AK12" s="21">
        <f t="shared" si="54"/>
        <v>7.9525462240143043E-4</v>
      </c>
      <c r="AL12" s="22">
        <f t="shared" si="54"/>
        <v>8.2352165554855569E-3</v>
      </c>
      <c r="AM12" s="31">
        <f t="shared" si="17"/>
        <v>5.2793910784711367E-4</v>
      </c>
      <c r="AN12" s="32">
        <f t="shared" si="18"/>
        <v>1.7597970261570457E-2</v>
      </c>
      <c r="AO12" s="33">
        <f t="shared" si="19"/>
        <v>2.6396955392355686E-2</v>
      </c>
      <c r="AP12" s="31">
        <f t="shared" si="20"/>
        <v>3.167634647082682E-3</v>
      </c>
      <c r="AQ12" s="32">
        <f t="shared" si="21"/>
        <v>0.10558782156942273</v>
      </c>
      <c r="AR12" s="33">
        <f t="shared" si="22"/>
        <v>0.15838173235413411</v>
      </c>
      <c r="AS12" s="31">
        <f t="shared" ref="AS12:AU12" si="55">AM12+AP12</f>
        <v>3.6955737549297955E-3</v>
      </c>
      <c r="AT12" s="32">
        <f t="shared" si="55"/>
        <v>0.12318579183099318</v>
      </c>
      <c r="AU12" s="33">
        <f t="shared" si="55"/>
        <v>0.18477868774648978</v>
      </c>
    </row>
    <row r="13" spans="1:47" ht="15.75" customHeight="1">
      <c r="A13" s="1" t="s">
        <v>66</v>
      </c>
      <c r="B13" s="1">
        <v>0.13300000000000001</v>
      </c>
      <c r="C13" s="1">
        <f t="shared" si="0"/>
        <v>2.2955375096006975E-4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1.3773225057604184E-5</v>
      </c>
      <c r="V13" s="28">
        <f t="shared" si="4"/>
        <v>8.7230425364826509E-5</v>
      </c>
      <c r="W13" s="29">
        <f t="shared" si="5"/>
        <v>1.8134746325845509E-4</v>
      </c>
      <c r="X13" s="27">
        <f t="shared" si="6"/>
        <v>8.2639350345625103E-5</v>
      </c>
      <c r="Y13" s="28">
        <f t="shared" si="7"/>
        <v>5.2338255218895902E-4</v>
      </c>
      <c r="Z13" s="29">
        <f t="shared" si="8"/>
        <v>1.0880847795507306E-3</v>
      </c>
      <c r="AA13" s="27">
        <f t="shared" ref="AA13:AC13" si="57">U13+X13</f>
        <v>9.641257540322928E-5</v>
      </c>
      <c r="AB13" s="28">
        <f t="shared" si="57"/>
        <v>6.1061297755378549E-4</v>
      </c>
      <c r="AC13" s="29">
        <f t="shared" si="57"/>
        <v>1.2694322428091858E-3</v>
      </c>
      <c r="AD13" s="30">
        <f t="shared" si="10"/>
        <v>6.0326725752306331E-8</v>
      </c>
      <c r="AE13" s="21">
        <f t="shared" si="11"/>
        <v>3.7585395381212838E-6</v>
      </c>
      <c r="AF13" s="22">
        <f t="shared" si="12"/>
        <v>1.9114481734943088E-5</v>
      </c>
      <c r="AG13" s="30">
        <f t="shared" si="13"/>
        <v>3.6196035451383793E-7</v>
      </c>
      <c r="AH13" s="21">
        <f t="shared" si="14"/>
        <v>2.2551237228727701E-5</v>
      </c>
      <c r="AI13" s="22">
        <f t="shared" si="15"/>
        <v>1.1468689040965854E-4</v>
      </c>
      <c r="AJ13" s="30">
        <f t="shared" ref="AJ13:AL13" si="58">AD13+AG13</f>
        <v>4.2228708026614426E-7</v>
      </c>
      <c r="AK13" s="21">
        <f t="shared" si="58"/>
        <v>2.6309776766848984E-5</v>
      </c>
      <c r="AL13" s="22">
        <f t="shared" si="58"/>
        <v>1.3380137214460164E-4</v>
      </c>
      <c r="AM13" s="31">
        <f t="shared" si="17"/>
        <v>6.8866125288020927E-6</v>
      </c>
      <c r="AN13" s="32">
        <f t="shared" si="18"/>
        <v>5.7388437740017438E-5</v>
      </c>
      <c r="AO13" s="33">
        <f t="shared" si="19"/>
        <v>1.1707241298963557E-4</v>
      </c>
      <c r="AP13" s="31">
        <f t="shared" si="20"/>
        <v>4.1319675172812551E-5</v>
      </c>
      <c r="AQ13" s="32">
        <f t="shared" si="21"/>
        <v>3.443306264401046E-4</v>
      </c>
      <c r="AR13" s="33">
        <f t="shared" si="22"/>
        <v>7.0243447793781329E-4</v>
      </c>
      <c r="AS13" s="31">
        <f t="shared" ref="AS13:AU13" si="59">AM13+AP13</f>
        <v>4.8206287701614647E-5</v>
      </c>
      <c r="AT13" s="32">
        <f t="shared" si="59"/>
        <v>4.0171906418012203E-4</v>
      </c>
      <c r="AU13" s="33">
        <f t="shared" si="59"/>
        <v>8.195068909274488E-4</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579.38499999999999</v>
      </c>
      <c r="G15" s="7"/>
      <c r="AA15" s="4">
        <f t="shared" ref="AA15:AC15" si="64">SUM(AA4:AA14)</f>
        <v>3.2591517695487462</v>
      </c>
      <c r="AB15" s="4">
        <f t="shared" si="64"/>
        <v>4.4587760642750514</v>
      </c>
      <c r="AC15" s="4">
        <f t="shared" si="64"/>
        <v>29.197370125218981</v>
      </c>
      <c r="AJ15" s="4">
        <f t="shared" ref="AJ15:AL15" si="65">SUM(AJ4:AJ14)</f>
        <v>0.10765602255840244</v>
      </c>
      <c r="AK15" s="4">
        <f t="shared" si="65"/>
        <v>0.5100615477864312</v>
      </c>
      <c r="AL15" s="4">
        <f t="shared" si="65"/>
        <v>26.910156690632995</v>
      </c>
      <c r="AS15" s="4">
        <f t="shared" ref="AS15:AU15" si="66">SUM(AS4:AS14)</f>
        <v>0.51890830794721998</v>
      </c>
      <c r="AT15" s="4">
        <f t="shared" si="66"/>
        <v>7.6041667457735356</v>
      </c>
      <c r="AU15" s="4">
        <f t="shared" si="66"/>
        <v>12.873522234783437</v>
      </c>
    </row>
    <row r="16" spans="1:47" ht="15.75" customHeight="1">
      <c r="A16" s="81"/>
      <c r="B16" s="68"/>
      <c r="G16" s="7"/>
      <c r="AG16" s="195"/>
      <c r="AH16" s="196"/>
      <c r="AI16" s="196"/>
      <c r="AP16" s="195"/>
      <c r="AQ16" s="196"/>
      <c r="AR16" s="196"/>
    </row>
    <row r="17" spans="2:18" ht="15.75" customHeight="1">
      <c r="B17" s="68"/>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5.75" customHeight="1">
      <c r="B19" s="82" t="s">
        <v>140</v>
      </c>
      <c r="C19" s="187" t="s">
        <v>143</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P2:AR2"/>
    <mergeCell ref="D2:F2"/>
    <mergeCell ref="G2:I2"/>
    <mergeCell ref="J2:L2"/>
    <mergeCell ref="M2:O2"/>
    <mergeCell ref="P2:R2"/>
    <mergeCell ref="C21:G21"/>
    <mergeCell ref="AS2:AU2"/>
    <mergeCell ref="A2:B2"/>
    <mergeCell ref="C18:G18"/>
    <mergeCell ref="C19:G19"/>
    <mergeCell ref="C20:G20"/>
    <mergeCell ref="S2:T2"/>
    <mergeCell ref="U2:W2"/>
    <mergeCell ref="AG2:AI2"/>
    <mergeCell ref="AG16:AI16"/>
    <mergeCell ref="AP16:AR16"/>
    <mergeCell ref="X2:Z2"/>
    <mergeCell ref="AA2:AC2"/>
    <mergeCell ref="AD2:AF2"/>
    <mergeCell ref="AJ2:AL2"/>
    <mergeCell ref="AM2:AO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161</v>
      </c>
      <c r="B2" s="193"/>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101.92+49.77</f>
        <v>151.69</v>
      </c>
      <c r="C4" s="1">
        <f t="shared" ref="C4:C14" si="0">B4/$B$15</f>
        <v>0.30063817980022195</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2.2247225305216425</v>
      </c>
      <c r="V4" s="28">
        <f t="shared" ref="V4:V14" si="4">$S4*$C4*$E4</f>
        <v>2.4652330743618203</v>
      </c>
      <c r="W4" s="29">
        <f t="shared" ref="W4:W14" si="5">$S4*$C4*$F4</f>
        <v>2.7358074361820197</v>
      </c>
      <c r="X4" s="27">
        <f t="shared" ref="X4:X14" si="6">$T4*$C4*$D4</f>
        <v>13.348335183129855</v>
      </c>
      <c r="Y4" s="28">
        <f t="shared" ref="Y4:Y14" si="7">$T4*$C4*$E4</f>
        <v>14.79139844617092</v>
      </c>
      <c r="Z4" s="29">
        <f t="shared" ref="Z4:Z14" si="8">$T4*$C4*$F4</f>
        <v>16.414844617092118</v>
      </c>
      <c r="AA4" s="27">
        <f t="shared" ref="AA4:AC4" si="9">U4+X4</f>
        <v>15.573057713651497</v>
      </c>
      <c r="AB4" s="28">
        <f t="shared" si="9"/>
        <v>17.256631520532739</v>
      </c>
      <c r="AC4" s="29">
        <f t="shared" si="9"/>
        <v>19.150652053274136</v>
      </c>
      <c r="AD4" s="30">
        <f t="shared" ref="AD4:AD14" si="10">($S4*$C4*$M4*3.6*10^(-3))*1000</f>
        <v>8.5501498335183136E-4</v>
      </c>
      <c r="AE4" s="21">
        <f t="shared" ref="AE4:AE14" si="11">($S4*$C4*$N4*3.6*10^(-3))*1000</f>
        <v>1.2425411340022476E-2</v>
      </c>
      <c r="AF4" s="22">
        <f t="shared" ref="AF4:AF14" si="12">($S4*$C4*$O4*3.6*10^(-3))*1000</f>
        <v>3.9547148723640395E-2</v>
      </c>
      <c r="AG4" s="30">
        <f t="shared" ref="AG4:AG14" si="13">($T4*$C4*$M4*3.6*10^(-3))*1000</f>
        <v>5.1300899001109884E-3</v>
      </c>
      <c r="AH4" s="21">
        <f t="shared" ref="AH4:AH14" si="14">($T4*$C4*$N4*3.6*10^(-3))*1000</f>
        <v>7.4552468040134864E-2</v>
      </c>
      <c r="AI4" s="22">
        <f t="shared" ref="AI4:AI14" si="15">($T4*$C4*O4*3.6*10^(-3))*1000</f>
        <v>0.23728289234184236</v>
      </c>
      <c r="AJ4" s="30">
        <f t="shared" ref="AJ4:AL4" si="16">AD4+AG4</f>
        <v>5.98510488346282E-3</v>
      </c>
      <c r="AK4" s="21">
        <f t="shared" si="16"/>
        <v>8.6977879380157344E-2</v>
      </c>
      <c r="AL4" s="22">
        <f t="shared" si="16"/>
        <v>0.27683004106548276</v>
      </c>
      <c r="AM4" s="31">
        <f t="shared" ref="AM4:AM13" si="17">$S4*$C4*10^(-3)*$P4*10^4</f>
        <v>6.0127635960044393E-3</v>
      </c>
      <c r="AN4" s="32">
        <f t="shared" ref="AN4:AN14" si="18">$S4*$C4*10^(-3)*$Q4*10^4</f>
        <v>0.15031908990011097</v>
      </c>
      <c r="AO4" s="33">
        <f t="shared" ref="AO4:AO13" si="19">$S4*$C4*10^(-3)*$R4*10^4</f>
        <v>0.4509572697003329</v>
      </c>
      <c r="AP4" s="31">
        <f t="shared" ref="AP4:AP13" si="20">$T4*$C4*10^(-3)*$P4*10^4</f>
        <v>3.6076581576026633E-2</v>
      </c>
      <c r="AQ4" s="32">
        <f t="shared" ref="AQ4:AQ14" si="21">$T4*$C4*10^(-3)*$Q4*10^4</f>
        <v>0.90191453940066579</v>
      </c>
      <c r="AR4" s="33">
        <f t="shared" ref="AR4:AR13" si="22">$T4*$C4*10^(-3)*$R4*10^4</f>
        <v>2.7057436182019976</v>
      </c>
      <c r="AS4" s="31">
        <f t="shared" ref="AS4:AU4" si="23">AM4+AP4</f>
        <v>4.208934517203107E-2</v>
      </c>
      <c r="AT4" s="32">
        <f t="shared" si="23"/>
        <v>1.0522336293007768</v>
      </c>
      <c r="AU4" s="33">
        <f t="shared" si="23"/>
        <v>3.1567008879023306</v>
      </c>
    </row>
    <row r="5" spans="1:47" ht="16">
      <c r="A5" s="19" t="s">
        <v>58</v>
      </c>
      <c r="B5" s="1">
        <v>1.52</v>
      </c>
      <c r="C5" s="1">
        <f t="shared" si="0"/>
        <v>3.0125257650229901E-3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1.9792294276201043E-2</v>
      </c>
      <c r="V5" s="28">
        <f t="shared" si="4"/>
        <v>2.0334548913905182E-2</v>
      </c>
      <c r="W5" s="29">
        <f t="shared" si="5"/>
        <v>2.6088473125099095E-2</v>
      </c>
      <c r="X5" s="27">
        <f t="shared" si="6"/>
        <v>0.11875376565720627</v>
      </c>
      <c r="Y5" s="28">
        <f t="shared" si="7"/>
        <v>0.1220072934834311</v>
      </c>
      <c r="Z5" s="29">
        <f t="shared" si="8"/>
        <v>0.15653083875059456</v>
      </c>
      <c r="AA5" s="27">
        <f t="shared" ref="AA5:AC5" si="25">U5+X5</f>
        <v>0.13854605993340732</v>
      </c>
      <c r="AB5" s="28">
        <f t="shared" si="25"/>
        <v>0.14234184239733627</v>
      </c>
      <c r="AC5" s="29">
        <f t="shared" si="25"/>
        <v>0.18261931187569366</v>
      </c>
      <c r="AD5" s="30">
        <f t="shared" si="10"/>
        <v>2.3208498493737115E-5</v>
      </c>
      <c r="AE5" s="21">
        <f t="shared" si="11"/>
        <v>8.8929760583478674E-5</v>
      </c>
      <c r="AF5" s="22">
        <f t="shared" si="12"/>
        <v>2.9758934517203105E-4</v>
      </c>
      <c r="AG5" s="30">
        <f t="shared" si="13"/>
        <v>1.3925099096242269E-4</v>
      </c>
      <c r="AH5" s="21">
        <f t="shared" si="14"/>
        <v>5.3357856350087199E-4</v>
      </c>
      <c r="AI5" s="22">
        <f t="shared" si="15"/>
        <v>1.7855360710321861E-3</v>
      </c>
      <c r="AJ5" s="30">
        <f t="shared" ref="AJ5:AL5" si="26">AD5+AG5</f>
        <v>1.6245948945615979E-4</v>
      </c>
      <c r="AK5" s="21">
        <f t="shared" si="26"/>
        <v>6.2250832408435063E-4</v>
      </c>
      <c r="AL5" s="22">
        <f t="shared" si="26"/>
        <v>2.0831254162042173E-3</v>
      </c>
      <c r="AM5" s="31">
        <f t="shared" si="17"/>
        <v>3.0125257650229904E-5</v>
      </c>
      <c r="AN5" s="32">
        <f t="shared" si="18"/>
        <v>1.2050103060091962E-4</v>
      </c>
      <c r="AO5" s="33">
        <f t="shared" si="19"/>
        <v>1.807515459013794E-4</v>
      </c>
      <c r="AP5" s="31">
        <f t="shared" si="20"/>
        <v>1.807515459013794E-4</v>
      </c>
      <c r="AQ5" s="32">
        <f t="shared" si="21"/>
        <v>7.2300618360551761E-4</v>
      </c>
      <c r="AR5" s="33">
        <f t="shared" si="22"/>
        <v>1.0845092754082763E-3</v>
      </c>
      <c r="AS5" s="31">
        <f t="shared" ref="AS5:AU5" si="27">AM5+AP5</f>
        <v>2.1087680355160932E-4</v>
      </c>
      <c r="AT5" s="32">
        <f t="shared" si="27"/>
        <v>8.4350721420643727E-4</v>
      </c>
      <c r="AU5" s="33">
        <f t="shared" si="27"/>
        <v>1.2652608213096557E-3</v>
      </c>
    </row>
    <row r="6" spans="1:47" ht="16">
      <c r="A6" s="19" t="s">
        <v>59</v>
      </c>
      <c r="B6" s="1">
        <v>52.7</v>
      </c>
      <c r="C6" s="1">
        <f t="shared" si="0"/>
        <v>0.10444743935309972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0.42823450134770885</v>
      </c>
      <c r="V6" s="28">
        <f t="shared" si="4"/>
        <v>0.51179245283018859</v>
      </c>
      <c r="W6" s="29">
        <f t="shared" si="5"/>
        <v>0.67890835579514819</v>
      </c>
      <c r="X6" s="27">
        <f t="shared" si="6"/>
        <v>2.569407008086253</v>
      </c>
      <c r="Y6" s="28">
        <f t="shared" si="7"/>
        <v>3.0707547169811313</v>
      </c>
      <c r="Z6" s="29">
        <f t="shared" si="8"/>
        <v>4.0734501347708889</v>
      </c>
      <c r="AA6" s="27">
        <f t="shared" ref="AA6:AC6" si="29">U6+X6</f>
        <v>2.9976415094339619</v>
      </c>
      <c r="AB6" s="28">
        <f t="shared" si="29"/>
        <v>3.58254716981132</v>
      </c>
      <c r="AC6" s="29">
        <f t="shared" si="29"/>
        <v>4.7523584905660368</v>
      </c>
      <c r="AD6" s="30">
        <f t="shared" si="10"/>
        <v>2.857681940700808E-4</v>
      </c>
      <c r="AE6" s="21">
        <f t="shared" si="11"/>
        <v>2.1883827493261454E-3</v>
      </c>
      <c r="AF6" s="22">
        <f t="shared" si="12"/>
        <v>1.0505741239892182E-2</v>
      </c>
      <c r="AG6" s="30">
        <f t="shared" si="13"/>
        <v>1.7146091644204848E-3</v>
      </c>
      <c r="AH6" s="21">
        <f t="shared" si="14"/>
        <v>1.3130296495956872E-2</v>
      </c>
      <c r="AI6" s="22">
        <f t="shared" si="15"/>
        <v>6.3034447439353089E-2</v>
      </c>
      <c r="AJ6" s="30">
        <f t="shared" ref="AJ6:AL6" si="30">AD6+AG6</f>
        <v>2.0003773584905656E-3</v>
      </c>
      <c r="AK6" s="21">
        <f t="shared" si="30"/>
        <v>1.5318679245283018E-2</v>
      </c>
      <c r="AL6" s="22">
        <f t="shared" si="30"/>
        <v>7.3540188679245277E-2</v>
      </c>
      <c r="AM6" s="31">
        <f t="shared" si="17"/>
        <v>1.0444743935309972E-3</v>
      </c>
      <c r="AN6" s="32">
        <f t="shared" si="18"/>
        <v>2.0889487870619943E-3</v>
      </c>
      <c r="AO6" s="33">
        <f t="shared" si="19"/>
        <v>1.0444743935309971E-2</v>
      </c>
      <c r="AP6" s="31">
        <f t="shared" si="20"/>
        <v>6.2668463611859834E-3</v>
      </c>
      <c r="AQ6" s="32">
        <f t="shared" si="21"/>
        <v>1.2533692722371967E-2</v>
      </c>
      <c r="AR6" s="33">
        <f t="shared" si="22"/>
        <v>6.2668463611859834E-2</v>
      </c>
      <c r="AS6" s="31">
        <f t="shared" ref="AS6:AU6" si="31">AM6+AP6</f>
        <v>7.3113207547169804E-3</v>
      </c>
      <c r="AT6" s="32">
        <f t="shared" si="31"/>
        <v>1.4622641509433961E-2</v>
      </c>
      <c r="AU6" s="33">
        <f t="shared" si="31"/>
        <v>7.3113207547169809E-2</v>
      </c>
    </row>
    <row r="7" spans="1:47" ht="16">
      <c r="A7" s="19" t="s">
        <v>60</v>
      </c>
      <c r="B7" s="1">
        <v>70.989999999999995</v>
      </c>
      <c r="C7" s="1">
        <f t="shared" si="0"/>
        <v>0.14069684477564609</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5.2057832566989063E-3</v>
      </c>
      <c r="V7" s="28">
        <f t="shared" si="4"/>
        <v>1.6883621373077532E-2</v>
      </c>
      <c r="W7" s="29">
        <f t="shared" si="5"/>
        <v>0.15476652925321072</v>
      </c>
      <c r="X7" s="27">
        <f t="shared" si="6"/>
        <v>3.1234699540193429E-2</v>
      </c>
      <c r="Y7" s="28">
        <f t="shared" si="7"/>
        <v>0.10130172823846517</v>
      </c>
      <c r="Z7" s="29">
        <f t="shared" si="8"/>
        <v>0.92859917551926408</v>
      </c>
      <c r="AA7" s="27">
        <f t="shared" ref="AA7:AC7" si="33">U7+X7</f>
        <v>3.6440482796892333E-2</v>
      </c>
      <c r="AB7" s="28">
        <f t="shared" si="33"/>
        <v>0.1181853496115427</v>
      </c>
      <c r="AC7" s="29">
        <f t="shared" si="33"/>
        <v>1.0833657047724747</v>
      </c>
      <c r="AD7" s="30">
        <f t="shared" si="10"/>
        <v>9.1171555414618674E-5</v>
      </c>
      <c r="AE7" s="21">
        <f t="shared" si="11"/>
        <v>1.2551884503568418E-3</v>
      </c>
      <c r="AF7" s="22">
        <f t="shared" si="12"/>
        <v>1.5215519581417472E-2</v>
      </c>
      <c r="AG7" s="30">
        <f t="shared" si="13"/>
        <v>5.4702933248771182E-4</v>
      </c>
      <c r="AH7" s="21">
        <f t="shared" si="14"/>
        <v>7.531130702141048E-3</v>
      </c>
      <c r="AI7" s="22">
        <f t="shared" si="15"/>
        <v>9.1293117488504813E-2</v>
      </c>
      <c r="AJ7" s="30">
        <f t="shared" ref="AJ7:AL7" si="34">AD7+AG7</f>
        <v>6.3820088790233044E-4</v>
      </c>
      <c r="AK7" s="21">
        <f t="shared" si="34"/>
        <v>8.7863191524978901E-3</v>
      </c>
      <c r="AL7" s="22">
        <f t="shared" si="34"/>
        <v>0.10650863706992228</v>
      </c>
      <c r="AM7" s="31">
        <f t="shared" si="17"/>
        <v>1.4069684477564612E-3</v>
      </c>
      <c r="AN7" s="32">
        <f t="shared" si="18"/>
        <v>1.4069684477564612E-3</v>
      </c>
      <c r="AO7" s="33">
        <f t="shared" si="19"/>
        <v>1.406968447756461E-2</v>
      </c>
      <c r="AP7" s="31">
        <f t="shared" si="20"/>
        <v>8.4418106865387643E-3</v>
      </c>
      <c r="AQ7" s="32">
        <f t="shared" si="21"/>
        <v>8.4418106865387643E-3</v>
      </c>
      <c r="AR7" s="33">
        <f t="shared" si="22"/>
        <v>8.4418106865387643E-2</v>
      </c>
      <c r="AS7" s="31">
        <f t="shared" ref="AS7:AU7" si="35">AM7+AP7</f>
        <v>9.8487791342952262E-3</v>
      </c>
      <c r="AT7" s="32">
        <f t="shared" si="35"/>
        <v>9.8487791342952262E-3</v>
      </c>
      <c r="AU7" s="33">
        <f t="shared" si="35"/>
        <v>9.8487791342952255E-2</v>
      </c>
    </row>
    <row r="8" spans="1:47" ht="16">
      <c r="A8" s="19" t="s">
        <v>61</v>
      </c>
      <c r="B8" s="1">
        <v>19.43</v>
      </c>
      <c r="C8" s="1">
        <f t="shared" si="0"/>
        <v>3.8508799746313611E-2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3.8508799746313612E-4</v>
      </c>
      <c r="V8" s="28">
        <f t="shared" si="4"/>
        <v>9.2421119391152672E-3</v>
      </c>
      <c r="W8" s="29">
        <f t="shared" si="5"/>
        <v>0.84719359441889941</v>
      </c>
      <c r="X8" s="27">
        <f t="shared" si="6"/>
        <v>2.3105279847788168E-3</v>
      </c>
      <c r="Y8" s="28">
        <f t="shared" si="7"/>
        <v>5.54526716346916E-2</v>
      </c>
      <c r="Z8" s="29">
        <f t="shared" si="8"/>
        <v>5.0831615665133967</v>
      </c>
      <c r="AA8" s="27">
        <f t="shared" ref="AA8:AC8" si="37">U8+X8</f>
        <v>2.6956159822419529E-3</v>
      </c>
      <c r="AB8" s="28">
        <f t="shared" si="37"/>
        <v>6.4694783573806869E-2</v>
      </c>
      <c r="AC8" s="29">
        <f t="shared" si="37"/>
        <v>5.9303551609322964</v>
      </c>
      <c r="AD8" s="30">
        <f t="shared" si="10"/>
        <v>4.1589503726018702E-4</v>
      </c>
      <c r="AE8" s="21">
        <f t="shared" si="11"/>
        <v>1.2900047801731131E-2</v>
      </c>
      <c r="AF8" s="22">
        <f t="shared" si="12"/>
        <v>1.1805236085302042</v>
      </c>
      <c r="AG8" s="30">
        <f t="shared" si="13"/>
        <v>2.4953702235611221E-3</v>
      </c>
      <c r="AH8" s="21">
        <f t="shared" si="14"/>
        <v>7.7400286810386784E-2</v>
      </c>
      <c r="AI8" s="22">
        <f t="shared" si="15"/>
        <v>7.0831416511812257</v>
      </c>
      <c r="AJ8" s="30">
        <f t="shared" ref="AJ8:AL8" si="38">AD8+AG8</f>
        <v>2.9112652608213091E-3</v>
      </c>
      <c r="AK8" s="21">
        <f t="shared" si="38"/>
        <v>9.0300334612117922E-2</v>
      </c>
      <c r="AL8" s="22">
        <f t="shared" si="38"/>
        <v>8.2636652597114306</v>
      </c>
      <c r="AM8" s="31">
        <f t="shared" si="17"/>
        <v>1.2707903916283491E-2</v>
      </c>
      <c r="AN8" s="32">
        <f t="shared" si="18"/>
        <v>3.8508799746313611E-2</v>
      </c>
      <c r="AO8" s="33">
        <f t="shared" si="19"/>
        <v>6.5079871571270001E-2</v>
      </c>
      <c r="AP8" s="31">
        <f t="shared" si="20"/>
        <v>7.6247423497700945E-2</v>
      </c>
      <c r="AQ8" s="32">
        <f t="shared" si="21"/>
        <v>0.23105279847788168</v>
      </c>
      <c r="AR8" s="33">
        <f t="shared" si="22"/>
        <v>0.39047922942761998</v>
      </c>
      <c r="AS8" s="31">
        <f t="shared" ref="AS8:AU8" si="39">AM8+AP8</f>
        <v>8.8955327413984431E-2</v>
      </c>
      <c r="AT8" s="32">
        <f t="shared" si="39"/>
        <v>0.26956159822419529</v>
      </c>
      <c r="AU8" s="33">
        <f t="shared" si="39"/>
        <v>0.45555910099888997</v>
      </c>
    </row>
    <row r="9" spans="1:47" ht="16">
      <c r="A9" s="19" t="s">
        <v>86</v>
      </c>
      <c r="B9" s="1">
        <v>45.48</v>
      </c>
      <c r="C9" s="1">
        <f t="shared" si="0"/>
        <v>9.0137941969240507E-2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0.11717932456001266</v>
      </c>
      <c r="V9" s="28">
        <f t="shared" si="4"/>
        <v>0.20731726652925317</v>
      </c>
      <c r="W9" s="29">
        <f t="shared" si="5"/>
        <v>0.37857935627081013</v>
      </c>
      <c r="X9" s="27">
        <f t="shared" si="6"/>
        <v>0.70307594736007595</v>
      </c>
      <c r="Y9" s="28">
        <f t="shared" si="7"/>
        <v>1.243903599175519</v>
      </c>
      <c r="Z9" s="29">
        <f t="shared" si="8"/>
        <v>2.2714761376248607</v>
      </c>
      <c r="AA9" s="27">
        <f t="shared" ref="AA9:AC9" si="41">U9+X9</f>
        <v>0.82025527192008862</v>
      </c>
      <c r="AB9" s="28">
        <f t="shared" si="41"/>
        <v>1.451220865704772</v>
      </c>
      <c r="AC9" s="29">
        <f t="shared" si="41"/>
        <v>2.6500554938956706</v>
      </c>
      <c r="AD9" s="30">
        <f t="shared" si="10"/>
        <v>6.4899318217853164E-2</v>
      </c>
      <c r="AE9" s="21">
        <f t="shared" si="11"/>
        <v>0.11451618973990559</v>
      </c>
      <c r="AF9" s="22">
        <f t="shared" si="12"/>
        <v>0.21272049532265733</v>
      </c>
      <c r="AG9" s="30">
        <f t="shared" si="13"/>
        <v>0.38939590930711898</v>
      </c>
      <c r="AH9" s="21">
        <f t="shared" si="14"/>
        <v>0.68709713843943343</v>
      </c>
      <c r="AI9" s="22">
        <f t="shared" si="15"/>
        <v>1.2763229719359439</v>
      </c>
      <c r="AJ9" s="30">
        <f t="shared" ref="AJ9:AL9" si="42">AD9+AG9</f>
        <v>0.45429522752497214</v>
      </c>
      <c r="AK9" s="21">
        <f t="shared" si="42"/>
        <v>0.80161332817933906</v>
      </c>
      <c r="AL9" s="22">
        <f t="shared" si="42"/>
        <v>1.4890434672586013</v>
      </c>
      <c r="AM9" s="31">
        <f t="shared" si="17"/>
        <v>0.11717932456001268</v>
      </c>
      <c r="AN9" s="32">
        <f t="shared" si="18"/>
        <v>4.5068970984620256</v>
      </c>
      <c r="AO9" s="33">
        <f t="shared" si="19"/>
        <v>7.3011732995084815</v>
      </c>
      <c r="AP9" s="31">
        <f t="shared" si="20"/>
        <v>0.70307594736007595</v>
      </c>
      <c r="AQ9" s="32">
        <f t="shared" si="21"/>
        <v>27.041382590772152</v>
      </c>
      <c r="AR9" s="33">
        <f t="shared" si="22"/>
        <v>43.807039797050884</v>
      </c>
      <c r="AS9" s="31">
        <f t="shared" ref="AS9:AU9" si="43">AM9+AP9</f>
        <v>0.82025527192008862</v>
      </c>
      <c r="AT9" s="32">
        <f t="shared" si="43"/>
        <v>31.548279689234178</v>
      </c>
      <c r="AU9" s="33">
        <f t="shared" si="43"/>
        <v>51.108213096559368</v>
      </c>
    </row>
    <row r="10" spans="1:47" ht="15.75" customHeight="1">
      <c r="A10" s="1" t="s">
        <v>63</v>
      </c>
      <c r="B10" s="4">
        <f>35.08+20.44+40.96</f>
        <v>96.47999999999999</v>
      </c>
      <c r="C10" s="1">
        <f t="shared" si="0"/>
        <v>0.19121610908514344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1.3385127635960042E-2</v>
      </c>
      <c r="V10" s="28">
        <f t="shared" si="4"/>
        <v>2.1033771999365781E-2</v>
      </c>
      <c r="W10" s="29">
        <f t="shared" si="5"/>
        <v>0.10708102108768033</v>
      </c>
      <c r="X10" s="27">
        <f t="shared" si="6"/>
        <v>8.0310765815760243E-2</v>
      </c>
      <c r="Y10" s="28">
        <f t="shared" si="7"/>
        <v>0.12620263199619466</v>
      </c>
      <c r="Z10" s="29">
        <f t="shared" si="8"/>
        <v>0.64248612652608195</v>
      </c>
      <c r="AA10" s="27">
        <f t="shared" ref="AA10:AC10" si="45">U10+X10</f>
        <v>9.3695893451720288E-2</v>
      </c>
      <c r="AB10" s="28">
        <f t="shared" si="45"/>
        <v>0.14723640399556046</v>
      </c>
      <c r="AC10" s="29">
        <f t="shared" si="45"/>
        <v>0.74956714761376231</v>
      </c>
      <c r="AD10" s="30">
        <f t="shared" si="10"/>
        <v>1.376755985413033E-6</v>
      </c>
      <c r="AE10" s="21">
        <f t="shared" si="11"/>
        <v>8.1422472892075481E-4</v>
      </c>
      <c r="AF10" s="22">
        <f t="shared" si="12"/>
        <v>1.0705654542571746E-2</v>
      </c>
      <c r="AG10" s="30">
        <f t="shared" si="13"/>
        <v>8.2605359124781981E-6</v>
      </c>
      <c r="AH10" s="21">
        <f t="shared" si="14"/>
        <v>4.8853483735245284E-3</v>
      </c>
      <c r="AI10" s="22">
        <f t="shared" si="15"/>
        <v>6.4233927255430479E-2</v>
      </c>
      <c r="AJ10" s="30">
        <f t="shared" ref="AJ10:AL10" si="46">AD10+AG10</f>
        <v>9.6372918978912317E-6</v>
      </c>
      <c r="AK10" s="21">
        <f t="shared" si="46"/>
        <v>5.6995731024452835E-3</v>
      </c>
      <c r="AL10" s="22">
        <f t="shared" si="46"/>
        <v>7.4939581798002225E-2</v>
      </c>
      <c r="AM10" s="31">
        <f t="shared" si="17"/>
        <v>5.7364832725543035E-3</v>
      </c>
      <c r="AN10" s="32">
        <f t="shared" si="18"/>
        <v>1.9121610908514348E-2</v>
      </c>
      <c r="AO10" s="33">
        <f t="shared" si="19"/>
        <v>2.485809418106865E-2</v>
      </c>
      <c r="AP10" s="31">
        <f t="shared" si="20"/>
        <v>3.4418899635325823E-2</v>
      </c>
      <c r="AQ10" s="32">
        <f t="shared" si="21"/>
        <v>0.11472966545108608</v>
      </c>
      <c r="AR10" s="33">
        <f t="shared" si="22"/>
        <v>0.14914856508641192</v>
      </c>
      <c r="AS10" s="31">
        <f t="shared" ref="AS10:AU10" si="47">AM10+AP10</f>
        <v>4.0155382907880129E-2</v>
      </c>
      <c r="AT10" s="32">
        <f t="shared" si="47"/>
        <v>0.13385127635960042</v>
      </c>
      <c r="AU10" s="33">
        <f t="shared" si="47"/>
        <v>0.17400665926748057</v>
      </c>
    </row>
    <row r="11" spans="1:47" ht="15.75" customHeight="1">
      <c r="A11" s="1" t="s">
        <v>64</v>
      </c>
      <c r="B11" s="4">
        <f>4.13+20.24</f>
        <v>24.369999999999997</v>
      </c>
      <c r="C11" s="1">
        <f t="shared" si="0"/>
        <v>4.829950848263833E-2</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3.8639606786110667E-3</v>
      </c>
      <c r="V11" s="28">
        <f t="shared" si="4"/>
        <v>5.7959410179166003E-3</v>
      </c>
      <c r="W11" s="29">
        <f t="shared" si="5"/>
        <v>1.6904827968923418E-2</v>
      </c>
      <c r="X11" s="27">
        <f t="shared" si="6"/>
        <v>2.3183764071666398E-2</v>
      </c>
      <c r="Y11" s="28">
        <f t="shared" si="7"/>
        <v>3.47756461074996E-2</v>
      </c>
      <c r="Z11" s="29">
        <f t="shared" si="8"/>
        <v>0.10142896781354049</v>
      </c>
      <c r="AA11" s="27">
        <f t="shared" ref="AA11:AC11" si="49">U11+X11</f>
        <v>2.7047724750277464E-2</v>
      </c>
      <c r="AB11" s="28">
        <f t="shared" si="49"/>
        <v>4.0571587125416197E-2</v>
      </c>
      <c r="AC11" s="29">
        <f t="shared" si="49"/>
        <v>0.11833379578246392</v>
      </c>
      <c r="AD11" s="30">
        <f t="shared" si="10"/>
        <v>3.4775646107499604E-7</v>
      </c>
      <c r="AE11" s="21">
        <f t="shared" si="11"/>
        <v>2.0578166579017759E-4</v>
      </c>
      <c r="AF11" s="22">
        <f t="shared" si="12"/>
        <v>2.7041542413191694E-3</v>
      </c>
      <c r="AG11" s="30">
        <f t="shared" si="13"/>
        <v>2.0865387664499762E-6</v>
      </c>
      <c r="AH11" s="21">
        <f t="shared" si="14"/>
        <v>1.2346899947410653E-3</v>
      </c>
      <c r="AI11" s="22">
        <f t="shared" si="15"/>
        <v>1.6224925447915015E-2</v>
      </c>
      <c r="AJ11" s="30">
        <f t="shared" ref="AJ11:AL11" si="50">AD11+AG11</f>
        <v>2.4342952275249723E-6</v>
      </c>
      <c r="AK11" s="21">
        <f t="shared" si="50"/>
        <v>1.440471660531243E-3</v>
      </c>
      <c r="AL11" s="22">
        <f t="shared" si="50"/>
        <v>1.8929079689234185E-2</v>
      </c>
      <c r="AM11" s="31">
        <f t="shared" si="17"/>
        <v>1.4489852544791501E-3</v>
      </c>
      <c r="AN11" s="32">
        <f t="shared" si="18"/>
        <v>4.8299508482638337E-3</v>
      </c>
      <c r="AO11" s="33">
        <f t="shared" si="19"/>
        <v>6.2789361027429848E-3</v>
      </c>
      <c r="AP11" s="31">
        <f t="shared" si="20"/>
        <v>8.6939115268749E-3</v>
      </c>
      <c r="AQ11" s="32">
        <f t="shared" si="21"/>
        <v>2.8979705089582999E-2</v>
      </c>
      <c r="AR11" s="33">
        <f t="shared" si="22"/>
        <v>3.7673616616457899E-2</v>
      </c>
      <c r="AS11" s="31">
        <f t="shared" ref="AS11:AU11" si="51">AM11+AP11</f>
        <v>1.0142896781354049E-2</v>
      </c>
      <c r="AT11" s="32">
        <f t="shared" si="51"/>
        <v>3.3809655937846836E-2</v>
      </c>
      <c r="AU11" s="33">
        <f t="shared" si="51"/>
        <v>4.3952552719200885E-2</v>
      </c>
    </row>
    <row r="12" spans="1:47" ht="15.75" customHeight="1">
      <c r="A12" s="1" t="s">
        <v>65</v>
      </c>
      <c r="B12" s="4">
        <f>11.19+9.4+15.71+5.6</f>
        <v>41.9</v>
      </c>
      <c r="C12" s="1">
        <f t="shared" si="0"/>
        <v>8.3042651022673206E-2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1.4947677184081177E-2</v>
      </c>
      <c r="V12" s="28">
        <f t="shared" si="4"/>
        <v>3.9860472490883141E-2</v>
      </c>
      <c r="W12" s="29">
        <f t="shared" si="5"/>
        <v>0.14947677184081176</v>
      </c>
      <c r="X12" s="27">
        <f t="shared" si="6"/>
        <v>8.9686063104487068E-2</v>
      </c>
      <c r="Y12" s="28">
        <f t="shared" si="7"/>
        <v>0.23916283494529883</v>
      </c>
      <c r="Z12" s="29">
        <f t="shared" si="8"/>
        <v>0.89686063104487068</v>
      </c>
      <c r="AA12" s="27">
        <f t="shared" ref="AA12:AC12" si="53">U12+X12</f>
        <v>0.10463374028856824</v>
      </c>
      <c r="AB12" s="28">
        <f t="shared" si="53"/>
        <v>0.27902330743618198</v>
      </c>
      <c r="AC12" s="29">
        <f t="shared" si="53"/>
        <v>1.0463374028856824</v>
      </c>
      <c r="AD12" s="30">
        <f t="shared" si="10"/>
        <v>1.9133026795623908E-5</v>
      </c>
      <c r="AE12" s="21">
        <f t="shared" si="11"/>
        <v>5.3610121021793245E-4</v>
      </c>
      <c r="AF12" s="22">
        <f t="shared" si="12"/>
        <v>5.5515673061677503E-3</v>
      </c>
      <c r="AG12" s="30">
        <f t="shared" si="13"/>
        <v>1.1479816077374346E-4</v>
      </c>
      <c r="AH12" s="21">
        <f t="shared" si="14"/>
        <v>3.2166072613075947E-3</v>
      </c>
      <c r="AI12" s="22">
        <f t="shared" si="15"/>
        <v>3.33094038370065E-2</v>
      </c>
      <c r="AJ12" s="30">
        <f t="shared" ref="AJ12:AL12" si="54">AD12+AG12</f>
        <v>1.3393118756936738E-4</v>
      </c>
      <c r="AK12" s="21">
        <f t="shared" si="54"/>
        <v>3.7527084715255274E-3</v>
      </c>
      <c r="AL12" s="22">
        <f t="shared" si="54"/>
        <v>3.8860971143174251E-2</v>
      </c>
      <c r="AM12" s="31">
        <f t="shared" si="17"/>
        <v>2.4912795306801959E-3</v>
      </c>
      <c r="AN12" s="32">
        <f t="shared" si="18"/>
        <v>8.3042651022673206E-2</v>
      </c>
      <c r="AO12" s="33">
        <f t="shared" si="19"/>
        <v>0.1245639765340098</v>
      </c>
      <c r="AP12" s="31">
        <f t="shared" si="20"/>
        <v>1.4947677184081179E-2</v>
      </c>
      <c r="AQ12" s="32">
        <f t="shared" si="21"/>
        <v>0.49825590613603926</v>
      </c>
      <c r="AR12" s="33">
        <f t="shared" si="22"/>
        <v>0.74738385920405892</v>
      </c>
      <c r="AS12" s="31">
        <f t="shared" ref="AS12:AU12" si="55">AM12+AP12</f>
        <v>1.7438956714761374E-2</v>
      </c>
      <c r="AT12" s="32">
        <f t="shared" si="55"/>
        <v>0.58129855715871248</v>
      </c>
      <c r="AU12" s="33">
        <f t="shared" si="55"/>
        <v>0.87194783573806878</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504.56000000000006</v>
      </c>
      <c r="G15" s="7"/>
      <c r="AA15" s="4">
        <f t="shared" ref="AA15:AU15" si="64">SUM(AA4:AA14)</f>
        <v>19.794014012208656</v>
      </c>
      <c r="AB15" s="4">
        <f t="shared" si="64"/>
        <v>23.082452830188679</v>
      </c>
      <c r="AC15" s="4">
        <f t="shared" si="64"/>
        <v>35.663644561598211</v>
      </c>
      <c r="AD15" s="4">
        <f t="shared" si="64"/>
        <v>6.659123402568573E-2</v>
      </c>
      <c r="AE15" s="4">
        <f t="shared" si="64"/>
        <v>0.14493025744685453</v>
      </c>
      <c r="AF15" s="4">
        <f t="shared" si="64"/>
        <v>1.4777714788330421</v>
      </c>
      <c r="AG15" s="4">
        <f t="shared" si="64"/>
        <v>0.39954740415411438</v>
      </c>
      <c r="AH15" s="4">
        <f t="shared" si="64"/>
        <v>0.86958154468112703</v>
      </c>
      <c r="AI15" s="4">
        <f t="shared" si="64"/>
        <v>8.8666288729982536</v>
      </c>
      <c r="AJ15" s="4">
        <f t="shared" si="64"/>
        <v>0.46613863817980011</v>
      </c>
      <c r="AK15" s="4">
        <f t="shared" si="64"/>
        <v>1.0145118021279813</v>
      </c>
      <c r="AL15" s="4">
        <f t="shared" si="64"/>
        <v>10.344400351831297</v>
      </c>
      <c r="AM15" s="4">
        <f t="shared" si="64"/>
        <v>0.14805830822895194</v>
      </c>
      <c r="AN15" s="4">
        <f t="shared" si="64"/>
        <v>4.8063356191533204</v>
      </c>
      <c r="AO15" s="4">
        <f t="shared" si="64"/>
        <v>7.9976066275566806</v>
      </c>
      <c r="AP15" s="4">
        <f t="shared" si="64"/>
        <v>0.88834984937371164</v>
      </c>
      <c r="AQ15" s="4">
        <f t="shared" si="64"/>
        <v>28.838013714919924</v>
      </c>
      <c r="AR15" s="4">
        <f t="shared" si="64"/>
        <v>47.985639765340089</v>
      </c>
      <c r="AS15" s="4">
        <f t="shared" si="64"/>
        <v>1.0364081576026636</v>
      </c>
      <c r="AT15" s="4">
        <f t="shared" si="64"/>
        <v>33.64434933407324</v>
      </c>
      <c r="AU15" s="4">
        <f t="shared" si="64"/>
        <v>55.983246392896774</v>
      </c>
    </row>
    <row r="16" spans="1:47" ht="15.75" customHeight="1">
      <c r="A16" s="81"/>
      <c r="B16" s="68"/>
      <c r="G16" s="7"/>
      <c r="AG16" s="195"/>
      <c r="AH16" s="196"/>
      <c r="AI16" s="196"/>
      <c r="AP16" s="195"/>
      <c r="AQ16" s="196"/>
      <c r="AR16" s="196"/>
    </row>
    <row r="17" spans="2:18" ht="15.75" customHeight="1">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30" customHeight="1">
      <c r="B19" s="82" t="s">
        <v>140</v>
      </c>
      <c r="C19" s="187" t="s">
        <v>162</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U42"/>
  <sheetViews>
    <sheetView workbookViewId="0">
      <selection activeCell="C21" sqref="C21:G22"/>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164</v>
      </c>
      <c r="B2" s="205"/>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1133.627</v>
      </c>
      <c r="C4" s="1">
        <f t="shared" ref="C4:C14" si="0">B4/$B$15</f>
        <v>0.73985384710268876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5.4749184685598964</v>
      </c>
      <c r="V4" s="28">
        <f t="shared" ref="V4:V14" si="4">$S4*$C4*$E4</f>
        <v>6.0668015462420479</v>
      </c>
      <c r="W4" s="29">
        <f t="shared" ref="W4:W14" si="5">$S4*$C4*$F4</f>
        <v>6.7326700086344671</v>
      </c>
      <c r="X4" s="27">
        <f t="shared" ref="X4:X14" si="6">$T4*$C4*$D4</f>
        <v>32.84951081135938</v>
      </c>
      <c r="Y4" s="28">
        <f t="shared" ref="Y4:Y14" si="7">$T4*$C4*$E4</f>
        <v>36.400809277452282</v>
      </c>
      <c r="Z4" s="29">
        <f t="shared" ref="Z4:Z14" si="8">$T4*$C4*$F4</f>
        <v>40.396020051806808</v>
      </c>
      <c r="AA4" s="27">
        <f t="shared" ref="AA4:AC4" si="9">U4+X4</f>
        <v>38.324429279919279</v>
      </c>
      <c r="AB4" s="28">
        <f t="shared" si="9"/>
        <v>42.467610823694329</v>
      </c>
      <c r="AC4" s="29">
        <f t="shared" si="9"/>
        <v>47.128690060441272</v>
      </c>
      <c r="AD4" s="30">
        <f t="shared" ref="AD4:AD14" si="10">($S4*$C4*$M4*3.6*10^(-3))*1000</f>
        <v>2.1041443411600469E-3</v>
      </c>
      <c r="AE4" s="21">
        <f t="shared" ref="AE4:AE14" si="11">($S4*$C4*$N4*3.6*10^(-3))*1000</f>
        <v>3.0578246541599824E-2</v>
      </c>
      <c r="AF4" s="22">
        <f t="shared" ref="AF4:AF14" si="12">($S4*$C4*$O4*3.6*10^(-3))*1000</f>
        <v>9.7323334463276082E-2</v>
      </c>
      <c r="AG4" s="30">
        <f t="shared" ref="AG4:AG14" si="13">($T4*$C4*$M4*3.6*10^(-3))*1000</f>
        <v>1.2624866046960281E-2</v>
      </c>
      <c r="AH4" s="21">
        <f t="shared" ref="AH4:AH14" si="14">($T4*$C4*$N4*3.6*10^(-3))*1000</f>
        <v>0.18346947924959897</v>
      </c>
      <c r="AI4" s="22">
        <f t="shared" ref="AI4:AI14" si="15">($T4*$C4*O4*3.6*10^(-3))*1000</f>
        <v>0.58394000677965652</v>
      </c>
      <c r="AJ4" s="30">
        <f t="shared" ref="AJ4:AL4" si="16">AD4+AG4</f>
        <v>1.4729010388120328E-2</v>
      </c>
      <c r="AK4" s="21">
        <f t="shared" si="16"/>
        <v>0.2140477257911988</v>
      </c>
      <c r="AL4" s="22">
        <f t="shared" si="16"/>
        <v>0.68126334124293264</v>
      </c>
      <c r="AM4" s="31">
        <f t="shared" ref="AM4:AM13" si="17">$S4*$C4*10^(-3)*$P4*10^4</f>
        <v>1.4797076942053775E-2</v>
      </c>
      <c r="AN4" s="32">
        <f t="shared" ref="AN4:AN14" si="18">$S4*$C4*10^(-3)*$Q4*10^4</f>
        <v>0.36992692355134432</v>
      </c>
      <c r="AO4" s="33">
        <f t="shared" ref="AO4:AO13" si="19">$S4*$C4*10^(-3)*$R4*10^4</f>
        <v>1.1097807706540332</v>
      </c>
      <c r="AP4" s="31">
        <f t="shared" ref="AP4:AP13" si="20">$T4*$C4*10^(-3)*$P4*10^4</f>
        <v>8.8782461652322647E-2</v>
      </c>
      <c r="AQ4" s="32">
        <f t="shared" ref="AQ4:AQ14" si="21">$T4*$C4*10^(-3)*$Q4*10^4</f>
        <v>2.219561541308066</v>
      </c>
      <c r="AR4" s="33">
        <f t="shared" ref="AR4:AR13" si="22">$T4*$C4*10^(-3)*$R4*10^4</f>
        <v>6.6586846239241986</v>
      </c>
      <c r="AS4" s="31">
        <f t="shared" ref="AS4:AU4" si="23">AM4+AP4</f>
        <v>0.10357953859437642</v>
      </c>
      <c r="AT4" s="32">
        <f t="shared" si="23"/>
        <v>2.5894884648594103</v>
      </c>
      <c r="AU4" s="33">
        <f t="shared" si="23"/>
        <v>7.7684653945782323</v>
      </c>
    </row>
    <row r="5" spans="1:47" ht="16">
      <c r="A5" s="19" t="s">
        <v>58</v>
      </c>
      <c r="B5" s="1">
        <v>25.036999999999999</v>
      </c>
      <c r="C5" s="1">
        <f t="shared" si="0"/>
        <v>1.6340225462087635E-2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0.10735528128591576</v>
      </c>
      <c r="V5" s="28">
        <f t="shared" si="4"/>
        <v>0.11029652186909153</v>
      </c>
      <c r="W5" s="29">
        <f t="shared" si="5"/>
        <v>0.14150635250167892</v>
      </c>
      <c r="X5" s="27">
        <f t="shared" si="6"/>
        <v>0.64413168771549456</v>
      </c>
      <c r="Y5" s="28">
        <f t="shared" si="7"/>
        <v>0.66177913121454923</v>
      </c>
      <c r="Z5" s="29">
        <f t="shared" si="8"/>
        <v>0.84903811501007354</v>
      </c>
      <c r="AA5" s="27">
        <f t="shared" ref="AA5:AC5" si="25">U5+X5</f>
        <v>0.75148696900141032</v>
      </c>
      <c r="AB5" s="28">
        <f t="shared" si="25"/>
        <v>0.77207565308364079</v>
      </c>
      <c r="AC5" s="29">
        <f t="shared" si="25"/>
        <v>0.99054446751175251</v>
      </c>
      <c r="AD5" s="30">
        <f t="shared" si="10"/>
        <v>1.2588509695992314E-4</v>
      </c>
      <c r="AE5" s="21">
        <f t="shared" si="11"/>
        <v>4.8236345564082691E-4</v>
      </c>
      <c r="AF5" s="22">
        <f t="shared" si="12"/>
        <v>1.6141528320468648E-3</v>
      </c>
      <c r="AG5" s="30">
        <f t="shared" si="13"/>
        <v>7.5531058175953879E-4</v>
      </c>
      <c r="AH5" s="21">
        <f t="shared" si="14"/>
        <v>2.8941807338449615E-3</v>
      </c>
      <c r="AI5" s="22">
        <f t="shared" si="15"/>
        <v>9.6849169922811878E-3</v>
      </c>
      <c r="AJ5" s="30">
        <f t="shared" ref="AJ5:AL5" si="26">AD5+AG5</f>
        <v>8.8119567871946191E-4</v>
      </c>
      <c r="AK5" s="21">
        <f t="shared" si="26"/>
        <v>3.3765441894857886E-3</v>
      </c>
      <c r="AL5" s="22">
        <f t="shared" si="26"/>
        <v>1.1299069824328052E-2</v>
      </c>
      <c r="AM5" s="31">
        <f t="shared" si="17"/>
        <v>1.6340225462087635E-4</v>
      </c>
      <c r="AN5" s="32">
        <f t="shared" si="18"/>
        <v>6.536090184835054E-4</v>
      </c>
      <c r="AO5" s="33">
        <f t="shared" si="19"/>
        <v>9.804135277252581E-4</v>
      </c>
      <c r="AP5" s="31">
        <f t="shared" si="20"/>
        <v>9.8041352772525832E-4</v>
      </c>
      <c r="AQ5" s="32">
        <f t="shared" si="21"/>
        <v>3.9216541109010333E-3</v>
      </c>
      <c r="AR5" s="33">
        <f t="shared" si="22"/>
        <v>5.8824811663515499E-3</v>
      </c>
      <c r="AS5" s="31">
        <f t="shared" ref="AS5:AU5" si="27">AM5+AP5</f>
        <v>1.1438157823461348E-3</v>
      </c>
      <c r="AT5" s="32">
        <f t="shared" si="27"/>
        <v>4.5752631293845391E-3</v>
      </c>
      <c r="AU5" s="33">
        <f t="shared" si="27"/>
        <v>6.8628946940768078E-3</v>
      </c>
    </row>
    <row r="6" spans="1:47" ht="16">
      <c r="A6" s="19" t="s">
        <v>59</v>
      </c>
      <c r="B6" s="1">
        <v>70.893000000000001</v>
      </c>
      <c r="C6" s="1">
        <f t="shared" si="0"/>
        <v>4.6267827762263E-2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0.1896980938252783</v>
      </c>
      <c r="V6" s="28">
        <f t="shared" si="4"/>
        <v>0.22671235603508871</v>
      </c>
      <c r="W6" s="29">
        <f t="shared" si="5"/>
        <v>0.30074088045470954</v>
      </c>
      <c r="X6" s="27">
        <f t="shared" si="6"/>
        <v>1.1381885629516697</v>
      </c>
      <c r="Y6" s="28">
        <f t="shared" si="7"/>
        <v>1.3602741362105322</v>
      </c>
      <c r="Z6" s="29">
        <f t="shared" si="8"/>
        <v>1.8044452827282569</v>
      </c>
      <c r="AA6" s="27">
        <f t="shared" ref="AA6:AC6" si="29">U6+X6</f>
        <v>1.3278866567769481</v>
      </c>
      <c r="AB6" s="28">
        <f t="shared" si="29"/>
        <v>1.5869864922456209</v>
      </c>
      <c r="AC6" s="29">
        <f t="shared" si="29"/>
        <v>2.1051861631829665</v>
      </c>
      <c r="AD6" s="30">
        <f t="shared" si="10"/>
        <v>1.2658877675755158E-4</v>
      </c>
      <c r="AE6" s="21">
        <f t="shared" si="11"/>
        <v>9.6940352727493463E-4</v>
      </c>
      <c r="AF6" s="22">
        <f t="shared" si="12"/>
        <v>4.6538031876394619E-3</v>
      </c>
      <c r="AG6" s="30">
        <f t="shared" si="13"/>
        <v>7.5953266054530947E-4</v>
      </c>
      <c r="AH6" s="21">
        <f t="shared" si="14"/>
        <v>5.8164211636496065E-3</v>
      </c>
      <c r="AI6" s="22">
        <f t="shared" si="15"/>
        <v>2.7922819125836773E-2</v>
      </c>
      <c r="AJ6" s="30">
        <f t="shared" ref="AJ6:AL6" si="30">AD6+AG6</f>
        <v>8.8612143730286105E-4</v>
      </c>
      <c r="AK6" s="21">
        <f t="shared" si="30"/>
        <v>6.7858246909245409E-3</v>
      </c>
      <c r="AL6" s="22">
        <f t="shared" si="30"/>
        <v>3.2576622313476238E-2</v>
      </c>
      <c r="AM6" s="31">
        <f t="shared" si="17"/>
        <v>4.6267827762263013E-4</v>
      </c>
      <c r="AN6" s="32">
        <f t="shared" si="18"/>
        <v>9.2535655524526026E-4</v>
      </c>
      <c r="AO6" s="33">
        <f t="shared" si="19"/>
        <v>4.6267827762263005E-3</v>
      </c>
      <c r="AP6" s="31">
        <f t="shared" si="20"/>
        <v>2.7760696657357802E-3</v>
      </c>
      <c r="AQ6" s="32">
        <f t="shared" si="21"/>
        <v>5.5521393314715605E-3</v>
      </c>
      <c r="AR6" s="33">
        <f t="shared" si="22"/>
        <v>2.7760696657357798E-2</v>
      </c>
      <c r="AS6" s="31">
        <f t="shared" ref="AS6:AU6" si="31">AM6+AP6</f>
        <v>3.2387479433584102E-3</v>
      </c>
      <c r="AT6" s="32">
        <f t="shared" si="31"/>
        <v>6.4774958867168204E-3</v>
      </c>
      <c r="AU6" s="33">
        <f t="shared" si="31"/>
        <v>3.2387479433584096E-2</v>
      </c>
    </row>
    <row r="7" spans="1:47" ht="16">
      <c r="A7" s="19" t="s">
        <v>60</v>
      </c>
      <c r="B7" s="1">
        <v>38.345999999999997</v>
      </c>
      <c r="C7" s="1">
        <f t="shared" si="0"/>
        <v>2.5026252568966425E-2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9.2597134505175772E-4</v>
      </c>
      <c r="V7" s="28">
        <f t="shared" si="4"/>
        <v>3.0031503082759707E-3</v>
      </c>
      <c r="W7" s="29">
        <f t="shared" si="5"/>
        <v>2.7528877825863066E-2</v>
      </c>
      <c r="X7" s="27">
        <f t="shared" si="6"/>
        <v>5.5558280703105461E-3</v>
      </c>
      <c r="Y7" s="28">
        <f t="shared" si="7"/>
        <v>1.8018901849655825E-2</v>
      </c>
      <c r="Z7" s="29">
        <f t="shared" si="8"/>
        <v>0.16517326695517839</v>
      </c>
      <c r="AA7" s="27">
        <f t="shared" ref="AA7:AC7" si="33">U7+X7</f>
        <v>6.4817994153623035E-3</v>
      </c>
      <c r="AB7" s="28">
        <f t="shared" si="33"/>
        <v>2.1022052157931796E-2</v>
      </c>
      <c r="AC7" s="29">
        <f t="shared" si="33"/>
        <v>0.19270214478104147</v>
      </c>
      <c r="AD7" s="30">
        <f t="shared" si="10"/>
        <v>1.6217011664690241E-5</v>
      </c>
      <c r="AE7" s="21">
        <f t="shared" si="11"/>
        <v>2.2326487299960588E-4</v>
      </c>
      <c r="AF7" s="22">
        <f t="shared" si="12"/>
        <v>2.706439057818305E-3</v>
      </c>
      <c r="AG7" s="30">
        <f t="shared" si="13"/>
        <v>9.7302069988141447E-5</v>
      </c>
      <c r="AH7" s="21">
        <f t="shared" si="14"/>
        <v>1.3395892379976352E-3</v>
      </c>
      <c r="AI7" s="22">
        <f t="shared" si="15"/>
        <v>1.6238634346909829E-2</v>
      </c>
      <c r="AJ7" s="30">
        <f t="shared" ref="AJ7:AL7" si="34">AD7+AG7</f>
        <v>1.1351908165283168E-4</v>
      </c>
      <c r="AK7" s="21">
        <f t="shared" si="34"/>
        <v>1.5628541109972412E-3</v>
      </c>
      <c r="AL7" s="22">
        <f t="shared" si="34"/>
        <v>1.8945073404728133E-2</v>
      </c>
      <c r="AM7" s="31">
        <f t="shared" si="17"/>
        <v>2.5026252568966428E-4</v>
      </c>
      <c r="AN7" s="32">
        <f t="shared" si="18"/>
        <v>2.5026252568966428E-4</v>
      </c>
      <c r="AO7" s="33">
        <f t="shared" si="19"/>
        <v>2.5026252568966425E-3</v>
      </c>
      <c r="AP7" s="31">
        <f t="shared" si="20"/>
        <v>1.5015751541379854E-3</v>
      </c>
      <c r="AQ7" s="32">
        <f t="shared" si="21"/>
        <v>1.5015751541379854E-3</v>
      </c>
      <c r="AR7" s="33">
        <f t="shared" si="22"/>
        <v>1.5015751541379853E-2</v>
      </c>
      <c r="AS7" s="31">
        <f t="shared" ref="AS7:AU7" si="35">AM7+AP7</f>
        <v>1.7518376798276497E-3</v>
      </c>
      <c r="AT7" s="32">
        <f t="shared" si="35"/>
        <v>1.7518376798276497E-3</v>
      </c>
      <c r="AU7" s="33">
        <f t="shared" si="35"/>
        <v>1.7518376798276496E-2</v>
      </c>
    </row>
    <row r="8" spans="1:47" ht="16">
      <c r="A8" s="19" t="s">
        <v>61</v>
      </c>
      <c r="B8" s="1">
        <v>141.80099999999999</v>
      </c>
      <c r="C8" s="1">
        <f t="shared" si="0"/>
        <v>9.2545445171126284E-2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9.2545445171126283E-4</v>
      </c>
      <c r="V8" s="28">
        <f t="shared" si="4"/>
        <v>2.2210906841070306E-2</v>
      </c>
      <c r="W8" s="29">
        <f t="shared" si="5"/>
        <v>2.0359997937647782</v>
      </c>
      <c r="X8" s="27">
        <f t="shared" si="6"/>
        <v>5.5527267102675765E-3</v>
      </c>
      <c r="Y8" s="28">
        <f t="shared" si="7"/>
        <v>0.13326544104642185</v>
      </c>
      <c r="Z8" s="29">
        <f t="shared" si="8"/>
        <v>12.215998762588669</v>
      </c>
      <c r="AA8" s="27">
        <f t="shared" ref="AA8:AC8" si="37">U8+X8</f>
        <v>6.4781811619788396E-3</v>
      </c>
      <c r="AB8" s="28">
        <f t="shared" si="37"/>
        <v>0.15547634788749215</v>
      </c>
      <c r="AC8" s="29">
        <f t="shared" si="37"/>
        <v>14.251998556353447</v>
      </c>
      <c r="AD8" s="30">
        <f t="shared" si="10"/>
        <v>9.9949080784816381E-4</v>
      </c>
      <c r="AE8" s="21">
        <f t="shared" si="11"/>
        <v>3.1001762568678894E-2</v>
      </c>
      <c r="AF8" s="22">
        <f t="shared" si="12"/>
        <v>2.8370679846211178</v>
      </c>
      <c r="AG8" s="30">
        <f t="shared" si="13"/>
        <v>5.9969448470889829E-3</v>
      </c>
      <c r="AH8" s="21">
        <f t="shared" si="14"/>
        <v>0.18601057541207333</v>
      </c>
      <c r="AI8" s="22">
        <f t="shared" si="15"/>
        <v>17.022407907726706</v>
      </c>
      <c r="AJ8" s="30">
        <f t="shared" ref="AJ8:AL8" si="38">AD8+AG8</f>
        <v>6.9964356549371467E-3</v>
      </c>
      <c r="AK8" s="21">
        <f t="shared" si="38"/>
        <v>0.21701233798075223</v>
      </c>
      <c r="AL8" s="22">
        <f t="shared" si="38"/>
        <v>19.859475892347824</v>
      </c>
      <c r="AM8" s="31">
        <f t="shared" si="17"/>
        <v>3.0539996906471672E-2</v>
      </c>
      <c r="AN8" s="32">
        <f t="shared" si="18"/>
        <v>9.2545445171126298E-2</v>
      </c>
      <c r="AO8" s="33">
        <f t="shared" si="19"/>
        <v>0.15640180233920339</v>
      </c>
      <c r="AP8" s="31">
        <f t="shared" si="20"/>
        <v>0.18323998143883005</v>
      </c>
      <c r="AQ8" s="32">
        <f t="shared" si="21"/>
        <v>0.55527267102675759</v>
      </c>
      <c r="AR8" s="33">
        <f t="shared" si="22"/>
        <v>0.93841081403522042</v>
      </c>
      <c r="AS8" s="31">
        <f t="shared" ref="AS8:AU8" si="39">AM8+AP8</f>
        <v>0.21377997834530171</v>
      </c>
      <c r="AT8" s="32">
        <f t="shared" si="39"/>
        <v>0.64781811619788388</v>
      </c>
      <c r="AU8" s="33">
        <f t="shared" si="39"/>
        <v>1.0948126163744238</v>
      </c>
    </row>
    <row r="9" spans="1:47" ht="16">
      <c r="A9" s="19" t="s">
        <v>85</v>
      </c>
      <c r="B9" s="4">
        <f>43.767+1.664</f>
        <v>45.431000000000004</v>
      </c>
      <c r="C9" s="1">
        <f t="shared" si="0"/>
        <v>2.9650228979833982E-2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3.8545297673784173E-2</v>
      </c>
      <c r="V9" s="28">
        <f t="shared" si="4"/>
        <v>6.8195526653618152E-2</v>
      </c>
      <c r="W9" s="29">
        <f t="shared" si="5"/>
        <v>0.12453096171530272</v>
      </c>
      <c r="X9" s="27">
        <f t="shared" si="6"/>
        <v>0.23127178604270504</v>
      </c>
      <c r="Y9" s="28">
        <f t="shared" si="7"/>
        <v>0.40917315992170894</v>
      </c>
      <c r="Z9" s="29">
        <f t="shared" si="8"/>
        <v>0.74718577029181632</v>
      </c>
      <c r="AA9" s="27">
        <f t="shared" ref="AA9:AC9" si="41">U9+X9</f>
        <v>0.26981708371648921</v>
      </c>
      <c r="AB9" s="28">
        <f t="shared" si="41"/>
        <v>0.47736868657532711</v>
      </c>
      <c r="AC9" s="29">
        <f t="shared" si="41"/>
        <v>0.87171673200711908</v>
      </c>
      <c r="AD9" s="30">
        <f t="shared" si="10"/>
        <v>2.1348164865480468E-2</v>
      </c>
      <c r="AE9" s="21">
        <f t="shared" si="11"/>
        <v>3.7669278591306241E-2</v>
      </c>
      <c r="AF9" s="22">
        <f t="shared" si="12"/>
        <v>6.9972879979585331E-2</v>
      </c>
      <c r="AG9" s="30">
        <f t="shared" si="13"/>
        <v>0.12808898919288281</v>
      </c>
      <c r="AH9" s="21">
        <f t="shared" si="14"/>
        <v>0.22601567154783739</v>
      </c>
      <c r="AI9" s="22">
        <f t="shared" si="15"/>
        <v>0.41983727987751196</v>
      </c>
      <c r="AJ9" s="30">
        <f t="shared" ref="AJ9:AL9" si="42">AD9+AG9</f>
        <v>0.14943715405836328</v>
      </c>
      <c r="AK9" s="21">
        <f t="shared" si="42"/>
        <v>0.26368495013914361</v>
      </c>
      <c r="AL9" s="22">
        <f t="shared" si="42"/>
        <v>0.4898101598570973</v>
      </c>
      <c r="AM9" s="31">
        <f t="shared" si="17"/>
        <v>3.8545297673784173E-2</v>
      </c>
      <c r="AN9" s="32">
        <f t="shared" si="18"/>
        <v>1.4825114489916991</v>
      </c>
      <c r="AO9" s="33">
        <f t="shared" si="19"/>
        <v>2.4016685473665524</v>
      </c>
      <c r="AP9" s="31">
        <f t="shared" si="20"/>
        <v>0.23127178604270504</v>
      </c>
      <c r="AQ9" s="32">
        <f t="shared" si="21"/>
        <v>8.8950686939501935</v>
      </c>
      <c r="AR9" s="33">
        <f t="shared" si="22"/>
        <v>14.410011284199312</v>
      </c>
      <c r="AS9" s="31">
        <f t="shared" ref="AS9:AU9" si="43">AM9+AP9</f>
        <v>0.26981708371648921</v>
      </c>
      <c r="AT9" s="32">
        <f t="shared" si="43"/>
        <v>10.377580142941893</v>
      </c>
      <c r="AU9" s="33">
        <f t="shared" si="43"/>
        <v>16.811679831565865</v>
      </c>
    </row>
    <row r="10" spans="1:47" ht="15.75" customHeight="1">
      <c r="A10" s="1" t="s">
        <v>63</v>
      </c>
      <c r="B10" s="1">
        <v>51.061</v>
      </c>
      <c r="C10" s="1">
        <f t="shared" si="0"/>
        <v>3.3324609670473966E-2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2.3327226769331777E-3</v>
      </c>
      <c r="V10" s="28">
        <f t="shared" si="4"/>
        <v>3.6657070637521366E-3</v>
      </c>
      <c r="W10" s="29">
        <f t="shared" si="5"/>
        <v>1.8661781415465421E-2</v>
      </c>
      <c r="X10" s="27">
        <f t="shared" si="6"/>
        <v>1.3996336061599064E-2</v>
      </c>
      <c r="Y10" s="28">
        <f t="shared" si="7"/>
        <v>2.1994242382512817E-2</v>
      </c>
      <c r="Z10" s="29">
        <f t="shared" si="8"/>
        <v>0.11197068849279251</v>
      </c>
      <c r="AA10" s="27">
        <f t="shared" ref="AA10:AC10" si="45">U10+X10</f>
        <v>1.6329058738532243E-2</v>
      </c>
      <c r="AB10" s="28">
        <f t="shared" si="45"/>
        <v>2.5659949446264953E-2</v>
      </c>
      <c r="AC10" s="29">
        <f t="shared" si="45"/>
        <v>0.13063246990825794</v>
      </c>
      <c r="AD10" s="30">
        <f t="shared" si="10"/>
        <v>2.3993718962741264E-7</v>
      </c>
      <c r="AE10" s="21">
        <f t="shared" si="11"/>
        <v>1.4190081267289933E-4</v>
      </c>
      <c r="AF10" s="22">
        <f t="shared" si="12"/>
        <v>1.8657515865427605E-3</v>
      </c>
      <c r="AG10" s="30">
        <f t="shared" si="13"/>
        <v>1.4396231377644753E-6</v>
      </c>
      <c r="AH10" s="21">
        <f t="shared" si="14"/>
        <v>8.5140487603739599E-4</v>
      </c>
      <c r="AI10" s="22">
        <f t="shared" si="15"/>
        <v>1.1194509519256561E-2</v>
      </c>
      <c r="AJ10" s="30">
        <f t="shared" ref="AJ10:AL10" si="46">AD10+AG10</f>
        <v>1.679560327391888E-6</v>
      </c>
      <c r="AK10" s="21">
        <f t="shared" si="46"/>
        <v>9.9330568871029527E-4</v>
      </c>
      <c r="AL10" s="22">
        <f t="shared" si="46"/>
        <v>1.3060261105799323E-2</v>
      </c>
      <c r="AM10" s="31">
        <f t="shared" si="17"/>
        <v>9.9973829011421912E-4</v>
      </c>
      <c r="AN10" s="32">
        <f t="shared" si="18"/>
        <v>3.3324609670473968E-3</v>
      </c>
      <c r="AO10" s="33">
        <f t="shared" si="19"/>
        <v>4.3321992571616159E-3</v>
      </c>
      <c r="AP10" s="31">
        <f t="shared" si="20"/>
        <v>5.998429740685313E-3</v>
      </c>
      <c r="AQ10" s="32">
        <f t="shared" si="21"/>
        <v>1.9994765802284379E-2</v>
      </c>
      <c r="AR10" s="33">
        <f t="shared" si="22"/>
        <v>2.599319554296969E-2</v>
      </c>
      <c r="AS10" s="31">
        <f t="shared" ref="AS10:AU10" si="47">AM10+AP10</f>
        <v>6.9981680307995321E-3</v>
      </c>
      <c r="AT10" s="32">
        <f t="shared" si="47"/>
        <v>2.3327226769331775E-2</v>
      </c>
      <c r="AU10" s="33">
        <f t="shared" si="47"/>
        <v>3.0325394800131307E-2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26.035</v>
      </c>
      <c r="C12" s="1">
        <f t="shared" si="0"/>
        <v>1.6991563282559876E-2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3.0584813908607778E-3</v>
      </c>
      <c r="V12" s="28">
        <f t="shared" si="4"/>
        <v>8.1559503756287403E-3</v>
      </c>
      <c r="W12" s="29">
        <f t="shared" si="5"/>
        <v>3.0584813908607775E-2</v>
      </c>
      <c r="X12" s="27">
        <f t="shared" si="6"/>
        <v>1.8350888345164667E-2</v>
      </c>
      <c r="Y12" s="28">
        <f t="shared" si="7"/>
        <v>4.8935702253772445E-2</v>
      </c>
      <c r="Z12" s="29">
        <f t="shared" si="8"/>
        <v>0.18350888345164665</v>
      </c>
      <c r="AA12" s="27">
        <f t="shared" ref="AA12:AC12" si="53">U12+X12</f>
        <v>2.1409369736025446E-2</v>
      </c>
      <c r="AB12" s="28">
        <f t="shared" si="53"/>
        <v>5.7091652629401184E-2</v>
      </c>
      <c r="AC12" s="29">
        <f t="shared" si="53"/>
        <v>0.21409369736025441</v>
      </c>
      <c r="AD12" s="30">
        <f t="shared" si="10"/>
        <v>3.9148561803017956E-6</v>
      </c>
      <c r="AE12" s="21">
        <f t="shared" si="11"/>
        <v>1.0969300145280577E-4</v>
      </c>
      <c r="AF12" s="22">
        <f t="shared" si="12"/>
        <v>1.1359199885656928E-3</v>
      </c>
      <c r="AG12" s="30">
        <f t="shared" si="13"/>
        <v>2.3489137081810775E-5</v>
      </c>
      <c r="AH12" s="21">
        <f t="shared" si="14"/>
        <v>6.581580087168346E-4</v>
      </c>
      <c r="AI12" s="22">
        <f t="shared" si="15"/>
        <v>6.815519931394157E-3</v>
      </c>
      <c r="AJ12" s="30">
        <f t="shared" ref="AJ12:AL12" si="54">AD12+AG12</f>
        <v>2.7403993262112572E-5</v>
      </c>
      <c r="AK12" s="21">
        <f t="shared" si="54"/>
        <v>7.6785101016964036E-4</v>
      </c>
      <c r="AL12" s="22">
        <f t="shared" si="54"/>
        <v>7.951439919959849E-3</v>
      </c>
      <c r="AM12" s="31">
        <f t="shared" si="17"/>
        <v>5.0974689847679627E-4</v>
      </c>
      <c r="AN12" s="32">
        <f t="shared" si="18"/>
        <v>1.6991563282559876E-2</v>
      </c>
      <c r="AO12" s="33">
        <f t="shared" si="19"/>
        <v>2.5487344923839816E-2</v>
      </c>
      <c r="AP12" s="31">
        <f t="shared" si="20"/>
        <v>3.0584813908607774E-3</v>
      </c>
      <c r="AQ12" s="32">
        <f t="shared" si="21"/>
        <v>0.10194937969535925</v>
      </c>
      <c r="AR12" s="33">
        <f t="shared" si="22"/>
        <v>0.15292406954303889</v>
      </c>
      <c r="AS12" s="31">
        <f t="shared" ref="AS12:AU12" si="55">AM12+AP12</f>
        <v>3.5682282893375735E-3</v>
      </c>
      <c r="AT12" s="32">
        <f t="shared" si="55"/>
        <v>0.11894094297791913</v>
      </c>
      <c r="AU12" s="33">
        <f t="shared" si="55"/>
        <v>0.17841141446687869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1532.231</v>
      </c>
      <c r="G15" s="7"/>
      <c r="AA15" s="4">
        <f t="shared" ref="AA15:AU15" si="64">SUM(AA4:AA14)</f>
        <v>40.724318398466032</v>
      </c>
      <c r="AB15" s="4">
        <f t="shared" si="64"/>
        <v>45.563291657720008</v>
      </c>
      <c r="AC15" s="4">
        <f t="shared" si="64"/>
        <v>65.885564291546117</v>
      </c>
      <c r="AD15" s="4">
        <f t="shared" si="64"/>
        <v>2.472464569324077E-2</v>
      </c>
      <c r="AE15" s="4">
        <f t="shared" si="64"/>
        <v>0.10117591337162603</v>
      </c>
      <c r="AF15" s="4">
        <f t="shared" si="64"/>
        <v>3.0163402657165923</v>
      </c>
      <c r="AG15" s="4">
        <f t="shared" si="64"/>
        <v>0.14834787415944461</v>
      </c>
      <c r="AH15" s="4">
        <f t="shared" si="64"/>
        <v>0.60705548022975608</v>
      </c>
      <c r="AI15" s="4">
        <f t="shared" si="64"/>
        <v>18.098041594299552</v>
      </c>
      <c r="AJ15" s="4">
        <f t="shared" si="64"/>
        <v>0.17307251985268543</v>
      </c>
      <c r="AK15" s="4">
        <f t="shared" si="64"/>
        <v>0.7082313936013821</v>
      </c>
      <c r="AL15" s="4">
        <f t="shared" si="64"/>
        <v>21.114381860016145</v>
      </c>
      <c r="AM15" s="4">
        <f t="shared" si="64"/>
        <v>8.6268199768833806E-2</v>
      </c>
      <c r="AN15" s="4">
        <f t="shared" si="64"/>
        <v>1.9671370700631954</v>
      </c>
      <c r="AO15" s="4">
        <f t="shared" si="64"/>
        <v>3.7057804861016388</v>
      </c>
      <c r="AP15" s="4">
        <f t="shared" si="64"/>
        <v>0.51760919861300281</v>
      </c>
      <c r="AQ15" s="4">
        <f t="shared" si="64"/>
        <v>11.802822420379171</v>
      </c>
      <c r="AR15" s="4">
        <f t="shared" si="64"/>
        <v>22.234682916609831</v>
      </c>
      <c r="AS15" s="4">
        <f t="shared" si="64"/>
        <v>0.60387739838183674</v>
      </c>
      <c r="AT15" s="4">
        <f t="shared" si="64"/>
        <v>13.769959490442368</v>
      </c>
      <c r="AU15" s="4">
        <f t="shared" si="64"/>
        <v>25.940463402711465</v>
      </c>
    </row>
    <row r="16" spans="1:47" ht="15.75" customHeight="1">
      <c r="B16" s="68"/>
      <c r="G16" s="7"/>
      <c r="AG16" s="195"/>
      <c r="AH16" s="196"/>
      <c r="AI16" s="196"/>
      <c r="AP16" s="195"/>
      <c r="AQ16" s="196"/>
      <c r="AR16" s="196"/>
    </row>
    <row r="17" spans="2:18" ht="15.75" customHeight="1">
      <c r="G17" s="7"/>
    </row>
    <row r="18" spans="2:18" ht="15.75" customHeight="1">
      <c r="H18" s="61"/>
      <c r="I18" s="61"/>
      <c r="J18" s="61"/>
      <c r="K18" s="61"/>
      <c r="L18" s="61"/>
      <c r="M18" s="61"/>
      <c r="N18" s="61"/>
      <c r="O18" s="61"/>
      <c r="P18" s="61"/>
      <c r="Q18" s="62"/>
      <c r="R18" s="61"/>
    </row>
    <row r="19" spans="2:18" ht="15.75" customHeight="1">
      <c r="B19" s="84" t="s">
        <v>141</v>
      </c>
      <c r="C19" s="194" t="s">
        <v>10</v>
      </c>
      <c r="D19" s="194"/>
      <c r="E19" s="194"/>
      <c r="F19" s="194"/>
      <c r="G19" s="194"/>
      <c r="H19" s="61"/>
      <c r="I19" s="61"/>
      <c r="J19" s="61"/>
      <c r="K19" s="61"/>
      <c r="L19" s="61"/>
      <c r="M19" s="61"/>
      <c r="N19" s="61"/>
      <c r="O19" s="61"/>
      <c r="P19" s="61"/>
      <c r="Q19" s="62"/>
      <c r="R19" s="61"/>
    </row>
    <row r="20" spans="2:18" ht="15.75" customHeight="1">
      <c r="B20" s="82" t="s">
        <v>140</v>
      </c>
      <c r="C20" s="187" t="s">
        <v>143</v>
      </c>
      <c r="D20" s="187"/>
      <c r="E20" s="187"/>
      <c r="F20" s="187"/>
      <c r="G20" s="187"/>
      <c r="H20" s="61"/>
      <c r="I20" s="61"/>
      <c r="J20" s="61"/>
      <c r="K20" s="61"/>
      <c r="L20" s="61"/>
      <c r="M20" s="61"/>
      <c r="N20" s="61"/>
      <c r="O20" s="61"/>
      <c r="P20" s="61"/>
      <c r="Q20" s="62"/>
      <c r="R20" s="61"/>
    </row>
    <row r="21" spans="2:18" ht="15.75" customHeight="1">
      <c r="B21" s="71" t="s">
        <v>149</v>
      </c>
      <c r="C21" s="259" t="s">
        <v>281</v>
      </c>
      <c r="D21" s="186"/>
      <c r="E21" s="186"/>
      <c r="F21" s="186"/>
      <c r="G21" s="186"/>
      <c r="H21" s="61"/>
      <c r="I21" s="61"/>
      <c r="J21" s="61"/>
      <c r="K21" s="61"/>
      <c r="L21" s="61"/>
      <c r="M21" s="61"/>
      <c r="N21" s="61"/>
      <c r="O21" s="61"/>
      <c r="P21" s="61"/>
      <c r="Q21" s="62"/>
      <c r="R21" s="61"/>
    </row>
    <row r="22" spans="2:18" ht="28" customHeight="1">
      <c r="B22" s="83" t="s">
        <v>155</v>
      </c>
      <c r="C22" s="263" t="s">
        <v>280</v>
      </c>
      <c r="D22" s="187"/>
      <c r="E22" s="187"/>
      <c r="F22" s="187"/>
      <c r="G22" s="187"/>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2:G22"/>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9:G19"/>
    <mergeCell ref="C20:G20"/>
    <mergeCell ref="C21:G21"/>
    <mergeCell ref="AP16:AR16"/>
    <mergeCell ref="AJ2:AL2"/>
    <mergeCell ref="AM2:AO2"/>
    <mergeCell ref="AP2:A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165</v>
      </c>
      <c r="B2" s="193"/>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0.626</v>
      </c>
      <c r="C4" s="1">
        <f t="shared" ref="C4:C14" si="0">B4/$B$15</f>
        <v>2.0326787198669993E-3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1.5041822527015795E-2</v>
      </c>
      <c r="V4" s="28">
        <f t="shared" ref="V4:V14" si="4">$S4*$C4*$E4</f>
        <v>1.6667965502909395E-2</v>
      </c>
      <c r="W4" s="29">
        <f t="shared" ref="W4:W14" si="5">$S4*$C4*$F4</f>
        <v>1.8497376350789695E-2</v>
      </c>
      <c r="X4" s="27">
        <f t="shared" ref="X4:X14" si="6">$T4*$C4*$D4</f>
        <v>9.0250935162094773E-2</v>
      </c>
      <c r="Y4" s="28">
        <f t="shared" ref="Y4:Y14" si="7">$T4*$C4*$E4</f>
        <v>0.10000779301745637</v>
      </c>
      <c r="Z4" s="29">
        <f t="shared" ref="Z4:Z14" si="8">$T4*$C4*$F4</f>
        <v>0.11098425810473816</v>
      </c>
      <c r="AA4" s="27">
        <f t="shared" ref="AA4:AC4" si="9">U4+X4</f>
        <v>0.10529275768911056</v>
      </c>
      <c r="AB4" s="28">
        <f t="shared" si="9"/>
        <v>0.11667575852036577</v>
      </c>
      <c r="AC4" s="29">
        <f t="shared" si="9"/>
        <v>0.12948163445552785</v>
      </c>
      <c r="AD4" s="30">
        <f t="shared" ref="AD4:AD14" si="10">($S4*$C4*$M4*3.6*10^(-3))*1000</f>
        <v>5.7809382793017466E-6</v>
      </c>
      <c r="AE4" s="21">
        <f t="shared" ref="AE4:AE14" si="11">($S4*$C4*$N4*3.6*10^(-3))*1000</f>
        <v>8.4010850628623776E-5</v>
      </c>
      <c r="AF4" s="22">
        <f t="shared" ref="AF4:AF14" si="12">($S4*$C4*$O4*3.6*10^(-3))*1000</f>
        <v>2.6738668952618457E-4</v>
      </c>
      <c r="AG4" s="30">
        <f t="shared" ref="AG4:AG14" si="13">($T4*$C4*$M4*3.6*10^(-3))*1000</f>
        <v>3.4685629675810473E-5</v>
      </c>
      <c r="AH4" s="21">
        <f t="shared" ref="AH4:AH14" si="14">($T4*$C4*$N4*3.6*10^(-3))*1000</f>
        <v>5.0406510377174266E-4</v>
      </c>
      <c r="AI4" s="22">
        <f t="shared" ref="AI4:AI14" si="15">($T4*$C4*O4*3.6*10^(-3))*1000</f>
        <v>1.6043201371571073E-3</v>
      </c>
      <c r="AJ4" s="30">
        <f t="shared" ref="AJ4:AL4" si="16">AD4+AG4</f>
        <v>4.0466567955112223E-5</v>
      </c>
      <c r="AK4" s="21">
        <f t="shared" si="16"/>
        <v>5.8807595440036643E-4</v>
      </c>
      <c r="AL4" s="22">
        <f t="shared" si="16"/>
        <v>1.8717068266832918E-3</v>
      </c>
      <c r="AM4" s="31">
        <f t="shared" ref="AM4:AM13" si="17">$S4*$C4*10^(-3)*$P4*10^4</f>
        <v>4.0653574397339986E-5</v>
      </c>
      <c r="AN4" s="32">
        <f t="shared" ref="AN4:AN14" si="18">$S4*$C4*10^(-3)*$Q4*10^4</f>
        <v>1.0163393599334997E-3</v>
      </c>
      <c r="AO4" s="33">
        <f t="shared" ref="AO4:AO13" si="19">$S4*$C4*10^(-3)*$R4*10^4</f>
        <v>3.0490180798004992E-3</v>
      </c>
      <c r="AP4" s="31">
        <f t="shared" ref="AP4:AP13" si="20">$T4*$C4*10^(-3)*$P4*10^4</f>
        <v>2.4392144638403992E-4</v>
      </c>
      <c r="AQ4" s="32">
        <f t="shared" ref="AQ4:AQ14" si="21">$T4*$C4*10^(-3)*$Q4*10^4</f>
        <v>6.0980361596009976E-3</v>
      </c>
      <c r="AR4" s="33">
        <f t="shared" ref="AR4:AR13" si="22">$T4*$C4*10^(-3)*$R4*10^4</f>
        <v>1.829410847880299E-2</v>
      </c>
      <c r="AS4" s="31">
        <f t="shared" ref="AS4:AU4" si="23">AM4+AP4</f>
        <v>2.8457502078137989E-4</v>
      </c>
      <c r="AT4" s="32">
        <f t="shared" si="23"/>
        <v>7.1143755195344971E-3</v>
      </c>
      <c r="AU4" s="33">
        <f t="shared" si="23"/>
        <v>2.134312655860349E-2</v>
      </c>
    </row>
    <row r="5" spans="1:47" ht="16">
      <c r="A5" s="19" t="s">
        <v>58</v>
      </c>
      <c r="B5" s="1">
        <v>26.388999999999999</v>
      </c>
      <c r="C5" s="1">
        <f t="shared" si="0"/>
        <v>8.5687474023275159E-2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0.56296670433291784</v>
      </c>
      <c r="V5" s="28">
        <f t="shared" si="4"/>
        <v>0.57839044965710729</v>
      </c>
      <c r="W5" s="29">
        <f t="shared" si="5"/>
        <v>0.74205352504156286</v>
      </c>
      <c r="X5" s="27">
        <f t="shared" si="6"/>
        <v>3.3778002259975071</v>
      </c>
      <c r="Y5" s="28">
        <f t="shared" si="7"/>
        <v>3.4703426979426442</v>
      </c>
      <c r="Z5" s="29">
        <f t="shared" si="8"/>
        <v>4.4523211502493778</v>
      </c>
      <c r="AA5" s="27">
        <f t="shared" ref="AA5:AC5" si="25">U5+X5</f>
        <v>3.9407669303304251</v>
      </c>
      <c r="AB5" s="28">
        <f t="shared" si="25"/>
        <v>4.0487331475997514</v>
      </c>
      <c r="AC5" s="29">
        <f t="shared" si="25"/>
        <v>5.1943746752909403</v>
      </c>
      <c r="AD5" s="30">
        <f t="shared" si="10"/>
        <v>6.6013629987531183E-4</v>
      </c>
      <c r="AE5" s="21">
        <f t="shared" si="11"/>
        <v>2.5294942331670826E-3</v>
      </c>
      <c r="AF5" s="22">
        <f t="shared" si="12"/>
        <v>8.4645514339152135E-3</v>
      </c>
      <c r="AG5" s="30">
        <f t="shared" si="13"/>
        <v>3.9608177992518714E-3</v>
      </c>
      <c r="AH5" s="21">
        <f t="shared" si="14"/>
        <v>1.5176965399002497E-2</v>
      </c>
      <c r="AI5" s="22">
        <f t="shared" si="15"/>
        <v>5.0787308603491281E-2</v>
      </c>
      <c r="AJ5" s="30">
        <f t="shared" ref="AJ5:AL5" si="26">AD5+AG5</f>
        <v>4.6209540991271831E-3</v>
      </c>
      <c r="AK5" s="21">
        <f t="shared" si="26"/>
        <v>1.7706459632169578E-2</v>
      </c>
      <c r="AL5" s="22">
        <f t="shared" si="26"/>
        <v>5.9251860037406498E-2</v>
      </c>
      <c r="AM5" s="31">
        <f t="shared" si="17"/>
        <v>8.568747402327516E-4</v>
      </c>
      <c r="AN5" s="32">
        <f t="shared" si="18"/>
        <v>3.4274989609310064E-3</v>
      </c>
      <c r="AO5" s="33">
        <f t="shared" si="19"/>
        <v>5.1412484413965098E-3</v>
      </c>
      <c r="AP5" s="31">
        <f t="shared" si="20"/>
        <v>5.1412484413965098E-3</v>
      </c>
      <c r="AQ5" s="32">
        <f t="shared" si="21"/>
        <v>2.0564993765586039E-2</v>
      </c>
      <c r="AR5" s="33">
        <f t="shared" si="22"/>
        <v>3.0847490648379057E-2</v>
      </c>
      <c r="AS5" s="31">
        <f t="shared" ref="AS5:AU5" si="27">AM5+AP5</f>
        <v>5.9981231816292613E-3</v>
      </c>
      <c r="AT5" s="32">
        <f t="shared" si="27"/>
        <v>2.3992492726517045E-2</v>
      </c>
      <c r="AU5" s="33">
        <f t="shared" si="27"/>
        <v>3.5988739089775568E-2</v>
      </c>
    </row>
    <row r="6" spans="1:47" ht="16">
      <c r="A6" s="19" t="s">
        <v>59</v>
      </c>
      <c r="B6" s="1">
        <v>257.97300000000001</v>
      </c>
      <c r="C6" s="1">
        <f t="shared" si="0"/>
        <v>0.8376617051122196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3.4344129909601002</v>
      </c>
      <c r="V6" s="28">
        <f t="shared" si="4"/>
        <v>4.1045423550498761</v>
      </c>
      <c r="W6" s="29">
        <f t="shared" si="5"/>
        <v>5.4448010832294278</v>
      </c>
      <c r="X6" s="27">
        <f t="shared" si="6"/>
        <v>20.606477945760602</v>
      </c>
      <c r="Y6" s="28">
        <f t="shared" si="7"/>
        <v>24.627254130299256</v>
      </c>
      <c r="Z6" s="29">
        <f t="shared" si="8"/>
        <v>32.668806499376565</v>
      </c>
      <c r="AA6" s="27">
        <f t="shared" ref="AA6:AC6" si="29">U6+X6</f>
        <v>24.040890936720704</v>
      </c>
      <c r="AB6" s="28">
        <f t="shared" si="29"/>
        <v>28.731796485349133</v>
      </c>
      <c r="AC6" s="29">
        <f t="shared" si="29"/>
        <v>38.113607582605994</v>
      </c>
      <c r="AD6" s="30">
        <f t="shared" si="10"/>
        <v>2.2918424251870328E-3</v>
      </c>
      <c r="AE6" s="21">
        <f t="shared" si="11"/>
        <v>1.7550688045511229E-2</v>
      </c>
      <c r="AF6" s="22">
        <f t="shared" si="12"/>
        <v>8.4255364947007499E-2</v>
      </c>
      <c r="AG6" s="30">
        <f t="shared" si="13"/>
        <v>1.3751054551122197E-2</v>
      </c>
      <c r="AH6" s="21">
        <f t="shared" si="14"/>
        <v>0.10530412827306737</v>
      </c>
      <c r="AI6" s="22">
        <f t="shared" si="15"/>
        <v>0.50553218968204494</v>
      </c>
      <c r="AJ6" s="30">
        <f t="shared" ref="AJ6:AL6" si="30">AD6+AG6</f>
        <v>1.6042896976309229E-2</v>
      </c>
      <c r="AK6" s="21">
        <f t="shared" si="30"/>
        <v>0.1228548163185786</v>
      </c>
      <c r="AL6" s="22">
        <f t="shared" si="30"/>
        <v>0.58978755462905241</v>
      </c>
      <c r="AM6" s="31">
        <f t="shared" si="17"/>
        <v>8.3766170511221962E-3</v>
      </c>
      <c r="AN6" s="32">
        <f t="shared" si="18"/>
        <v>1.6753234102244392E-2</v>
      </c>
      <c r="AO6" s="33">
        <f t="shared" si="19"/>
        <v>8.3766170511221955E-2</v>
      </c>
      <c r="AP6" s="31">
        <f t="shared" si="20"/>
        <v>5.0259702306733177E-2</v>
      </c>
      <c r="AQ6" s="32">
        <f t="shared" si="21"/>
        <v>0.10051940461346635</v>
      </c>
      <c r="AR6" s="33">
        <f t="shared" si="22"/>
        <v>0.50259702306733178</v>
      </c>
      <c r="AS6" s="31">
        <f t="shared" ref="AS6:AU6" si="31">AM6+AP6</f>
        <v>5.8636319357855377E-2</v>
      </c>
      <c r="AT6" s="32">
        <f t="shared" si="31"/>
        <v>0.11727263871571075</v>
      </c>
      <c r="AU6" s="33">
        <f t="shared" si="31"/>
        <v>0.58636319357855371</v>
      </c>
    </row>
    <row r="7" spans="1:47" ht="16">
      <c r="A7" s="19" t="s">
        <v>60</v>
      </c>
      <c r="B7" s="1">
        <v>7.5140000000000002</v>
      </c>
      <c r="C7" s="1">
        <f t="shared" si="0"/>
        <v>2.4398638819617628E-2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9.0274963632585225E-4</v>
      </c>
      <c r="V7" s="28">
        <f t="shared" si="4"/>
        <v>2.9278366583541156E-3</v>
      </c>
      <c r="W7" s="29">
        <f t="shared" si="5"/>
        <v>2.6838502701579392E-2</v>
      </c>
      <c r="X7" s="27">
        <f t="shared" si="6"/>
        <v>5.4164978179551135E-3</v>
      </c>
      <c r="Y7" s="28">
        <f t="shared" si="7"/>
        <v>1.756701995012469E-2</v>
      </c>
      <c r="Z7" s="29">
        <f t="shared" si="8"/>
        <v>0.16103101620947632</v>
      </c>
      <c r="AA7" s="27">
        <f t="shared" ref="AA7:AC7" si="33">U7+X7</f>
        <v>6.3192474542809653E-3</v>
      </c>
      <c r="AB7" s="28">
        <f t="shared" si="33"/>
        <v>2.0494856608478808E-2</v>
      </c>
      <c r="AC7" s="29">
        <f t="shared" si="33"/>
        <v>0.18786951891105572</v>
      </c>
      <c r="AD7" s="30">
        <f t="shared" si="10"/>
        <v>1.5810317955112223E-5</v>
      </c>
      <c r="AE7" s="21">
        <f t="shared" si="11"/>
        <v>2.1766578845208861E-4</v>
      </c>
      <c r="AF7" s="22">
        <f t="shared" si="12"/>
        <v>2.6385663965087288E-3</v>
      </c>
      <c r="AG7" s="30">
        <f t="shared" si="13"/>
        <v>9.4861907730673327E-5</v>
      </c>
      <c r="AH7" s="21">
        <f t="shared" si="14"/>
        <v>1.3059947307125315E-3</v>
      </c>
      <c r="AI7" s="22">
        <f t="shared" si="15"/>
        <v>1.5831398379052373E-2</v>
      </c>
      <c r="AJ7" s="30">
        <f t="shared" ref="AJ7:AL7" si="34">AD7+AG7</f>
        <v>1.1067222568578554E-4</v>
      </c>
      <c r="AK7" s="21">
        <f t="shared" si="34"/>
        <v>1.5236605191646202E-3</v>
      </c>
      <c r="AL7" s="22">
        <f t="shared" si="34"/>
        <v>1.84699647755611E-2</v>
      </c>
      <c r="AM7" s="31">
        <f t="shared" si="17"/>
        <v>2.4398638819617631E-4</v>
      </c>
      <c r="AN7" s="32">
        <f t="shared" si="18"/>
        <v>2.4398638819617631E-4</v>
      </c>
      <c r="AO7" s="33">
        <f t="shared" si="19"/>
        <v>2.4398638819617632E-3</v>
      </c>
      <c r="AP7" s="31">
        <f t="shared" si="20"/>
        <v>1.4639183291770578E-3</v>
      </c>
      <c r="AQ7" s="32">
        <f t="shared" si="21"/>
        <v>1.4639183291770578E-3</v>
      </c>
      <c r="AR7" s="33">
        <f t="shared" si="22"/>
        <v>1.4639183291770577E-2</v>
      </c>
      <c r="AS7" s="31">
        <f t="shared" ref="AS7:AU7" si="35">AM7+AP7</f>
        <v>1.7079047173732341E-3</v>
      </c>
      <c r="AT7" s="32">
        <f t="shared" si="35"/>
        <v>1.7079047173732341E-3</v>
      </c>
      <c r="AU7" s="33">
        <f t="shared" si="35"/>
        <v>1.7079047173732341E-2</v>
      </c>
    </row>
    <row r="8" spans="1:47" ht="16">
      <c r="A8" s="19" t="s">
        <v>61</v>
      </c>
      <c r="B8" s="1">
        <v>15.051</v>
      </c>
      <c r="C8" s="1">
        <f t="shared" si="0"/>
        <v>4.8871960723192026E-2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4.8871960723192022E-4</v>
      </c>
      <c r="V8" s="28">
        <f t="shared" si="4"/>
        <v>1.1729270573566085E-2</v>
      </c>
      <c r="W8" s="29">
        <f t="shared" si="5"/>
        <v>1.0751831359102244</v>
      </c>
      <c r="X8" s="27">
        <f t="shared" si="6"/>
        <v>2.9323176433915213E-3</v>
      </c>
      <c r="Y8" s="28">
        <f t="shared" si="7"/>
        <v>7.0375623441396515E-2</v>
      </c>
      <c r="Z8" s="29">
        <f t="shared" si="8"/>
        <v>6.4510988154613464</v>
      </c>
      <c r="AA8" s="27">
        <f t="shared" ref="AA8:AC8" si="37">U8+X8</f>
        <v>3.4210372506234413E-3</v>
      </c>
      <c r="AB8" s="28">
        <f t="shared" si="37"/>
        <v>8.2104894014962598E-2</v>
      </c>
      <c r="AC8" s="29">
        <f t="shared" si="37"/>
        <v>7.5262819513715709</v>
      </c>
      <c r="AD8" s="30">
        <f t="shared" si="10"/>
        <v>5.278171758104738E-4</v>
      </c>
      <c r="AE8" s="21">
        <f t="shared" si="11"/>
        <v>1.6371599053898206E-2</v>
      </c>
      <c r="AF8" s="22">
        <f t="shared" si="12"/>
        <v>1.4982160911003741</v>
      </c>
      <c r="AG8" s="30">
        <f t="shared" si="13"/>
        <v>3.1669030548628434E-3</v>
      </c>
      <c r="AH8" s="21">
        <f t="shared" si="14"/>
        <v>9.8229594323389235E-2</v>
      </c>
      <c r="AI8" s="22">
        <f t="shared" si="15"/>
        <v>8.9892965466022439</v>
      </c>
      <c r="AJ8" s="30">
        <f t="shared" ref="AJ8:AL8" si="38">AD8+AG8</f>
        <v>3.6947202306733171E-3</v>
      </c>
      <c r="AK8" s="21">
        <f t="shared" si="38"/>
        <v>0.11460119337728744</v>
      </c>
      <c r="AL8" s="22">
        <f t="shared" si="38"/>
        <v>10.487512637702618</v>
      </c>
      <c r="AM8" s="31">
        <f t="shared" si="17"/>
        <v>1.6127747038653367E-2</v>
      </c>
      <c r="AN8" s="32">
        <f t="shared" si="18"/>
        <v>4.8871960723192026E-2</v>
      </c>
      <c r="AO8" s="33">
        <f t="shared" si="19"/>
        <v>8.2593613622194514E-2</v>
      </c>
      <c r="AP8" s="31">
        <f t="shared" si="20"/>
        <v>9.6766482231920206E-2</v>
      </c>
      <c r="AQ8" s="32">
        <f t="shared" si="21"/>
        <v>0.29323176433915216</v>
      </c>
      <c r="AR8" s="33">
        <f t="shared" si="22"/>
        <v>0.49556168173316706</v>
      </c>
      <c r="AS8" s="31">
        <f t="shared" ref="AS8:AU8" si="39">AM8+AP8</f>
        <v>0.11289422927057358</v>
      </c>
      <c r="AT8" s="32">
        <f t="shared" si="39"/>
        <v>0.34210372506234421</v>
      </c>
      <c r="AU8" s="33">
        <f t="shared" si="39"/>
        <v>0.57815529535536159</v>
      </c>
    </row>
    <row r="9" spans="1:47" ht="16">
      <c r="A9" s="19" t="s">
        <v>83</v>
      </c>
      <c r="B9" s="1">
        <v>2.4E-2</v>
      </c>
      <c r="C9" s="1">
        <f t="shared" si="0"/>
        <v>7.7930174563591034E-5</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1.0130922693266835E-4</v>
      </c>
      <c r="V9" s="28">
        <f t="shared" si="4"/>
        <v>1.792394014962594E-4</v>
      </c>
      <c r="W9" s="29">
        <f t="shared" si="5"/>
        <v>3.2730673316708236E-4</v>
      </c>
      <c r="X9" s="27">
        <f t="shared" si="6"/>
        <v>6.0785536159601E-4</v>
      </c>
      <c r="Y9" s="28">
        <f t="shared" si="7"/>
        <v>1.0754364089775562E-3</v>
      </c>
      <c r="Z9" s="29">
        <f t="shared" si="8"/>
        <v>1.9638403990024939E-3</v>
      </c>
      <c r="AA9" s="27">
        <f t="shared" ref="AA9:AC9" si="41">U9+X9</f>
        <v>7.0916458852867835E-4</v>
      </c>
      <c r="AB9" s="28">
        <f t="shared" si="41"/>
        <v>1.2546758104738155E-3</v>
      </c>
      <c r="AC9" s="29">
        <f t="shared" si="41"/>
        <v>2.2911471321695764E-3</v>
      </c>
      <c r="AD9" s="30">
        <f t="shared" si="10"/>
        <v>5.6109725685785546E-5</v>
      </c>
      <c r="AE9" s="21">
        <f t="shared" si="11"/>
        <v>9.9006771863435181E-5</v>
      </c>
      <c r="AF9" s="22">
        <f t="shared" si="12"/>
        <v>1.8391084788029927E-4</v>
      </c>
      <c r="AG9" s="30">
        <f t="shared" si="13"/>
        <v>3.3665835411471329E-4</v>
      </c>
      <c r="AH9" s="21">
        <f t="shared" si="14"/>
        <v>5.9404063118061114E-4</v>
      </c>
      <c r="AI9" s="22">
        <f t="shared" si="15"/>
        <v>1.1034650872817958E-3</v>
      </c>
      <c r="AJ9" s="30">
        <f t="shared" ref="AJ9:AL9" si="42">AD9+AG9</f>
        <v>3.9276807980049883E-4</v>
      </c>
      <c r="AK9" s="21">
        <f t="shared" si="42"/>
        <v>6.9304740304404629E-4</v>
      </c>
      <c r="AL9" s="22">
        <f t="shared" si="42"/>
        <v>1.287375935162095E-3</v>
      </c>
      <c r="AM9" s="31">
        <f t="shared" si="17"/>
        <v>1.0130922693266836E-4</v>
      </c>
      <c r="AN9" s="32">
        <f t="shared" si="18"/>
        <v>3.8965087281795517E-3</v>
      </c>
      <c r="AO9" s="33">
        <f t="shared" si="19"/>
        <v>6.3123441396508743E-3</v>
      </c>
      <c r="AP9" s="31">
        <f t="shared" si="20"/>
        <v>6.0785536159601E-4</v>
      </c>
      <c r="AQ9" s="32">
        <f t="shared" si="21"/>
        <v>2.3379052369077308E-2</v>
      </c>
      <c r="AR9" s="33">
        <f t="shared" si="22"/>
        <v>3.7874064837905244E-2</v>
      </c>
      <c r="AS9" s="31">
        <f t="shared" ref="AS9:AU9" si="43">AM9+AP9</f>
        <v>7.0916458852867835E-4</v>
      </c>
      <c r="AT9" s="32">
        <f t="shared" si="43"/>
        <v>2.7275561097256859E-2</v>
      </c>
      <c r="AU9" s="33">
        <f t="shared" si="43"/>
        <v>4.4186408977556116E-2</v>
      </c>
    </row>
    <row r="10" spans="1:47" ht="15.75" customHeight="1">
      <c r="A10" s="1" t="s">
        <v>63</v>
      </c>
      <c r="B10" s="1">
        <v>0.30599999999999999</v>
      </c>
      <c r="C10" s="1">
        <f t="shared" si="0"/>
        <v>9.9360972568578567E-4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6.9552680798004994E-5</v>
      </c>
      <c r="V10" s="28">
        <f t="shared" si="4"/>
        <v>1.0929706982543643E-4</v>
      </c>
      <c r="W10" s="29">
        <f t="shared" si="5"/>
        <v>5.5642144638403995E-4</v>
      </c>
      <c r="X10" s="27">
        <f t="shared" si="6"/>
        <v>4.1731608478802999E-4</v>
      </c>
      <c r="Y10" s="28">
        <f t="shared" si="7"/>
        <v>6.5578241895261852E-4</v>
      </c>
      <c r="Z10" s="29">
        <f t="shared" si="8"/>
        <v>3.3385286783042399E-3</v>
      </c>
      <c r="AA10" s="27">
        <f t="shared" ref="AA10:AC10" si="45">U10+X10</f>
        <v>4.86868765586035E-4</v>
      </c>
      <c r="AB10" s="28">
        <f t="shared" si="45"/>
        <v>7.6507948877805492E-4</v>
      </c>
      <c r="AC10" s="29">
        <f t="shared" si="45"/>
        <v>3.89495012468828E-3</v>
      </c>
      <c r="AD10" s="30">
        <f t="shared" si="10"/>
        <v>7.1539900249376592E-9</v>
      </c>
      <c r="AE10" s="21">
        <f t="shared" si="11"/>
        <v>4.2309281023456997E-6</v>
      </c>
      <c r="AF10" s="22">
        <f t="shared" si="12"/>
        <v>5.5629426433915224E-5</v>
      </c>
      <c r="AG10" s="30">
        <f t="shared" si="13"/>
        <v>4.2923940149625943E-8</v>
      </c>
      <c r="AH10" s="21">
        <f t="shared" si="14"/>
        <v>2.53855686140742E-5</v>
      </c>
      <c r="AI10" s="22">
        <f t="shared" si="15"/>
        <v>3.337765586034913E-4</v>
      </c>
      <c r="AJ10" s="30">
        <f t="shared" ref="AJ10:AL10" si="46">AD10+AG10</f>
        <v>5.0077930174563602E-8</v>
      </c>
      <c r="AK10" s="21">
        <f t="shared" si="46"/>
        <v>2.96164967164199E-5</v>
      </c>
      <c r="AL10" s="22">
        <f t="shared" si="46"/>
        <v>3.8940598503740652E-4</v>
      </c>
      <c r="AM10" s="31">
        <f t="shared" si="17"/>
        <v>2.9808291770573569E-5</v>
      </c>
      <c r="AN10" s="32">
        <f t="shared" si="18"/>
        <v>9.936097256857858E-5</v>
      </c>
      <c r="AO10" s="33">
        <f t="shared" si="19"/>
        <v>1.2916926433915215E-4</v>
      </c>
      <c r="AP10" s="31">
        <f t="shared" si="20"/>
        <v>1.7884975062344138E-4</v>
      </c>
      <c r="AQ10" s="32">
        <f t="shared" si="21"/>
        <v>5.961658354114714E-4</v>
      </c>
      <c r="AR10" s="33">
        <f t="shared" si="22"/>
        <v>7.7501558603491276E-4</v>
      </c>
      <c r="AS10" s="31">
        <f t="shared" ref="AS10:AU10" si="47">AM10+AP10</f>
        <v>2.0865804239401494E-4</v>
      </c>
      <c r="AT10" s="32">
        <f t="shared" si="47"/>
        <v>6.9552680798004997E-4</v>
      </c>
      <c r="AU10" s="33">
        <f t="shared" si="47"/>
        <v>9.0418485037406494E-4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8.5000000000000006E-2</v>
      </c>
      <c r="C12" s="1">
        <f t="shared" si="0"/>
        <v>2.7600270157938494E-4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4.968048628428929E-5</v>
      </c>
      <c r="V12" s="28">
        <f t="shared" si="4"/>
        <v>1.3248129675810479E-4</v>
      </c>
      <c r="W12" s="29">
        <f t="shared" si="5"/>
        <v>4.9680486284289294E-4</v>
      </c>
      <c r="X12" s="27">
        <f t="shared" si="6"/>
        <v>2.980829177057357E-4</v>
      </c>
      <c r="Y12" s="28">
        <f t="shared" si="7"/>
        <v>7.9488778054862853E-4</v>
      </c>
      <c r="Z12" s="29">
        <f t="shared" si="8"/>
        <v>2.980829177057357E-3</v>
      </c>
      <c r="AA12" s="27">
        <f t="shared" ref="AA12:AC12" si="53">U12+X12</f>
        <v>3.4776340399002498E-4</v>
      </c>
      <c r="AB12" s="28">
        <f t="shared" si="53"/>
        <v>9.2736907730673333E-4</v>
      </c>
      <c r="AC12" s="29">
        <f t="shared" si="53"/>
        <v>3.4776340399002501E-3</v>
      </c>
      <c r="AD12" s="30">
        <f t="shared" si="10"/>
        <v>6.3591022443890293E-8</v>
      </c>
      <c r="AE12" s="21">
        <f t="shared" si="11"/>
        <v>1.7817998404184856E-6</v>
      </c>
      <c r="AF12" s="22">
        <f t="shared" si="12"/>
        <v>1.8451332605985048E-5</v>
      </c>
      <c r="AG12" s="30">
        <f t="shared" si="13"/>
        <v>3.8154613466334176E-7</v>
      </c>
      <c r="AH12" s="21">
        <f t="shared" si="14"/>
        <v>1.0690799042510913E-5</v>
      </c>
      <c r="AI12" s="22">
        <f t="shared" si="15"/>
        <v>1.1070799563591026E-4</v>
      </c>
      <c r="AJ12" s="30">
        <f t="shared" ref="AJ12:AL12" si="54">AD12+AG12</f>
        <v>4.4513715710723203E-7</v>
      </c>
      <c r="AK12" s="21">
        <f t="shared" si="54"/>
        <v>1.2472598882929398E-5</v>
      </c>
      <c r="AL12" s="22">
        <f t="shared" si="54"/>
        <v>1.2915932824189531E-4</v>
      </c>
      <c r="AM12" s="31">
        <f t="shared" si="17"/>
        <v>8.2800810473815478E-6</v>
      </c>
      <c r="AN12" s="32">
        <f t="shared" si="18"/>
        <v>2.7600270157938494E-4</v>
      </c>
      <c r="AO12" s="33">
        <f t="shared" si="19"/>
        <v>4.1400405236907743E-4</v>
      </c>
      <c r="AP12" s="31">
        <f t="shared" si="20"/>
        <v>4.968048628428929E-5</v>
      </c>
      <c r="AQ12" s="32">
        <f t="shared" si="21"/>
        <v>1.6560162094763097E-3</v>
      </c>
      <c r="AR12" s="33">
        <f t="shared" si="22"/>
        <v>2.4840243142144648E-3</v>
      </c>
      <c r="AS12" s="31">
        <f t="shared" ref="AS12:AU12" si="55">AM12+AP12</f>
        <v>5.796056733167084E-5</v>
      </c>
      <c r="AT12" s="32">
        <f t="shared" si="55"/>
        <v>1.9320189110556946E-3</v>
      </c>
      <c r="AU12" s="33">
        <f t="shared" si="55"/>
        <v>2.8980283665835421E-3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4">
        <f>SUM(B4:B14)</f>
        <v>307.96799999999996</v>
      </c>
      <c r="G15" s="7"/>
      <c r="AA15" s="4">
        <f t="shared" ref="AA15:AU15" si="64">SUM(AA4:AA14)</f>
        <v>28.09823470620325</v>
      </c>
      <c r="AB15" s="4">
        <f t="shared" si="64"/>
        <v>33.002752266469251</v>
      </c>
      <c r="AC15" s="4">
        <f t="shared" si="64"/>
        <v>51.161279093931853</v>
      </c>
      <c r="AD15" s="4">
        <f t="shared" si="64"/>
        <v>3.5575676278054866E-3</v>
      </c>
      <c r="AE15" s="4">
        <f t="shared" si="64"/>
        <v>3.6858477471463424E-2</v>
      </c>
      <c r="AF15" s="4">
        <f t="shared" si="64"/>
        <v>1.594099952174252</v>
      </c>
      <c r="AG15" s="4">
        <f t="shared" si="64"/>
        <v>2.1345405766832918E-2</v>
      </c>
      <c r="AH15" s="4">
        <f t="shared" si="64"/>
        <v>0.22115086482878055</v>
      </c>
      <c r="AI15" s="4">
        <f t="shared" si="64"/>
        <v>9.5645997130455118</v>
      </c>
      <c r="AJ15" s="4">
        <f t="shared" si="64"/>
        <v>2.4902973394638404E-2</v>
      </c>
      <c r="AK15" s="4">
        <f t="shared" si="64"/>
        <v>0.25800934230024397</v>
      </c>
      <c r="AL15" s="4">
        <f t="shared" si="64"/>
        <v>11.158699665219764</v>
      </c>
      <c r="AM15" s="4">
        <f t="shared" si="64"/>
        <v>2.5785276392352448E-2</v>
      </c>
      <c r="AN15" s="4">
        <f t="shared" si="64"/>
        <v>7.4584891936824618E-2</v>
      </c>
      <c r="AO15" s="4">
        <f t="shared" si="64"/>
        <v>0.18384543199293435</v>
      </c>
      <c r="AP15" s="4">
        <f t="shared" si="64"/>
        <v>0.15471165835411474</v>
      </c>
      <c r="AQ15" s="4">
        <f t="shared" si="64"/>
        <v>0.44750935162094763</v>
      </c>
      <c r="AR15" s="4">
        <f t="shared" si="64"/>
        <v>1.1030725919576063</v>
      </c>
      <c r="AS15" s="4">
        <f t="shared" si="64"/>
        <v>0.18049693474646722</v>
      </c>
      <c r="AT15" s="4">
        <f t="shared" si="64"/>
        <v>0.52209424355777223</v>
      </c>
      <c r="AU15" s="4">
        <f t="shared" si="64"/>
        <v>1.2869180239505407</v>
      </c>
    </row>
    <row r="16" spans="1:47" ht="15.75" customHeight="1">
      <c r="B16" s="4"/>
      <c r="G16" s="7"/>
      <c r="AG16" s="195"/>
      <c r="AH16" s="196"/>
      <c r="AI16" s="196"/>
      <c r="AP16" s="195"/>
      <c r="AQ16" s="196"/>
      <c r="AR16" s="196"/>
    </row>
    <row r="17" spans="2:18" ht="15.75" customHeight="1">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5.75" customHeight="1">
      <c r="B19" s="82" t="s">
        <v>140</v>
      </c>
      <c r="C19" s="187" t="s">
        <v>143</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U42"/>
  <sheetViews>
    <sheetView workbookViewId="0">
      <selection activeCell="C20" sqref="C20:G21"/>
    </sheetView>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 customWidth="1"/>
    <col min="20" max="20" width="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193" t="s">
        <v>166</v>
      </c>
      <c r="B2" s="193"/>
      <c r="C2" s="7" t="s">
        <v>35</v>
      </c>
      <c r="D2" s="201" t="s">
        <v>36</v>
      </c>
      <c r="E2" s="198"/>
      <c r="F2" s="199"/>
      <c r="G2" s="202" t="s">
        <v>37</v>
      </c>
      <c r="H2" s="198"/>
      <c r="I2" s="198"/>
      <c r="J2" s="203" t="s">
        <v>38</v>
      </c>
      <c r="K2" s="198"/>
      <c r="L2" s="198"/>
      <c r="M2" s="203" t="s">
        <v>39</v>
      </c>
      <c r="N2" s="198"/>
      <c r="O2" s="199"/>
      <c r="P2" s="200" t="s">
        <v>40</v>
      </c>
      <c r="Q2" s="198"/>
      <c r="R2" s="199"/>
      <c r="S2" s="204" t="s">
        <v>151</v>
      </c>
      <c r="T2" s="199"/>
      <c r="U2" s="201" t="s">
        <v>41</v>
      </c>
      <c r="V2" s="198"/>
      <c r="W2" s="199"/>
      <c r="X2" s="201" t="s">
        <v>42</v>
      </c>
      <c r="Y2" s="198"/>
      <c r="Z2" s="199"/>
      <c r="AA2" s="201" t="s">
        <v>43</v>
      </c>
      <c r="AB2" s="198"/>
      <c r="AC2" s="199"/>
      <c r="AD2" s="202" t="s">
        <v>44</v>
      </c>
      <c r="AE2" s="198"/>
      <c r="AF2" s="199"/>
      <c r="AG2" s="202" t="s">
        <v>45</v>
      </c>
      <c r="AH2" s="198"/>
      <c r="AI2" s="199"/>
      <c r="AJ2" s="202" t="s">
        <v>46</v>
      </c>
      <c r="AK2" s="198"/>
      <c r="AL2" s="199"/>
      <c r="AM2" s="200" t="s">
        <v>47</v>
      </c>
      <c r="AN2" s="198"/>
      <c r="AO2" s="199"/>
      <c r="AP2" s="200" t="s">
        <v>48</v>
      </c>
      <c r="AQ2" s="198"/>
      <c r="AR2" s="199"/>
      <c r="AS2" s="200" t="s">
        <v>49</v>
      </c>
      <c r="AT2" s="198"/>
      <c r="AU2" s="199"/>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30.542000000000002</v>
      </c>
      <c r="C4" s="1">
        <f t="shared" ref="C4:C14" si="0">B4/$B$15</f>
        <v>0.10536774522961007</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0.77972131469911454</v>
      </c>
      <c r="V4" s="28">
        <f t="shared" ref="V4:V14" si="4">$S4*$C4*$E4</f>
        <v>0.8640155108828026</v>
      </c>
      <c r="W4" s="29">
        <f t="shared" ref="W4:W14" si="5">$S4*$C4*$F4</f>
        <v>0.95884648158945174</v>
      </c>
      <c r="X4" s="27">
        <f t="shared" ref="X4:X14" si="6">$T4*$C4*$D4</f>
        <v>4.6783278881946861</v>
      </c>
      <c r="Y4" s="28">
        <f t="shared" ref="Y4:Y14" si="7">$T4*$C4*$E4</f>
        <v>5.1840930652968149</v>
      </c>
      <c r="Z4" s="29">
        <f t="shared" ref="Z4:Z14" si="8">$T4*$C4*$F4</f>
        <v>5.7530788895367095</v>
      </c>
      <c r="AA4" s="27">
        <f t="shared" ref="AA4:AC4" si="9">U4+X4</f>
        <v>5.4580492028938004</v>
      </c>
      <c r="AB4" s="28">
        <f t="shared" si="9"/>
        <v>6.0481085761796178</v>
      </c>
      <c r="AC4" s="29">
        <f t="shared" si="9"/>
        <v>6.7119253711261617</v>
      </c>
      <c r="AD4" s="30">
        <f t="shared" ref="AD4:AD14" si="10">($S4*$C4*$M4*3.6*10^(-3))*1000</f>
        <v>2.9966586743301107E-4</v>
      </c>
      <c r="AE4" s="21">
        <f t="shared" ref="AE4:AE14" si="11">($S4*$C4*$N4*3.6*10^(-3))*1000</f>
        <v>4.3548613064335407E-3</v>
      </c>
      <c r="AF4" s="22">
        <f t="shared" ref="AF4:AF14" si="12">($S4*$C4*$O4*3.6*10^(-3))*1000</f>
        <v>1.3860494678483827E-2</v>
      </c>
      <c r="AG4" s="30">
        <f t="shared" ref="AG4:AG14" si="13">($T4*$C4*$M4*3.6*10^(-3))*1000</f>
        <v>1.7979952045980663E-3</v>
      </c>
      <c r="AH4" s="21">
        <f t="shared" ref="AH4:AH14" si="14">($T4*$C4*$N4*3.6*10^(-3))*1000</f>
        <v>2.6129167838601239E-2</v>
      </c>
      <c r="AI4" s="22">
        <f t="shared" ref="AI4:AI14" si="15">($T4*$C4*O4*3.6*10^(-3))*1000</f>
        <v>8.3162968070902954E-2</v>
      </c>
      <c r="AJ4" s="30">
        <f t="shared" ref="AJ4:AL4" si="16">AD4+AG4</f>
        <v>2.0976610720310775E-3</v>
      </c>
      <c r="AK4" s="21">
        <f t="shared" si="16"/>
        <v>3.0484029145034779E-2</v>
      </c>
      <c r="AL4" s="22">
        <f t="shared" si="16"/>
        <v>9.702346274938678E-2</v>
      </c>
      <c r="AM4" s="31">
        <f t="shared" ref="AM4:AM13" si="17">$S4*$C4*10^(-3)*$P4*10^4</f>
        <v>2.1073549045922016E-3</v>
      </c>
      <c r="AN4" s="32">
        <f t="shared" ref="AN4:AN14" si="18">$S4*$C4*10^(-3)*$Q4*10^4</f>
        <v>5.268387261480504E-2</v>
      </c>
      <c r="AO4" s="33">
        <f t="shared" ref="AO4:AO13" si="19">$S4*$C4*10^(-3)*$R4*10^4</f>
        <v>0.1580516178444151</v>
      </c>
      <c r="AP4" s="31">
        <f t="shared" ref="AP4:AP13" si="20">$T4*$C4*10^(-3)*$P4*10^4</f>
        <v>1.2644129427553207E-2</v>
      </c>
      <c r="AQ4" s="32">
        <f t="shared" ref="AQ4:AQ14" si="21">$T4*$C4*10^(-3)*$Q4*10^4</f>
        <v>0.31610323568883014</v>
      </c>
      <c r="AR4" s="33">
        <f t="shared" ref="AR4:AR13" si="22">$T4*$C4*10^(-3)*$R4*10^4</f>
        <v>0.94830970706649054</v>
      </c>
      <c r="AS4" s="31">
        <f t="shared" ref="AS4:AU4" si="23">AM4+AP4</f>
        <v>1.4751484332145409E-2</v>
      </c>
      <c r="AT4" s="32">
        <f t="shared" si="23"/>
        <v>0.3687871083036352</v>
      </c>
      <c r="AU4" s="33">
        <f t="shared" si="23"/>
        <v>1.1063613249109057</v>
      </c>
    </row>
    <row r="5" spans="1:47" ht="16">
      <c r="A5" s="19" t="s">
        <v>58</v>
      </c>
      <c r="B5" s="1">
        <v>10.762</v>
      </c>
      <c r="C5" s="1">
        <f t="shared" si="0"/>
        <v>3.7128140729522086E-2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0.24393188459296011</v>
      </c>
      <c r="V5" s="28">
        <f t="shared" si="4"/>
        <v>0.25061494992427408</v>
      </c>
      <c r="W5" s="29">
        <f t="shared" si="5"/>
        <v>0.32152969871766129</v>
      </c>
      <c r="X5" s="27">
        <f t="shared" si="6"/>
        <v>1.4635913075577605</v>
      </c>
      <c r="Y5" s="28">
        <f t="shared" si="7"/>
        <v>1.5036896995456444</v>
      </c>
      <c r="Z5" s="29">
        <f t="shared" si="8"/>
        <v>1.9291781923059674</v>
      </c>
      <c r="AA5" s="27">
        <f t="shared" ref="AA5:AC5" si="25">U5+X5</f>
        <v>1.7075231921507206</v>
      </c>
      <c r="AB5" s="28">
        <f t="shared" si="25"/>
        <v>1.7543046494699184</v>
      </c>
      <c r="AC5" s="29">
        <f t="shared" si="25"/>
        <v>2.2507078910236289</v>
      </c>
      <c r="AD5" s="30">
        <f t="shared" si="10"/>
        <v>2.8603519618023815E-4</v>
      </c>
      <c r="AE5" s="21">
        <f t="shared" si="11"/>
        <v>1.0960227143354919E-3</v>
      </c>
      <c r="AF5" s="22">
        <f t="shared" si="12"/>
        <v>3.6676662538251098E-3</v>
      </c>
      <c r="AG5" s="30">
        <f t="shared" si="13"/>
        <v>1.7162111770814288E-3</v>
      </c>
      <c r="AH5" s="21">
        <f t="shared" si="14"/>
        <v>6.576136286012951E-3</v>
      </c>
      <c r="AI5" s="22">
        <f t="shared" si="15"/>
        <v>2.2005997522950658E-2</v>
      </c>
      <c r="AJ5" s="30">
        <f t="shared" ref="AJ5:AL5" si="26">AD5+AG5</f>
        <v>2.0022463732616669E-3</v>
      </c>
      <c r="AK5" s="21">
        <f t="shared" si="26"/>
        <v>7.6721590003484431E-3</v>
      </c>
      <c r="AL5" s="22">
        <f t="shared" si="26"/>
        <v>2.5673663776775768E-2</v>
      </c>
      <c r="AM5" s="31">
        <f t="shared" si="17"/>
        <v>3.7128140729522093E-4</v>
      </c>
      <c r="AN5" s="32">
        <f t="shared" si="18"/>
        <v>1.4851256291808837E-3</v>
      </c>
      <c r="AO5" s="33">
        <f t="shared" si="19"/>
        <v>2.227688443771325E-3</v>
      </c>
      <c r="AP5" s="31">
        <f t="shared" si="20"/>
        <v>2.227688443771325E-3</v>
      </c>
      <c r="AQ5" s="32">
        <f t="shared" si="21"/>
        <v>8.9107537750853002E-3</v>
      </c>
      <c r="AR5" s="33">
        <f t="shared" si="22"/>
        <v>1.3366130662627949E-2</v>
      </c>
      <c r="AS5" s="31">
        <f t="shared" ref="AS5:AU5" si="27">AM5+AP5</f>
        <v>2.5989698510665458E-3</v>
      </c>
      <c r="AT5" s="32">
        <f t="shared" si="27"/>
        <v>1.0395879404266183E-2</v>
      </c>
      <c r="AU5" s="33">
        <f t="shared" si="27"/>
        <v>1.5593819106399275E-2</v>
      </c>
    </row>
    <row r="6" spans="1:47" ht="16">
      <c r="A6" s="19" t="s">
        <v>59</v>
      </c>
      <c r="B6" s="1">
        <v>129.74299999999999</v>
      </c>
      <c r="C6" s="1">
        <f t="shared" si="0"/>
        <v>0.44760419649418171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1.8351772056261451</v>
      </c>
      <c r="V6" s="28">
        <f t="shared" si="4"/>
        <v>2.1932605628214907</v>
      </c>
      <c r="W6" s="29">
        <f t="shared" si="5"/>
        <v>2.9094272772121812</v>
      </c>
      <c r="X6" s="27">
        <f t="shared" si="6"/>
        <v>11.01106323375687</v>
      </c>
      <c r="Y6" s="28">
        <f t="shared" si="7"/>
        <v>13.159563376928942</v>
      </c>
      <c r="Z6" s="29">
        <f t="shared" si="8"/>
        <v>17.456563663273087</v>
      </c>
      <c r="AA6" s="27">
        <f t="shared" ref="AA6:AC6" si="29">U6+X6</f>
        <v>12.846240439383015</v>
      </c>
      <c r="AB6" s="28">
        <f t="shared" si="29"/>
        <v>15.352823939750433</v>
      </c>
      <c r="AC6" s="29">
        <f t="shared" si="29"/>
        <v>20.365990940485268</v>
      </c>
      <c r="AD6" s="30">
        <f t="shared" si="10"/>
        <v>1.2246450816080813E-3</v>
      </c>
      <c r="AE6" s="21">
        <f t="shared" si="11"/>
        <v>9.3782031249460968E-3</v>
      </c>
      <c r="AF6" s="22">
        <f t="shared" si="12"/>
        <v>4.5021820500170777E-2</v>
      </c>
      <c r="AG6" s="30">
        <f t="shared" si="13"/>
        <v>7.347870489648487E-3</v>
      </c>
      <c r="AH6" s="21">
        <f t="shared" si="14"/>
        <v>5.6269218749676574E-2</v>
      </c>
      <c r="AI6" s="22">
        <f t="shared" si="15"/>
        <v>0.27013092300102465</v>
      </c>
      <c r="AJ6" s="30">
        <f t="shared" ref="AJ6:AL6" si="30">AD6+AG6</f>
        <v>8.5725155712565691E-3</v>
      </c>
      <c r="AK6" s="21">
        <f t="shared" si="30"/>
        <v>6.5647421874622663E-2</v>
      </c>
      <c r="AL6" s="22">
        <f t="shared" si="30"/>
        <v>0.31515274350119543</v>
      </c>
      <c r="AM6" s="31">
        <f t="shared" si="17"/>
        <v>4.4760419649418183E-3</v>
      </c>
      <c r="AN6" s="32">
        <f t="shared" si="18"/>
        <v>8.9520839298836367E-3</v>
      </c>
      <c r="AO6" s="33">
        <f t="shared" si="19"/>
        <v>4.4760419649418175E-2</v>
      </c>
      <c r="AP6" s="31">
        <f t="shared" si="20"/>
        <v>2.6856251789650905E-2</v>
      </c>
      <c r="AQ6" s="32">
        <f t="shared" si="21"/>
        <v>5.371250357930181E-2</v>
      </c>
      <c r="AR6" s="33">
        <f t="shared" si="22"/>
        <v>0.26856251789650903</v>
      </c>
      <c r="AS6" s="31">
        <f t="shared" ref="AS6:AU6" si="31">AM6+AP6</f>
        <v>3.1332293754592726E-2</v>
      </c>
      <c r="AT6" s="32">
        <f t="shared" si="31"/>
        <v>6.2664587509185452E-2</v>
      </c>
      <c r="AU6" s="33">
        <f t="shared" si="31"/>
        <v>0.31332293754592722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61</v>
      </c>
      <c r="B8" s="1">
        <v>50.924999999999997</v>
      </c>
      <c r="C8" s="1">
        <f t="shared" si="0"/>
        <v>0.1756876571874105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1.756876571874105E-3</v>
      </c>
      <c r="V8" s="28">
        <f t="shared" si="4"/>
        <v>4.2165037724978524E-2</v>
      </c>
      <c r="W8" s="29">
        <f t="shared" si="5"/>
        <v>3.865128458123031</v>
      </c>
      <c r="X8" s="27">
        <f t="shared" si="6"/>
        <v>1.0541259431244629E-2</v>
      </c>
      <c r="Y8" s="28">
        <f t="shared" si="7"/>
        <v>0.25299022634987112</v>
      </c>
      <c r="Z8" s="29">
        <f t="shared" si="8"/>
        <v>23.190770748738185</v>
      </c>
      <c r="AA8" s="27">
        <f t="shared" ref="AA8:AC8" si="37">U8+X8</f>
        <v>1.2298136003118734E-2</v>
      </c>
      <c r="AB8" s="28">
        <f t="shared" si="37"/>
        <v>0.29515526407484965</v>
      </c>
      <c r="AC8" s="29">
        <f t="shared" si="37"/>
        <v>27.055899206861216</v>
      </c>
      <c r="AD8" s="30">
        <f t="shared" si="10"/>
        <v>1.8974266976240334E-3</v>
      </c>
      <c r="AE8" s="21">
        <f t="shared" si="11"/>
        <v>5.8853539731751947E-2</v>
      </c>
      <c r="AF8" s="22">
        <f t="shared" si="12"/>
        <v>5.3858709802284537</v>
      </c>
      <c r="AG8" s="30">
        <f t="shared" si="13"/>
        <v>1.13845601857442E-2</v>
      </c>
      <c r="AH8" s="21">
        <f t="shared" si="14"/>
        <v>0.35312123839051168</v>
      </c>
      <c r="AI8" s="22">
        <f t="shared" si="15"/>
        <v>32.315225881370722</v>
      </c>
      <c r="AJ8" s="30">
        <f t="shared" ref="AJ8:AL8" si="38">AD8+AG8</f>
        <v>1.3281986883368234E-2</v>
      </c>
      <c r="AK8" s="21">
        <f t="shared" si="38"/>
        <v>0.41197477812226363</v>
      </c>
      <c r="AL8" s="22">
        <f t="shared" si="38"/>
        <v>37.701096861599176</v>
      </c>
      <c r="AM8" s="31">
        <f t="shared" si="17"/>
        <v>5.7976926871845462E-2</v>
      </c>
      <c r="AN8" s="32">
        <f t="shared" si="18"/>
        <v>0.1756876571874105</v>
      </c>
      <c r="AO8" s="33">
        <f t="shared" si="19"/>
        <v>0.29691214064672372</v>
      </c>
      <c r="AP8" s="31">
        <f t="shared" si="20"/>
        <v>0.34786156123107276</v>
      </c>
      <c r="AQ8" s="32">
        <f t="shared" si="21"/>
        <v>1.0541259431244629</v>
      </c>
      <c r="AR8" s="33">
        <f t="shared" si="22"/>
        <v>1.7814728438803422</v>
      </c>
      <c r="AS8" s="31">
        <f t="shared" ref="AS8:AU8" si="39">AM8+AP8</f>
        <v>0.40583848810291823</v>
      </c>
      <c r="AT8" s="32">
        <f t="shared" si="39"/>
        <v>1.2298136003118734</v>
      </c>
      <c r="AU8" s="33">
        <f t="shared" si="39"/>
        <v>2.0783849845270659</v>
      </c>
    </row>
    <row r="9" spans="1:47" ht="16">
      <c r="A9" s="19" t="s">
        <v>85</v>
      </c>
      <c r="B9" s="4">
        <f>4.806+16.858</f>
        <v>21.664000000000001</v>
      </c>
      <c r="C9" s="1">
        <f t="shared" si="0"/>
        <v>7.4739271581896152E-2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9.7161053056464997E-2</v>
      </c>
      <c r="V9" s="28">
        <f t="shared" si="4"/>
        <v>0.17190032463836116</v>
      </c>
      <c r="W9" s="29">
        <f t="shared" si="5"/>
        <v>0.31390494064396385</v>
      </c>
      <c r="X9" s="27">
        <f t="shared" si="6"/>
        <v>0.58296631833878998</v>
      </c>
      <c r="Y9" s="28">
        <f t="shared" si="7"/>
        <v>1.0314019478301668</v>
      </c>
      <c r="Z9" s="29">
        <f t="shared" si="8"/>
        <v>1.883429643863783</v>
      </c>
      <c r="AA9" s="27">
        <f t="shared" ref="AA9:AC9" si="41">U9+X9</f>
        <v>0.68012737139525492</v>
      </c>
      <c r="AB9" s="28">
        <f t="shared" si="41"/>
        <v>1.2033022724685281</v>
      </c>
      <c r="AC9" s="29">
        <f t="shared" si="41"/>
        <v>2.1973345845077468</v>
      </c>
      <c r="AD9" s="30">
        <f t="shared" si="10"/>
        <v>5.3812275538965233E-2</v>
      </c>
      <c r="AE9" s="21">
        <f t="shared" si="11"/>
        <v>9.495287354591983E-2</v>
      </c>
      <c r="AF9" s="22">
        <f t="shared" si="12"/>
        <v>0.17638049553406637</v>
      </c>
      <c r="AG9" s="30">
        <f t="shared" si="13"/>
        <v>0.32287365323379136</v>
      </c>
      <c r="AH9" s="21">
        <f t="shared" si="14"/>
        <v>0.56971724127551893</v>
      </c>
      <c r="AI9" s="22">
        <f t="shared" si="15"/>
        <v>1.0582829732043981</v>
      </c>
      <c r="AJ9" s="30">
        <f t="shared" ref="AJ9:AL9" si="42">AD9+AG9</f>
        <v>0.37668592877275658</v>
      </c>
      <c r="AK9" s="21">
        <f t="shared" si="42"/>
        <v>0.66467011482143878</v>
      </c>
      <c r="AL9" s="22">
        <f t="shared" si="42"/>
        <v>1.2346634687384646</v>
      </c>
      <c r="AM9" s="31">
        <f t="shared" si="17"/>
        <v>9.716105305646501E-2</v>
      </c>
      <c r="AN9" s="32">
        <f t="shared" si="18"/>
        <v>3.7369635790948084</v>
      </c>
      <c r="AO9" s="33">
        <f t="shared" si="19"/>
        <v>6.0538809981335886</v>
      </c>
      <c r="AP9" s="31">
        <f t="shared" si="20"/>
        <v>0.58296631833878998</v>
      </c>
      <c r="AQ9" s="32">
        <f t="shared" si="21"/>
        <v>22.421781474568846</v>
      </c>
      <c r="AR9" s="33">
        <f t="shared" si="22"/>
        <v>36.32328598880153</v>
      </c>
      <c r="AS9" s="31">
        <f t="shared" ref="AS9:AU9" si="43">AM9+AP9</f>
        <v>0.68012737139525503</v>
      </c>
      <c r="AT9" s="32">
        <f t="shared" si="43"/>
        <v>26.158745053663655</v>
      </c>
      <c r="AU9" s="33">
        <f t="shared" si="43"/>
        <v>42.377166986935116</v>
      </c>
    </row>
    <row r="10" spans="1:47" ht="15.75" customHeight="1">
      <c r="A10" s="1" t="s">
        <v>63</v>
      </c>
      <c r="B10" s="1">
        <v>17.492000000000001</v>
      </c>
      <c r="C10" s="1">
        <f t="shared" si="0"/>
        <v>6.034616592090692E-2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4.2242316144634846E-3</v>
      </c>
      <c r="V10" s="28">
        <f t="shared" si="4"/>
        <v>6.6380782512997609E-3</v>
      </c>
      <c r="W10" s="29">
        <f t="shared" si="5"/>
        <v>3.3793852915707877E-2</v>
      </c>
      <c r="X10" s="27">
        <f t="shared" si="6"/>
        <v>2.5345389686780906E-2</v>
      </c>
      <c r="Y10" s="28">
        <f t="shared" si="7"/>
        <v>3.9828469507798565E-2</v>
      </c>
      <c r="Z10" s="29">
        <f t="shared" si="8"/>
        <v>0.20276311749424725</v>
      </c>
      <c r="AA10" s="27">
        <f t="shared" ref="AA10:AC10" si="45">U10+X10</f>
        <v>2.9569621301244391E-2</v>
      </c>
      <c r="AB10" s="28">
        <f t="shared" si="45"/>
        <v>4.6466547759098323E-2</v>
      </c>
      <c r="AC10" s="29">
        <f t="shared" si="45"/>
        <v>0.23655697040995513</v>
      </c>
      <c r="AD10" s="30">
        <f t="shared" si="10"/>
        <v>4.3449239463052981E-7</v>
      </c>
      <c r="AE10" s="21">
        <f t="shared" si="11"/>
        <v>2.569623491631589E-4</v>
      </c>
      <c r="AF10" s="22">
        <f t="shared" si="12"/>
        <v>3.3786128606470003E-3</v>
      </c>
      <c r="AG10" s="30">
        <f t="shared" si="13"/>
        <v>2.6069543677831789E-6</v>
      </c>
      <c r="AH10" s="21">
        <f t="shared" si="14"/>
        <v>1.5417740949789534E-3</v>
      </c>
      <c r="AI10" s="22">
        <f t="shared" si="15"/>
        <v>2.0271677163882E-2</v>
      </c>
      <c r="AJ10" s="30">
        <f t="shared" ref="AJ10:AL10" si="46">AD10+AG10</f>
        <v>3.0414467624137089E-6</v>
      </c>
      <c r="AK10" s="21">
        <f t="shared" si="46"/>
        <v>1.7987364441421124E-3</v>
      </c>
      <c r="AL10" s="22">
        <f t="shared" si="46"/>
        <v>2.3650290024529001E-2</v>
      </c>
      <c r="AM10" s="31">
        <f t="shared" si="17"/>
        <v>1.8103849776272077E-3</v>
      </c>
      <c r="AN10" s="32">
        <f t="shared" si="18"/>
        <v>6.034616592090692E-3</v>
      </c>
      <c r="AO10" s="33">
        <f t="shared" si="19"/>
        <v>7.8450015697179003E-3</v>
      </c>
      <c r="AP10" s="31">
        <f t="shared" si="20"/>
        <v>1.0862309865763245E-2</v>
      </c>
      <c r="AQ10" s="32">
        <f t="shared" si="21"/>
        <v>3.6207699552544152E-2</v>
      </c>
      <c r="AR10" s="33">
        <f t="shared" si="22"/>
        <v>4.7070009418307392E-2</v>
      </c>
      <c r="AS10" s="31">
        <f t="shared" ref="AS10:AU10" si="47">AM10+AP10</f>
        <v>1.2672694843390453E-2</v>
      </c>
      <c r="AT10" s="32">
        <f t="shared" si="47"/>
        <v>4.2242316144634848E-2</v>
      </c>
      <c r="AU10" s="33">
        <f t="shared" si="47"/>
        <v>5.4915010988025294E-2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22.652999999999999</v>
      </c>
      <c r="C12" s="1">
        <f t="shared" si="0"/>
        <v>7.8151251806900551E-2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1.40672253252421E-2</v>
      </c>
      <c r="V12" s="28">
        <f t="shared" si="4"/>
        <v>3.7512600867312264E-2</v>
      </c>
      <c r="W12" s="29">
        <f t="shared" si="5"/>
        <v>0.140672253252421</v>
      </c>
      <c r="X12" s="27">
        <f t="shared" si="6"/>
        <v>8.4403351951452599E-2</v>
      </c>
      <c r="Y12" s="28">
        <f t="shared" si="7"/>
        <v>0.2250756052038736</v>
      </c>
      <c r="Z12" s="29">
        <f t="shared" si="8"/>
        <v>0.84403351951452599</v>
      </c>
      <c r="AA12" s="27">
        <f t="shared" ref="AA12:AC12" si="53">U12+X12</f>
        <v>9.8470577276694699E-2</v>
      </c>
      <c r="AB12" s="28">
        <f t="shared" si="53"/>
        <v>0.26258820607118588</v>
      </c>
      <c r="AC12" s="29">
        <f t="shared" si="53"/>
        <v>0.98470577276694704</v>
      </c>
      <c r="AD12" s="30">
        <f t="shared" si="10"/>
        <v>1.8006048416309888E-5</v>
      </c>
      <c r="AE12" s="21">
        <f t="shared" si="11"/>
        <v>5.0452364125859364E-4</v>
      </c>
      <c r="AF12" s="22">
        <f t="shared" si="12"/>
        <v>5.2245674857949167E-3</v>
      </c>
      <c r="AG12" s="30">
        <f t="shared" si="13"/>
        <v>1.0803629049785932E-4</v>
      </c>
      <c r="AH12" s="21">
        <f t="shared" si="14"/>
        <v>3.027141847551562E-3</v>
      </c>
      <c r="AI12" s="22">
        <f t="shared" si="15"/>
        <v>3.1347404914769499E-2</v>
      </c>
      <c r="AJ12" s="30">
        <f t="shared" ref="AJ12:AL12" si="54">AD12+AG12</f>
        <v>1.260423389141692E-4</v>
      </c>
      <c r="AK12" s="21">
        <f t="shared" si="54"/>
        <v>3.5316654888101558E-3</v>
      </c>
      <c r="AL12" s="22">
        <f t="shared" si="54"/>
        <v>3.6571972400564416E-2</v>
      </c>
      <c r="AM12" s="31">
        <f t="shared" si="17"/>
        <v>2.3445375542070161E-3</v>
      </c>
      <c r="AN12" s="32">
        <f t="shared" si="18"/>
        <v>7.8151251806900551E-2</v>
      </c>
      <c r="AO12" s="33">
        <f t="shared" si="19"/>
        <v>0.11722687771035083</v>
      </c>
      <c r="AP12" s="31">
        <f t="shared" si="20"/>
        <v>1.4067225325242098E-2</v>
      </c>
      <c r="AQ12" s="32">
        <f t="shared" si="21"/>
        <v>0.46890751084140325</v>
      </c>
      <c r="AR12" s="33">
        <f t="shared" si="22"/>
        <v>0.70336126626210493</v>
      </c>
      <c r="AS12" s="31">
        <f t="shared" ref="AS12:AU12" si="55">AM12+AP12</f>
        <v>1.6411762879449114E-2</v>
      </c>
      <c r="AT12" s="32">
        <f t="shared" si="55"/>
        <v>0.54705876264830378</v>
      </c>
      <c r="AU12" s="33">
        <f t="shared" si="55"/>
        <v>0.82058814397245572</v>
      </c>
    </row>
    <row r="13" spans="1:47" ht="15.75" customHeight="1">
      <c r="A13" s="1" t="s">
        <v>66</v>
      </c>
      <c r="B13" s="1">
        <v>6.08</v>
      </c>
      <c r="C13" s="1">
        <f t="shared" si="0"/>
        <v>2.0975571049572036E-2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1.2585342629743222E-3</v>
      </c>
      <c r="V13" s="28">
        <f t="shared" si="4"/>
        <v>7.9707169988373731E-3</v>
      </c>
      <c r="W13" s="29">
        <f t="shared" si="5"/>
        <v>1.6570701129161907E-2</v>
      </c>
      <c r="X13" s="27">
        <f t="shared" si="6"/>
        <v>7.5512055778459326E-3</v>
      </c>
      <c r="Y13" s="28">
        <f t="shared" si="7"/>
        <v>4.7824301993024246E-2</v>
      </c>
      <c r="Z13" s="29">
        <f t="shared" si="8"/>
        <v>9.9424206774971449E-2</v>
      </c>
      <c r="AA13" s="27">
        <f t="shared" ref="AA13:AC13" si="57">U13+X13</f>
        <v>8.8097398408202542E-3</v>
      </c>
      <c r="AB13" s="28">
        <f t="shared" si="57"/>
        <v>5.5795018991861622E-2</v>
      </c>
      <c r="AC13" s="29">
        <f t="shared" si="57"/>
        <v>0.11599490790413336</v>
      </c>
      <c r="AD13" s="30">
        <f t="shared" si="10"/>
        <v>5.5123800718275319E-6</v>
      </c>
      <c r="AE13" s="21">
        <f t="shared" si="11"/>
        <v>3.4343813941076586E-4</v>
      </c>
      <c r="AF13" s="22">
        <f t="shared" si="12"/>
        <v>1.7465938501557646E-3</v>
      </c>
      <c r="AG13" s="30">
        <f t="shared" si="13"/>
        <v>3.3074280430965188E-5</v>
      </c>
      <c r="AH13" s="21">
        <f t="shared" si="14"/>
        <v>2.0606288364645952E-3</v>
      </c>
      <c r="AI13" s="22">
        <f t="shared" si="15"/>
        <v>1.0479563100934588E-2</v>
      </c>
      <c r="AJ13" s="30">
        <f t="shared" ref="AJ13:AL13" si="58">AD13+AG13</f>
        <v>3.8586660502792718E-5</v>
      </c>
      <c r="AK13" s="21">
        <f t="shared" si="58"/>
        <v>2.4040669758753613E-3</v>
      </c>
      <c r="AL13" s="22">
        <f t="shared" si="58"/>
        <v>1.2226156951090352E-2</v>
      </c>
      <c r="AM13" s="31">
        <f t="shared" si="17"/>
        <v>6.2926713148716109E-4</v>
      </c>
      <c r="AN13" s="32">
        <f t="shared" si="18"/>
        <v>5.243892762393009E-3</v>
      </c>
      <c r="AO13" s="33">
        <f t="shared" si="19"/>
        <v>1.0697541235281738E-2</v>
      </c>
      <c r="AP13" s="31">
        <f t="shared" si="20"/>
        <v>3.7756027889229663E-3</v>
      </c>
      <c r="AQ13" s="32">
        <f t="shared" si="21"/>
        <v>3.1463356574358059E-2</v>
      </c>
      <c r="AR13" s="33">
        <f t="shared" si="22"/>
        <v>6.4185247411690433E-2</v>
      </c>
      <c r="AS13" s="31">
        <f t="shared" ref="AS13:AU13" si="59">AM13+AP13</f>
        <v>4.4048699204101271E-3</v>
      </c>
      <c r="AT13" s="32">
        <f t="shared" si="59"/>
        <v>3.6707249336751069E-2</v>
      </c>
      <c r="AU13" s="33">
        <f t="shared" si="59"/>
        <v>7.4882788646972176E-2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163</v>
      </c>
      <c r="B15" s="68">
        <f>SUM(B4:B14)</f>
        <v>289.86099999999999</v>
      </c>
      <c r="G15" s="7"/>
      <c r="AA15" s="4">
        <f t="shared" ref="AA15:AU15" si="64">SUM(AA4:AA14)</f>
        <v>20.841088280244669</v>
      </c>
      <c r="AB15" s="4">
        <f t="shared" si="64"/>
        <v>25.018544474765491</v>
      </c>
      <c r="AC15" s="4">
        <f t="shared" si="64"/>
        <v>59.919115645085057</v>
      </c>
      <c r="AD15" s="4">
        <f t="shared" si="64"/>
        <v>5.7544001302693361E-2</v>
      </c>
      <c r="AE15" s="4">
        <f t="shared" si="64"/>
        <v>0.16974042455321942</v>
      </c>
      <c r="AF15" s="4">
        <f t="shared" si="64"/>
        <v>5.635151231391597</v>
      </c>
      <c r="AG15" s="4">
        <f t="shared" si="64"/>
        <v>0.34526400781616018</v>
      </c>
      <c r="AH15" s="4">
        <f t="shared" si="64"/>
        <v>1.0184425473193166</v>
      </c>
      <c r="AI15" s="4">
        <f t="shared" si="64"/>
        <v>33.810907388349591</v>
      </c>
      <c r="AJ15" s="4">
        <f t="shared" si="64"/>
        <v>0.40280800911885345</v>
      </c>
      <c r="AK15" s="4">
        <f t="shared" si="64"/>
        <v>1.1881829718725359</v>
      </c>
      <c r="AL15" s="4">
        <f t="shared" si="64"/>
        <v>39.44605861974118</v>
      </c>
      <c r="AM15" s="4">
        <f t="shared" si="64"/>
        <v>0.1668768478684611</v>
      </c>
      <c r="AN15" s="4">
        <f t="shared" si="64"/>
        <v>4.0652020796174728</v>
      </c>
      <c r="AO15" s="4">
        <f t="shared" si="64"/>
        <v>6.6916022852332686</v>
      </c>
      <c r="AP15" s="4">
        <f t="shared" si="64"/>
        <v>1.0012610872107663</v>
      </c>
      <c r="AQ15" s="4">
        <f t="shared" si="64"/>
        <v>24.391212477704833</v>
      </c>
      <c r="AR15" s="4">
        <f t="shared" si="64"/>
        <v>40.149613711399603</v>
      </c>
      <c r="AS15" s="4">
        <f t="shared" si="64"/>
        <v>1.1681379350792276</v>
      </c>
      <c r="AT15" s="4">
        <f t="shared" si="64"/>
        <v>28.456414557322304</v>
      </c>
      <c r="AU15" s="4">
        <f t="shared" si="64"/>
        <v>46.841215996632869</v>
      </c>
    </row>
    <row r="16" spans="1:47" ht="15.75" customHeight="1">
      <c r="B16" s="68"/>
      <c r="G16" s="7"/>
      <c r="AG16" s="195"/>
      <c r="AH16" s="196"/>
      <c r="AI16" s="196"/>
      <c r="AP16" s="195"/>
      <c r="AQ16" s="196"/>
      <c r="AR16" s="196"/>
    </row>
    <row r="17" spans="2:18" ht="15.75" customHeight="1">
      <c r="G17" s="7"/>
    </row>
    <row r="18" spans="2:18" ht="15.75" customHeight="1">
      <c r="B18" s="84" t="s">
        <v>141</v>
      </c>
      <c r="C18" s="194" t="s">
        <v>10</v>
      </c>
      <c r="D18" s="194"/>
      <c r="E18" s="194"/>
      <c r="F18" s="194"/>
      <c r="G18" s="194"/>
      <c r="H18" s="61"/>
      <c r="I18" s="61"/>
      <c r="J18" s="61"/>
      <c r="K18" s="61"/>
      <c r="L18" s="61"/>
      <c r="M18" s="61"/>
      <c r="N18" s="61"/>
      <c r="O18" s="61"/>
      <c r="P18" s="61"/>
      <c r="Q18" s="62"/>
      <c r="R18" s="61"/>
    </row>
    <row r="19" spans="2:18" ht="15.75" customHeight="1">
      <c r="B19" s="82" t="s">
        <v>140</v>
      </c>
      <c r="C19" s="187" t="s">
        <v>143</v>
      </c>
      <c r="D19" s="187"/>
      <c r="E19" s="187"/>
      <c r="F19" s="187"/>
      <c r="G19" s="187"/>
      <c r="H19" s="61"/>
      <c r="I19" s="61"/>
      <c r="J19" s="61"/>
      <c r="K19" s="61"/>
      <c r="L19" s="61"/>
      <c r="M19" s="61"/>
      <c r="N19" s="61"/>
      <c r="O19" s="61"/>
      <c r="P19" s="61"/>
      <c r="Q19" s="62"/>
      <c r="R19" s="61"/>
    </row>
    <row r="20" spans="2:18" ht="15.75" customHeight="1">
      <c r="B20" s="71" t="s">
        <v>149</v>
      </c>
      <c r="C20" s="259" t="s">
        <v>281</v>
      </c>
      <c r="D20" s="186"/>
      <c r="E20" s="186"/>
      <c r="F20" s="186"/>
      <c r="G20" s="186"/>
      <c r="H20" s="61"/>
      <c r="I20" s="61"/>
      <c r="J20" s="61"/>
      <c r="K20" s="61"/>
      <c r="L20" s="61"/>
      <c r="M20" s="61"/>
      <c r="N20" s="61"/>
      <c r="O20" s="61"/>
      <c r="P20" s="61"/>
      <c r="Q20" s="62"/>
      <c r="R20" s="61"/>
    </row>
    <row r="21" spans="2:18" ht="28" customHeight="1">
      <c r="B21" s="83" t="s">
        <v>155</v>
      </c>
      <c r="C21" s="263" t="s">
        <v>280</v>
      </c>
      <c r="D21" s="187"/>
      <c r="E21" s="187"/>
      <c r="F21" s="187"/>
      <c r="G21" s="187"/>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Metadata</vt:lpstr>
      <vt:lpstr>Global Footprints</vt:lpstr>
      <vt:lpstr>Brazil Footprints</vt:lpstr>
      <vt:lpstr>China Footprints</vt:lpstr>
      <vt:lpstr>France Footprints</vt:lpstr>
      <vt:lpstr>Germany Footprints</vt:lpstr>
      <vt:lpstr>India Footprints</vt:lpstr>
      <vt:lpstr>Iran Footprints</vt:lpstr>
      <vt:lpstr>Italy Footprints</vt:lpstr>
      <vt:lpstr>Japan Footprints</vt:lpstr>
      <vt:lpstr>Mexico Footprints</vt:lpstr>
      <vt:lpstr>Pakistan Footprints</vt:lpstr>
      <vt:lpstr>Poland Footprints</vt:lpstr>
      <vt:lpstr>Russia Footprints</vt:lpstr>
      <vt:lpstr>South Africa Footprints</vt:lpstr>
      <vt:lpstr>United Kingdom Footprints</vt:lpstr>
      <vt:lpstr>United States Footprints</vt:lpstr>
      <vt:lpstr>COVID-19 Increases</vt:lpstr>
      <vt:lpstr>Application-based Footprints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2020-10-01T22:41:03Z</dcterms:modified>
</cp:coreProperties>
</file>