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AlgorithmName="SHA-512" workbookHashValue="CHN1taCs1wenMQYSsKjIMpNnExZ5dsRwWRrdRsFbCoKkh80OlG5/qPTurnS3JHflPiCLKwPqg48tsiYC2paxAg==" workbookSaltValue="+sXTOrouQ3tTLcXniv+J7g==" workbookSpinCount="100000" lockStructure="1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Hoja1!$A$1:$L$83</definedName>
  </definedNames>
  <calcPr calcId="144525"/>
</workbook>
</file>

<file path=xl/calcChain.xml><?xml version="1.0" encoding="utf-8"?>
<calcChain xmlns="http://schemas.openxmlformats.org/spreadsheetml/2006/main">
  <c r="I44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43" i="1"/>
  <c r="E55" i="1"/>
  <c r="E56" i="1"/>
  <c r="E57" i="1"/>
  <c r="E58" i="1"/>
  <c r="E59" i="1"/>
  <c r="E44" i="1"/>
  <c r="E45" i="1"/>
  <c r="E46" i="1"/>
  <c r="E47" i="1"/>
  <c r="E48" i="1"/>
  <c r="E49" i="1"/>
  <c r="E50" i="1"/>
  <c r="E51" i="1"/>
  <c r="E52" i="1"/>
  <c r="E53" i="1"/>
  <c r="E54" i="1"/>
  <c r="E43" i="1"/>
  <c r="K14" i="1" l="1"/>
  <c r="G14" i="1"/>
  <c r="B14" i="1" l="1"/>
  <c r="C20" i="1"/>
  <c r="C19" i="1"/>
  <c r="E37" i="1"/>
  <c r="J60" i="1"/>
  <c r="F60" i="1"/>
  <c r="D37" i="1"/>
  <c r="D38" i="1" s="1"/>
  <c r="K60" i="1" l="1"/>
  <c r="G44" i="1"/>
  <c r="G45" i="1"/>
  <c r="G47" i="1"/>
  <c r="G49" i="1"/>
  <c r="G52" i="1"/>
  <c r="G54" i="1"/>
  <c r="G56" i="1"/>
  <c r="G58" i="1"/>
  <c r="G60" i="1"/>
  <c r="K44" i="1"/>
  <c r="K46" i="1"/>
  <c r="K48" i="1"/>
  <c r="K50" i="1"/>
  <c r="K53" i="1"/>
  <c r="K55" i="1"/>
  <c r="K57" i="1"/>
  <c r="K59" i="1"/>
  <c r="E38" i="1"/>
  <c r="G38" i="1" s="1"/>
  <c r="G43" i="1"/>
  <c r="G46" i="1"/>
  <c r="G48" i="1"/>
  <c r="G50" i="1"/>
  <c r="L50" i="1" s="1"/>
  <c r="G53" i="1"/>
  <c r="L53" i="1" s="1"/>
  <c r="G55" i="1"/>
  <c r="G57" i="1"/>
  <c r="G59" i="1"/>
  <c r="L59" i="1" s="1"/>
  <c r="K43" i="1"/>
  <c r="K45" i="1"/>
  <c r="K47" i="1"/>
  <c r="K49" i="1"/>
  <c r="K52" i="1"/>
  <c r="K54" i="1"/>
  <c r="K56" i="1"/>
  <c r="K58" i="1"/>
  <c r="L58" i="1" s="1"/>
  <c r="L44" i="1"/>
  <c r="G68" i="1" s="1"/>
  <c r="H68" i="1" s="1"/>
  <c r="L48" i="1"/>
  <c r="G72" i="1" s="1"/>
  <c r="H72" i="1" s="1"/>
  <c r="L57" i="1"/>
  <c r="L55" i="1" l="1"/>
  <c r="L46" i="1"/>
  <c r="G70" i="1" s="1"/>
  <c r="H70" i="1" s="1"/>
  <c r="L56" i="1"/>
  <c r="G75" i="1" s="1"/>
  <c r="H75" i="1" s="1"/>
  <c r="L52" i="1"/>
  <c r="L47" i="1"/>
  <c r="G71" i="1" s="1"/>
  <c r="H71" i="1" s="1"/>
  <c r="L43" i="1"/>
  <c r="L54" i="1"/>
  <c r="L49" i="1"/>
  <c r="G73" i="1" s="1"/>
  <c r="H73" i="1" s="1"/>
  <c r="L45" i="1"/>
  <c r="G69" i="1" s="1"/>
  <c r="H69" i="1" s="1"/>
  <c r="G74" i="1" l="1"/>
  <c r="H74" i="1" s="1"/>
  <c r="G67" i="1"/>
  <c r="H67" i="1" s="1"/>
  <c r="L60" i="1"/>
</calcChain>
</file>

<file path=xl/sharedStrings.xml><?xml version="1.0" encoding="utf-8"?>
<sst xmlns="http://schemas.openxmlformats.org/spreadsheetml/2006/main" count="113" uniqueCount="76">
  <si>
    <t>IMPUREZAS ORGANICAS</t>
  </si>
  <si>
    <t>PRODUCTO:</t>
  </si>
  <si>
    <t>LOTE:</t>
  </si>
  <si>
    <t>Estandar:</t>
  </si>
  <si>
    <t>Lote:</t>
  </si>
  <si>
    <t>Impurezas</t>
  </si>
  <si>
    <t>N-Oxido de Azitromicina</t>
  </si>
  <si>
    <t>3-(N,N-Didesmetil)-3-N-formilazitromicina</t>
  </si>
  <si>
    <t>3-(N,N-Didesmetil) azitromicina (aminoazitromicna)</t>
  </si>
  <si>
    <t>Compuesto Relacionado F de azitromicina</t>
  </si>
  <si>
    <t>Desosaminilazitromicina</t>
  </si>
  <si>
    <t>N-Desmetilazitromicina</t>
  </si>
  <si>
    <t>3-Des(dimetilamino)-3-oxoazitromicina</t>
  </si>
  <si>
    <t>Impurezas Totales</t>
  </si>
  <si>
    <t>Area</t>
  </si>
  <si>
    <t>Areas</t>
  </si>
  <si>
    <t>Imp. Ind. no especificada</t>
  </si>
  <si>
    <t>Azaeritromicina A</t>
  </si>
  <si>
    <t>Azitromicina</t>
  </si>
  <si>
    <t>2-Desetil-2-pro-pilazitromicina</t>
  </si>
  <si>
    <r>
      <t>3´-N-Desmetil-3´-N-[(4-metil-fenil)sulfonil]azitromicina</t>
    </r>
    <r>
      <rPr>
        <vertAlign val="superscript"/>
        <sz val="8"/>
        <color theme="1"/>
        <rFont val="Arial"/>
        <family val="2"/>
      </rPr>
      <t xml:space="preserve"> </t>
    </r>
  </si>
  <si>
    <t xml:space="preserve">3-Desoxiazitromicina (azitromicina B) </t>
  </si>
  <si>
    <t>Promedio</t>
  </si>
  <si>
    <t>Imp. Ind. no especificada 1</t>
  </si>
  <si>
    <t>Imp. Ind. no especificada 2</t>
  </si>
  <si>
    <t>Imp. Ind. no especificada 3</t>
  </si>
  <si>
    <t>Imp. Ind. no especificada 4</t>
  </si>
  <si>
    <t>Imp. Ind. no especificada 5</t>
  </si>
  <si>
    <t>M1</t>
  </si>
  <si>
    <t>M2</t>
  </si>
  <si>
    <t>ESTANDAR</t>
  </si>
  <si>
    <t>Inyeccion</t>
  </si>
  <si>
    <t>RSD(%)</t>
  </si>
  <si>
    <t>xxxxxxx</t>
  </si>
  <si>
    <t>-</t>
  </si>
  <si>
    <t>T. Retencion (min.)</t>
  </si>
  <si>
    <t>Peso Estandar (mg):</t>
  </si>
  <si>
    <t>Peso M1 (mg):</t>
  </si>
  <si>
    <t>Peso M2 (mg):</t>
  </si>
  <si>
    <t>Peso Promedio (mg):</t>
  </si>
  <si>
    <t>FECHA DE ANALISIS:</t>
  </si>
  <si>
    <t>ANALISTA:</t>
  </si>
  <si>
    <t>Resultados             (%)</t>
  </si>
  <si>
    <t>Promedio                         (%)</t>
  </si>
  <si>
    <t>T.R.R.</t>
  </si>
  <si>
    <t>No mas de 1.0%</t>
  </si>
  <si>
    <t>No mas de 0.5%</t>
  </si>
  <si>
    <t>No mas de 0.7%</t>
  </si>
  <si>
    <t>No mas de 0.2%</t>
  </si>
  <si>
    <t>No mas de 5.0%</t>
  </si>
  <si>
    <t>Criterios de aceptacion</t>
  </si>
  <si>
    <t>Resultado</t>
  </si>
  <si>
    <t>Conformidad</t>
  </si>
  <si>
    <t>Conforme</t>
  </si>
  <si>
    <t>No conforme</t>
  </si>
  <si>
    <t>Realizado por:</t>
  </si>
  <si>
    <t>Fecha:</t>
  </si>
  <si>
    <t>Revisado por:</t>
  </si>
  <si>
    <t>Azitromicina 500 mg tabletas</t>
  </si>
  <si>
    <t>Pesos</t>
  </si>
  <si>
    <t>Cu</t>
  </si>
  <si>
    <t>Items</t>
  </si>
  <si>
    <t>Concentracion (Cs):</t>
  </si>
  <si>
    <t>Azitromicina C.R. F</t>
  </si>
  <si>
    <t>*Nota: Ver leyenda en la tecnica analitica</t>
  </si>
  <si>
    <r>
      <t>*</t>
    </r>
    <r>
      <rPr>
        <b/>
        <sz val="7"/>
        <color theme="1"/>
        <rFont val="Arial"/>
        <family val="2"/>
      </rPr>
      <t>Nota:</t>
    </r>
    <r>
      <rPr>
        <sz val="7"/>
        <color theme="1"/>
        <rFont val="Arial"/>
        <family val="2"/>
      </rPr>
      <t xml:space="preserve"> El nivel de informe de impurezas es 0.1%. No tomar en cuenta los picos en la solucion muestra que correspondan a los picos del blanco.</t>
    </r>
  </si>
  <si>
    <t>YYYYYY</t>
  </si>
  <si>
    <t>Potencia (ug/mg)</t>
  </si>
  <si>
    <t>Potencia (%)</t>
  </si>
  <si>
    <t>ZZZZ</t>
  </si>
  <si>
    <t>1. DATOS DEL ESTANDAR Y SOLUCION DE APTITUD</t>
  </si>
  <si>
    <t>2. DATOS DE LA MUESTRA</t>
  </si>
  <si>
    <t>3. FORMULAS</t>
  </si>
  <si>
    <t>4. DATOS Y CALCULOS</t>
  </si>
  <si>
    <t>5. RESULTADOS</t>
  </si>
  <si>
    <t>6. CONCLUSIONES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</si>
</sst>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25"/>
      <color theme="1"/>
      <name val="Arial"/>
      <family val="2"/>
    </font>
    <font>
      <b/>
      <sz val="8"/>
      <color theme="1"/>
      <name val="Arial"/>
      <family val="2"/>
    </font>
    <font>
      <b/>
      <u/>
      <sz val="25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165" fontId="4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1" fillId="0" borderId="0" xfId="0" applyFont="1"/>
    <xf numFmtId="0" fontId="2" fillId="0" borderId="0" xfId="0" applyFont="1" applyBorder="1"/>
    <xf numFmtId="0" fontId="0" fillId="0" borderId="0" xfId="0" applyBorder="1"/>
    <xf numFmtId="0" fontId="0" fillId="2" borderId="0" xfId="0" applyFill="1"/>
    <xf numFmtId="0" fontId="2" fillId="0" borderId="1" xfId="0" applyFont="1" applyBorder="1" applyAlignment="1">
      <alignment horizontal="left"/>
    </xf>
    <xf numFmtId="0" fontId="8" fillId="0" borderId="0" xfId="0" applyFont="1"/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Border="1"/>
    <xf numFmtId="0" fontId="2" fillId="3" borderId="0" xfId="0" applyFont="1" applyFill="1"/>
    <xf numFmtId="0" fontId="0" fillId="3" borderId="13" xfId="0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14" fontId="0" fillId="3" borderId="0" xfId="0" applyNumberFormat="1" applyFill="1" applyBorder="1"/>
    <xf numFmtId="0" fontId="6" fillId="3" borderId="0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935093</xdr:colOff>
      <xdr:row>23</xdr:row>
      <xdr:rowOff>46941</xdr:rowOff>
    </xdr:from>
    <xdr:ext cx="5246631" cy="42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/>
            <xdr:cNvSpPr txBox="1"/>
          </xdr:nvSpPr>
          <xdr:spPr>
            <a:xfrm>
              <a:off x="935093" y="4314141"/>
              <a:ext cx="5246631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PE" sz="1500" i="1" baseline="0"/>
                <a:t>% Impureza individuales</a:t>
              </a:r>
              <a:r>
                <a:rPr lang="es-PE" sz="1500" baseline="0"/>
                <a:t> </a:t>
              </a:r>
              <a14:m>
                <m:oMath xmlns:m="http://schemas.openxmlformats.org/officeDocument/2006/math">
                  <m:r>
                    <a:rPr lang="es-PE" sz="1500" i="1">
                      <a:latin typeface="Cambria Math"/>
                    </a:rPr>
                    <m:t>=</m:t>
                  </m:r>
                  <m:f>
                    <m:fPr>
                      <m:ctrlPr>
                        <a:rPr lang="es-PE" sz="1500" i="1">
                          <a:latin typeface="Cambria Math"/>
                        </a:rPr>
                      </m:ctrlPr>
                    </m:fPr>
                    <m:num>
                      <m:r>
                        <a:rPr lang="es-PE" sz="1500" b="0" i="1">
                          <a:latin typeface="Cambria Math"/>
                        </a:rPr>
                        <m:t>𝑟𝑢</m:t>
                      </m:r>
                    </m:num>
                    <m:den>
                      <m:r>
                        <a:rPr lang="es-PE" sz="1500" b="0" i="1">
                          <a:latin typeface="Cambria Math"/>
                        </a:rPr>
                        <m:t>𝑟𝑠</m:t>
                      </m:r>
                    </m:den>
                  </m:f>
                  <m:r>
                    <a:rPr lang="es-PE" sz="1500" b="0" i="1">
                      <a:latin typeface="Cambria Math"/>
                    </a:rPr>
                    <m:t> </m:t>
                  </m:r>
                  <m:r>
                    <a:rPr lang="es-PE" sz="1500" b="0" i="1">
                      <a:latin typeface="Cambria Math"/>
                    </a:rPr>
                    <m:t>𝑥</m:t>
                  </m:r>
                  <m:r>
                    <a:rPr lang="es-PE" sz="1500" b="0" i="1">
                      <a:latin typeface="Cambria Math"/>
                    </a:rPr>
                    <m:t> </m:t>
                  </m:r>
                  <m:f>
                    <m:fPr>
                      <m:ctrlPr>
                        <a:rPr lang="es-PE" sz="1500" b="0" i="1">
                          <a:latin typeface="Cambria Math"/>
                        </a:rPr>
                      </m:ctrlPr>
                    </m:fPr>
                    <m:num>
                      <m:r>
                        <a:rPr lang="es-PE" sz="1500" b="0" i="1">
                          <a:latin typeface="Cambria Math"/>
                        </a:rPr>
                        <m:t>𝐶𝑠</m:t>
                      </m:r>
                    </m:num>
                    <m:den>
                      <m:r>
                        <a:rPr lang="es-PE" sz="1500" b="0" i="1">
                          <a:latin typeface="Cambria Math"/>
                        </a:rPr>
                        <m:t>𝐶𝑢</m:t>
                      </m:r>
                    </m:den>
                  </m:f>
                  <m:r>
                    <a:rPr lang="es-PE" sz="1500" b="0" i="1">
                      <a:latin typeface="Cambria Math"/>
                    </a:rPr>
                    <m:t> </m:t>
                  </m:r>
                  <m:r>
                    <a:rPr lang="es-PE" sz="1500" b="0" i="1">
                      <a:latin typeface="Cambria Math"/>
                    </a:rPr>
                    <m:t>𝑥</m:t>
                  </m:r>
                  <m:r>
                    <a:rPr lang="es-PE" sz="1500" b="0" i="1">
                      <a:latin typeface="Cambria Math"/>
                    </a:rPr>
                    <m:t> </m:t>
                  </m:r>
                  <m:r>
                    <a:rPr lang="es-PE" sz="1500" b="0" i="1">
                      <a:latin typeface="Cambria Math"/>
                    </a:rPr>
                    <m:t>𝑃</m:t>
                  </m:r>
                  <m:r>
                    <a:rPr lang="es-PE" sz="1500" b="0" i="1">
                      <a:latin typeface="Cambria Math"/>
                    </a:rPr>
                    <m:t> </m:t>
                  </m:r>
                  <m:r>
                    <a:rPr lang="es-PE" sz="1500" b="0" i="1">
                      <a:latin typeface="Cambria Math"/>
                    </a:rPr>
                    <m:t>𝑥</m:t>
                  </m:r>
                  <m:r>
                    <a:rPr lang="es-PE" sz="1500" b="0" i="1">
                      <a:latin typeface="Cambria Math"/>
                    </a:rPr>
                    <m:t> </m:t>
                  </m:r>
                  <m:r>
                    <a:rPr lang="es-PE" sz="1500" b="0" i="1">
                      <a:latin typeface="Cambria Math"/>
                    </a:rPr>
                    <m:t>𝐹</m:t>
                  </m:r>
                  <m:r>
                    <a:rPr lang="es-PE" sz="1500" b="0" i="1">
                      <a:latin typeface="Cambria Math"/>
                    </a:rPr>
                    <m:t>1 </m:t>
                  </m:r>
                  <m:r>
                    <a:rPr lang="es-PE" sz="1500" b="0" i="1">
                      <a:latin typeface="Cambria Math"/>
                    </a:rPr>
                    <m:t>𝑥</m:t>
                  </m:r>
                  <m:r>
                    <a:rPr lang="es-PE" sz="1500" b="0" i="1">
                      <a:latin typeface="Cambria Math"/>
                    </a:rPr>
                    <m:t> </m:t>
                  </m:r>
                  <m:f>
                    <m:fPr>
                      <m:ctrlPr>
                        <a:rPr lang="es-PE" sz="1500" b="0" i="1">
                          <a:latin typeface="Cambria Math"/>
                        </a:rPr>
                      </m:ctrlPr>
                    </m:fPr>
                    <m:num>
                      <m:r>
                        <a:rPr lang="es-PE" sz="1500" b="0" i="1">
                          <a:latin typeface="Cambria Math"/>
                        </a:rPr>
                        <m:t>1</m:t>
                      </m:r>
                    </m:num>
                    <m:den>
                      <m:r>
                        <a:rPr lang="es-PE" sz="1500" b="0" i="1">
                          <a:latin typeface="Cambria Math"/>
                        </a:rPr>
                        <m:t>𝐹</m:t>
                      </m:r>
                      <m:r>
                        <a:rPr lang="es-PE" sz="1500" b="0" i="1">
                          <a:latin typeface="Cambria Math"/>
                        </a:rPr>
                        <m:t>2</m:t>
                      </m:r>
                    </m:den>
                  </m:f>
                  <m:r>
                    <a:rPr lang="es-PE" sz="1500" b="0" i="1">
                      <a:latin typeface="Cambria Math"/>
                    </a:rPr>
                    <m:t> </m:t>
                  </m:r>
                  <m:r>
                    <a:rPr lang="es-PE" sz="1500" b="0" i="1">
                      <a:latin typeface="Cambria Math"/>
                    </a:rPr>
                    <m:t>𝑥</m:t>
                  </m:r>
                  <m:r>
                    <a:rPr lang="es-PE" sz="1500" b="0" i="1">
                      <a:latin typeface="Cambria Math"/>
                    </a:rPr>
                    <m:t> 100</m:t>
                  </m:r>
                </m:oMath>
              </a14:m>
              <a:endParaRPr lang="es-PE" sz="1500" b="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935093" y="4314141"/>
              <a:ext cx="5246631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PE" sz="1500" i="1" baseline="0"/>
                <a:t>% Impureza individuales</a:t>
              </a:r>
              <a:r>
                <a:rPr lang="es-PE" sz="1500" baseline="0"/>
                <a:t> </a:t>
              </a:r>
              <a:r>
                <a:rPr lang="es-PE" sz="1500" i="0">
                  <a:latin typeface="Cambria Math"/>
                </a:rPr>
                <a:t>=</a:t>
              </a:r>
              <a:r>
                <a:rPr lang="es-PE" sz="1500" b="0" i="0">
                  <a:latin typeface="Cambria Math"/>
                </a:rPr>
                <a:t>𝑟𝑢</a:t>
              </a:r>
              <a:r>
                <a:rPr lang="es-PE" sz="1500" b="0" i="0">
                  <a:latin typeface="Cambria Math" panose="02040503050406030204" pitchFamily="18" charset="0"/>
                </a:rPr>
                <a:t>/</a:t>
              </a:r>
              <a:r>
                <a:rPr lang="es-PE" sz="1500" b="0" i="0">
                  <a:latin typeface="Cambria Math"/>
                </a:rPr>
                <a:t>𝑟𝑠  𝑥  𝐶𝑠</a:t>
              </a:r>
              <a:r>
                <a:rPr lang="es-PE" sz="1500" b="0" i="0">
                  <a:latin typeface="Cambria Math" panose="02040503050406030204" pitchFamily="18" charset="0"/>
                </a:rPr>
                <a:t>/</a:t>
              </a:r>
              <a:r>
                <a:rPr lang="es-PE" sz="1500" b="0" i="0">
                  <a:latin typeface="Cambria Math"/>
                </a:rPr>
                <a:t>𝐶𝑢  𝑥 𝑃 𝑥 𝐹1 𝑥  1</a:t>
              </a:r>
              <a:r>
                <a:rPr lang="es-PE" sz="1500" b="0" i="0">
                  <a:latin typeface="Cambria Math" panose="02040503050406030204" pitchFamily="18" charset="0"/>
                </a:rPr>
                <a:t>/</a:t>
              </a:r>
              <a:r>
                <a:rPr lang="es-PE" sz="1500" b="0" i="0">
                  <a:latin typeface="Cambria Math"/>
                </a:rPr>
                <a:t>𝐹2  𝑥 100</a:t>
              </a:r>
              <a:endParaRPr lang="es-PE" sz="15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2"/>
  <sheetViews>
    <sheetView showGridLines="0" tabSelected="1" view="pageBreakPreview" zoomScaleNormal="100" zoomScaleSheetLayoutView="100" workbookViewId="0">
      <selection activeCell="J2" sqref="J2"/>
    </sheetView>
  </sheetViews>
  <sheetFormatPr baseColWidth="10" defaultRowHeight="15" x14ac:dyDescent="0.25"/>
  <cols>
    <col min="1" max="1" width="15.140625" customWidth="1"/>
    <col min="2" max="2" width="14.7109375" customWidth="1"/>
    <col min="3" max="3" width="9.85546875" customWidth="1"/>
    <col min="4" max="4" width="9.5703125" bestFit="1" customWidth="1"/>
    <col min="5" max="5" width="9.5703125" customWidth="1"/>
    <col min="6" max="6" width="15.7109375" customWidth="1"/>
    <col min="7" max="7" width="17.140625" customWidth="1"/>
    <col min="8" max="8" width="9.5703125" bestFit="1" customWidth="1"/>
    <col min="9" max="9" width="9.5703125" customWidth="1"/>
    <col min="10" max="12" width="15.7109375" customWidth="1"/>
  </cols>
  <sheetData>
    <row r="2" spans="1:12" ht="30.75" x14ac:dyDescent="0.4">
      <c r="D2" s="11" t="s">
        <v>0</v>
      </c>
      <c r="E2" s="9"/>
      <c r="F2" s="9"/>
      <c r="G2" s="9"/>
    </row>
    <row r="4" spans="1:12" x14ac:dyDescent="0.25">
      <c r="A4" s="10" t="s">
        <v>1</v>
      </c>
      <c r="B4" s="33" t="s">
        <v>58</v>
      </c>
      <c r="C4" s="33"/>
      <c r="D4" s="33"/>
      <c r="E4" s="33"/>
      <c r="F4" s="33"/>
      <c r="H4" s="10" t="s">
        <v>40</v>
      </c>
      <c r="J4" s="32"/>
    </row>
    <row r="5" spans="1:12" ht="10.5" customHeight="1" x14ac:dyDescent="0.25">
      <c r="A5" s="10"/>
      <c r="B5" s="30"/>
      <c r="C5" s="30"/>
      <c r="D5" s="30"/>
      <c r="E5" s="30"/>
      <c r="F5" s="30"/>
      <c r="H5" s="10"/>
      <c r="J5" s="31"/>
    </row>
    <row r="6" spans="1:12" x14ac:dyDescent="0.25">
      <c r="A6" s="10" t="s">
        <v>2</v>
      </c>
      <c r="B6" s="33"/>
      <c r="C6" s="33"/>
      <c r="D6" s="33"/>
      <c r="E6" s="33"/>
      <c r="F6" s="33"/>
      <c r="H6" s="10" t="s">
        <v>41</v>
      </c>
      <c r="J6" s="27"/>
    </row>
    <row r="7" spans="1:12" x14ac:dyDescent="0.25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x14ac:dyDescent="0.25">
      <c r="A8" s="10" t="s">
        <v>70</v>
      </c>
      <c r="B8" s="1"/>
    </row>
    <row r="9" spans="1:12" ht="6.75" customHeight="1" x14ac:dyDescent="0.25">
      <c r="A9" s="1"/>
      <c r="B9" s="1"/>
    </row>
    <row r="10" spans="1:12" x14ac:dyDescent="0.25">
      <c r="A10" s="2" t="s">
        <v>3</v>
      </c>
      <c r="B10" s="3" t="s">
        <v>18</v>
      </c>
      <c r="F10" s="2" t="s">
        <v>3</v>
      </c>
      <c r="G10" s="22" t="s">
        <v>10</v>
      </c>
      <c r="J10" s="2" t="s">
        <v>3</v>
      </c>
      <c r="K10" s="3" t="s">
        <v>63</v>
      </c>
    </row>
    <row r="11" spans="1:12" x14ac:dyDescent="0.25">
      <c r="A11" s="2" t="s">
        <v>4</v>
      </c>
      <c r="B11" s="24" t="s">
        <v>69</v>
      </c>
      <c r="F11" s="2" t="s">
        <v>4</v>
      </c>
      <c r="G11" s="24" t="s">
        <v>66</v>
      </c>
      <c r="J11" s="2" t="s">
        <v>4</v>
      </c>
      <c r="K11" s="24" t="s">
        <v>33</v>
      </c>
    </row>
    <row r="12" spans="1:12" x14ac:dyDescent="0.25">
      <c r="A12" s="2" t="s">
        <v>67</v>
      </c>
      <c r="B12" s="24">
        <v>900</v>
      </c>
      <c r="F12" s="2" t="s">
        <v>68</v>
      </c>
      <c r="G12" s="24">
        <v>100</v>
      </c>
      <c r="J12" s="2" t="s">
        <v>68</v>
      </c>
      <c r="K12" s="24">
        <v>100</v>
      </c>
    </row>
    <row r="13" spans="1:12" x14ac:dyDescent="0.25">
      <c r="A13" s="2" t="s">
        <v>36</v>
      </c>
      <c r="B13" s="25">
        <v>26</v>
      </c>
      <c r="F13" s="2" t="s">
        <v>36</v>
      </c>
      <c r="G13" s="25">
        <v>1</v>
      </c>
      <c r="J13" s="2" t="s">
        <v>36</v>
      </c>
      <c r="K13" s="25">
        <v>1</v>
      </c>
    </row>
    <row r="14" spans="1:12" x14ac:dyDescent="0.25">
      <c r="A14" s="2" t="s">
        <v>62</v>
      </c>
      <c r="B14" s="5">
        <f>B13/50*1/20</f>
        <v>2.6000000000000002E-2</v>
      </c>
      <c r="F14" s="2" t="s">
        <v>62</v>
      </c>
      <c r="G14" s="5">
        <f>G13/10*3/10</f>
        <v>3.0000000000000006E-2</v>
      </c>
      <c r="J14" s="2" t="s">
        <v>62</v>
      </c>
      <c r="K14" s="5">
        <f>K13/10*3/10</f>
        <v>3.0000000000000006E-2</v>
      </c>
    </row>
    <row r="15" spans="1:12" x14ac:dyDescent="0.25">
      <c r="A15" s="1"/>
      <c r="B15" s="1"/>
    </row>
    <row r="16" spans="1:12" x14ac:dyDescent="0.25">
      <c r="A16" s="10" t="s">
        <v>71</v>
      </c>
      <c r="B16" s="1"/>
    </row>
    <row r="17" spans="1:6" ht="4.5" customHeight="1" x14ac:dyDescent="0.25">
      <c r="A17" s="1"/>
      <c r="B17" s="1"/>
    </row>
    <row r="18" spans="1:6" ht="13.5" customHeight="1" x14ac:dyDescent="0.25">
      <c r="A18" s="3" t="s">
        <v>61</v>
      </c>
      <c r="B18" s="3" t="s">
        <v>59</v>
      </c>
      <c r="C18" s="36" t="s">
        <v>60</v>
      </c>
      <c r="D18" s="37"/>
    </row>
    <row r="19" spans="1:6" x14ac:dyDescent="0.25">
      <c r="A19" s="2" t="s">
        <v>37</v>
      </c>
      <c r="B19" s="25">
        <v>1430</v>
      </c>
      <c r="C19" s="38">
        <f>B19/100*7/25*1/$B$21</f>
        <v>7.2800000000000009E-3</v>
      </c>
      <c r="D19" s="39"/>
    </row>
    <row r="20" spans="1:6" x14ac:dyDescent="0.25">
      <c r="A20" s="2" t="s">
        <v>38</v>
      </c>
      <c r="B20" s="25">
        <v>1430</v>
      </c>
      <c r="C20" s="38">
        <f>B20/100*7/25*1/$B$21</f>
        <v>7.2800000000000009E-3</v>
      </c>
      <c r="D20" s="39"/>
    </row>
    <row r="21" spans="1:6" x14ac:dyDescent="0.25">
      <c r="A21" s="2" t="s">
        <v>39</v>
      </c>
      <c r="B21" s="25">
        <v>550</v>
      </c>
      <c r="C21" s="40" t="s">
        <v>34</v>
      </c>
      <c r="D21" s="41"/>
    </row>
    <row r="22" spans="1:6" x14ac:dyDescent="0.25">
      <c r="A22" s="1"/>
      <c r="B22" s="1"/>
    </row>
    <row r="23" spans="1:6" x14ac:dyDescent="0.25">
      <c r="A23" s="10" t="s">
        <v>72</v>
      </c>
      <c r="B23" s="1"/>
    </row>
    <row r="24" spans="1:6" x14ac:dyDescent="0.25">
      <c r="A24" s="1"/>
      <c r="B24" s="1"/>
    </row>
    <row r="25" spans="1:6" x14ac:dyDescent="0.25">
      <c r="A25" s="1"/>
      <c r="B25" s="1"/>
    </row>
    <row r="26" spans="1:6" x14ac:dyDescent="0.25">
      <c r="A26" s="1"/>
      <c r="B26" s="1"/>
    </row>
    <row r="27" spans="1:6" ht="13.5" customHeight="1" x14ac:dyDescent="0.25">
      <c r="A27" s="1"/>
      <c r="B27" s="1" t="s">
        <v>64</v>
      </c>
    </row>
    <row r="28" spans="1:6" x14ac:dyDescent="0.25">
      <c r="A28" s="10" t="s">
        <v>73</v>
      </c>
      <c r="B28" s="1"/>
    </row>
    <row r="29" spans="1:6" ht="14.25" customHeight="1" x14ac:dyDescent="0.25"/>
    <row r="30" spans="1:6" x14ac:dyDescent="0.25">
      <c r="C30" s="36" t="s">
        <v>30</v>
      </c>
      <c r="D30" s="43"/>
      <c r="E30" s="43"/>
      <c r="F30" s="37"/>
    </row>
    <row r="31" spans="1:6" ht="22.5" x14ac:dyDescent="0.25">
      <c r="C31" s="7" t="s">
        <v>31</v>
      </c>
      <c r="D31" s="8" t="s">
        <v>35</v>
      </c>
      <c r="E31" s="55" t="s">
        <v>15</v>
      </c>
      <c r="F31" s="56"/>
    </row>
    <row r="32" spans="1:6" x14ac:dyDescent="0.25">
      <c r="C32" s="3">
        <v>1</v>
      </c>
      <c r="D32" s="25">
        <v>1</v>
      </c>
      <c r="E32" s="53">
        <v>11</v>
      </c>
      <c r="F32" s="54"/>
    </row>
    <row r="33" spans="1:12" x14ac:dyDescent="0.25">
      <c r="C33" s="3">
        <v>2</v>
      </c>
      <c r="D33" s="25">
        <v>0</v>
      </c>
      <c r="E33" s="53">
        <v>11.5</v>
      </c>
      <c r="F33" s="54"/>
    </row>
    <row r="34" spans="1:12" x14ac:dyDescent="0.25">
      <c r="C34" s="3">
        <v>3</v>
      </c>
      <c r="D34" s="25">
        <v>0</v>
      </c>
      <c r="E34" s="53">
        <v>11</v>
      </c>
      <c r="F34" s="54"/>
    </row>
    <row r="35" spans="1:12" x14ac:dyDescent="0.25">
      <c r="C35" s="3">
        <v>4</v>
      </c>
      <c r="D35" s="25">
        <v>0</v>
      </c>
      <c r="E35" s="53">
        <v>11</v>
      </c>
      <c r="F35" s="54"/>
    </row>
    <row r="36" spans="1:12" x14ac:dyDescent="0.25">
      <c r="C36" s="3">
        <v>5</v>
      </c>
      <c r="D36" s="25">
        <v>0</v>
      </c>
      <c r="E36" s="53">
        <v>11</v>
      </c>
      <c r="F36" s="54"/>
    </row>
    <row r="37" spans="1:12" x14ac:dyDescent="0.25">
      <c r="C37" s="3" t="s">
        <v>22</v>
      </c>
      <c r="D37" s="5">
        <f>AVERAGE(D32:D36)</f>
        <v>0.2</v>
      </c>
      <c r="E37" s="38">
        <f>AVERAGE(E32:E36)</f>
        <v>11.1</v>
      </c>
      <c r="F37" s="39"/>
    </row>
    <row r="38" spans="1:12" x14ac:dyDescent="0.25">
      <c r="C38" s="3" t="s">
        <v>32</v>
      </c>
      <c r="D38" s="5">
        <f>_xlfn.STDEV.S(D32:D36)/D37*100</f>
        <v>223.60679774997894</v>
      </c>
      <c r="E38" s="34">
        <f>_xlfn.STDEV.S(E32:E36)/E37*100</f>
        <v>2.0144756554052159</v>
      </c>
      <c r="F38" s="35"/>
      <c r="G38" s="21" t="str">
        <f>IF(E38&lt;=2.04,"Conforme","No Conforme")</f>
        <v>Conforme</v>
      </c>
    </row>
    <row r="41" spans="1:12" ht="20.100000000000001" customHeight="1" x14ac:dyDescent="0.25">
      <c r="A41" s="45" t="s">
        <v>5</v>
      </c>
      <c r="B41" s="46"/>
      <c r="C41" s="47"/>
      <c r="D41" s="40" t="s">
        <v>28</v>
      </c>
      <c r="E41" s="44"/>
      <c r="F41" s="44"/>
      <c r="G41" s="41"/>
      <c r="H41" s="40" t="s">
        <v>29</v>
      </c>
      <c r="I41" s="44"/>
      <c r="J41" s="44"/>
      <c r="K41" s="41"/>
      <c r="L41" s="51" t="s">
        <v>43</v>
      </c>
    </row>
    <row r="42" spans="1:12" ht="24.95" customHeight="1" x14ac:dyDescent="0.25">
      <c r="A42" s="48"/>
      <c r="B42" s="49"/>
      <c r="C42" s="50"/>
      <c r="D42" s="8" t="s">
        <v>35</v>
      </c>
      <c r="E42" s="8" t="s">
        <v>44</v>
      </c>
      <c r="F42" s="7" t="s">
        <v>15</v>
      </c>
      <c r="G42" s="8" t="s">
        <v>42</v>
      </c>
      <c r="H42" s="8" t="s">
        <v>35</v>
      </c>
      <c r="I42" s="8" t="s">
        <v>44</v>
      </c>
      <c r="J42" s="7" t="s">
        <v>14</v>
      </c>
      <c r="K42" s="8" t="s">
        <v>42</v>
      </c>
      <c r="L42" s="52"/>
    </row>
    <row r="43" spans="1:12" x14ac:dyDescent="0.25">
      <c r="A43" s="36" t="s">
        <v>6</v>
      </c>
      <c r="B43" s="43"/>
      <c r="C43" s="37"/>
      <c r="D43" s="25">
        <v>5.6</v>
      </c>
      <c r="E43" s="5">
        <f>D43/$D$51</f>
        <v>0.27999999999999997</v>
      </c>
      <c r="F43" s="26">
        <v>0.01</v>
      </c>
      <c r="G43" s="6">
        <f>F43/$E$37*$B$14/$C$19*$B$12*0.001*1/0.42*100</f>
        <v>0.68946497517926086</v>
      </c>
      <c r="H43" s="25">
        <v>0</v>
      </c>
      <c r="I43" s="5">
        <f>H43/$H$51</f>
        <v>0</v>
      </c>
      <c r="J43" s="26">
        <v>0.01</v>
      </c>
      <c r="K43" s="6">
        <f>J43/$E$37*$B$14/$C$20*$B$12*0.001*1/0.42*100</f>
        <v>0.68946497517926086</v>
      </c>
      <c r="L43" s="12">
        <f t="shared" ref="L43:L50" si="0">AVERAGE(G43,K43)</f>
        <v>0.68946497517926086</v>
      </c>
    </row>
    <row r="44" spans="1:12" x14ac:dyDescent="0.25">
      <c r="A44" s="36" t="s">
        <v>7</v>
      </c>
      <c r="B44" s="43"/>
      <c r="C44" s="37"/>
      <c r="D44" s="25">
        <v>8</v>
      </c>
      <c r="E44" s="5">
        <f t="shared" ref="E44:E59" si="1">D44/$D$51</f>
        <v>0.4</v>
      </c>
      <c r="F44" s="26">
        <v>1</v>
      </c>
      <c r="G44" s="6">
        <f t="shared" ref="G44" si="2">F44/$E$37*$B$14/$C$19*$B$12*0.001*1/1.7*100</f>
        <v>17.03384056325233</v>
      </c>
      <c r="H44" s="25">
        <v>0</v>
      </c>
      <c r="I44" s="5">
        <f t="shared" ref="I44:I59" si="3">H44/$H$51</f>
        <v>0</v>
      </c>
      <c r="J44" s="26">
        <v>1</v>
      </c>
      <c r="K44" s="6">
        <f>J44/$E$37*$B$14/$C$20*$B$12*0.001*1/1.7*100</f>
        <v>17.03384056325233</v>
      </c>
      <c r="L44" s="12">
        <f t="shared" si="0"/>
        <v>17.03384056325233</v>
      </c>
    </row>
    <row r="45" spans="1:12" x14ac:dyDescent="0.25">
      <c r="A45" s="36" t="s">
        <v>8</v>
      </c>
      <c r="B45" s="43"/>
      <c r="C45" s="37"/>
      <c r="D45" s="25">
        <v>0</v>
      </c>
      <c r="E45" s="5">
        <f t="shared" si="1"/>
        <v>0</v>
      </c>
      <c r="F45" s="26">
        <v>1</v>
      </c>
      <c r="G45" s="6">
        <f>F45/$E$37*$B$14/$C$19*$B$12*0.001*1/0.49*100</f>
        <v>59.096997872508069</v>
      </c>
      <c r="H45" s="25">
        <v>0</v>
      </c>
      <c r="I45" s="5">
        <f t="shared" si="3"/>
        <v>0</v>
      </c>
      <c r="J45" s="26">
        <v>1</v>
      </c>
      <c r="K45" s="6">
        <f>J45/$E$37*$B$14/$C$20*$B$12*0.001*1/0.49*100</f>
        <v>59.096997872508069</v>
      </c>
      <c r="L45" s="12">
        <f t="shared" si="0"/>
        <v>59.096997872508069</v>
      </c>
    </row>
    <row r="46" spans="1:12" x14ac:dyDescent="0.25">
      <c r="A46" s="36" t="s">
        <v>9</v>
      </c>
      <c r="B46" s="43"/>
      <c r="C46" s="37"/>
      <c r="D46" s="25">
        <v>0</v>
      </c>
      <c r="E46" s="5">
        <f t="shared" si="1"/>
        <v>0</v>
      </c>
      <c r="F46" s="26">
        <v>1</v>
      </c>
      <c r="G46" s="6">
        <f>F46/$E$37*$B$14/$C$19*$B$12*0.001*1/4.3*100</f>
        <v>6.7343090598904549</v>
      </c>
      <c r="H46" s="25">
        <v>0</v>
      </c>
      <c r="I46" s="5">
        <f t="shared" si="3"/>
        <v>0</v>
      </c>
      <c r="J46" s="26">
        <v>1</v>
      </c>
      <c r="K46" s="6">
        <f>J46/$E$37*$B$14/$C$20*$B$12*0.001*1/4.3*100</f>
        <v>6.7343090598904549</v>
      </c>
      <c r="L46" s="12">
        <f t="shared" si="0"/>
        <v>6.7343090598904549</v>
      </c>
    </row>
    <row r="47" spans="1:12" x14ac:dyDescent="0.25">
      <c r="A47" s="36" t="s">
        <v>10</v>
      </c>
      <c r="B47" s="43"/>
      <c r="C47" s="37"/>
      <c r="D47" s="25">
        <v>0</v>
      </c>
      <c r="E47" s="5">
        <f t="shared" si="1"/>
        <v>0</v>
      </c>
      <c r="F47" s="26">
        <v>1</v>
      </c>
      <c r="G47" s="6">
        <f>F47/$E$37*$B$14/$C$19*$B$12*0.001*1/1.1*100</f>
        <v>26.325026325026318</v>
      </c>
      <c r="H47" s="25">
        <v>0</v>
      </c>
      <c r="I47" s="5">
        <f t="shared" si="3"/>
        <v>0</v>
      </c>
      <c r="J47" s="26">
        <v>1</v>
      </c>
      <c r="K47" s="6">
        <f>J47/$E$37*$B$14/$C$20*$B$12*0.001*1/1.1*100</f>
        <v>26.325026325026318</v>
      </c>
      <c r="L47" s="12">
        <f t="shared" si="0"/>
        <v>26.325026325026318</v>
      </c>
    </row>
    <row r="48" spans="1:12" x14ac:dyDescent="0.25">
      <c r="A48" s="36" t="s">
        <v>11</v>
      </c>
      <c r="B48" s="43"/>
      <c r="C48" s="37"/>
      <c r="D48" s="25">
        <v>0</v>
      </c>
      <c r="E48" s="5">
        <f t="shared" si="1"/>
        <v>0</v>
      </c>
      <c r="F48" s="26">
        <v>1</v>
      </c>
      <c r="G48" s="6">
        <f>F48/$E$37*$B$14/$C$19*$B$12*0.001*1/0.54*100</f>
        <v>53.625053625053617</v>
      </c>
      <c r="H48" s="25">
        <v>0</v>
      </c>
      <c r="I48" s="5">
        <f t="shared" si="3"/>
        <v>0</v>
      </c>
      <c r="J48" s="26">
        <v>1</v>
      </c>
      <c r="K48" s="6">
        <f>J48/$E$37*$B$14/$C$20*$B$12*0.001*1/0.54*100</f>
        <v>53.625053625053617</v>
      </c>
      <c r="L48" s="12">
        <f t="shared" si="0"/>
        <v>53.625053625053617</v>
      </c>
    </row>
    <row r="49" spans="1:12" x14ac:dyDescent="0.25">
      <c r="A49" s="36" t="s">
        <v>12</v>
      </c>
      <c r="B49" s="43"/>
      <c r="C49" s="37"/>
      <c r="D49" s="25">
        <v>0</v>
      </c>
      <c r="E49" s="5">
        <f t="shared" si="1"/>
        <v>0</v>
      </c>
      <c r="F49" s="26">
        <v>1</v>
      </c>
      <c r="G49" s="6">
        <f>F49/$E$37*$B$14/$C$19*$B$12*0.001*1/1.4*100</f>
        <v>20.683949255377826</v>
      </c>
      <c r="H49" s="25">
        <v>0</v>
      </c>
      <c r="I49" s="5">
        <f t="shared" si="3"/>
        <v>0</v>
      </c>
      <c r="J49" s="26">
        <v>1</v>
      </c>
      <c r="K49" s="6">
        <f>J49/$E$37*$B$14/$C$20*$B$12*0.001*1/1.4*100</f>
        <v>20.683949255377826</v>
      </c>
      <c r="L49" s="12">
        <f t="shared" si="0"/>
        <v>20.683949255377826</v>
      </c>
    </row>
    <row r="50" spans="1:12" x14ac:dyDescent="0.25">
      <c r="A50" s="36" t="s">
        <v>17</v>
      </c>
      <c r="B50" s="43"/>
      <c r="C50" s="37"/>
      <c r="D50" s="25">
        <v>0</v>
      </c>
      <c r="E50" s="5">
        <f t="shared" si="1"/>
        <v>0</v>
      </c>
      <c r="F50" s="26">
        <v>1</v>
      </c>
      <c r="G50" s="6">
        <f>F50/$E$37*$B$14/$C$19*$B$12*0.001*100</f>
        <v>28.957528957528954</v>
      </c>
      <c r="H50" s="25">
        <v>0</v>
      </c>
      <c r="I50" s="5">
        <f t="shared" si="3"/>
        <v>0</v>
      </c>
      <c r="J50" s="26">
        <v>1</v>
      </c>
      <c r="K50" s="6">
        <f>J50/$E$37*$B$14/$C$20*$B$12*0.001*100</f>
        <v>28.957528957528954</v>
      </c>
      <c r="L50" s="12">
        <f t="shared" si="0"/>
        <v>28.957528957528954</v>
      </c>
    </row>
    <row r="51" spans="1:12" x14ac:dyDescent="0.25">
      <c r="A51" s="36" t="s">
        <v>18</v>
      </c>
      <c r="B51" s="43"/>
      <c r="C51" s="37"/>
      <c r="D51" s="25">
        <v>20</v>
      </c>
      <c r="E51" s="5">
        <f t="shared" si="1"/>
        <v>1</v>
      </c>
      <c r="F51" s="26">
        <v>1</v>
      </c>
      <c r="G51" s="6" t="s">
        <v>34</v>
      </c>
      <c r="H51" s="25">
        <v>20</v>
      </c>
      <c r="I51" s="5">
        <f t="shared" si="3"/>
        <v>1</v>
      </c>
      <c r="J51" s="26">
        <v>1</v>
      </c>
      <c r="K51" s="6" t="s">
        <v>34</v>
      </c>
      <c r="L51" s="12" t="s">
        <v>34</v>
      </c>
    </row>
    <row r="52" spans="1:12" x14ac:dyDescent="0.25">
      <c r="A52" s="36" t="s">
        <v>19</v>
      </c>
      <c r="B52" s="43"/>
      <c r="C52" s="37"/>
      <c r="D52" s="25">
        <v>0</v>
      </c>
      <c r="E52" s="5">
        <f t="shared" si="1"/>
        <v>0</v>
      </c>
      <c r="F52" s="26">
        <v>1</v>
      </c>
      <c r="G52" s="6">
        <f t="shared" ref="G52:G60" si="4">F52/$E$37*$B$14/$C$19*$B$12*0.001*100</f>
        <v>28.957528957528954</v>
      </c>
      <c r="H52" s="25">
        <v>0</v>
      </c>
      <c r="I52" s="5">
        <f t="shared" si="3"/>
        <v>0</v>
      </c>
      <c r="J52" s="26">
        <v>1</v>
      </c>
      <c r="K52" s="6">
        <f t="shared" ref="K52:K60" si="5">J52/$E$37*$B$14/$C$20*$B$12*0.001*100</f>
        <v>28.957528957528954</v>
      </c>
      <c r="L52" s="12">
        <f t="shared" ref="L52:L60" si="6">AVERAGE(G52,K52)</f>
        <v>28.957528957528954</v>
      </c>
    </row>
    <row r="53" spans="1:12" x14ac:dyDescent="0.25">
      <c r="A53" s="36" t="s">
        <v>20</v>
      </c>
      <c r="B53" s="43"/>
      <c r="C53" s="37"/>
      <c r="D53" s="25">
        <v>0</v>
      </c>
      <c r="E53" s="5">
        <f t="shared" si="1"/>
        <v>0</v>
      </c>
      <c r="F53" s="26">
        <v>1</v>
      </c>
      <c r="G53" s="6">
        <f t="shared" si="4"/>
        <v>28.957528957528954</v>
      </c>
      <c r="H53" s="25">
        <v>0</v>
      </c>
      <c r="I53" s="5">
        <f t="shared" si="3"/>
        <v>0</v>
      </c>
      <c r="J53" s="26">
        <v>1</v>
      </c>
      <c r="K53" s="6">
        <f t="shared" si="5"/>
        <v>28.957528957528954</v>
      </c>
      <c r="L53" s="12">
        <f t="shared" si="6"/>
        <v>28.957528957528954</v>
      </c>
    </row>
    <row r="54" spans="1:12" x14ac:dyDescent="0.25">
      <c r="A54" s="36" t="s">
        <v>21</v>
      </c>
      <c r="B54" s="43"/>
      <c r="C54" s="37"/>
      <c r="D54" s="25">
        <v>0</v>
      </c>
      <c r="E54" s="5">
        <f t="shared" si="1"/>
        <v>0</v>
      </c>
      <c r="F54" s="26">
        <v>1</v>
      </c>
      <c r="G54" s="6">
        <f t="shared" si="4"/>
        <v>28.957528957528954</v>
      </c>
      <c r="H54" s="25">
        <v>0</v>
      </c>
      <c r="I54" s="5">
        <f t="shared" si="3"/>
        <v>0</v>
      </c>
      <c r="J54" s="26">
        <v>1</v>
      </c>
      <c r="K54" s="6">
        <f t="shared" si="5"/>
        <v>28.957528957528954</v>
      </c>
      <c r="L54" s="12">
        <f t="shared" si="6"/>
        <v>28.957528957528954</v>
      </c>
    </row>
    <row r="55" spans="1:12" x14ac:dyDescent="0.25">
      <c r="A55" s="36" t="s">
        <v>23</v>
      </c>
      <c r="B55" s="43"/>
      <c r="C55" s="37"/>
      <c r="D55" s="25">
        <v>0</v>
      </c>
      <c r="E55" s="5">
        <f>D55/$D$51</f>
        <v>0</v>
      </c>
      <c r="F55" s="26">
        <v>1</v>
      </c>
      <c r="G55" s="6">
        <f t="shared" si="4"/>
        <v>28.957528957528954</v>
      </c>
      <c r="H55" s="25">
        <v>0</v>
      </c>
      <c r="I55" s="5">
        <f t="shared" si="3"/>
        <v>0</v>
      </c>
      <c r="J55" s="26">
        <v>1</v>
      </c>
      <c r="K55" s="6">
        <f t="shared" si="5"/>
        <v>28.957528957528954</v>
      </c>
      <c r="L55" s="12">
        <f t="shared" si="6"/>
        <v>28.957528957528954</v>
      </c>
    </row>
    <row r="56" spans="1:12" x14ac:dyDescent="0.25">
      <c r="A56" s="36" t="s">
        <v>24</v>
      </c>
      <c r="B56" s="43"/>
      <c r="C56" s="37"/>
      <c r="D56" s="25">
        <v>0</v>
      </c>
      <c r="E56" s="5">
        <f t="shared" si="1"/>
        <v>0</v>
      </c>
      <c r="F56" s="26">
        <v>1</v>
      </c>
      <c r="G56" s="6">
        <f t="shared" si="4"/>
        <v>28.957528957528954</v>
      </c>
      <c r="H56" s="25">
        <v>0</v>
      </c>
      <c r="I56" s="5">
        <f t="shared" si="3"/>
        <v>0</v>
      </c>
      <c r="J56" s="26">
        <v>1</v>
      </c>
      <c r="K56" s="6">
        <f t="shared" si="5"/>
        <v>28.957528957528954</v>
      </c>
      <c r="L56" s="12">
        <f t="shared" si="6"/>
        <v>28.957528957528954</v>
      </c>
    </row>
    <row r="57" spans="1:12" x14ac:dyDescent="0.25">
      <c r="A57" s="36" t="s">
        <v>25</v>
      </c>
      <c r="B57" s="43"/>
      <c r="C57" s="37"/>
      <c r="D57" s="25">
        <v>0</v>
      </c>
      <c r="E57" s="5">
        <f t="shared" si="1"/>
        <v>0</v>
      </c>
      <c r="F57" s="26">
        <v>1</v>
      </c>
      <c r="G57" s="6">
        <f t="shared" si="4"/>
        <v>28.957528957528954</v>
      </c>
      <c r="H57" s="25">
        <v>0</v>
      </c>
      <c r="I57" s="5">
        <f t="shared" si="3"/>
        <v>0</v>
      </c>
      <c r="J57" s="26">
        <v>1</v>
      </c>
      <c r="K57" s="6">
        <f t="shared" si="5"/>
        <v>28.957528957528954</v>
      </c>
      <c r="L57" s="12">
        <f t="shared" si="6"/>
        <v>28.957528957528954</v>
      </c>
    </row>
    <row r="58" spans="1:12" x14ac:dyDescent="0.25">
      <c r="A58" s="36" t="s">
        <v>26</v>
      </c>
      <c r="B58" s="43"/>
      <c r="C58" s="37"/>
      <c r="D58" s="25">
        <v>0</v>
      </c>
      <c r="E58" s="5">
        <f t="shared" si="1"/>
        <v>0</v>
      </c>
      <c r="F58" s="26">
        <v>2</v>
      </c>
      <c r="G58" s="6">
        <f t="shared" si="4"/>
        <v>57.915057915057908</v>
      </c>
      <c r="H58" s="25">
        <v>0</v>
      </c>
      <c r="I58" s="5">
        <f t="shared" si="3"/>
        <v>0</v>
      </c>
      <c r="J58" s="26">
        <v>1</v>
      </c>
      <c r="K58" s="6">
        <f t="shared" si="5"/>
        <v>28.957528957528954</v>
      </c>
      <c r="L58" s="12">
        <f t="shared" si="6"/>
        <v>43.436293436293433</v>
      </c>
    </row>
    <row r="59" spans="1:12" x14ac:dyDescent="0.25">
      <c r="A59" s="36" t="s">
        <v>27</v>
      </c>
      <c r="B59" s="43"/>
      <c r="C59" s="37"/>
      <c r="D59" s="25">
        <v>0</v>
      </c>
      <c r="E59" s="5">
        <f t="shared" si="1"/>
        <v>0</v>
      </c>
      <c r="F59" s="26">
        <v>1</v>
      </c>
      <c r="G59" s="6">
        <f t="shared" si="4"/>
        <v>28.957528957528954</v>
      </c>
      <c r="H59" s="25">
        <v>0</v>
      </c>
      <c r="I59" s="5">
        <f t="shared" si="3"/>
        <v>0</v>
      </c>
      <c r="J59" s="26">
        <v>1</v>
      </c>
      <c r="K59" s="6">
        <f t="shared" si="5"/>
        <v>28.957528957528954</v>
      </c>
      <c r="L59" s="12">
        <f t="shared" si="6"/>
        <v>28.957528957528954</v>
      </c>
    </row>
    <row r="60" spans="1:12" x14ac:dyDescent="0.25">
      <c r="A60" s="36" t="s">
        <v>13</v>
      </c>
      <c r="B60" s="43"/>
      <c r="C60" s="37"/>
      <c r="D60" s="5" t="s">
        <v>34</v>
      </c>
      <c r="E60" s="5" t="s">
        <v>34</v>
      </c>
      <c r="F60" s="7">
        <f>SUM(F55:F59)</f>
        <v>6</v>
      </c>
      <c r="G60" s="6">
        <f t="shared" si="4"/>
        <v>173.74517374517376</v>
      </c>
      <c r="H60" s="5" t="s">
        <v>34</v>
      </c>
      <c r="I60" s="5" t="s">
        <v>34</v>
      </c>
      <c r="J60" s="7">
        <f>SUM(J55:J59)</f>
        <v>5</v>
      </c>
      <c r="K60" s="6">
        <f t="shared" si="5"/>
        <v>144.78764478764478</v>
      </c>
      <c r="L60" s="12">
        <f t="shared" si="6"/>
        <v>159.26640926640925</v>
      </c>
    </row>
    <row r="62" spans="1:12" x14ac:dyDescent="0.25">
      <c r="A62" s="23" t="s">
        <v>65</v>
      </c>
    </row>
    <row r="63" spans="1:12" ht="7.5" customHeight="1" x14ac:dyDescent="0.25">
      <c r="A63" s="23"/>
    </row>
    <row r="64" spans="1:12" x14ac:dyDescent="0.25">
      <c r="A64" s="18" t="s">
        <v>74</v>
      </c>
    </row>
    <row r="66" spans="1:12" x14ac:dyDescent="0.25">
      <c r="A66" s="36" t="s">
        <v>5</v>
      </c>
      <c r="B66" s="43"/>
      <c r="C66" s="37"/>
      <c r="D66" s="36" t="s">
        <v>50</v>
      </c>
      <c r="E66" s="43"/>
      <c r="F66" s="37"/>
      <c r="G66" s="3" t="s">
        <v>51</v>
      </c>
      <c r="H66" s="36" t="s">
        <v>52</v>
      </c>
      <c r="I66" s="37"/>
    </row>
    <row r="67" spans="1:12" x14ac:dyDescent="0.25">
      <c r="A67" s="36" t="s">
        <v>6</v>
      </c>
      <c r="B67" s="43"/>
      <c r="C67" s="43"/>
      <c r="D67" s="34" t="s">
        <v>45</v>
      </c>
      <c r="E67" s="42"/>
      <c r="F67" s="35"/>
      <c r="G67" s="4">
        <f t="shared" ref="G67:G73" si="7">ROUND(L43,1)</f>
        <v>0.7</v>
      </c>
      <c r="H67" s="34" t="str">
        <f t="shared" ref="H67" si="8">IF(G67&lt;=1,"cumple","no cumple")</f>
        <v>cumple</v>
      </c>
      <c r="I67" s="35"/>
      <c r="J67" s="15"/>
      <c r="K67" s="16"/>
      <c r="L67" s="17"/>
    </row>
    <row r="68" spans="1:12" x14ac:dyDescent="0.25">
      <c r="A68" s="36" t="s">
        <v>7</v>
      </c>
      <c r="B68" s="43"/>
      <c r="C68" s="43"/>
      <c r="D68" s="34" t="s">
        <v>45</v>
      </c>
      <c r="E68" s="42"/>
      <c r="F68" s="35"/>
      <c r="G68" s="4">
        <f t="shared" si="7"/>
        <v>17</v>
      </c>
      <c r="H68" s="34" t="str">
        <f t="shared" ref="H68:H73" si="9">IF(G68&lt;=1,"cumple","no cumple")</f>
        <v>no cumple</v>
      </c>
      <c r="I68" s="35"/>
      <c r="J68" s="15"/>
      <c r="K68" s="16"/>
      <c r="L68" s="17"/>
    </row>
    <row r="69" spans="1:12" x14ac:dyDescent="0.25">
      <c r="A69" s="36" t="s">
        <v>8</v>
      </c>
      <c r="B69" s="43"/>
      <c r="C69" s="43"/>
      <c r="D69" s="34" t="s">
        <v>46</v>
      </c>
      <c r="E69" s="42"/>
      <c r="F69" s="35"/>
      <c r="G69" s="4">
        <f t="shared" si="7"/>
        <v>59.1</v>
      </c>
      <c r="H69" s="34" t="str">
        <f>IF(G69&lt;=0.5,"cumple","no cumple")</f>
        <v>no cumple</v>
      </c>
      <c r="I69" s="35"/>
      <c r="J69" s="15"/>
      <c r="K69" s="16"/>
      <c r="L69" s="17"/>
    </row>
    <row r="70" spans="1:12" x14ac:dyDescent="0.25">
      <c r="A70" s="36" t="s">
        <v>9</v>
      </c>
      <c r="B70" s="43"/>
      <c r="C70" s="43"/>
      <c r="D70" s="34" t="s">
        <v>45</v>
      </c>
      <c r="E70" s="42"/>
      <c r="F70" s="35"/>
      <c r="G70" s="4">
        <f t="shared" si="7"/>
        <v>6.7</v>
      </c>
      <c r="H70" s="34" t="str">
        <f t="shared" si="9"/>
        <v>no cumple</v>
      </c>
      <c r="I70" s="35"/>
      <c r="J70" s="15"/>
      <c r="K70" s="16"/>
      <c r="L70" s="17"/>
    </row>
    <row r="71" spans="1:12" x14ac:dyDescent="0.25">
      <c r="A71" s="36" t="s">
        <v>10</v>
      </c>
      <c r="B71" s="43"/>
      <c r="C71" s="43"/>
      <c r="D71" s="34" t="s">
        <v>46</v>
      </c>
      <c r="E71" s="42"/>
      <c r="F71" s="35"/>
      <c r="G71" s="4">
        <f t="shared" si="7"/>
        <v>26.3</v>
      </c>
      <c r="H71" s="34" t="str">
        <f>IF(G71&lt;=0.5,"cumple","no cumple")</f>
        <v>no cumple</v>
      </c>
      <c r="I71" s="35"/>
      <c r="J71" s="15"/>
      <c r="K71" s="16"/>
      <c r="L71" s="17"/>
    </row>
    <row r="72" spans="1:12" x14ac:dyDescent="0.25">
      <c r="A72" s="36" t="s">
        <v>11</v>
      </c>
      <c r="B72" s="43"/>
      <c r="C72" s="43"/>
      <c r="D72" s="34" t="s">
        <v>47</v>
      </c>
      <c r="E72" s="42"/>
      <c r="F72" s="35"/>
      <c r="G72" s="4">
        <f t="shared" si="7"/>
        <v>53.6</v>
      </c>
      <c r="H72" s="34" t="str">
        <f>IF(G72&lt;=0.7,"cumple","no cumple")</f>
        <v>no cumple</v>
      </c>
      <c r="I72" s="35"/>
      <c r="J72" s="15"/>
      <c r="K72" s="16"/>
      <c r="L72" s="17"/>
    </row>
    <row r="73" spans="1:12" x14ac:dyDescent="0.25">
      <c r="A73" s="36" t="s">
        <v>12</v>
      </c>
      <c r="B73" s="43"/>
      <c r="C73" s="43"/>
      <c r="D73" s="34" t="s">
        <v>45</v>
      </c>
      <c r="E73" s="42"/>
      <c r="F73" s="35"/>
      <c r="G73" s="4">
        <f t="shared" si="7"/>
        <v>20.7</v>
      </c>
      <c r="H73" s="34" t="str">
        <f t="shared" si="9"/>
        <v>no cumple</v>
      </c>
      <c r="I73" s="35"/>
      <c r="J73" s="15"/>
      <c r="K73" s="16"/>
      <c r="L73" s="17"/>
    </row>
    <row r="74" spans="1:12" x14ac:dyDescent="0.25">
      <c r="A74" s="36" t="s">
        <v>16</v>
      </c>
      <c r="B74" s="43"/>
      <c r="C74" s="43"/>
      <c r="D74" s="34" t="s">
        <v>48</v>
      </c>
      <c r="E74" s="42"/>
      <c r="F74" s="35"/>
      <c r="G74" s="4">
        <f>ROUND(MAX(L55:L59),1)</f>
        <v>43.4</v>
      </c>
      <c r="H74" s="34" t="str">
        <f>IF(G74&lt;=0.2,"cumple","no cumple")</f>
        <v>no cumple</v>
      </c>
      <c r="I74" s="35"/>
      <c r="J74" s="15"/>
      <c r="K74" s="16"/>
      <c r="L74" s="17"/>
    </row>
    <row r="75" spans="1:12" x14ac:dyDescent="0.25">
      <c r="A75" s="36" t="s">
        <v>13</v>
      </c>
      <c r="B75" s="43"/>
      <c r="C75" s="43"/>
      <c r="D75" s="34" t="s">
        <v>49</v>
      </c>
      <c r="E75" s="42"/>
      <c r="F75" s="35"/>
      <c r="G75" s="4">
        <f>ROUND(L56,1)</f>
        <v>29</v>
      </c>
      <c r="H75" s="34" t="str">
        <f>IF(G75&lt;=5,"cumple","no cumple")</f>
        <v>no cumple</v>
      </c>
      <c r="I75" s="35"/>
      <c r="J75" s="15"/>
      <c r="K75" s="16"/>
      <c r="L75" s="17"/>
    </row>
    <row r="76" spans="1:12" x14ac:dyDescent="0.25">
      <c r="A76" s="13"/>
      <c r="B76" s="13"/>
      <c r="C76" s="13"/>
      <c r="D76" s="14"/>
      <c r="E76" s="14"/>
      <c r="F76" s="15"/>
      <c r="G76" s="16"/>
      <c r="H76" s="14"/>
      <c r="I76" s="14"/>
      <c r="J76" s="15"/>
      <c r="K76" s="16"/>
      <c r="L76" s="17"/>
    </row>
    <row r="77" spans="1:12" x14ac:dyDescent="0.25">
      <c r="A77" s="18" t="s">
        <v>75</v>
      </c>
    </row>
    <row r="78" spans="1:12" ht="15.75" thickBot="1" x14ac:dyDescent="0.3"/>
    <row r="79" spans="1:12" ht="15.75" thickBot="1" x14ac:dyDescent="0.3">
      <c r="B79" s="10" t="s">
        <v>53</v>
      </c>
      <c r="C79" s="29"/>
      <c r="G79" s="10" t="s">
        <v>54</v>
      </c>
      <c r="H79" s="29"/>
    </row>
    <row r="81" spans="1:7" x14ac:dyDescent="0.25">
      <c r="A81" s="10" t="s">
        <v>55</v>
      </c>
      <c r="B81" s="28"/>
      <c r="C81" s="1"/>
      <c r="D81" s="1"/>
      <c r="E81" s="1"/>
      <c r="F81" s="1"/>
      <c r="G81" s="10" t="s">
        <v>57</v>
      </c>
    </row>
    <row r="82" spans="1:7" x14ac:dyDescent="0.25">
      <c r="A82" s="10" t="s">
        <v>56</v>
      </c>
      <c r="B82" s="28"/>
      <c r="C82" s="1"/>
      <c r="D82" s="1"/>
      <c r="E82" s="1"/>
      <c r="F82" s="1"/>
      <c r="G82" s="10" t="s">
        <v>56</v>
      </c>
    </row>
  </sheetData>
  <sheetProtection password="F040" sheet="1" objects="1" scenarios="1"/>
  <protectedRanges>
    <protectedRange sqref="B6" name="lote"/>
    <protectedRange sqref="J4:J5" name="fecha de analisis"/>
    <protectedRange sqref="J6" name="analista"/>
    <protectedRange sqref="B11:B13" name="datos del estandar"/>
    <protectedRange sqref="G11:G13" name="estandar 2"/>
    <protectedRange sqref="K11:K13" name="estandar 3"/>
    <protectedRange sqref="B19:B21" name="datos de muestra"/>
    <protectedRange sqref="D32:F36" name="areas del estandar"/>
    <protectedRange sqref="D43:D59" name="TR M1"/>
    <protectedRange sqref="F43:F59" name="AREA M1"/>
    <protectedRange sqref="H43:H59" name="TR M2"/>
    <protectedRange sqref="J43:J59" name="AREA M2"/>
  </protectedRanges>
  <mergeCells count="67">
    <mergeCell ref="H41:K41"/>
    <mergeCell ref="A41:C42"/>
    <mergeCell ref="L41:L42"/>
    <mergeCell ref="C30:F30"/>
    <mergeCell ref="E36:F36"/>
    <mergeCell ref="E37:F37"/>
    <mergeCell ref="E31:F31"/>
    <mergeCell ref="E32:F32"/>
    <mergeCell ref="E33:F33"/>
    <mergeCell ref="E34:F34"/>
    <mergeCell ref="E35:F35"/>
    <mergeCell ref="A52:C52"/>
    <mergeCell ref="A53:C53"/>
    <mergeCell ref="A55:C55"/>
    <mergeCell ref="A43:C43"/>
    <mergeCell ref="A44:C44"/>
    <mergeCell ref="A47:C47"/>
    <mergeCell ref="A48:C48"/>
    <mergeCell ref="A46:C46"/>
    <mergeCell ref="A45:C45"/>
    <mergeCell ref="A54:C54"/>
    <mergeCell ref="E38:F38"/>
    <mergeCell ref="D74:F74"/>
    <mergeCell ref="A60:C60"/>
    <mergeCell ref="D41:G41"/>
    <mergeCell ref="A56:C56"/>
    <mergeCell ref="A74:C74"/>
    <mergeCell ref="A70:C70"/>
    <mergeCell ref="A71:C71"/>
    <mergeCell ref="A72:C72"/>
    <mergeCell ref="A73:C73"/>
    <mergeCell ref="A57:C57"/>
    <mergeCell ref="A58:C58"/>
    <mergeCell ref="A59:C59"/>
    <mergeCell ref="A49:C49"/>
    <mergeCell ref="A50:C50"/>
    <mergeCell ref="A51:C51"/>
    <mergeCell ref="D75:F75"/>
    <mergeCell ref="D73:F73"/>
    <mergeCell ref="A75:C75"/>
    <mergeCell ref="A66:C66"/>
    <mergeCell ref="D66:F66"/>
    <mergeCell ref="D67:F67"/>
    <mergeCell ref="D68:F68"/>
    <mergeCell ref="D69:F69"/>
    <mergeCell ref="A67:C67"/>
    <mergeCell ref="A68:C68"/>
    <mergeCell ref="A69:C69"/>
    <mergeCell ref="D70:F70"/>
    <mergeCell ref="D71:F71"/>
    <mergeCell ref="D72:F72"/>
    <mergeCell ref="B4:F4"/>
    <mergeCell ref="B6:F6"/>
    <mergeCell ref="H74:I74"/>
    <mergeCell ref="H75:I75"/>
    <mergeCell ref="C18:D18"/>
    <mergeCell ref="C19:D19"/>
    <mergeCell ref="C20:D20"/>
    <mergeCell ref="C21:D21"/>
    <mergeCell ref="H72:I72"/>
    <mergeCell ref="H73:I73"/>
    <mergeCell ref="H66:I66"/>
    <mergeCell ref="H67:I67"/>
    <mergeCell ref="H68:I68"/>
    <mergeCell ref="H69:I69"/>
    <mergeCell ref="H70:I70"/>
    <mergeCell ref="H71:I71"/>
  </mergeCells>
  <pageMargins left="0.70866141732283472" right="0.70866141732283472" top="0.74803149606299213" bottom="0.74803149606299213" header="0.31496062992125984" footer="0.31496062992125984"/>
  <pageSetup scale="77" orientation="landscape" horizontalDpi="300" verticalDpi="0" r:id="rId1"/>
  <headerFooter>
    <oddFooter>&amp;L&amp;Z&amp;F</oddFooter>
  </headerFooter>
  <rowBreaks count="1" manualBreakCount="1">
    <brk id="3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isai benites melquiades</dc:creator>
  <cp:lastModifiedBy>javier isai benites melquiades</cp:lastModifiedBy>
  <cp:lastPrinted>2019-06-24T19:17:15Z</cp:lastPrinted>
  <dcterms:created xsi:type="dcterms:W3CDTF">2019-06-22T20:46:21Z</dcterms:created>
  <dcterms:modified xsi:type="dcterms:W3CDTF">2019-06-25T04:45:36Z</dcterms:modified>
</cp:coreProperties>
</file>